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eg" sheetId="2" r:id="rId5"/>
    <sheet state="visible" name="rba" sheetId="3" r:id="rId6"/>
    <sheet state="visible" name="kmx" sheetId="4" r:id="rId7"/>
    <sheet state="visible" name="crl" sheetId="5" r:id="rId8"/>
    <sheet state="visible" name="edu" sheetId="6" r:id="rId9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IFERROR(__xludf.DUMMYFUNCTION("GOOGLEFINANCE(""NYSE:aeg"",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IFERROR(__xludf.DUMMYFUNCTION("""COMPUTED_VALUE"""),6.76)</f>
        <v>6.76</v>
      </c>
      <c r="C2" s="1">
        <f>IFERROR(__xludf.DUMMYFUNCTION("""COMPUTED_VALUE"""),6.92)</f>
        <v>6.92</v>
      </c>
      <c r="D2" s="1">
        <f>IFERROR(__xludf.DUMMYFUNCTION("""COMPUTED_VALUE"""),6.75)</f>
        <v>6.75</v>
      </c>
      <c r="E2" s="1">
        <f>IFERROR(__xludf.DUMMYFUNCTION("""COMPUTED_VALUE"""),6.83)</f>
        <v>6.83</v>
      </c>
      <c r="F2" s="1">
        <f>IFERROR(__xludf.DUMMYFUNCTION("""COMPUTED_VALUE"""),884522.0)</f>
        <v>884522</v>
      </c>
    </row>
    <row r="3">
      <c r="A3" s="2">
        <f>IFERROR(__xludf.DUMMYFUNCTION("""COMPUTED_VALUE"""),40183.666666666664)</f>
        <v>40183.66667</v>
      </c>
      <c r="B3" s="1">
        <f>IFERROR(__xludf.DUMMYFUNCTION("""COMPUTED_VALUE"""),6.89)</f>
        <v>6.89</v>
      </c>
      <c r="C3" s="1">
        <f>IFERROR(__xludf.DUMMYFUNCTION("""COMPUTED_VALUE"""),6.94)</f>
        <v>6.94</v>
      </c>
      <c r="D3" s="1">
        <f>IFERROR(__xludf.DUMMYFUNCTION("""COMPUTED_VALUE"""),6.79)</f>
        <v>6.79</v>
      </c>
      <c r="E3" s="1">
        <f>IFERROR(__xludf.DUMMYFUNCTION("""COMPUTED_VALUE"""),6.88)</f>
        <v>6.88</v>
      </c>
      <c r="F3" s="1">
        <f>IFERROR(__xludf.DUMMYFUNCTION("""COMPUTED_VALUE"""),657930.0)</f>
        <v>657930</v>
      </c>
    </row>
    <row r="4">
      <c r="A4" s="2">
        <f>IFERROR(__xludf.DUMMYFUNCTION("""COMPUTED_VALUE"""),40184.666666666664)</f>
        <v>40184.66667</v>
      </c>
      <c r="B4" s="1">
        <f>IFERROR(__xludf.DUMMYFUNCTION("""COMPUTED_VALUE"""),6.83)</f>
        <v>6.83</v>
      </c>
      <c r="C4" s="1">
        <f>IFERROR(__xludf.DUMMYFUNCTION("""COMPUTED_VALUE"""),6.87)</f>
        <v>6.87</v>
      </c>
      <c r="D4" s="1">
        <f>IFERROR(__xludf.DUMMYFUNCTION("""COMPUTED_VALUE"""),6.79)</f>
        <v>6.79</v>
      </c>
      <c r="E4" s="1">
        <f>IFERROR(__xludf.DUMMYFUNCTION("""COMPUTED_VALUE"""),6.85)</f>
        <v>6.85</v>
      </c>
      <c r="F4" s="1">
        <f>IFERROR(__xludf.DUMMYFUNCTION("""COMPUTED_VALUE"""),397124.0)</f>
        <v>397124</v>
      </c>
    </row>
    <row r="5">
      <c r="A5" s="2">
        <f>IFERROR(__xludf.DUMMYFUNCTION("""COMPUTED_VALUE"""),40185.666666666664)</f>
        <v>40185.66667</v>
      </c>
      <c r="B5" s="1">
        <f>IFERROR(__xludf.DUMMYFUNCTION("""COMPUTED_VALUE"""),6.82)</f>
        <v>6.82</v>
      </c>
      <c r="C5" s="1">
        <f>IFERROR(__xludf.DUMMYFUNCTION("""COMPUTED_VALUE"""),7.02)</f>
        <v>7.02</v>
      </c>
      <c r="D5" s="1">
        <f>IFERROR(__xludf.DUMMYFUNCTION("""COMPUTED_VALUE"""),6.78)</f>
        <v>6.78</v>
      </c>
      <c r="E5" s="1">
        <f>IFERROR(__xludf.DUMMYFUNCTION("""COMPUTED_VALUE"""),7.01)</f>
        <v>7.01</v>
      </c>
      <c r="F5" s="1">
        <f>IFERROR(__xludf.DUMMYFUNCTION("""COMPUTED_VALUE"""),797383.0)</f>
        <v>797383</v>
      </c>
    </row>
    <row r="6">
      <c r="A6" s="2">
        <f>IFERROR(__xludf.DUMMYFUNCTION("""COMPUTED_VALUE"""),40186.666666666664)</f>
        <v>40186.66667</v>
      </c>
      <c r="B6" s="1">
        <f>IFERROR(__xludf.DUMMYFUNCTION("""COMPUTED_VALUE"""),7.12)</f>
        <v>7.12</v>
      </c>
      <c r="C6" s="1">
        <f>IFERROR(__xludf.DUMMYFUNCTION("""COMPUTED_VALUE"""),7.25)</f>
        <v>7.25</v>
      </c>
      <c r="D6" s="1">
        <f>IFERROR(__xludf.DUMMYFUNCTION("""COMPUTED_VALUE"""),7.12)</f>
        <v>7.12</v>
      </c>
      <c r="E6" s="1">
        <f>IFERROR(__xludf.DUMMYFUNCTION("""COMPUTED_VALUE"""),7.24)</f>
        <v>7.24</v>
      </c>
      <c r="F6" s="1">
        <f>IFERROR(__xludf.DUMMYFUNCTION("""COMPUTED_VALUE"""),611341.0)</f>
        <v>611341</v>
      </c>
    </row>
    <row r="7">
      <c r="A7" s="2">
        <f>IFERROR(__xludf.DUMMYFUNCTION("""COMPUTED_VALUE"""),40189.666666666664)</f>
        <v>40189.66667</v>
      </c>
      <c r="B7" s="1">
        <f>IFERROR(__xludf.DUMMYFUNCTION("""COMPUTED_VALUE"""),7.26)</f>
        <v>7.26</v>
      </c>
      <c r="C7" s="1">
        <f>IFERROR(__xludf.DUMMYFUNCTION("""COMPUTED_VALUE"""),7.28)</f>
        <v>7.28</v>
      </c>
      <c r="D7" s="1">
        <f>IFERROR(__xludf.DUMMYFUNCTION("""COMPUTED_VALUE"""),7.11)</f>
        <v>7.11</v>
      </c>
      <c r="E7" s="1">
        <f>IFERROR(__xludf.DUMMYFUNCTION("""COMPUTED_VALUE"""),7.17)</f>
        <v>7.17</v>
      </c>
      <c r="F7" s="1">
        <f>IFERROR(__xludf.DUMMYFUNCTION("""COMPUTED_VALUE"""),580187.0)</f>
        <v>580187</v>
      </c>
    </row>
    <row r="8">
      <c r="A8" s="2">
        <f>IFERROR(__xludf.DUMMYFUNCTION("""COMPUTED_VALUE"""),40190.666666666664)</f>
        <v>40190.66667</v>
      </c>
      <c r="B8" s="1">
        <f>IFERROR(__xludf.DUMMYFUNCTION("""COMPUTED_VALUE"""),7.13)</f>
        <v>7.13</v>
      </c>
      <c r="C8" s="1">
        <f>IFERROR(__xludf.DUMMYFUNCTION("""COMPUTED_VALUE"""),7.19)</f>
        <v>7.19</v>
      </c>
      <c r="D8" s="1">
        <f>IFERROR(__xludf.DUMMYFUNCTION("""COMPUTED_VALUE"""),7.03)</f>
        <v>7.03</v>
      </c>
      <c r="E8" s="1">
        <f>IFERROR(__xludf.DUMMYFUNCTION("""COMPUTED_VALUE"""),7.13)</f>
        <v>7.13</v>
      </c>
      <c r="F8" s="1">
        <f>IFERROR(__xludf.DUMMYFUNCTION("""COMPUTED_VALUE"""),659799.0)</f>
        <v>659799</v>
      </c>
    </row>
    <row r="9">
      <c r="A9" s="2">
        <f>IFERROR(__xludf.DUMMYFUNCTION("""COMPUTED_VALUE"""),40191.666666666664)</f>
        <v>40191.66667</v>
      </c>
      <c r="B9" s="1">
        <f>IFERROR(__xludf.DUMMYFUNCTION("""COMPUTED_VALUE"""),7.16)</f>
        <v>7.16</v>
      </c>
      <c r="C9" s="1">
        <f>IFERROR(__xludf.DUMMYFUNCTION("""COMPUTED_VALUE"""),7.18)</f>
        <v>7.18</v>
      </c>
      <c r="D9" s="1">
        <f>IFERROR(__xludf.DUMMYFUNCTION("""COMPUTED_VALUE"""),7.06)</f>
        <v>7.06</v>
      </c>
      <c r="E9" s="1">
        <f>IFERROR(__xludf.DUMMYFUNCTION("""COMPUTED_VALUE"""),7.18)</f>
        <v>7.18</v>
      </c>
      <c r="F9" s="1">
        <f>IFERROR(__xludf.DUMMYFUNCTION("""COMPUTED_VALUE"""),607472.0)</f>
        <v>607472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IFERROR(__xludf.DUMMYFUNCTION("""COMPUTED_VALUE"""),7.12)</f>
        <v>7.12</v>
      </c>
      <c r="C10" s="1">
        <f>IFERROR(__xludf.DUMMYFUNCTION("""COMPUTED_VALUE"""),7.17)</f>
        <v>7.17</v>
      </c>
      <c r="D10" s="1">
        <f>IFERROR(__xludf.DUMMYFUNCTION("""COMPUTED_VALUE"""),7.07)</f>
        <v>7.07</v>
      </c>
      <c r="E10" s="1">
        <f>IFERROR(__xludf.DUMMYFUNCTION("""COMPUTED_VALUE"""),7.14)</f>
        <v>7.14</v>
      </c>
      <c r="F10" s="1">
        <f>IFERROR(__xludf.DUMMYFUNCTION("""COMPUTED_VALUE"""),314373.0)</f>
        <v>314373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IFERROR(__xludf.DUMMYFUNCTION("""COMPUTED_VALUE"""),7.03)</f>
        <v>7.03</v>
      </c>
      <c r="C11" s="1">
        <f>IFERROR(__xludf.DUMMYFUNCTION("""COMPUTED_VALUE"""),7.03)</f>
        <v>7.03</v>
      </c>
      <c r="D11" s="1">
        <f>IFERROR(__xludf.DUMMYFUNCTION("""COMPUTED_VALUE"""),6.83)</f>
        <v>6.83</v>
      </c>
      <c r="E11" s="1">
        <f>IFERROR(__xludf.DUMMYFUNCTION("""COMPUTED_VALUE"""),6.95)</f>
        <v>6.95</v>
      </c>
      <c r="F11" s="1">
        <f>IFERROR(__xludf.DUMMYFUNCTION("""COMPUTED_VALUE"""),965490.0)</f>
        <v>965490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IFERROR(__xludf.DUMMYFUNCTION("""COMPUTED_VALUE"""),6.74)</f>
        <v>6.74</v>
      </c>
      <c r="C12" s="1">
        <f>IFERROR(__xludf.DUMMYFUNCTION("""COMPUTED_VALUE"""),6.91)</f>
        <v>6.91</v>
      </c>
      <c r="D12" s="1">
        <f>IFERROR(__xludf.DUMMYFUNCTION("""COMPUTED_VALUE"""),6.74)</f>
        <v>6.74</v>
      </c>
      <c r="E12" s="1">
        <f>IFERROR(__xludf.DUMMYFUNCTION("""COMPUTED_VALUE"""),6.9)</f>
        <v>6.9</v>
      </c>
      <c r="F12" s="1">
        <f>IFERROR(__xludf.DUMMYFUNCTION("""COMPUTED_VALUE"""),635858.0)</f>
        <v>635858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IFERROR(__xludf.DUMMYFUNCTION("""COMPUTED_VALUE"""),6.68)</f>
        <v>6.68</v>
      </c>
      <c r="C13" s="1">
        <f>IFERROR(__xludf.DUMMYFUNCTION("""COMPUTED_VALUE"""),6.68)</f>
        <v>6.68</v>
      </c>
      <c r="D13" s="1">
        <f>IFERROR(__xludf.DUMMYFUNCTION("""COMPUTED_VALUE"""),6.45)</f>
        <v>6.45</v>
      </c>
      <c r="E13" s="1">
        <f>IFERROR(__xludf.DUMMYFUNCTION("""COMPUTED_VALUE"""),6.56)</f>
        <v>6.56</v>
      </c>
      <c r="F13" s="1">
        <f>IFERROR(__xludf.DUMMYFUNCTION("""COMPUTED_VALUE"""),738417.0)</f>
        <v>738417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IFERROR(__xludf.DUMMYFUNCTION("""COMPUTED_VALUE"""),6.49)</f>
        <v>6.49</v>
      </c>
      <c r="C14" s="1">
        <f>IFERROR(__xludf.DUMMYFUNCTION("""COMPUTED_VALUE"""),6.52)</f>
        <v>6.52</v>
      </c>
      <c r="D14" s="1">
        <f>IFERROR(__xludf.DUMMYFUNCTION("""COMPUTED_VALUE"""),6.06)</f>
        <v>6.06</v>
      </c>
      <c r="E14" s="1">
        <f>IFERROR(__xludf.DUMMYFUNCTION("""COMPUTED_VALUE"""),6.07)</f>
        <v>6.07</v>
      </c>
      <c r="F14" s="1">
        <f>IFERROR(__xludf.DUMMYFUNCTION("""COMPUTED_VALUE"""),1442891.0)</f>
        <v>1442891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IFERROR(__xludf.DUMMYFUNCTION("""COMPUTED_VALUE"""),6.14)</f>
        <v>6.14</v>
      </c>
      <c r="C15" s="1">
        <f>IFERROR(__xludf.DUMMYFUNCTION("""COMPUTED_VALUE"""),6.24)</f>
        <v>6.24</v>
      </c>
      <c r="D15" s="1">
        <f>IFERROR(__xludf.DUMMYFUNCTION("""COMPUTED_VALUE"""),5.97)</f>
        <v>5.97</v>
      </c>
      <c r="E15" s="1">
        <f>IFERROR(__xludf.DUMMYFUNCTION("""COMPUTED_VALUE"""),6.01)</f>
        <v>6.01</v>
      </c>
      <c r="F15" s="1">
        <f>IFERROR(__xludf.DUMMYFUNCTION("""COMPUTED_VALUE"""),1178423.0)</f>
        <v>1178423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IFERROR(__xludf.DUMMYFUNCTION("""COMPUTED_VALUE"""),6.27)</f>
        <v>6.27</v>
      </c>
      <c r="C16" s="1">
        <f>IFERROR(__xludf.DUMMYFUNCTION("""COMPUTED_VALUE"""),6.3)</f>
        <v>6.3</v>
      </c>
      <c r="D16" s="1">
        <f>IFERROR(__xludf.DUMMYFUNCTION("""COMPUTED_VALUE"""),6.11)</f>
        <v>6.11</v>
      </c>
      <c r="E16" s="1">
        <f>IFERROR(__xludf.DUMMYFUNCTION("""COMPUTED_VALUE"""),6.14)</f>
        <v>6.14</v>
      </c>
      <c r="F16" s="1">
        <f>IFERROR(__xludf.DUMMYFUNCTION("""COMPUTED_VALUE"""),614561.0)</f>
        <v>614561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IFERROR(__xludf.DUMMYFUNCTION("""COMPUTED_VALUE"""),6.06)</f>
        <v>6.06</v>
      </c>
      <c r="C17" s="1">
        <f>IFERROR(__xludf.DUMMYFUNCTION("""COMPUTED_VALUE"""),6.21)</f>
        <v>6.21</v>
      </c>
      <c r="D17" s="1">
        <f>IFERROR(__xludf.DUMMYFUNCTION("""COMPUTED_VALUE"""),6.02)</f>
        <v>6.02</v>
      </c>
      <c r="E17" s="1">
        <f>IFERROR(__xludf.DUMMYFUNCTION("""COMPUTED_VALUE"""),6.07)</f>
        <v>6.07</v>
      </c>
      <c r="F17" s="1">
        <f>IFERROR(__xludf.DUMMYFUNCTION("""COMPUTED_VALUE"""),427165.0)</f>
        <v>427165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IFERROR(__xludf.DUMMYFUNCTION("""COMPUTED_VALUE"""),6.08)</f>
        <v>6.08</v>
      </c>
      <c r="C18" s="1">
        <f>IFERROR(__xludf.DUMMYFUNCTION("""COMPUTED_VALUE"""),6.17)</f>
        <v>6.17</v>
      </c>
      <c r="D18" s="1">
        <f>IFERROR(__xludf.DUMMYFUNCTION("""COMPUTED_VALUE"""),6.03)</f>
        <v>6.03</v>
      </c>
      <c r="E18" s="1">
        <f>IFERROR(__xludf.DUMMYFUNCTION("""COMPUTED_VALUE"""),6.17)</f>
        <v>6.17</v>
      </c>
      <c r="F18" s="1">
        <f>IFERROR(__xludf.DUMMYFUNCTION("""COMPUTED_VALUE"""),577972.0)</f>
        <v>577972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IFERROR(__xludf.DUMMYFUNCTION("""COMPUTED_VALUE"""),6.17)</f>
        <v>6.17</v>
      </c>
      <c r="C19" s="1">
        <f>IFERROR(__xludf.DUMMYFUNCTION("""COMPUTED_VALUE"""),6.18)</f>
        <v>6.18</v>
      </c>
      <c r="D19" s="1">
        <f>IFERROR(__xludf.DUMMYFUNCTION("""COMPUTED_VALUE"""),5.96)</f>
        <v>5.96</v>
      </c>
      <c r="E19" s="1">
        <f>IFERROR(__xludf.DUMMYFUNCTION("""COMPUTED_VALUE"""),6.02)</f>
        <v>6.02</v>
      </c>
      <c r="F19" s="1">
        <f>IFERROR(__xludf.DUMMYFUNCTION("""COMPUTED_VALUE"""),881493.0)</f>
        <v>881493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IFERROR(__xludf.DUMMYFUNCTION("""COMPUTED_VALUE"""),6.07)</f>
        <v>6.07</v>
      </c>
      <c r="C20" s="1">
        <f>IFERROR(__xludf.DUMMYFUNCTION("""COMPUTED_VALUE"""),6.14)</f>
        <v>6.14</v>
      </c>
      <c r="D20" s="1">
        <f>IFERROR(__xludf.DUMMYFUNCTION("""COMPUTED_VALUE"""),5.9)</f>
        <v>5.9</v>
      </c>
      <c r="E20" s="1">
        <f>IFERROR(__xludf.DUMMYFUNCTION("""COMPUTED_VALUE"""),5.92)</f>
        <v>5.92</v>
      </c>
      <c r="F20" s="1">
        <f>IFERROR(__xludf.DUMMYFUNCTION("""COMPUTED_VALUE"""),827046.0)</f>
        <v>827046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IFERROR(__xludf.DUMMYFUNCTION("""COMPUTED_VALUE"""),6.17)</f>
        <v>6.17</v>
      </c>
      <c r="C21" s="1">
        <f>IFERROR(__xludf.DUMMYFUNCTION("""COMPUTED_VALUE"""),6.26)</f>
        <v>6.26</v>
      </c>
      <c r="D21" s="1">
        <f>IFERROR(__xludf.DUMMYFUNCTION("""COMPUTED_VALUE"""),6.15)</f>
        <v>6.15</v>
      </c>
      <c r="E21" s="1">
        <f>IFERROR(__xludf.DUMMYFUNCTION("""COMPUTED_VALUE"""),6.23)</f>
        <v>6.23</v>
      </c>
      <c r="F21" s="1">
        <f>IFERROR(__xludf.DUMMYFUNCTION("""COMPUTED_VALUE"""),488497.0)</f>
        <v>488497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IFERROR(__xludf.DUMMYFUNCTION("""COMPUTED_VALUE"""),6.35)</f>
        <v>6.35</v>
      </c>
      <c r="C22" s="1">
        <f>IFERROR(__xludf.DUMMYFUNCTION("""COMPUTED_VALUE"""),6.49)</f>
        <v>6.49</v>
      </c>
      <c r="D22" s="1">
        <f>IFERROR(__xludf.DUMMYFUNCTION("""COMPUTED_VALUE"""),6.31)</f>
        <v>6.31</v>
      </c>
      <c r="E22" s="1">
        <f>IFERROR(__xludf.DUMMYFUNCTION("""COMPUTED_VALUE"""),6.46)</f>
        <v>6.46</v>
      </c>
      <c r="F22" s="1">
        <f>IFERROR(__xludf.DUMMYFUNCTION("""COMPUTED_VALUE"""),521684.0)</f>
        <v>521684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IFERROR(__xludf.DUMMYFUNCTION("""COMPUTED_VALUE"""),6.41)</f>
        <v>6.41</v>
      </c>
      <c r="C23" s="1">
        <f>IFERROR(__xludf.DUMMYFUNCTION("""COMPUTED_VALUE"""),6.46)</f>
        <v>6.46</v>
      </c>
      <c r="D23" s="1">
        <f>IFERROR(__xludf.DUMMYFUNCTION("""COMPUTED_VALUE"""),6.33)</f>
        <v>6.33</v>
      </c>
      <c r="E23" s="1">
        <f>IFERROR(__xludf.DUMMYFUNCTION("""COMPUTED_VALUE"""),6.37)</f>
        <v>6.37</v>
      </c>
      <c r="F23" s="1">
        <f>IFERROR(__xludf.DUMMYFUNCTION("""COMPUTED_VALUE"""),528082.0)</f>
        <v>528082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IFERROR(__xludf.DUMMYFUNCTION("""COMPUTED_VALUE"""),6.24)</f>
        <v>6.24</v>
      </c>
      <c r="C24" s="1">
        <f>IFERROR(__xludf.DUMMYFUNCTION("""COMPUTED_VALUE"""),6.24)</f>
        <v>6.24</v>
      </c>
      <c r="D24" s="1">
        <f>IFERROR(__xludf.DUMMYFUNCTION("""COMPUTED_VALUE"""),5.91)</f>
        <v>5.91</v>
      </c>
      <c r="E24" s="1">
        <f>IFERROR(__xludf.DUMMYFUNCTION("""COMPUTED_VALUE"""),5.91)</f>
        <v>5.91</v>
      </c>
      <c r="F24" s="1">
        <f>IFERROR(__xludf.DUMMYFUNCTION("""COMPUTED_VALUE"""),917008.0)</f>
        <v>917008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IFERROR(__xludf.DUMMYFUNCTION("""COMPUTED_VALUE"""),5.83)</f>
        <v>5.83</v>
      </c>
      <c r="C25" s="1">
        <f>IFERROR(__xludf.DUMMYFUNCTION("""COMPUTED_VALUE"""),5.88)</f>
        <v>5.88</v>
      </c>
      <c r="D25" s="1">
        <f>IFERROR(__xludf.DUMMYFUNCTION("""COMPUTED_VALUE"""),5.5)</f>
        <v>5.5</v>
      </c>
      <c r="E25" s="1">
        <f>IFERROR(__xludf.DUMMYFUNCTION("""COMPUTED_VALUE"""),5.72)</f>
        <v>5.72</v>
      </c>
      <c r="F25" s="1">
        <f>IFERROR(__xludf.DUMMYFUNCTION("""COMPUTED_VALUE"""),1245811.0)</f>
        <v>1245811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IFERROR(__xludf.DUMMYFUNCTION("""COMPUTED_VALUE"""),5.58)</f>
        <v>5.58</v>
      </c>
      <c r="C26" s="1">
        <f>IFERROR(__xludf.DUMMYFUNCTION("""COMPUTED_VALUE"""),5.71)</f>
        <v>5.71</v>
      </c>
      <c r="D26" s="1">
        <f>IFERROR(__xludf.DUMMYFUNCTION("""COMPUTED_VALUE"""),5.5)</f>
        <v>5.5</v>
      </c>
      <c r="E26" s="1">
        <f>IFERROR(__xludf.DUMMYFUNCTION("""COMPUTED_VALUE"""),5.51)</f>
        <v>5.51</v>
      </c>
      <c r="F26" s="1">
        <f>IFERROR(__xludf.DUMMYFUNCTION("""COMPUTED_VALUE"""),616142.0)</f>
        <v>616142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IFERROR(__xludf.DUMMYFUNCTION("""COMPUTED_VALUE"""),5.83)</f>
        <v>5.83</v>
      </c>
      <c r="C27" s="1">
        <f>IFERROR(__xludf.DUMMYFUNCTION("""COMPUTED_VALUE"""),6.03)</f>
        <v>6.03</v>
      </c>
      <c r="D27" s="1">
        <f>IFERROR(__xludf.DUMMYFUNCTION("""COMPUTED_VALUE"""),5.74)</f>
        <v>5.74</v>
      </c>
      <c r="E27" s="1">
        <f>IFERROR(__xludf.DUMMYFUNCTION("""COMPUTED_VALUE"""),5.94)</f>
        <v>5.94</v>
      </c>
      <c r="F27" s="1">
        <f>IFERROR(__xludf.DUMMYFUNCTION("""COMPUTED_VALUE"""),1302901.0)</f>
        <v>1302901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IFERROR(__xludf.DUMMYFUNCTION("""COMPUTED_VALUE"""),5.97)</f>
        <v>5.97</v>
      </c>
      <c r="C28" s="1">
        <f>IFERROR(__xludf.DUMMYFUNCTION("""COMPUTED_VALUE"""),6.04)</f>
        <v>6.04</v>
      </c>
      <c r="D28" s="1">
        <f>IFERROR(__xludf.DUMMYFUNCTION("""COMPUTED_VALUE"""),5.88)</f>
        <v>5.88</v>
      </c>
      <c r="E28" s="1">
        <f>IFERROR(__xludf.DUMMYFUNCTION("""COMPUTED_VALUE"""),6.0)</f>
        <v>6</v>
      </c>
      <c r="F28" s="1">
        <f>IFERROR(__xludf.DUMMYFUNCTION("""COMPUTED_VALUE"""),494375.0)</f>
        <v>494375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IFERROR(__xludf.DUMMYFUNCTION("""COMPUTED_VALUE"""),5.89)</f>
        <v>5.89</v>
      </c>
      <c r="C29" s="1">
        <f>IFERROR(__xludf.DUMMYFUNCTION("""COMPUTED_VALUE"""),6.01)</f>
        <v>6.01</v>
      </c>
      <c r="D29" s="1">
        <f>IFERROR(__xludf.DUMMYFUNCTION("""COMPUTED_VALUE"""),5.8)</f>
        <v>5.8</v>
      </c>
      <c r="E29" s="1">
        <f>IFERROR(__xludf.DUMMYFUNCTION("""COMPUTED_VALUE"""),5.99)</f>
        <v>5.99</v>
      </c>
      <c r="F29" s="1">
        <f>IFERROR(__xludf.DUMMYFUNCTION("""COMPUTED_VALUE"""),521308.0)</f>
        <v>521308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IFERROR(__xludf.DUMMYFUNCTION("""COMPUTED_VALUE"""),5.77)</f>
        <v>5.77</v>
      </c>
      <c r="C30" s="1">
        <f>IFERROR(__xludf.DUMMYFUNCTION("""COMPUTED_VALUE"""),5.92)</f>
        <v>5.92</v>
      </c>
      <c r="D30" s="1">
        <f>IFERROR(__xludf.DUMMYFUNCTION("""COMPUTED_VALUE"""),5.72)</f>
        <v>5.72</v>
      </c>
      <c r="E30" s="1">
        <f>IFERROR(__xludf.DUMMYFUNCTION("""COMPUTED_VALUE"""),5.92)</f>
        <v>5.92</v>
      </c>
      <c r="F30" s="1">
        <f>IFERROR(__xludf.DUMMYFUNCTION("""COMPUTED_VALUE"""),472351.0)</f>
        <v>472351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IFERROR(__xludf.DUMMYFUNCTION("""COMPUTED_VALUE"""),5.94)</f>
        <v>5.94</v>
      </c>
      <c r="C31" s="1">
        <f>IFERROR(__xludf.DUMMYFUNCTION("""COMPUTED_VALUE"""),6.11)</f>
        <v>6.11</v>
      </c>
      <c r="D31" s="1">
        <f>IFERROR(__xludf.DUMMYFUNCTION("""COMPUTED_VALUE"""),5.9)</f>
        <v>5.9</v>
      </c>
      <c r="E31" s="1">
        <f>IFERROR(__xludf.DUMMYFUNCTION("""COMPUTED_VALUE"""),6.07)</f>
        <v>6.07</v>
      </c>
      <c r="F31" s="1">
        <f>IFERROR(__xludf.DUMMYFUNCTION("""COMPUTED_VALUE"""),592929.0)</f>
        <v>592929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IFERROR(__xludf.DUMMYFUNCTION("""COMPUTED_VALUE"""),6.1)</f>
        <v>6.1</v>
      </c>
      <c r="C32" s="1">
        <f>IFERROR(__xludf.DUMMYFUNCTION("""COMPUTED_VALUE"""),6.15)</f>
        <v>6.15</v>
      </c>
      <c r="D32" s="1">
        <f>IFERROR(__xludf.DUMMYFUNCTION("""COMPUTED_VALUE"""),6.05)</f>
        <v>6.05</v>
      </c>
      <c r="E32" s="1">
        <f>IFERROR(__xludf.DUMMYFUNCTION("""COMPUTED_VALUE"""),6.08)</f>
        <v>6.08</v>
      </c>
      <c r="F32" s="1">
        <f>IFERROR(__xludf.DUMMYFUNCTION("""COMPUTED_VALUE"""),320370.0)</f>
        <v>320370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IFERROR(__xludf.DUMMYFUNCTION("""COMPUTED_VALUE"""),6.01)</f>
        <v>6.01</v>
      </c>
      <c r="C33" s="1">
        <f>IFERROR(__xludf.DUMMYFUNCTION("""COMPUTED_VALUE"""),6.16)</f>
        <v>6.16</v>
      </c>
      <c r="D33" s="1">
        <f>IFERROR(__xludf.DUMMYFUNCTION("""COMPUTED_VALUE"""),6.0)</f>
        <v>6</v>
      </c>
      <c r="E33" s="1">
        <f>IFERROR(__xludf.DUMMYFUNCTION("""COMPUTED_VALUE"""),6.15)</f>
        <v>6.15</v>
      </c>
      <c r="F33" s="1">
        <f>IFERROR(__xludf.DUMMYFUNCTION("""COMPUTED_VALUE"""),393244.0)</f>
        <v>393244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IFERROR(__xludf.DUMMYFUNCTION("""COMPUTED_VALUE"""),5.95)</f>
        <v>5.95</v>
      </c>
      <c r="C34" s="1">
        <f>IFERROR(__xludf.DUMMYFUNCTION("""COMPUTED_VALUE"""),6.05)</f>
        <v>6.05</v>
      </c>
      <c r="D34" s="1">
        <f>IFERROR(__xludf.DUMMYFUNCTION("""COMPUTED_VALUE"""),5.93)</f>
        <v>5.93</v>
      </c>
      <c r="E34" s="1">
        <f>IFERROR(__xludf.DUMMYFUNCTION("""COMPUTED_VALUE"""),6.05)</f>
        <v>6.05</v>
      </c>
      <c r="F34" s="1">
        <f>IFERROR(__xludf.DUMMYFUNCTION("""COMPUTED_VALUE"""),359972.0)</f>
        <v>359972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IFERROR(__xludf.DUMMYFUNCTION("""COMPUTED_VALUE"""),6.04)</f>
        <v>6.04</v>
      </c>
      <c r="C35" s="1">
        <f>IFERROR(__xludf.DUMMYFUNCTION("""COMPUTED_VALUE"""),6.07)</f>
        <v>6.07</v>
      </c>
      <c r="D35" s="1">
        <f>IFERROR(__xludf.DUMMYFUNCTION("""COMPUTED_VALUE"""),6.01)</f>
        <v>6.01</v>
      </c>
      <c r="E35" s="1">
        <f>IFERROR(__xludf.DUMMYFUNCTION("""COMPUTED_VALUE"""),6.03)</f>
        <v>6.03</v>
      </c>
      <c r="F35" s="1">
        <f>IFERROR(__xludf.DUMMYFUNCTION("""COMPUTED_VALUE"""),283762.0)</f>
        <v>283762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IFERROR(__xludf.DUMMYFUNCTION("""COMPUTED_VALUE"""),5.95)</f>
        <v>5.95</v>
      </c>
      <c r="C36" s="1">
        <f>IFERROR(__xludf.DUMMYFUNCTION("""COMPUTED_VALUE"""),6.0)</f>
        <v>6</v>
      </c>
      <c r="D36" s="1">
        <f>IFERROR(__xludf.DUMMYFUNCTION("""COMPUTED_VALUE"""),5.83)</f>
        <v>5.83</v>
      </c>
      <c r="E36" s="1">
        <f>IFERROR(__xludf.DUMMYFUNCTION("""COMPUTED_VALUE"""),5.83)</f>
        <v>5.83</v>
      </c>
      <c r="F36" s="1">
        <f>IFERROR(__xludf.DUMMYFUNCTION("""COMPUTED_VALUE"""),289399.0)</f>
        <v>289399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IFERROR(__xludf.DUMMYFUNCTION("""COMPUTED_VALUE"""),5.91)</f>
        <v>5.91</v>
      </c>
      <c r="C37" s="1">
        <f>IFERROR(__xludf.DUMMYFUNCTION("""COMPUTED_VALUE"""),6.0)</f>
        <v>6</v>
      </c>
      <c r="D37" s="1">
        <f>IFERROR(__xludf.DUMMYFUNCTION("""COMPUTED_VALUE"""),5.85)</f>
        <v>5.85</v>
      </c>
      <c r="E37" s="1">
        <f>IFERROR(__xludf.DUMMYFUNCTION("""COMPUTED_VALUE"""),5.92)</f>
        <v>5.92</v>
      </c>
      <c r="F37" s="1">
        <f>IFERROR(__xludf.DUMMYFUNCTION("""COMPUTED_VALUE"""),312067.0)</f>
        <v>312067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IFERROR(__xludf.DUMMYFUNCTION("""COMPUTED_VALUE"""),5.99)</f>
        <v>5.99</v>
      </c>
      <c r="C38" s="1">
        <f>IFERROR(__xludf.DUMMYFUNCTION("""COMPUTED_VALUE"""),6.07)</f>
        <v>6.07</v>
      </c>
      <c r="D38" s="1">
        <f>IFERROR(__xludf.DUMMYFUNCTION("""COMPUTED_VALUE"""),5.94)</f>
        <v>5.94</v>
      </c>
      <c r="E38" s="1">
        <f>IFERROR(__xludf.DUMMYFUNCTION("""COMPUTED_VALUE"""),6.07)</f>
        <v>6.07</v>
      </c>
      <c r="F38" s="1">
        <f>IFERROR(__xludf.DUMMYFUNCTION("""COMPUTED_VALUE"""),420757.0)</f>
        <v>420757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IFERROR(__xludf.DUMMYFUNCTION("""COMPUTED_VALUE"""),6.2)</f>
        <v>6.2</v>
      </c>
      <c r="C39" s="1">
        <f>IFERROR(__xludf.DUMMYFUNCTION("""COMPUTED_VALUE"""),6.33)</f>
        <v>6.33</v>
      </c>
      <c r="D39" s="1">
        <f>IFERROR(__xludf.DUMMYFUNCTION("""COMPUTED_VALUE"""),6.1)</f>
        <v>6.1</v>
      </c>
      <c r="E39" s="1">
        <f>IFERROR(__xludf.DUMMYFUNCTION("""COMPUTED_VALUE"""),6.3)</f>
        <v>6.3</v>
      </c>
      <c r="F39" s="1">
        <f>IFERROR(__xludf.DUMMYFUNCTION("""COMPUTED_VALUE"""),687844.0)</f>
        <v>687844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IFERROR(__xludf.DUMMYFUNCTION("""COMPUTED_VALUE"""),6.3)</f>
        <v>6.3</v>
      </c>
      <c r="C40" s="1">
        <f>IFERROR(__xludf.DUMMYFUNCTION("""COMPUTED_VALUE"""),6.36)</f>
        <v>6.36</v>
      </c>
      <c r="D40" s="1">
        <f>IFERROR(__xludf.DUMMYFUNCTION("""COMPUTED_VALUE"""),6.28)</f>
        <v>6.28</v>
      </c>
      <c r="E40" s="1">
        <f>IFERROR(__xludf.DUMMYFUNCTION("""COMPUTED_VALUE"""),6.35)</f>
        <v>6.35</v>
      </c>
      <c r="F40" s="1">
        <f>IFERROR(__xludf.DUMMYFUNCTION("""COMPUTED_VALUE"""),546953.0)</f>
        <v>546953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IFERROR(__xludf.DUMMYFUNCTION("""COMPUTED_VALUE"""),6.5)</f>
        <v>6.5</v>
      </c>
      <c r="C41" s="1">
        <f>IFERROR(__xludf.DUMMYFUNCTION("""COMPUTED_VALUE"""),6.52)</f>
        <v>6.52</v>
      </c>
      <c r="D41" s="1">
        <f>IFERROR(__xludf.DUMMYFUNCTION("""COMPUTED_VALUE"""),6.41)</f>
        <v>6.41</v>
      </c>
      <c r="E41" s="1">
        <f>IFERROR(__xludf.DUMMYFUNCTION("""COMPUTED_VALUE"""),6.48)</f>
        <v>6.48</v>
      </c>
      <c r="F41" s="1">
        <f>IFERROR(__xludf.DUMMYFUNCTION("""COMPUTED_VALUE"""),572298.0)</f>
        <v>572298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IFERROR(__xludf.DUMMYFUNCTION("""COMPUTED_VALUE"""),6.47)</f>
        <v>6.47</v>
      </c>
      <c r="C42" s="1">
        <f>IFERROR(__xludf.DUMMYFUNCTION("""COMPUTED_VALUE"""),6.53)</f>
        <v>6.53</v>
      </c>
      <c r="D42" s="1">
        <f>IFERROR(__xludf.DUMMYFUNCTION("""COMPUTED_VALUE"""),6.44)</f>
        <v>6.44</v>
      </c>
      <c r="E42" s="1">
        <f>IFERROR(__xludf.DUMMYFUNCTION("""COMPUTED_VALUE"""),6.44)</f>
        <v>6.44</v>
      </c>
      <c r="F42" s="1">
        <f>IFERROR(__xludf.DUMMYFUNCTION("""COMPUTED_VALUE"""),506744.0)</f>
        <v>506744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IFERROR(__xludf.DUMMYFUNCTION("""COMPUTED_VALUE"""),6.44)</f>
        <v>6.44</v>
      </c>
      <c r="C43" s="1">
        <f>IFERROR(__xludf.DUMMYFUNCTION("""COMPUTED_VALUE"""),6.46)</f>
        <v>6.46</v>
      </c>
      <c r="D43" s="1">
        <f>IFERROR(__xludf.DUMMYFUNCTION("""COMPUTED_VALUE"""),6.32)</f>
        <v>6.32</v>
      </c>
      <c r="E43" s="1">
        <f>IFERROR(__xludf.DUMMYFUNCTION("""COMPUTED_VALUE"""),6.38)</f>
        <v>6.38</v>
      </c>
      <c r="F43" s="1">
        <f>IFERROR(__xludf.DUMMYFUNCTION("""COMPUTED_VALUE"""),522595.0)</f>
        <v>522595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IFERROR(__xludf.DUMMYFUNCTION("""COMPUTED_VALUE"""),6.49)</f>
        <v>6.49</v>
      </c>
      <c r="C44" s="1">
        <f>IFERROR(__xludf.DUMMYFUNCTION("""COMPUTED_VALUE"""),6.69)</f>
        <v>6.69</v>
      </c>
      <c r="D44" s="1">
        <f>IFERROR(__xludf.DUMMYFUNCTION("""COMPUTED_VALUE"""),6.48)</f>
        <v>6.48</v>
      </c>
      <c r="E44" s="1">
        <f>IFERROR(__xludf.DUMMYFUNCTION("""COMPUTED_VALUE"""),6.66)</f>
        <v>6.66</v>
      </c>
      <c r="F44" s="1">
        <f>IFERROR(__xludf.DUMMYFUNCTION("""COMPUTED_VALUE"""),524486.0)</f>
        <v>524486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IFERROR(__xludf.DUMMYFUNCTION("""COMPUTED_VALUE"""),6.56)</f>
        <v>6.56</v>
      </c>
      <c r="C45" s="1">
        <f>IFERROR(__xludf.DUMMYFUNCTION("""COMPUTED_VALUE"""),6.61)</f>
        <v>6.61</v>
      </c>
      <c r="D45" s="1">
        <f>IFERROR(__xludf.DUMMYFUNCTION("""COMPUTED_VALUE"""),6.5)</f>
        <v>6.5</v>
      </c>
      <c r="E45" s="1">
        <f>IFERROR(__xludf.DUMMYFUNCTION("""COMPUTED_VALUE"""),6.54)</f>
        <v>6.54</v>
      </c>
      <c r="F45" s="1">
        <f>IFERROR(__xludf.DUMMYFUNCTION("""COMPUTED_VALUE"""),428329.0)</f>
        <v>428329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IFERROR(__xludf.DUMMYFUNCTION("""COMPUTED_VALUE"""),6.51)</f>
        <v>6.51</v>
      </c>
      <c r="C46" s="1">
        <f>IFERROR(__xludf.DUMMYFUNCTION("""COMPUTED_VALUE"""),6.6)</f>
        <v>6.6</v>
      </c>
      <c r="D46" s="1">
        <f>IFERROR(__xludf.DUMMYFUNCTION("""COMPUTED_VALUE"""),6.5)</f>
        <v>6.5</v>
      </c>
      <c r="E46" s="1">
        <f>IFERROR(__xludf.DUMMYFUNCTION("""COMPUTED_VALUE"""),6.54)</f>
        <v>6.54</v>
      </c>
      <c r="F46" s="1">
        <f>IFERROR(__xludf.DUMMYFUNCTION("""COMPUTED_VALUE"""),256705.0)</f>
        <v>256705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IFERROR(__xludf.DUMMYFUNCTION("""COMPUTED_VALUE"""),6.61)</f>
        <v>6.61</v>
      </c>
      <c r="C47" s="1">
        <f>IFERROR(__xludf.DUMMYFUNCTION("""COMPUTED_VALUE"""),6.71)</f>
        <v>6.71</v>
      </c>
      <c r="D47" s="1">
        <f>IFERROR(__xludf.DUMMYFUNCTION("""COMPUTED_VALUE"""),6.6)</f>
        <v>6.6</v>
      </c>
      <c r="E47" s="1">
        <f>IFERROR(__xludf.DUMMYFUNCTION("""COMPUTED_VALUE"""),6.65)</f>
        <v>6.65</v>
      </c>
      <c r="F47" s="1">
        <f>IFERROR(__xludf.DUMMYFUNCTION("""COMPUTED_VALUE"""),1959845.0)</f>
        <v>1959845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IFERROR(__xludf.DUMMYFUNCTION("""COMPUTED_VALUE"""),6.66)</f>
        <v>6.66</v>
      </c>
      <c r="C48" s="1">
        <f>IFERROR(__xludf.DUMMYFUNCTION("""COMPUTED_VALUE"""),6.72)</f>
        <v>6.72</v>
      </c>
      <c r="D48" s="1">
        <f>IFERROR(__xludf.DUMMYFUNCTION("""COMPUTED_VALUE"""),6.62)</f>
        <v>6.62</v>
      </c>
      <c r="E48" s="1">
        <f>IFERROR(__xludf.DUMMYFUNCTION("""COMPUTED_VALUE"""),6.71)</f>
        <v>6.71</v>
      </c>
      <c r="F48" s="1">
        <f>IFERROR(__xludf.DUMMYFUNCTION("""COMPUTED_VALUE"""),1184582.0)</f>
        <v>1184582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IFERROR(__xludf.DUMMYFUNCTION("""COMPUTED_VALUE"""),6.77)</f>
        <v>6.77</v>
      </c>
      <c r="C49" s="1">
        <f>IFERROR(__xludf.DUMMYFUNCTION("""COMPUTED_VALUE"""),6.79)</f>
        <v>6.79</v>
      </c>
      <c r="D49" s="1">
        <f>IFERROR(__xludf.DUMMYFUNCTION("""COMPUTED_VALUE"""),6.67)</f>
        <v>6.67</v>
      </c>
      <c r="E49" s="1">
        <f>IFERROR(__xludf.DUMMYFUNCTION("""COMPUTED_VALUE"""),6.73)</f>
        <v>6.73</v>
      </c>
      <c r="F49" s="1">
        <f>IFERROR(__xludf.DUMMYFUNCTION("""COMPUTED_VALUE"""),884537.0)</f>
        <v>884537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IFERROR(__xludf.DUMMYFUNCTION("""COMPUTED_VALUE"""),6.59)</f>
        <v>6.59</v>
      </c>
      <c r="C50" s="1">
        <f>IFERROR(__xludf.DUMMYFUNCTION("""COMPUTED_VALUE"""),6.62)</f>
        <v>6.62</v>
      </c>
      <c r="D50" s="1">
        <f>IFERROR(__xludf.DUMMYFUNCTION("""COMPUTED_VALUE"""),6.49)</f>
        <v>6.49</v>
      </c>
      <c r="E50" s="1">
        <f>IFERROR(__xludf.DUMMYFUNCTION("""COMPUTED_VALUE"""),6.6)</f>
        <v>6.6</v>
      </c>
      <c r="F50" s="1">
        <f>IFERROR(__xludf.DUMMYFUNCTION("""COMPUTED_VALUE"""),1926352.0)</f>
        <v>1926352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IFERROR(__xludf.DUMMYFUNCTION("""COMPUTED_VALUE"""),6.61)</f>
        <v>6.61</v>
      </c>
      <c r="C51" s="1">
        <f>IFERROR(__xludf.DUMMYFUNCTION("""COMPUTED_VALUE"""),6.69)</f>
        <v>6.69</v>
      </c>
      <c r="D51" s="1">
        <f>IFERROR(__xludf.DUMMYFUNCTION("""COMPUTED_VALUE"""),6.57)</f>
        <v>6.57</v>
      </c>
      <c r="E51" s="1">
        <f>IFERROR(__xludf.DUMMYFUNCTION("""COMPUTED_VALUE"""),6.67)</f>
        <v>6.67</v>
      </c>
      <c r="F51" s="1">
        <f>IFERROR(__xludf.DUMMYFUNCTION("""COMPUTED_VALUE"""),1826705.0)</f>
        <v>1826705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IFERROR(__xludf.DUMMYFUNCTION("""COMPUTED_VALUE"""),6.71)</f>
        <v>6.71</v>
      </c>
      <c r="C52" s="1">
        <f>IFERROR(__xludf.DUMMYFUNCTION("""COMPUTED_VALUE"""),6.8)</f>
        <v>6.8</v>
      </c>
      <c r="D52" s="1">
        <f>IFERROR(__xludf.DUMMYFUNCTION("""COMPUTED_VALUE"""),6.7)</f>
        <v>6.7</v>
      </c>
      <c r="E52" s="1">
        <f>IFERROR(__xludf.DUMMYFUNCTION("""COMPUTED_VALUE"""),6.76)</f>
        <v>6.76</v>
      </c>
      <c r="F52" s="1">
        <f>IFERROR(__xludf.DUMMYFUNCTION("""COMPUTED_VALUE"""),897111.0)</f>
        <v>897111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IFERROR(__xludf.DUMMYFUNCTION("""COMPUTED_VALUE"""),6.69)</f>
        <v>6.69</v>
      </c>
      <c r="C53" s="1">
        <f>IFERROR(__xludf.DUMMYFUNCTION("""COMPUTED_VALUE"""),6.7)</f>
        <v>6.7</v>
      </c>
      <c r="D53" s="1">
        <f>IFERROR(__xludf.DUMMYFUNCTION("""COMPUTED_VALUE"""),6.56)</f>
        <v>6.56</v>
      </c>
      <c r="E53" s="1">
        <f>IFERROR(__xludf.DUMMYFUNCTION("""COMPUTED_VALUE"""),6.61)</f>
        <v>6.61</v>
      </c>
      <c r="F53" s="1">
        <f>IFERROR(__xludf.DUMMYFUNCTION("""COMPUTED_VALUE"""),1393475.0)</f>
        <v>1393475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IFERROR(__xludf.DUMMYFUNCTION("""COMPUTED_VALUE"""),6.59)</f>
        <v>6.59</v>
      </c>
      <c r="C54" s="1">
        <f>IFERROR(__xludf.DUMMYFUNCTION("""COMPUTED_VALUE"""),6.61)</f>
        <v>6.61</v>
      </c>
      <c r="D54" s="1">
        <f>IFERROR(__xludf.DUMMYFUNCTION("""COMPUTED_VALUE"""),6.48)</f>
        <v>6.48</v>
      </c>
      <c r="E54" s="1">
        <f>IFERROR(__xludf.DUMMYFUNCTION("""COMPUTED_VALUE"""),6.5)</f>
        <v>6.5</v>
      </c>
      <c r="F54" s="1">
        <f>IFERROR(__xludf.DUMMYFUNCTION("""COMPUTED_VALUE"""),2304696.0)</f>
        <v>2304696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IFERROR(__xludf.DUMMYFUNCTION("""COMPUTED_VALUE"""),6.38)</f>
        <v>6.38</v>
      </c>
      <c r="C55" s="1">
        <f>IFERROR(__xludf.DUMMYFUNCTION("""COMPUTED_VALUE"""),6.55)</f>
        <v>6.55</v>
      </c>
      <c r="D55" s="1">
        <f>IFERROR(__xludf.DUMMYFUNCTION("""COMPUTED_VALUE"""),6.38)</f>
        <v>6.38</v>
      </c>
      <c r="E55" s="1">
        <f>IFERROR(__xludf.DUMMYFUNCTION("""COMPUTED_VALUE"""),6.55)</f>
        <v>6.55</v>
      </c>
      <c r="F55" s="1">
        <f>IFERROR(__xludf.DUMMYFUNCTION("""COMPUTED_VALUE"""),1320422.0)</f>
        <v>1320422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IFERROR(__xludf.DUMMYFUNCTION("""COMPUTED_VALUE"""),6.65)</f>
        <v>6.65</v>
      </c>
      <c r="C56" s="1">
        <f>IFERROR(__xludf.DUMMYFUNCTION("""COMPUTED_VALUE"""),6.75)</f>
        <v>6.75</v>
      </c>
      <c r="D56" s="1">
        <f>IFERROR(__xludf.DUMMYFUNCTION("""COMPUTED_VALUE"""),6.62)</f>
        <v>6.62</v>
      </c>
      <c r="E56" s="1">
        <f>IFERROR(__xludf.DUMMYFUNCTION("""COMPUTED_VALUE"""),6.74)</f>
        <v>6.74</v>
      </c>
      <c r="F56" s="1">
        <f>IFERROR(__xludf.DUMMYFUNCTION("""COMPUTED_VALUE"""),546044.0)</f>
        <v>546044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IFERROR(__xludf.DUMMYFUNCTION("""COMPUTED_VALUE"""),6.61)</f>
        <v>6.61</v>
      </c>
      <c r="C57" s="1">
        <f>IFERROR(__xludf.DUMMYFUNCTION("""COMPUTED_VALUE"""),6.65)</f>
        <v>6.65</v>
      </c>
      <c r="D57" s="1">
        <f>IFERROR(__xludf.DUMMYFUNCTION("""COMPUTED_VALUE"""),6.57)</f>
        <v>6.57</v>
      </c>
      <c r="E57" s="1">
        <f>IFERROR(__xludf.DUMMYFUNCTION("""COMPUTED_VALUE"""),6.59)</f>
        <v>6.59</v>
      </c>
      <c r="F57" s="1">
        <f>IFERROR(__xludf.DUMMYFUNCTION("""COMPUTED_VALUE"""),1378631.0)</f>
        <v>1378631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IFERROR(__xludf.DUMMYFUNCTION("""COMPUTED_VALUE"""),6.75)</f>
        <v>6.75</v>
      </c>
      <c r="C58" s="1">
        <f>IFERROR(__xludf.DUMMYFUNCTION("""COMPUTED_VALUE"""),6.76)</f>
        <v>6.76</v>
      </c>
      <c r="D58" s="1">
        <f>IFERROR(__xludf.DUMMYFUNCTION("""COMPUTED_VALUE"""),6.61)</f>
        <v>6.61</v>
      </c>
      <c r="E58" s="1">
        <f>IFERROR(__xludf.DUMMYFUNCTION("""COMPUTED_VALUE"""),6.61)</f>
        <v>6.61</v>
      </c>
      <c r="F58" s="1">
        <f>IFERROR(__xludf.DUMMYFUNCTION("""COMPUTED_VALUE"""),1202044.0)</f>
        <v>1202044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IFERROR(__xludf.DUMMYFUNCTION("""COMPUTED_VALUE"""),6.71)</f>
        <v>6.71</v>
      </c>
      <c r="C59" s="1">
        <f>IFERROR(__xludf.DUMMYFUNCTION("""COMPUTED_VALUE"""),6.82)</f>
        <v>6.82</v>
      </c>
      <c r="D59" s="1">
        <f>IFERROR(__xludf.DUMMYFUNCTION("""COMPUTED_VALUE"""),6.69)</f>
        <v>6.69</v>
      </c>
      <c r="E59" s="1">
        <f>IFERROR(__xludf.DUMMYFUNCTION("""COMPUTED_VALUE"""),6.78)</f>
        <v>6.78</v>
      </c>
      <c r="F59" s="1">
        <f>IFERROR(__xludf.DUMMYFUNCTION("""COMPUTED_VALUE"""),1410093.0)</f>
        <v>1410093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IFERROR(__xludf.DUMMYFUNCTION("""COMPUTED_VALUE"""),6.85)</f>
        <v>6.85</v>
      </c>
      <c r="C60" s="1">
        <f>IFERROR(__xludf.DUMMYFUNCTION("""COMPUTED_VALUE"""),6.88)</f>
        <v>6.88</v>
      </c>
      <c r="D60" s="1">
        <f>IFERROR(__xludf.DUMMYFUNCTION("""COMPUTED_VALUE"""),6.82)</f>
        <v>6.82</v>
      </c>
      <c r="E60" s="1">
        <f>IFERROR(__xludf.DUMMYFUNCTION("""COMPUTED_VALUE"""),6.86)</f>
        <v>6.86</v>
      </c>
      <c r="F60" s="1">
        <f>IFERROR(__xludf.DUMMYFUNCTION("""COMPUTED_VALUE"""),313752.0)</f>
        <v>313752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IFERROR(__xludf.DUMMYFUNCTION("""COMPUTED_VALUE"""),6.86)</f>
        <v>6.86</v>
      </c>
      <c r="C61" s="1">
        <f>IFERROR(__xludf.DUMMYFUNCTION("""COMPUTED_VALUE"""),6.86)</f>
        <v>6.86</v>
      </c>
      <c r="D61" s="1">
        <f>IFERROR(__xludf.DUMMYFUNCTION("""COMPUTED_VALUE"""),6.66)</f>
        <v>6.66</v>
      </c>
      <c r="E61" s="1">
        <f>IFERROR(__xludf.DUMMYFUNCTION("""COMPUTED_VALUE"""),6.78)</f>
        <v>6.78</v>
      </c>
      <c r="F61" s="1">
        <f>IFERROR(__xludf.DUMMYFUNCTION("""COMPUTED_VALUE"""),720010.0)</f>
        <v>720010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IFERROR(__xludf.DUMMYFUNCTION("""COMPUTED_VALUE"""),6.78)</f>
        <v>6.78</v>
      </c>
      <c r="C62" s="1">
        <f>IFERROR(__xludf.DUMMYFUNCTION("""COMPUTED_VALUE"""),6.88)</f>
        <v>6.88</v>
      </c>
      <c r="D62" s="1">
        <f>IFERROR(__xludf.DUMMYFUNCTION("""COMPUTED_VALUE"""),6.73)</f>
        <v>6.73</v>
      </c>
      <c r="E62" s="1">
        <f>IFERROR(__xludf.DUMMYFUNCTION("""COMPUTED_VALUE"""),6.81)</f>
        <v>6.81</v>
      </c>
      <c r="F62" s="1">
        <f>IFERROR(__xludf.DUMMYFUNCTION("""COMPUTED_VALUE"""),457562.0)</f>
        <v>457562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IFERROR(__xludf.DUMMYFUNCTION("""COMPUTED_VALUE"""),6.93)</f>
        <v>6.93</v>
      </c>
      <c r="C63" s="1">
        <f>IFERROR(__xludf.DUMMYFUNCTION("""COMPUTED_VALUE"""),7.0)</f>
        <v>7</v>
      </c>
      <c r="D63" s="1">
        <f>IFERROR(__xludf.DUMMYFUNCTION("""COMPUTED_VALUE"""),6.92)</f>
        <v>6.92</v>
      </c>
      <c r="E63" s="1">
        <f>IFERROR(__xludf.DUMMYFUNCTION("""COMPUTED_VALUE"""),6.97)</f>
        <v>6.97</v>
      </c>
      <c r="F63" s="1">
        <f>IFERROR(__xludf.DUMMYFUNCTION("""COMPUTED_VALUE"""),354552.0)</f>
        <v>354552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IFERROR(__xludf.DUMMYFUNCTION("""COMPUTED_VALUE"""),6.99)</f>
        <v>6.99</v>
      </c>
      <c r="C64" s="1">
        <f>IFERROR(__xludf.DUMMYFUNCTION("""COMPUTED_VALUE"""),7.02)</f>
        <v>7.02</v>
      </c>
      <c r="D64" s="1">
        <f>IFERROR(__xludf.DUMMYFUNCTION("""COMPUTED_VALUE"""),6.97)</f>
        <v>6.97</v>
      </c>
      <c r="E64" s="1">
        <f>IFERROR(__xludf.DUMMYFUNCTION("""COMPUTED_VALUE"""),7.0)</f>
        <v>7</v>
      </c>
      <c r="F64" s="1">
        <f>IFERROR(__xludf.DUMMYFUNCTION("""COMPUTED_VALUE"""),192289.0)</f>
        <v>192289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IFERROR(__xludf.DUMMYFUNCTION("""COMPUTED_VALUE"""),6.97)</f>
        <v>6.97</v>
      </c>
      <c r="C65" s="1">
        <f>IFERROR(__xludf.DUMMYFUNCTION("""COMPUTED_VALUE"""),7.06)</f>
        <v>7.06</v>
      </c>
      <c r="D65" s="1">
        <f>IFERROR(__xludf.DUMMYFUNCTION("""COMPUTED_VALUE"""),6.95)</f>
        <v>6.95</v>
      </c>
      <c r="E65" s="1">
        <f>IFERROR(__xludf.DUMMYFUNCTION("""COMPUTED_VALUE"""),7.05)</f>
        <v>7.05</v>
      </c>
      <c r="F65" s="1">
        <f>IFERROR(__xludf.DUMMYFUNCTION("""COMPUTED_VALUE"""),371205.0)</f>
        <v>371205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IFERROR(__xludf.DUMMYFUNCTION("""COMPUTED_VALUE"""),7.0)</f>
        <v>7</v>
      </c>
      <c r="C66" s="1">
        <f>IFERROR(__xludf.DUMMYFUNCTION("""COMPUTED_VALUE"""),7.07)</f>
        <v>7.07</v>
      </c>
      <c r="D66" s="1">
        <f>IFERROR(__xludf.DUMMYFUNCTION("""COMPUTED_VALUE"""),6.98)</f>
        <v>6.98</v>
      </c>
      <c r="E66" s="1">
        <f>IFERROR(__xludf.DUMMYFUNCTION("""COMPUTED_VALUE"""),7.02)</f>
        <v>7.02</v>
      </c>
      <c r="F66" s="1">
        <f>IFERROR(__xludf.DUMMYFUNCTION("""COMPUTED_VALUE"""),1048651.0)</f>
        <v>1048651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IFERROR(__xludf.DUMMYFUNCTION("""COMPUTED_VALUE"""),6.97)</f>
        <v>6.97</v>
      </c>
      <c r="C67" s="1">
        <f>IFERROR(__xludf.DUMMYFUNCTION("""COMPUTED_VALUE"""),7.04)</f>
        <v>7.04</v>
      </c>
      <c r="D67" s="1">
        <f>IFERROR(__xludf.DUMMYFUNCTION("""COMPUTED_VALUE"""),6.94)</f>
        <v>6.94</v>
      </c>
      <c r="E67" s="1">
        <f>IFERROR(__xludf.DUMMYFUNCTION("""COMPUTED_VALUE"""),7.01)</f>
        <v>7.01</v>
      </c>
      <c r="F67" s="1">
        <f>IFERROR(__xludf.DUMMYFUNCTION("""COMPUTED_VALUE"""),1264481.0)</f>
        <v>1264481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IFERROR(__xludf.DUMMYFUNCTION("""COMPUTED_VALUE"""),7.07)</f>
        <v>7.07</v>
      </c>
      <c r="C68" s="1">
        <f>IFERROR(__xludf.DUMMYFUNCTION("""COMPUTED_VALUE"""),7.15)</f>
        <v>7.15</v>
      </c>
      <c r="D68" s="1">
        <f>IFERROR(__xludf.DUMMYFUNCTION("""COMPUTED_VALUE"""),7.04)</f>
        <v>7.04</v>
      </c>
      <c r="E68" s="1">
        <f>IFERROR(__xludf.DUMMYFUNCTION("""COMPUTED_VALUE"""),7.15)</f>
        <v>7.15</v>
      </c>
      <c r="F68" s="1">
        <f>IFERROR(__xludf.DUMMYFUNCTION("""COMPUTED_VALUE"""),470216.0)</f>
        <v>470216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IFERROR(__xludf.DUMMYFUNCTION("""COMPUTED_VALUE"""),7.26)</f>
        <v>7.26</v>
      </c>
      <c r="C69" s="1">
        <f>IFERROR(__xludf.DUMMYFUNCTION("""COMPUTED_VALUE"""),7.3)</f>
        <v>7.3</v>
      </c>
      <c r="D69" s="1">
        <f>IFERROR(__xludf.DUMMYFUNCTION("""COMPUTED_VALUE"""),7.24)</f>
        <v>7.24</v>
      </c>
      <c r="E69" s="1">
        <f>IFERROR(__xludf.DUMMYFUNCTION("""COMPUTED_VALUE"""),7.26)</f>
        <v>7.26</v>
      </c>
      <c r="F69" s="1">
        <f>IFERROR(__xludf.DUMMYFUNCTION("""COMPUTED_VALUE"""),412365.0)</f>
        <v>412365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IFERROR(__xludf.DUMMYFUNCTION("""COMPUTED_VALUE"""),7.22)</f>
        <v>7.22</v>
      </c>
      <c r="C70" s="1">
        <f>IFERROR(__xludf.DUMMYFUNCTION("""COMPUTED_VALUE"""),7.23)</f>
        <v>7.23</v>
      </c>
      <c r="D70" s="1">
        <f>IFERROR(__xludf.DUMMYFUNCTION("""COMPUTED_VALUE"""),7.11)</f>
        <v>7.11</v>
      </c>
      <c r="E70" s="1">
        <f>IFERROR(__xludf.DUMMYFUNCTION("""COMPUTED_VALUE"""),7.18)</f>
        <v>7.18</v>
      </c>
      <c r="F70" s="1">
        <f>IFERROR(__xludf.DUMMYFUNCTION("""COMPUTED_VALUE"""),1101735.0)</f>
        <v>1101735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IFERROR(__xludf.DUMMYFUNCTION("""COMPUTED_VALUE"""),7.28)</f>
        <v>7.28</v>
      </c>
      <c r="C71" s="1">
        <f>IFERROR(__xludf.DUMMYFUNCTION("""COMPUTED_VALUE"""),7.41)</f>
        <v>7.41</v>
      </c>
      <c r="D71" s="1">
        <f>IFERROR(__xludf.DUMMYFUNCTION("""COMPUTED_VALUE"""),7.25)</f>
        <v>7.25</v>
      </c>
      <c r="E71" s="1">
        <f>IFERROR(__xludf.DUMMYFUNCTION("""COMPUTED_VALUE"""),7.41)</f>
        <v>7.41</v>
      </c>
      <c r="F71" s="1">
        <f>IFERROR(__xludf.DUMMYFUNCTION("""COMPUTED_VALUE"""),1111088.0)</f>
        <v>1111088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IFERROR(__xludf.DUMMYFUNCTION("""COMPUTED_VALUE"""),7.31)</f>
        <v>7.31</v>
      </c>
      <c r="C72" s="1">
        <f>IFERROR(__xludf.DUMMYFUNCTION("""COMPUTED_VALUE"""),7.42)</f>
        <v>7.42</v>
      </c>
      <c r="D72" s="1">
        <f>IFERROR(__xludf.DUMMYFUNCTION("""COMPUTED_VALUE"""),7.31)</f>
        <v>7.31</v>
      </c>
      <c r="E72" s="1">
        <f>IFERROR(__xludf.DUMMYFUNCTION("""COMPUTED_VALUE"""),7.37)</f>
        <v>7.37</v>
      </c>
      <c r="F72" s="1">
        <f>IFERROR(__xludf.DUMMYFUNCTION("""COMPUTED_VALUE"""),1201120.0)</f>
        <v>1201120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IFERROR(__xludf.DUMMYFUNCTION("""COMPUTED_VALUE"""),7.3)</f>
        <v>7.3</v>
      </c>
      <c r="C73" s="1">
        <f>IFERROR(__xludf.DUMMYFUNCTION("""COMPUTED_VALUE"""),7.35)</f>
        <v>7.35</v>
      </c>
      <c r="D73" s="1">
        <f>IFERROR(__xludf.DUMMYFUNCTION("""COMPUTED_VALUE"""),7.18)</f>
        <v>7.18</v>
      </c>
      <c r="E73" s="1">
        <f>IFERROR(__xludf.DUMMYFUNCTION("""COMPUTED_VALUE"""),7.26)</f>
        <v>7.26</v>
      </c>
      <c r="F73" s="1">
        <f>IFERROR(__xludf.DUMMYFUNCTION("""COMPUTED_VALUE"""),1143712.0)</f>
        <v>1143712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IFERROR(__xludf.DUMMYFUNCTION("""COMPUTED_VALUE"""),7.09)</f>
        <v>7.09</v>
      </c>
      <c r="C74" s="1">
        <f>IFERROR(__xludf.DUMMYFUNCTION("""COMPUTED_VALUE"""),7.25)</f>
        <v>7.25</v>
      </c>
      <c r="D74" s="1">
        <f>IFERROR(__xludf.DUMMYFUNCTION("""COMPUTED_VALUE"""),7.05)</f>
        <v>7.05</v>
      </c>
      <c r="E74" s="1">
        <f>IFERROR(__xludf.DUMMYFUNCTION("""COMPUTED_VALUE"""),7.22)</f>
        <v>7.22</v>
      </c>
      <c r="F74" s="1">
        <f>IFERROR(__xludf.DUMMYFUNCTION("""COMPUTED_VALUE"""),1720373.0)</f>
        <v>1720373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IFERROR(__xludf.DUMMYFUNCTION("""COMPUTED_VALUE"""),7.25)</f>
        <v>7.25</v>
      </c>
      <c r="C75" s="1">
        <f>IFERROR(__xludf.DUMMYFUNCTION("""COMPUTED_VALUE"""),7.29)</f>
        <v>7.29</v>
      </c>
      <c r="D75" s="1">
        <f>IFERROR(__xludf.DUMMYFUNCTION("""COMPUTED_VALUE"""),7.19)</f>
        <v>7.19</v>
      </c>
      <c r="E75" s="1">
        <f>IFERROR(__xludf.DUMMYFUNCTION("""COMPUTED_VALUE"""),7.26)</f>
        <v>7.26</v>
      </c>
      <c r="F75" s="1">
        <f>IFERROR(__xludf.DUMMYFUNCTION("""COMPUTED_VALUE"""),857603.0)</f>
        <v>857603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IFERROR(__xludf.DUMMYFUNCTION("""COMPUTED_VALUE"""),7.15)</f>
        <v>7.15</v>
      </c>
      <c r="C76" s="1">
        <f>IFERROR(__xludf.DUMMYFUNCTION("""COMPUTED_VALUE"""),7.18)</f>
        <v>7.18</v>
      </c>
      <c r="D76" s="1">
        <f>IFERROR(__xludf.DUMMYFUNCTION("""COMPUTED_VALUE"""),7.05)</f>
        <v>7.05</v>
      </c>
      <c r="E76" s="1">
        <f>IFERROR(__xludf.DUMMYFUNCTION("""COMPUTED_VALUE"""),7.12)</f>
        <v>7.12</v>
      </c>
      <c r="F76" s="1">
        <f>IFERROR(__xludf.DUMMYFUNCTION("""COMPUTED_VALUE"""),592579.0)</f>
        <v>592579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IFERROR(__xludf.DUMMYFUNCTION("""COMPUTED_VALUE"""),6.92)</f>
        <v>6.92</v>
      </c>
      <c r="C77" s="1">
        <f>IFERROR(__xludf.DUMMYFUNCTION("""COMPUTED_VALUE"""),7.07)</f>
        <v>7.07</v>
      </c>
      <c r="D77" s="1">
        <f>IFERROR(__xludf.DUMMYFUNCTION("""COMPUTED_VALUE"""),6.87)</f>
        <v>6.87</v>
      </c>
      <c r="E77" s="1">
        <f>IFERROR(__xludf.DUMMYFUNCTION("""COMPUTED_VALUE"""),7.07)</f>
        <v>7.07</v>
      </c>
      <c r="F77" s="1">
        <f>IFERROR(__xludf.DUMMYFUNCTION("""COMPUTED_VALUE"""),1127279.0)</f>
        <v>1127279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IFERROR(__xludf.DUMMYFUNCTION("""COMPUTED_VALUE"""),7.07)</f>
        <v>7.07</v>
      </c>
      <c r="C78" s="1">
        <f>IFERROR(__xludf.DUMMYFUNCTION("""COMPUTED_VALUE"""),7.16)</f>
        <v>7.16</v>
      </c>
      <c r="D78" s="1">
        <f>IFERROR(__xludf.DUMMYFUNCTION("""COMPUTED_VALUE"""),7.02)</f>
        <v>7.02</v>
      </c>
      <c r="E78" s="1">
        <f>IFERROR(__xludf.DUMMYFUNCTION("""COMPUTED_VALUE"""),7.14)</f>
        <v>7.14</v>
      </c>
      <c r="F78" s="1">
        <f>IFERROR(__xludf.DUMMYFUNCTION("""COMPUTED_VALUE"""),1142859.0)</f>
        <v>1142859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IFERROR(__xludf.DUMMYFUNCTION("""COMPUTED_VALUE"""),7.01)</f>
        <v>7.01</v>
      </c>
      <c r="C79" s="1">
        <f>IFERROR(__xludf.DUMMYFUNCTION("""COMPUTED_VALUE"""),7.12)</f>
        <v>7.12</v>
      </c>
      <c r="D79" s="1">
        <f>IFERROR(__xludf.DUMMYFUNCTION("""COMPUTED_VALUE"""),7.01)</f>
        <v>7.01</v>
      </c>
      <c r="E79" s="1">
        <f>IFERROR(__xludf.DUMMYFUNCTION("""COMPUTED_VALUE"""),7.06)</f>
        <v>7.06</v>
      </c>
      <c r="F79" s="1">
        <f>IFERROR(__xludf.DUMMYFUNCTION("""COMPUTED_VALUE"""),1993813.0)</f>
        <v>1993813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IFERROR(__xludf.DUMMYFUNCTION("""COMPUTED_VALUE"""),7.0)</f>
        <v>7</v>
      </c>
      <c r="C80" s="1">
        <f>IFERROR(__xludf.DUMMYFUNCTION("""COMPUTED_VALUE"""),7.09)</f>
        <v>7.09</v>
      </c>
      <c r="D80" s="1">
        <f>IFERROR(__xludf.DUMMYFUNCTION("""COMPUTED_VALUE"""),6.78)</f>
        <v>6.78</v>
      </c>
      <c r="E80" s="1">
        <f>IFERROR(__xludf.DUMMYFUNCTION("""COMPUTED_VALUE"""),6.82)</f>
        <v>6.82</v>
      </c>
      <c r="F80" s="1">
        <f>IFERROR(__xludf.DUMMYFUNCTION("""COMPUTED_VALUE"""),6112411.0)</f>
        <v>6112411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IFERROR(__xludf.DUMMYFUNCTION("""COMPUTED_VALUE"""),6.79)</f>
        <v>6.79</v>
      </c>
      <c r="C81" s="1">
        <f>IFERROR(__xludf.DUMMYFUNCTION("""COMPUTED_VALUE"""),6.85)</f>
        <v>6.85</v>
      </c>
      <c r="D81" s="1">
        <f>IFERROR(__xludf.DUMMYFUNCTION("""COMPUTED_VALUE"""),6.69)</f>
        <v>6.69</v>
      </c>
      <c r="E81" s="1">
        <f>IFERROR(__xludf.DUMMYFUNCTION("""COMPUTED_VALUE"""),6.76)</f>
        <v>6.76</v>
      </c>
      <c r="F81" s="1">
        <f>IFERROR(__xludf.DUMMYFUNCTION("""COMPUTED_VALUE"""),7082047.0)</f>
        <v>7082047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IFERROR(__xludf.DUMMYFUNCTION("""COMPUTED_VALUE"""),6.93)</f>
        <v>6.93</v>
      </c>
      <c r="C82" s="1">
        <f>IFERROR(__xludf.DUMMYFUNCTION("""COMPUTED_VALUE"""),7.15)</f>
        <v>7.15</v>
      </c>
      <c r="D82" s="1">
        <f>IFERROR(__xludf.DUMMYFUNCTION("""COMPUTED_VALUE"""),6.9)</f>
        <v>6.9</v>
      </c>
      <c r="E82" s="1">
        <f>IFERROR(__xludf.DUMMYFUNCTION("""COMPUTED_VALUE"""),7.1)</f>
        <v>7.1</v>
      </c>
      <c r="F82" s="1">
        <f>IFERROR(__xludf.DUMMYFUNCTION("""COMPUTED_VALUE"""),1894729.0)</f>
        <v>1894729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IFERROR(__xludf.DUMMYFUNCTION("""COMPUTED_VALUE"""),7.13)</f>
        <v>7.13</v>
      </c>
      <c r="C83" s="1">
        <f>IFERROR(__xludf.DUMMYFUNCTION("""COMPUTED_VALUE"""),7.15)</f>
        <v>7.15</v>
      </c>
      <c r="D83" s="1">
        <f>IFERROR(__xludf.DUMMYFUNCTION("""COMPUTED_VALUE"""),6.98)</f>
        <v>6.98</v>
      </c>
      <c r="E83" s="1">
        <f>IFERROR(__xludf.DUMMYFUNCTION("""COMPUTED_VALUE"""),7.02)</f>
        <v>7.02</v>
      </c>
      <c r="F83" s="1">
        <f>IFERROR(__xludf.DUMMYFUNCTION("""COMPUTED_VALUE"""),3774977.0)</f>
        <v>3774977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IFERROR(__xludf.DUMMYFUNCTION("""COMPUTED_VALUE"""),7.03)</f>
        <v>7.03</v>
      </c>
      <c r="C84" s="1">
        <f>IFERROR(__xludf.DUMMYFUNCTION("""COMPUTED_VALUE"""),7.16)</f>
        <v>7.16</v>
      </c>
      <c r="D84" s="1">
        <f>IFERROR(__xludf.DUMMYFUNCTION("""COMPUTED_VALUE"""),6.99)</f>
        <v>6.99</v>
      </c>
      <c r="E84" s="1">
        <f>IFERROR(__xludf.DUMMYFUNCTION("""COMPUTED_VALUE"""),7.09)</f>
        <v>7.09</v>
      </c>
      <c r="F84" s="1">
        <f>IFERROR(__xludf.DUMMYFUNCTION("""COMPUTED_VALUE"""),1498087.0)</f>
        <v>1498087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IFERROR(__xludf.DUMMYFUNCTION("""COMPUTED_VALUE"""),6.78)</f>
        <v>6.78</v>
      </c>
      <c r="C85" s="1">
        <f>IFERROR(__xludf.DUMMYFUNCTION("""COMPUTED_VALUE"""),6.78)</f>
        <v>6.78</v>
      </c>
      <c r="D85" s="1">
        <f>IFERROR(__xludf.DUMMYFUNCTION("""COMPUTED_VALUE"""),6.58)</f>
        <v>6.58</v>
      </c>
      <c r="E85" s="1">
        <f>IFERROR(__xludf.DUMMYFUNCTION("""COMPUTED_VALUE"""),6.68)</f>
        <v>6.68</v>
      </c>
      <c r="F85" s="1">
        <f>IFERROR(__xludf.DUMMYFUNCTION("""COMPUTED_VALUE"""),3203449.0)</f>
        <v>3203449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IFERROR(__xludf.DUMMYFUNCTION("""COMPUTED_VALUE"""),6.43)</f>
        <v>6.43</v>
      </c>
      <c r="C86" s="1">
        <f>IFERROR(__xludf.DUMMYFUNCTION("""COMPUTED_VALUE"""),6.57)</f>
        <v>6.57</v>
      </c>
      <c r="D86" s="1">
        <f>IFERROR(__xludf.DUMMYFUNCTION("""COMPUTED_VALUE"""),6.4)</f>
        <v>6.4</v>
      </c>
      <c r="E86" s="1">
        <f>IFERROR(__xludf.DUMMYFUNCTION("""COMPUTED_VALUE"""),6.47)</f>
        <v>6.47</v>
      </c>
      <c r="F86" s="1">
        <f>IFERROR(__xludf.DUMMYFUNCTION("""COMPUTED_VALUE"""),2588086.0)</f>
        <v>2588086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IFERROR(__xludf.DUMMYFUNCTION("""COMPUTED_VALUE"""),6.29)</f>
        <v>6.29</v>
      </c>
      <c r="C87" s="1">
        <f>IFERROR(__xludf.DUMMYFUNCTION("""COMPUTED_VALUE"""),6.38)</f>
        <v>6.38</v>
      </c>
      <c r="D87" s="1">
        <f>IFERROR(__xludf.DUMMYFUNCTION("""COMPUTED_VALUE"""),5.24)</f>
        <v>5.24</v>
      </c>
      <c r="E87" s="1">
        <f>IFERROR(__xludf.DUMMYFUNCTION("""COMPUTED_VALUE"""),5.97)</f>
        <v>5.97</v>
      </c>
      <c r="F87" s="1">
        <f>IFERROR(__xludf.DUMMYFUNCTION("""COMPUTED_VALUE"""),4198429.0)</f>
        <v>4198429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IFERROR(__xludf.DUMMYFUNCTION("""COMPUTED_VALUE"""),5.97)</f>
        <v>5.97</v>
      </c>
      <c r="C88" s="1">
        <f>IFERROR(__xludf.DUMMYFUNCTION("""COMPUTED_VALUE"""),6.05)</f>
        <v>6.05</v>
      </c>
      <c r="D88" s="1">
        <f>IFERROR(__xludf.DUMMYFUNCTION("""COMPUTED_VALUE"""),5.69)</f>
        <v>5.69</v>
      </c>
      <c r="E88" s="1">
        <f>IFERROR(__xludf.DUMMYFUNCTION("""COMPUTED_VALUE"""),5.89)</f>
        <v>5.89</v>
      </c>
      <c r="F88" s="1">
        <f>IFERROR(__xludf.DUMMYFUNCTION("""COMPUTED_VALUE"""),3690644.0)</f>
        <v>3690644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IFERROR(__xludf.DUMMYFUNCTION("""COMPUTED_VALUE"""),6.65)</f>
        <v>6.65</v>
      </c>
      <c r="C89" s="1">
        <f>IFERROR(__xludf.DUMMYFUNCTION("""COMPUTED_VALUE"""),6.86)</f>
        <v>6.86</v>
      </c>
      <c r="D89" s="1">
        <f>IFERROR(__xludf.DUMMYFUNCTION("""COMPUTED_VALUE"""),6.63)</f>
        <v>6.63</v>
      </c>
      <c r="E89" s="1">
        <f>IFERROR(__xludf.DUMMYFUNCTION("""COMPUTED_VALUE"""),6.72)</f>
        <v>6.72</v>
      </c>
      <c r="F89" s="1">
        <f>IFERROR(__xludf.DUMMYFUNCTION("""COMPUTED_VALUE"""),2501246.0)</f>
        <v>2501246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IFERROR(__xludf.DUMMYFUNCTION("""COMPUTED_VALUE"""),6.48)</f>
        <v>6.48</v>
      </c>
      <c r="C90" s="1">
        <f>IFERROR(__xludf.DUMMYFUNCTION("""COMPUTED_VALUE"""),6.74)</f>
        <v>6.74</v>
      </c>
      <c r="D90" s="1">
        <f>IFERROR(__xludf.DUMMYFUNCTION("""COMPUTED_VALUE"""),6.45)</f>
        <v>6.45</v>
      </c>
      <c r="E90" s="1">
        <f>IFERROR(__xludf.DUMMYFUNCTION("""COMPUTED_VALUE"""),6.54)</f>
        <v>6.54</v>
      </c>
      <c r="F90" s="1">
        <f>IFERROR(__xludf.DUMMYFUNCTION("""COMPUTED_VALUE"""),1053272.0)</f>
        <v>1053272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IFERROR(__xludf.DUMMYFUNCTION("""COMPUTED_VALUE"""),6.45)</f>
        <v>6.45</v>
      </c>
      <c r="C91" s="1">
        <f>IFERROR(__xludf.DUMMYFUNCTION("""COMPUTED_VALUE"""),6.57)</f>
        <v>6.57</v>
      </c>
      <c r="D91" s="1">
        <f>IFERROR(__xludf.DUMMYFUNCTION("""COMPUTED_VALUE"""),6.42)</f>
        <v>6.42</v>
      </c>
      <c r="E91" s="1">
        <f>IFERROR(__xludf.DUMMYFUNCTION("""COMPUTED_VALUE"""),6.52)</f>
        <v>6.52</v>
      </c>
      <c r="F91" s="1">
        <f>IFERROR(__xludf.DUMMYFUNCTION("""COMPUTED_VALUE"""),1268108.0)</f>
        <v>1268108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IFERROR(__xludf.DUMMYFUNCTION("""COMPUTED_VALUE"""),6.4)</f>
        <v>6.4</v>
      </c>
      <c r="C92" s="1">
        <f>IFERROR(__xludf.DUMMYFUNCTION("""COMPUTED_VALUE"""),6.45)</f>
        <v>6.45</v>
      </c>
      <c r="D92" s="1">
        <f>IFERROR(__xludf.DUMMYFUNCTION("""COMPUTED_VALUE"""),6.31)</f>
        <v>6.31</v>
      </c>
      <c r="E92" s="1">
        <f>IFERROR(__xludf.DUMMYFUNCTION("""COMPUTED_VALUE"""),6.33)</f>
        <v>6.33</v>
      </c>
      <c r="F92" s="1">
        <f>IFERROR(__xludf.DUMMYFUNCTION("""COMPUTED_VALUE"""),801067.0)</f>
        <v>801067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IFERROR(__xludf.DUMMYFUNCTION("""COMPUTED_VALUE"""),6.24)</f>
        <v>6.24</v>
      </c>
      <c r="C93" s="1">
        <f>IFERROR(__xludf.DUMMYFUNCTION("""COMPUTED_VALUE"""),6.24)</f>
        <v>6.24</v>
      </c>
      <c r="D93" s="1">
        <f>IFERROR(__xludf.DUMMYFUNCTION("""COMPUTED_VALUE"""),6.0)</f>
        <v>6</v>
      </c>
      <c r="E93" s="1">
        <f>IFERROR(__xludf.DUMMYFUNCTION("""COMPUTED_VALUE"""),6.12)</f>
        <v>6.12</v>
      </c>
      <c r="F93" s="1">
        <f>IFERROR(__xludf.DUMMYFUNCTION("""COMPUTED_VALUE"""),2370800.0)</f>
        <v>2370800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IFERROR(__xludf.DUMMYFUNCTION("""COMPUTED_VALUE"""),6.14)</f>
        <v>6.14</v>
      </c>
      <c r="C94" s="1">
        <f>IFERROR(__xludf.DUMMYFUNCTION("""COMPUTED_VALUE"""),6.17)</f>
        <v>6.17</v>
      </c>
      <c r="D94" s="1">
        <f>IFERROR(__xludf.DUMMYFUNCTION("""COMPUTED_VALUE"""),5.92)</f>
        <v>5.92</v>
      </c>
      <c r="E94" s="1">
        <f>IFERROR(__xludf.DUMMYFUNCTION("""COMPUTED_VALUE"""),6.15)</f>
        <v>6.15</v>
      </c>
      <c r="F94" s="1">
        <f>IFERROR(__xludf.DUMMYFUNCTION("""COMPUTED_VALUE"""),2286147.0)</f>
        <v>2286147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IFERROR(__xludf.DUMMYFUNCTION("""COMPUTED_VALUE"""),6.31)</f>
        <v>6.31</v>
      </c>
      <c r="C95" s="1">
        <f>IFERROR(__xludf.DUMMYFUNCTION("""COMPUTED_VALUE"""),6.34)</f>
        <v>6.34</v>
      </c>
      <c r="D95" s="1">
        <f>IFERROR(__xludf.DUMMYFUNCTION("""COMPUTED_VALUE"""),6.0)</f>
        <v>6</v>
      </c>
      <c r="E95" s="1">
        <f>IFERROR(__xludf.DUMMYFUNCTION("""COMPUTED_VALUE"""),6.03)</f>
        <v>6.03</v>
      </c>
      <c r="F95" s="1">
        <f>IFERROR(__xludf.DUMMYFUNCTION("""COMPUTED_VALUE"""),2253290.0)</f>
        <v>2253290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IFERROR(__xludf.DUMMYFUNCTION("""COMPUTED_VALUE"""),6.07)</f>
        <v>6.07</v>
      </c>
      <c r="C96" s="1">
        <f>IFERROR(__xludf.DUMMYFUNCTION("""COMPUTED_VALUE"""),6.19)</f>
        <v>6.19</v>
      </c>
      <c r="D96" s="1">
        <f>IFERROR(__xludf.DUMMYFUNCTION("""COMPUTED_VALUE"""),6.0)</f>
        <v>6</v>
      </c>
      <c r="E96" s="1">
        <f>IFERROR(__xludf.DUMMYFUNCTION("""COMPUTED_VALUE"""),6.16)</f>
        <v>6.16</v>
      </c>
      <c r="F96" s="1">
        <f>IFERROR(__xludf.DUMMYFUNCTION("""COMPUTED_VALUE"""),1426560.0)</f>
        <v>1426560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IFERROR(__xludf.DUMMYFUNCTION("""COMPUTED_VALUE"""),5.84)</f>
        <v>5.84</v>
      </c>
      <c r="C97" s="1">
        <f>IFERROR(__xludf.DUMMYFUNCTION("""COMPUTED_VALUE"""),5.94)</f>
        <v>5.94</v>
      </c>
      <c r="D97" s="1">
        <f>IFERROR(__xludf.DUMMYFUNCTION("""COMPUTED_VALUE"""),5.69)</f>
        <v>5.69</v>
      </c>
      <c r="E97" s="1">
        <f>IFERROR(__xludf.DUMMYFUNCTION("""COMPUTED_VALUE"""),5.77)</f>
        <v>5.77</v>
      </c>
      <c r="F97" s="1">
        <f>IFERROR(__xludf.DUMMYFUNCTION("""COMPUTED_VALUE"""),1.207749E7)</f>
        <v>12077490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IFERROR(__xludf.DUMMYFUNCTION("""COMPUTED_VALUE"""),5.71)</f>
        <v>5.71</v>
      </c>
      <c r="C98" s="1">
        <f>IFERROR(__xludf.DUMMYFUNCTION("""COMPUTED_VALUE"""),5.96)</f>
        <v>5.96</v>
      </c>
      <c r="D98" s="1">
        <f>IFERROR(__xludf.DUMMYFUNCTION("""COMPUTED_VALUE"""),5.7)</f>
        <v>5.7</v>
      </c>
      <c r="E98" s="1">
        <f>IFERROR(__xludf.DUMMYFUNCTION("""COMPUTED_VALUE"""),5.95)</f>
        <v>5.95</v>
      </c>
      <c r="F98" s="1">
        <f>IFERROR(__xludf.DUMMYFUNCTION("""COMPUTED_VALUE"""),8123168.0)</f>
        <v>8123168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IFERROR(__xludf.DUMMYFUNCTION("""COMPUTED_VALUE"""),5.74)</f>
        <v>5.74</v>
      </c>
      <c r="C99" s="1">
        <f>IFERROR(__xludf.DUMMYFUNCTION("""COMPUTED_VALUE"""),5.76)</f>
        <v>5.76</v>
      </c>
      <c r="D99" s="1">
        <f>IFERROR(__xludf.DUMMYFUNCTION("""COMPUTED_VALUE"""),5.6)</f>
        <v>5.6</v>
      </c>
      <c r="E99" s="1">
        <f>IFERROR(__xludf.DUMMYFUNCTION("""COMPUTED_VALUE"""),5.6)</f>
        <v>5.6</v>
      </c>
      <c r="F99" s="1">
        <f>IFERROR(__xludf.DUMMYFUNCTION("""COMPUTED_VALUE"""),4322971.0)</f>
        <v>4322971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IFERROR(__xludf.DUMMYFUNCTION("""COMPUTED_VALUE"""),5.32)</f>
        <v>5.32</v>
      </c>
      <c r="C100" s="1">
        <f>IFERROR(__xludf.DUMMYFUNCTION("""COMPUTED_VALUE"""),5.54)</f>
        <v>5.54</v>
      </c>
      <c r="D100" s="1">
        <f>IFERROR(__xludf.DUMMYFUNCTION("""COMPUTED_VALUE"""),5.28)</f>
        <v>5.28</v>
      </c>
      <c r="E100" s="1">
        <f>IFERROR(__xludf.DUMMYFUNCTION("""COMPUTED_VALUE"""),5.52)</f>
        <v>5.52</v>
      </c>
      <c r="F100" s="1">
        <f>IFERROR(__xludf.DUMMYFUNCTION("""COMPUTED_VALUE"""),1568556.0)</f>
        <v>1568556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IFERROR(__xludf.DUMMYFUNCTION("""COMPUTED_VALUE"""),5.47)</f>
        <v>5.47</v>
      </c>
      <c r="C101" s="1">
        <f>IFERROR(__xludf.DUMMYFUNCTION("""COMPUTED_VALUE"""),5.54)</f>
        <v>5.54</v>
      </c>
      <c r="D101" s="1">
        <f>IFERROR(__xludf.DUMMYFUNCTION("""COMPUTED_VALUE"""),5.34)</f>
        <v>5.34</v>
      </c>
      <c r="E101" s="1">
        <f>IFERROR(__xludf.DUMMYFUNCTION("""COMPUTED_VALUE"""),5.36)</f>
        <v>5.36</v>
      </c>
      <c r="F101" s="1">
        <f>IFERROR(__xludf.DUMMYFUNCTION("""COMPUTED_VALUE"""),3561279.0)</f>
        <v>3561279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IFERROR(__xludf.DUMMYFUNCTION("""COMPUTED_VALUE"""),5.65)</f>
        <v>5.65</v>
      </c>
      <c r="C102" s="1">
        <f>IFERROR(__xludf.DUMMYFUNCTION("""COMPUTED_VALUE"""),5.88)</f>
        <v>5.88</v>
      </c>
      <c r="D102" s="1">
        <f>IFERROR(__xludf.DUMMYFUNCTION("""COMPUTED_VALUE"""),5.62)</f>
        <v>5.62</v>
      </c>
      <c r="E102" s="1">
        <f>IFERROR(__xludf.DUMMYFUNCTION("""COMPUTED_VALUE"""),5.87)</f>
        <v>5.87</v>
      </c>
      <c r="F102" s="1">
        <f>IFERROR(__xludf.DUMMYFUNCTION("""COMPUTED_VALUE"""),1030147.0)</f>
        <v>1030147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IFERROR(__xludf.DUMMYFUNCTION("""COMPUTED_VALUE"""),5.79)</f>
        <v>5.79</v>
      </c>
      <c r="C103" s="1">
        <f>IFERROR(__xludf.DUMMYFUNCTION("""COMPUTED_VALUE"""),5.83)</f>
        <v>5.83</v>
      </c>
      <c r="D103" s="1">
        <f>IFERROR(__xludf.DUMMYFUNCTION("""COMPUTED_VALUE"""),5.64)</f>
        <v>5.64</v>
      </c>
      <c r="E103" s="1">
        <f>IFERROR(__xludf.DUMMYFUNCTION("""COMPUTED_VALUE"""),5.7)</f>
        <v>5.7</v>
      </c>
      <c r="F103" s="1">
        <f>IFERROR(__xludf.DUMMYFUNCTION("""COMPUTED_VALUE"""),991765.0)</f>
        <v>991765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IFERROR(__xludf.DUMMYFUNCTION("""COMPUTED_VALUE"""),5.53)</f>
        <v>5.53</v>
      </c>
      <c r="C104" s="1">
        <f>IFERROR(__xludf.DUMMYFUNCTION("""COMPUTED_VALUE"""),5.73)</f>
        <v>5.73</v>
      </c>
      <c r="D104" s="1">
        <f>IFERROR(__xludf.DUMMYFUNCTION("""COMPUTED_VALUE"""),5.52)</f>
        <v>5.52</v>
      </c>
      <c r="E104" s="1">
        <f>IFERROR(__xludf.DUMMYFUNCTION("""COMPUTED_VALUE"""),5.56)</f>
        <v>5.56</v>
      </c>
      <c r="F104" s="1">
        <f>IFERROR(__xludf.DUMMYFUNCTION("""COMPUTED_VALUE"""),979097.0)</f>
        <v>979097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IFERROR(__xludf.DUMMYFUNCTION("""COMPUTED_VALUE"""),5.59)</f>
        <v>5.59</v>
      </c>
      <c r="C105" s="1">
        <f>IFERROR(__xludf.DUMMYFUNCTION("""COMPUTED_VALUE"""),5.8)</f>
        <v>5.8</v>
      </c>
      <c r="D105" s="1">
        <f>IFERROR(__xludf.DUMMYFUNCTION("""COMPUTED_VALUE"""),5.57)</f>
        <v>5.57</v>
      </c>
      <c r="E105" s="1">
        <f>IFERROR(__xludf.DUMMYFUNCTION("""COMPUTED_VALUE"""),5.79)</f>
        <v>5.79</v>
      </c>
      <c r="F105" s="1">
        <f>IFERROR(__xludf.DUMMYFUNCTION("""COMPUTED_VALUE"""),1291076.0)</f>
        <v>1291076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IFERROR(__xludf.DUMMYFUNCTION("""COMPUTED_VALUE"""),5.86)</f>
        <v>5.86</v>
      </c>
      <c r="C106" s="1">
        <f>IFERROR(__xludf.DUMMYFUNCTION("""COMPUTED_VALUE"""),5.91)</f>
        <v>5.91</v>
      </c>
      <c r="D106" s="1">
        <f>IFERROR(__xludf.DUMMYFUNCTION("""COMPUTED_VALUE"""),5.7)</f>
        <v>5.7</v>
      </c>
      <c r="E106" s="1">
        <f>IFERROR(__xludf.DUMMYFUNCTION("""COMPUTED_VALUE"""),5.77)</f>
        <v>5.77</v>
      </c>
      <c r="F106" s="1">
        <f>IFERROR(__xludf.DUMMYFUNCTION("""COMPUTED_VALUE"""),1937366.0)</f>
        <v>1937366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IFERROR(__xludf.DUMMYFUNCTION("""COMPUTED_VALUE"""),5.49)</f>
        <v>5.49</v>
      </c>
      <c r="C107" s="1">
        <f>IFERROR(__xludf.DUMMYFUNCTION("""COMPUTED_VALUE"""),5.51)</f>
        <v>5.51</v>
      </c>
      <c r="D107" s="1">
        <f>IFERROR(__xludf.DUMMYFUNCTION("""COMPUTED_VALUE"""),5.25)</f>
        <v>5.25</v>
      </c>
      <c r="E107" s="1">
        <f>IFERROR(__xludf.DUMMYFUNCTION("""COMPUTED_VALUE"""),5.27)</f>
        <v>5.27</v>
      </c>
      <c r="F107" s="1">
        <f>IFERROR(__xludf.DUMMYFUNCTION("""COMPUTED_VALUE"""),4258882.0)</f>
        <v>4258882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IFERROR(__xludf.DUMMYFUNCTION("""COMPUTED_VALUE"""),5.37)</f>
        <v>5.37</v>
      </c>
      <c r="C108" s="1">
        <f>IFERROR(__xludf.DUMMYFUNCTION("""COMPUTED_VALUE"""),5.4)</f>
        <v>5.4</v>
      </c>
      <c r="D108" s="1">
        <f>IFERROR(__xludf.DUMMYFUNCTION("""COMPUTED_VALUE"""),5.2)</f>
        <v>5.2</v>
      </c>
      <c r="E108" s="1">
        <f>IFERROR(__xludf.DUMMYFUNCTION("""COMPUTED_VALUE"""),5.2)</f>
        <v>5.2</v>
      </c>
      <c r="F108" s="1">
        <f>IFERROR(__xludf.DUMMYFUNCTION("""COMPUTED_VALUE"""),1073824.0)</f>
        <v>1073824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IFERROR(__xludf.DUMMYFUNCTION("""COMPUTED_VALUE"""),5.24)</f>
        <v>5.24</v>
      </c>
      <c r="C109" s="1">
        <f>IFERROR(__xludf.DUMMYFUNCTION("""COMPUTED_VALUE"""),5.35)</f>
        <v>5.35</v>
      </c>
      <c r="D109" s="1">
        <f>IFERROR(__xludf.DUMMYFUNCTION("""COMPUTED_VALUE"""),5.15)</f>
        <v>5.15</v>
      </c>
      <c r="E109" s="1">
        <f>IFERROR(__xludf.DUMMYFUNCTION("""COMPUTED_VALUE"""),5.34)</f>
        <v>5.34</v>
      </c>
      <c r="F109" s="1">
        <f>IFERROR(__xludf.DUMMYFUNCTION("""COMPUTED_VALUE"""),1807205.0)</f>
        <v>1807205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IFERROR(__xludf.DUMMYFUNCTION("""COMPUTED_VALUE"""),5.33)</f>
        <v>5.33</v>
      </c>
      <c r="C110" s="1">
        <f>IFERROR(__xludf.DUMMYFUNCTION("""COMPUTED_VALUE"""),5.39)</f>
        <v>5.39</v>
      </c>
      <c r="D110" s="1">
        <f>IFERROR(__xludf.DUMMYFUNCTION("""COMPUTED_VALUE"""),5.19)</f>
        <v>5.19</v>
      </c>
      <c r="E110" s="1">
        <f>IFERROR(__xludf.DUMMYFUNCTION("""COMPUTED_VALUE"""),5.23)</f>
        <v>5.23</v>
      </c>
      <c r="F110" s="1">
        <f>IFERROR(__xludf.DUMMYFUNCTION("""COMPUTED_VALUE"""),2910519.0)</f>
        <v>2910519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IFERROR(__xludf.DUMMYFUNCTION("""COMPUTED_VALUE"""),5.41)</f>
        <v>5.41</v>
      </c>
      <c r="C111" s="1">
        <f>IFERROR(__xludf.DUMMYFUNCTION("""COMPUTED_VALUE"""),5.54)</f>
        <v>5.54</v>
      </c>
      <c r="D111" s="1">
        <f>IFERROR(__xludf.DUMMYFUNCTION("""COMPUTED_VALUE"""),5.4)</f>
        <v>5.4</v>
      </c>
      <c r="E111" s="1">
        <f>IFERROR(__xludf.DUMMYFUNCTION("""COMPUTED_VALUE"""),5.53)</f>
        <v>5.53</v>
      </c>
      <c r="F111" s="1">
        <f>IFERROR(__xludf.DUMMYFUNCTION("""COMPUTED_VALUE"""),1109632.0)</f>
        <v>1109632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IFERROR(__xludf.DUMMYFUNCTION("""COMPUTED_VALUE"""),5.41)</f>
        <v>5.41</v>
      </c>
      <c r="C112" s="1">
        <f>IFERROR(__xludf.DUMMYFUNCTION("""COMPUTED_VALUE"""),5.57)</f>
        <v>5.57</v>
      </c>
      <c r="D112" s="1">
        <f>IFERROR(__xludf.DUMMYFUNCTION("""COMPUTED_VALUE"""),5.41)</f>
        <v>5.41</v>
      </c>
      <c r="E112" s="1">
        <f>IFERROR(__xludf.DUMMYFUNCTION("""COMPUTED_VALUE"""),5.56)</f>
        <v>5.56</v>
      </c>
      <c r="F112" s="1">
        <f>IFERROR(__xludf.DUMMYFUNCTION("""COMPUTED_VALUE"""),691842.0)</f>
        <v>691842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IFERROR(__xludf.DUMMYFUNCTION("""COMPUTED_VALUE"""),5.79)</f>
        <v>5.79</v>
      </c>
      <c r="C113" s="1">
        <f>IFERROR(__xludf.DUMMYFUNCTION("""COMPUTED_VALUE"""),5.86)</f>
        <v>5.86</v>
      </c>
      <c r="D113" s="1">
        <f>IFERROR(__xludf.DUMMYFUNCTION("""COMPUTED_VALUE"""),5.72)</f>
        <v>5.72</v>
      </c>
      <c r="E113" s="1">
        <f>IFERROR(__xludf.DUMMYFUNCTION("""COMPUTED_VALUE"""),5.73)</f>
        <v>5.73</v>
      </c>
      <c r="F113" s="1">
        <f>IFERROR(__xludf.DUMMYFUNCTION("""COMPUTED_VALUE"""),950019.0)</f>
        <v>950019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IFERROR(__xludf.DUMMYFUNCTION("""COMPUTED_VALUE"""),6.01)</f>
        <v>6.01</v>
      </c>
      <c r="C114" s="1">
        <f>IFERROR(__xludf.DUMMYFUNCTION("""COMPUTED_VALUE"""),6.14)</f>
        <v>6.14</v>
      </c>
      <c r="D114" s="1">
        <f>IFERROR(__xludf.DUMMYFUNCTION("""COMPUTED_VALUE"""),5.95)</f>
        <v>5.95</v>
      </c>
      <c r="E114" s="1">
        <f>IFERROR(__xludf.DUMMYFUNCTION("""COMPUTED_VALUE"""),6.13)</f>
        <v>6.13</v>
      </c>
      <c r="F114" s="1">
        <f>IFERROR(__xludf.DUMMYFUNCTION("""COMPUTED_VALUE"""),1309035.0)</f>
        <v>1309035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IFERROR(__xludf.DUMMYFUNCTION("""COMPUTED_VALUE"""),6.16)</f>
        <v>6.16</v>
      </c>
      <c r="C115" s="1">
        <f>IFERROR(__xludf.DUMMYFUNCTION("""COMPUTED_VALUE"""),6.24)</f>
        <v>6.24</v>
      </c>
      <c r="D115" s="1">
        <f>IFERROR(__xludf.DUMMYFUNCTION("""COMPUTED_VALUE"""),6.14)</f>
        <v>6.14</v>
      </c>
      <c r="E115" s="1">
        <f>IFERROR(__xludf.DUMMYFUNCTION("""COMPUTED_VALUE"""),6.18)</f>
        <v>6.18</v>
      </c>
      <c r="F115" s="1">
        <f>IFERROR(__xludf.DUMMYFUNCTION("""COMPUTED_VALUE"""),1171104.0)</f>
        <v>1171104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IFERROR(__xludf.DUMMYFUNCTION("""COMPUTED_VALUE"""),6.2)</f>
        <v>6.2</v>
      </c>
      <c r="C116" s="1">
        <f>IFERROR(__xludf.DUMMYFUNCTION("""COMPUTED_VALUE"""),6.22)</f>
        <v>6.22</v>
      </c>
      <c r="D116" s="1">
        <f>IFERROR(__xludf.DUMMYFUNCTION("""COMPUTED_VALUE"""),6.08)</f>
        <v>6.08</v>
      </c>
      <c r="E116" s="1">
        <f>IFERROR(__xludf.DUMMYFUNCTION("""COMPUTED_VALUE"""),6.16)</f>
        <v>6.16</v>
      </c>
      <c r="F116" s="1">
        <f>IFERROR(__xludf.DUMMYFUNCTION("""COMPUTED_VALUE"""),749806.0)</f>
        <v>749806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IFERROR(__xludf.DUMMYFUNCTION("""COMPUTED_VALUE"""),6.12)</f>
        <v>6.12</v>
      </c>
      <c r="C117" s="1">
        <f>IFERROR(__xludf.DUMMYFUNCTION("""COMPUTED_VALUE"""),6.16)</f>
        <v>6.16</v>
      </c>
      <c r="D117" s="1">
        <f>IFERROR(__xludf.DUMMYFUNCTION("""COMPUTED_VALUE"""),6.07)</f>
        <v>6.07</v>
      </c>
      <c r="E117" s="1">
        <f>IFERROR(__xludf.DUMMYFUNCTION("""COMPUTED_VALUE"""),6.12)</f>
        <v>6.12</v>
      </c>
      <c r="F117" s="1">
        <f>IFERROR(__xludf.DUMMYFUNCTION("""COMPUTED_VALUE"""),622937.0)</f>
        <v>622937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IFERROR(__xludf.DUMMYFUNCTION("""COMPUTED_VALUE"""),6.28)</f>
        <v>6.28</v>
      </c>
      <c r="C118" s="1">
        <f>IFERROR(__xludf.DUMMYFUNCTION("""COMPUTED_VALUE"""),6.31)</f>
        <v>6.31</v>
      </c>
      <c r="D118" s="1">
        <f>IFERROR(__xludf.DUMMYFUNCTION("""COMPUTED_VALUE"""),6.15)</f>
        <v>6.15</v>
      </c>
      <c r="E118" s="1">
        <f>IFERROR(__xludf.DUMMYFUNCTION("""COMPUTED_VALUE"""),6.2)</f>
        <v>6.2</v>
      </c>
      <c r="F118" s="1">
        <f>IFERROR(__xludf.DUMMYFUNCTION("""COMPUTED_VALUE"""),833042.0)</f>
        <v>833042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IFERROR(__xludf.DUMMYFUNCTION("""COMPUTED_VALUE"""),6.1)</f>
        <v>6.1</v>
      </c>
      <c r="C119" s="1">
        <f>IFERROR(__xludf.DUMMYFUNCTION("""COMPUTED_VALUE"""),6.14)</f>
        <v>6.14</v>
      </c>
      <c r="D119" s="1">
        <f>IFERROR(__xludf.DUMMYFUNCTION("""COMPUTED_VALUE"""),5.95)</f>
        <v>5.95</v>
      </c>
      <c r="E119" s="1">
        <f>IFERROR(__xludf.DUMMYFUNCTION("""COMPUTED_VALUE"""),5.98)</f>
        <v>5.98</v>
      </c>
      <c r="F119" s="1">
        <f>IFERROR(__xludf.DUMMYFUNCTION("""COMPUTED_VALUE"""),669344.0)</f>
        <v>669344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IFERROR(__xludf.DUMMYFUNCTION("""COMPUTED_VALUE"""),5.97)</f>
        <v>5.97</v>
      </c>
      <c r="C120" s="1">
        <f>IFERROR(__xludf.DUMMYFUNCTION("""COMPUTED_VALUE"""),6.02)</f>
        <v>6.02</v>
      </c>
      <c r="D120" s="1">
        <f>IFERROR(__xludf.DUMMYFUNCTION("""COMPUTED_VALUE"""),5.86)</f>
        <v>5.86</v>
      </c>
      <c r="E120" s="1">
        <f>IFERROR(__xludf.DUMMYFUNCTION("""COMPUTED_VALUE"""),5.96)</f>
        <v>5.96</v>
      </c>
      <c r="F120" s="1">
        <f>IFERROR(__xludf.DUMMYFUNCTION("""COMPUTED_VALUE"""),718777.0)</f>
        <v>718777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IFERROR(__xludf.DUMMYFUNCTION("""COMPUTED_VALUE"""),5.95)</f>
        <v>5.95</v>
      </c>
      <c r="C121" s="1">
        <f>IFERROR(__xludf.DUMMYFUNCTION("""COMPUTED_VALUE"""),5.95)</f>
        <v>5.95</v>
      </c>
      <c r="D121" s="1">
        <f>IFERROR(__xludf.DUMMYFUNCTION("""COMPUTED_VALUE"""),5.79)</f>
        <v>5.79</v>
      </c>
      <c r="E121" s="1">
        <f>IFERROR(__xludf.DUMMYFUNCTION("""COMPUTED_VALUE"""),5.85)</f>
        <v>5.85</v>
      </c>
      <c r="F121" s="1">
        <f>IFERROR(__xludf.DUMMYFUNCTION("""COMPUTED_VALUE"""),645729.0)</f>
        <v>645729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IFERROR(__xludf.DUMMYFUNCTION("""COMPUTED_VALUE"""),5.73)</f>
        <v>5.73</v>
      </c>
      <c r="C122" s="1">
        <f>IFERROR(__xludf.DUMMYFUNCTION("""COMPUTED_VALUE"""),5.85)</f>
        <v>5.85</v>
      </c>
      <c r="D122" s="1">
        <f>IFERROR(__xludf.DUMMYFUNCTION("""COMPUTED_VALUE"""),5.68)</f>
        <v>5.68</v>
      </c>
      <c r="E122" s="1">
        <f>IFERROR(__xludf.DUMMYFUNCTION("""COMPUTED_VALUE"""),5.84)</f>
        <v>5.84</v>
      </c>
      <c r="F122" s="1">
        <f>IFERROR(__xludf.DUMMYFUNCTION("""COMPUTED_VALUE"""),752267.0)</f>
        <v>752267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IFERROR(__xludf.DUMMYFUNCTION("""COMPUTED_VALUE"""),5.78)</f>
        <v>5.78</v>
      </c>
      <c r="C123" s="1">
        <f>IFERROR(__xludf.DUMMYFUNCTION("""COMPUTED_VALUE"""),5.83)</f>
        <v>5.83</v>
      </c>
      <c r="D123" s="1">
        <f>IFERROR(__xludf.DUMMYFUNCTION("""COMPUTED_VALUE"""),5.71)</f>
        <v>5.71</v>
      </c>
      <c r="E123" s="1">
        <f>IFERROR(__xludf.DUMMYFUNCTION("""COMPUTED_VALUE"""),5.75)</f>
        <v>5.75</v>
      </c>
      <c r="F123" s="1">
        <f>IFERROR(__xludf.DUMMYFUNCTION("""COMPUTED_VALUE"""),666697.0)</f>
        <v>666697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IFERROR(__xludf.DUMMYFUNCTION("""COMPUTED_VALUE"""),5.49)</f>
        <v>5.49</v>
      </c>
      <c r="C124" s="1">
        <f>IFERROR(__xludf.DUMMYFUNCTION("""COMPUTED_VALUE"""),5.49)</f>
        <v>5.49</v>
      </c>
      <c r="D124" s="1">
        <f>IFERROR(__xludf.DUMMYFUNCTION("""COMPUTED_VALUE"""),5.35)</f>
        <v>5.35</v>
      </c>
      <c r="E124" s="1">
        <f>IFERROR(__xludf.DUMMYFUNCTION("""COMPUTED_VALUE"""),5.39)</f>
        <v>5.39</v>
      </c>
      <c r="F124" s="1">
        <f>IFERROR(__xludf.DUMMYFUNCTION("""COMPUTED_VALUE"""),1411169.0)</f>
        <v>1411169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IFERROR(__xludf.DUMMYFUNCTION("""COMPUTED_VALUE"""),5.39)</f>
        <v>5.39</v>
      </c>
      <c r="C125" s="1">
        <f>IFERROR(__xludf.DUMMYFUNCTION("""COMPUTED_VALUE"""),5.47)</f>
        <v>5.47</v>
      </c>
      <c r="D125" s="1">
        <f>IFERROR(__xludf.DUMMYFUNCTION("""COMPUTED_VALUE"""),5.27)</f>
        <v>5.27</v>
      </c>
      <c r="E125" s="1">
        <f>IFERROR(__xludf.DUMMYFUNCTION("""COMPUTED_VALUE"""),5.28)</f>
        <v>5.28</v>
      </c>
      <c r="F125" s="1">
        <f>IFERROR(__xludf.DUMMYFUNCTION("""COMPUTED_VALUE"""),1812373.0)</f>
        <v>1812373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IFERROR(__xludf.DUMMYFUNCTION("""COMPUTED_VALUE"""),5.47)</f>
        <v>5.47</v>
      </c>
      <c r="C126" s="1">
        <f>IFERROR(__xludf.DUMMYFUNCTION("""COMPUTED_VALUE"""),5.48)</f>
        <v>5.48</v>
      </c>
      <c r="D126" s="1">
        <f>IFERROR(__xludf.DUMMYFUNCTION("""COMPUTED_VALUE"""),5.3)</f>
        <v>5.3</v>
      </c>
      <c r="E126" s="1">
        <f>IFERROR(__xludf.DUMMYFUNCTION("""COMPUTED_VALUE"""),5.41)</f>
        <v>5.41</v>
      </c>
      <c r="F126" s="1">
        <f>IFERROR(__xludf.DUMMYFUNCTION("""COMPUTED_VALUE"""),1610641.0)</f>
        <v>1610641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IFERROR(__xludf.DUMMYFUNCTION("""COMPUTED_VALUE"""),5.54)</f>
        <v>5.54</v>
      </c>
      <c r="C127" s="1">
        <f>IFERROR(__xludf.DUMMYFUNCTION("""COMPUTED_VALUE"""),5.59)</f>
        <v>5.59</v>
      </c>
      <c r="D127" s="1">
        <f>IFERROR(__xludf.DUMMYFUNCTION("""COMPUTED_VALUE"""),5.38)</f>
        <v>5.38</v>
      </c>
      <c r="E127" s="1">
        <f>IFERROR(__xludf.DUMMYFUNCTION("""COMPUTED_VALUE"""),5.43)</f>
        <v>5.43</v>
      </c>
      <c r="F127" s="1">
        <f>IFERROR(__xludf.DUMMYFUNCTION("""COMPUTED_VALUE"""),793818.0)</f>
        <v>793818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IFERROR(__xludf.DUMMYFUNCTION("""COMPUTED_VALUE"""),5.59)</f>
        <v>5.59</v>
      </c>
      <c r="C128" s="1">
        <f>IFERROR(__xludf.DUMMYFUNCTION("""COMPUTED_VALUE"""),5.62)</f>
        <v>5.62</v>
      </c>
      <c r="D128" s="1">
        <f>IFERROR(__xludf.DUMMYFUNCTION("""COMPUTED_VALUE"""),5.42)</f>
        <v>5.42</v>
      </c>
      <c r="E128" s="1">
        <f>IFERROR(__xludf.DUMMYFUNCTION("""COMPUTED_VALUE"""),5.51)</f>
        <v>5.51</v>
      </c>
      <c r="F128" s="1">
        <f>IFERROR(__xludf.DUMMYFUNCTION("""COMPUTED_VALUE"""),742630.0)</f>
        <v>742630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IFERROR(__xludf.DUMMYFUNCTION("""COMPUTED_VALUE"""),5.49)</f>
        <v>5.49</v>
      </c>
      <c r="C129" s="1">
        <f>IFERROR(__xludf.DUMMYFUNCTION("""COMPUTED_VALUE"""),5.7)</f>
        <v>5.7</v>
      </c>
      <c r="D129" s="1">
        <f>IFERROR(__xludf.DUMMYFUNCTION("""COMPUTED_VALUE"""),5.47)</f>
        <v>5.47</v>
      </c>
      <c r="E129" s="1">
        <f>IFERROR(__xludf.DUMMYFUNCTION("""COMPUTED_VALUE"""),5.68)</f>
        <v>5.68</v>
      </c>
      <c r="F129" s="1">
        <f>IFERROR(__xludf.DUMMYFUNCTION("""COMPUTED_VALUE"""),1073403.0)</f>
        <v>1073403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IFERROR(__xludf.DUMMYFUNCTION("""COMPUTED_VALUE"""),5.77)</f>
        <v>5.77</v>
      </c>
      <c r="C130" s="1">
        <f>IFERROR(__xludf.DUMMYFUNCTION("""COMPUTED_VALUE"""),5.89)</f>
        <v>5.89</v>
      </c>
      <c r="D130" s="1">
        <f>IFERROR(__xludf.DUMMYFUNCTION("""COMPUTED_VALUE"""),5.75)</f>
        <v>5.75</v>
      </c>
      <c r="E130" s="1">
        <f>IFERROR(__xludf.DUMMYFUNCTION("""COMPUTED_VALUE"""),5.86)</f>
        <v>5.86</v>
      </c>
      <c r="F130" s="1">
        <f>IFERROR(__xludf.DUMMYFUNCTION("""COMPUTED_VALUE"""),757965.0)</f>
        <v>757965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IFERROR(__xludf.DUMMYFUNCTION("""COMPUTED_VALUE"""),5.8)</f>
        <v>5.8</v>
      </c>
      <c r="C131" s="1">
        <f>IFERROR(__xludf.DUMMYFUNCTION("""COMPUTED_VALUE"""),5.89)</f>
        <v>5.89</v>
      </c>
      <c r="D131" s="1">
        <f>IFERROR(__xludf.DUMMYFUNCTION("""COMPUTED_VALUE"""),5.77)</f>
        <v>5.77</v>
      </c>
      <c r="E131" s="1">
        <f>IFERROR(__xludf.DUMMYFUNCTION("""COMPUTED_VALUE"""),5.89)</f>
        <v>5.89</v>
      </c>
      <c r="F131" s="1">
        <f>IFERROR(__xludf.DUMMYFUNCTION("""COMPUTED_VALUE"""),463787.0)</f>
        <v>463787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IFERROR(__xludf.DUMMYFUNCTION("""COMPUTED_VALUE"""),5.76)</f>
        <v>5.76</v>
      </c>
      <c r="C132" s="1">
        <f>IFERROR(__xludf.DUMMYFUNCTION("""COMPUTED_VALUE"""),5.84)</f>
        <v>5.84</v>
      </c>
      <c r="D132" s="1">
        <f>IFERROR(__xludf.DUMMYFUNCTION("""COMPUTED_VALUE"""),5.74)</f>
        <v>5.74</v>
      </c>
      <c r="E132" s="1">
        <f>IFERROR(__xludf.DUMMYFUNCTION("""COMPUTED_VALUE"""),5.83)</f>
        <v>5.83</v>
      </c>
      <c r="F132" s="1">
        <f>IFERROR(__xludf.DUMMYFUNCTION("""COMPUTED_VALUE"""),422302.0)</f>
        <v>422302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IFERROR(__xludf.DUMMYFUNCTION("""COMPUTED_VALUE"""),5.86)</f>
        <v>5.86</v>
      </c>
      <c r="C133" s="1">
        <f>IFERROR(__xludf.DUMMYFUNCTION("""COMPUTED_VALUE"""),5.93)</f>
        <v>5.93</v>
      </c>
      <c r="D133" s="1">
        <f>IFERROR(__xludf.DUMMYFUNCTION("""COMPUTED_VALUE"""),5.83)</f>
        <v>5.83</v>
      </c>
      <c r="E133" s="1">
        <f>IFERROR(__xludf.DUMMYFUNCTION("""COMPUTED_VALUE"""),5.93)</f>
        <v>5.93</v>
      </c>
      <c r="F133" s="1">
        <f>IFERROR(__xludf.DUMMYFUNCTION("""COMPUTED_VALUE"""),598598.0)</f>
        <v>598598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IFERROR(__xludf.DUMMYFUNCTION("""COMPUTED_VALUE"""),5.87)</f>
        <v>5.87</v>
      </c>
      <c r="C134" s="1">
        <f>IFERROR(__xludf.DUMMYFUNCTION("""COMPUTED_VALUE"""),5.96)</f>
        <v>5.96</v>
      </c>
      <c r="D134" s="1">
        <f>IFERROR(__xludf.DUMMYFUNCTION("""COMPUTED_VALUE"""),5.84)</f>
        <v>5.84</v>
      </c>
      <c r="E134" s="1">
        <f>IFERROR(__xludf.DUMMYFUNCTION("""COMPUTED_VALUE"""),5.9)</f>
        <v>5.9</v>
      </c>
      <c r="F134" s="1">
        <f>IFERROR(__xludf.DUMMYFUNCTION("""COMPUTED_VALUE"""),496738.0)</f>
        <v>496738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IFERROR(__xludf.DUMMYFUNCTION("""COMPUTED_VALUE"""),5.93)</f>
        <v>5.93</v>
      </c>
      <c r="C135" s="1">
        <f>IFERROR(__xludf.DUMMYFUNCTION("""COMPUTED_VALUE"""),5.94)</f>
        <v>5.94</v>
      </c>
      <c r="D135" s="1">
        <f>IFERROR(__xludf.DUMMYFUNCTION("""COMPUTED_VALUE"""),5.73)</f>
        <v>5.73</v>
      </c>
      <c r="E135" s="1">
        <f>IFERROR(__xludf.DUMMYFUNCTION("""COMPUTED_VALUE"""),5.86)</f>
        <v>5.86</v>
      </c>
      <c r="F135" s="1">
        <f>IFERROR(__xludf.DUMMYFUNCTION("""COMPUTED_VALUE"""),748123.0)</f>
        <v>748123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IFERROR(__xludf.DUMMYFUNCTION("""COMPUTED_VALUE"""),5.77)</f>
        <v>5.77</v>
      </c>
      <c r="C136" s="1">
        <f>IFERROR(__xludf.DUMMYFUNCTION("""COMPUTED_VALUE"""),5.77)</f>
        <v>5.77</v>
      </c>
      <c r="D136" s="1">
        <f>IFERROR(__xludf.DUMMYFUNCTION("""COMPUTED_VALUE"""),5.56)</f>
        <v>5.56</v>
      </c>
      <c r="E136" s="1">
        <f>IFERROR(__xludf.DUMMYFUNCTION("""COMPUTED_VALUE"""),5.57)</f>
        <v>5.57</v>
      </c>
      <c r="F136" s="1">
        <f>IFERROR(__xludf.DUMMYFUNCTION("""COMPUTED_VALUE"""),674375.0)</f>
        <v>674375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IFERROR(__xludf.DUMMYFUNCTION("""COMPUTED_VALUE"""),5.67)</f>
        <v>5.67</v>
      </c>
      <c r="C137" s="1">
        <f>IFERROR(__xludf.DUMMYFUNCTION("""COMPUTED_VALUE"""),5.71)</f>
        <v>5.71</v>
      </c>
      <c r="D137" s="1">
        <f>IFERROR(__xludf.DUMMYFUNCTION("""COMPUTED_VALUE"""),5.58)</f>
        <v>5.58</v>
      </c>
      <c r="E137" s="1">
        <f>IFERROR(__xludf.DUMMYFUNCTION("""COMPUTED_VALUE"""),5.65)</f>
        <v>5.65</v>
      </c>
      <c r="F137" s="1">
        <f>IFERROR(__xludf.DUMMYFUNCTION("""COMPUTED_VALUE"""),513771.0)</f>
        <v>513771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IFERROR(__xludf.DUMMYFUNCTION("""COMPUTED_VALUE"""),5.49)</f>
        <v>5.49</v>
      </c>
      <c r="C138" s="1">
        <f>IFERROR(__xludf.DUMMYFUNCTION("""COMPUTED_VALUE"""),5.62)</f>
        <v>5.62</v>
      </c>
      <c r="D138" s="1">
        <f>IFERROR(__xludf.DUMMYFUNCTION("""COMPUTED_VALUE"""),5.47)</f>
        <v>5.47</v>
      </c>
      <c r="E138" s="1">
        <f>IFERROR(__xludf.DUMMYFUNCTION("""COMPUTED_VALUE"""),5.6)</f>
        <v>5.6</v>
      </c>
      <c r="F138" s="1">
        <f>IFERROR(__xludf.DUMMYFUNCTION("""COMPUTED_VALUE"""),1125854.0)</f>
        <v>1125854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IFERROR(__xludf.DUMMYFUNCTION("""COMPUTED_VALUE"""),5.62)</f>
        <v>5.62</v>
      </c>
      <c r="C139" s="1">
        <f>IFERROR(__xludf.DUMMYFUNCTION("""COMPUTED_VALUE"""),5.63)</f>
        <v>5.63</v>
      </c>
      <c r="D139" s="1">
        <f>IFERROR(__xludf.DUMMYFUNCTION("""COMPUTED_VALUE"""),5.43)</f>
        <v>5.43</v>
      </c>
      <c r="E139" s="1">
        <f>IFERROR(__xludf.DUMMYFUNCTION("""COMPUTED_VALUE"""),5.46)</f>
        <v>5.46</v>
      </c>
      <c r="F139" s="1">
        <f>IFERROR(__xludf.DUMMYFUNCTION("""COMPUTED_VALUE"""),1124809.0)</f>
        <v>1124809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IFERROR(__xludf.DUMMYFUNCTION("""COMPUTED_VALUE"""),5.61)</f>
        <v>5.61</v>
      </c>
      <c r="C140" s="1">
        <f>IFERROR(__xludf.DUMMYFUNCTION("""COMPUTED_VALUE"""),5.78)</f>
        <v>5.78</v>
      </c>
      <c r="D140" s="1">
        <f>IFERROR(__xludf.DUMMYFUNCTION("""COMPUTED_VALUE"""),5.61)</f>
        <v>5.61</v>
      </c>
      <c r="E140" s="1">
        <f>IFERROR(__xludf.DUMMYFUNCTION("""COMPUTED_VALUE"""),5.74)</f>
        <v>5.74</v>
      </c>
      <c r="F140" s="1">
        <f>IFERROR(__xludf.DUMMYFUNCTION("""COMPUTED_VALUE"""),586269.0)</f>
        <v>586269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IFERROR(__xludf.DUMMYFUNCTION("""COMPUTED_VALUE"""),5.7)</f>
        <v>5.7</v>
      </c>
      <c r="C141" s="1">
        <f>IFERROR(__xludf.DUMMYFUNCTION("""COMPUTED_VALUE"""),5.87)</f>
        <v>5.87</v>
      </c>
      <c r="D141" s="1">
        <f>IFERROR(__xludf.DUMMYFUNCTION("""COMPUTED_VALUE"""),5.67)</f>
        <v>5.67</v>
      </c>
      <c r="E141" s="1">
        <f>IFERROR(__xludf.DUMMYFUNCTION("""COMPUTED_VALUE"""),5.86)</f>
        <v>5.86</v>
      </c>
      <c r="F141" s="1">
        <f>IFERROR(__xludf.DUMMYFUNCTION("""COMPUTED_VALUE"""),811539.0)</f>
        <v>811539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IFERROR(__xludf.DUMMYFUNCTION("""COMPUTED_VALUE"""),5.79)</f>
        <v>5.79</v>
      </c>
      <c r="C142" s="1">
        <f>IFERROR(__xludf.DUMMYFUNCTION("""COMPUTED_VALUE"""),5.93)</f>
        <v>5.93</v>
      </c>
      <c r="D142" s="1">
        <f>IFERROR(__xludf.DUMMYFUNCTION("""COMPUTED_VALUE"""),5.76)</f>
        <v>5.76</v>
      </c>
      <c r="E142" s="1">
        <f>IFERROR(__xludf.DUMMYFUNCTION("""COMPUTED_VALUE"""),5.9)</f>
        <v>5.9</v>
      </c>
      <c r="F142" s="1">
        <f>IFERROR(__xludf.DUMMYFUNCTION("""COMPUTED_VALUE"""),844624.0)</f>
        <v>844624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IFERROR(__xludf.DUMMYFUNCTION("""COMPUTED_VALUE"""),6.13)</f>
        <v>6.13</v>
      </c>
      <c r="C143" s="1">
        <f>IFERROR(__xludf.DUMMYFUNCTION("""COMPUTED_VALUE"""),6.14)</f>
        <v>6.14</v>
      </c>
      <c r="D143" s="1">
        <f>IFERROR(__xludf.DUMMYFUNCTION("""COMPUTED_VALUE"""),6.02)</f>
        <v>6.02</v>
      </c>
      <c r="E143" s="1">
        <f>IFERROR(__xludf.DUMMYFUNCTION("""COMPUTED_VALUE"""),6.06)</f>
        <v>6.06</v>
      </c>
      <c r="F143" s="1">
        <f>IFERROR(__xludf.DUMMYFUNCTION("""COMPUTED_VALUE"""),442591.0)</f>
        <v>442591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IFERROR(__xludf.DUMMYFUNCTION("""COMPUTED_VALUE"""),6.1)</f>
        <v>6.1</v>
      </c>
      <c r="C144" s="1">
        <f>IFERROR(__xludf.DUMMYFUNCTION("""COMPUTED_VALUE"""),6.13)</f>
        <v>6.13</v>
      </c>
      <c r="D144" s="1">
        <f>IFERROR(__xludf.DUMMYFUNCTION("""COMPUTED_VALUE"""),6.02)</f>
        <v>6.02</v>
      </c>
      <c r="E144" s="1">
        <f>IFERROR(__xludf.DUMMYFUNCTION("""COMPUTED_VALUE"""),6.03)</f>
        <v>6.03</v>
      </c>
      <c r="F144" s="1">
        <f>IFERROR(__xludf.DUMMYFUNCTION("""COMPUTED_VALUE"""),426209.0)</f>
        <v>426209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IFERROR(__xludf.DUMMYFUNCTION("""COMPUTED_VALUE"""),6.23)</f>
        <v>6.23</v>
      </c>
      <c r="C145" s="1">
        <f>IFERROR(__xludf.DUMMYFUNCTION("""COMPUTED_VALUE"""),6.26)</f>
        <v>6.26</v>
      </c>
      <c r="D145" s="1">
        <f>IFERROR(__xludf.DUMMYFUNCTION("""COMPUTED_VALUE"""),6.01)</f>
        <v>6.01</v>
      </c>
      <c r="E145" s="1">
        <f>IFERROR(__xludf.DUMMYFUNCTION("""COMPUTED_VALUE"""),6.08)</f>
        <v>6.08</v>
      </c>
      <c r="F145" s="1">
        <f>IFERROR(__xludf.DUMMYFUNCTION("""COMPUTED_VALUE"""),1851198.0)</f>
        <v>1851198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IFERROR(__xludf.DUMMYFUNCTION("""COMPUTED_VALUE"""),5.93)</f>
        <v>5.93</v>
      </c>
      <c r="C146" s="1">
        <f>IFERROR(__xludf.DUMMYFUNCTION("""COMPUTED_VALUE"""),6.08)</f>
        <v>6.08</v>
      </c>
      <c r="D146" s="1">
        <f>IFERROR(__xludf.DUMMYFUNCTION("""COMPUTED_VALUE"""),5.9)</f>
        <v>5.9</v>
      </c>
      <c r="E146" s="1">
        <f>IFERROR(__xludf.DUMMYFUNCTION("""COMPUTED_VALUE"""),6.01)</f>
        <v>6.01</v>
      </c>
      <c r="F146" s="1">
        <f>IFERROR(__xludf.DUMMYFUNCTION("""COMPUTED_VALUE"""),497067.0)</f>
        <v>497067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IFERROR(__xludf.DUMMYFUNCTION("""COMPUTED_VALUE"""),6.17)</f>
        <v>6.17</v>
      </c>
      <c r="C147" s="1">
        <f>IFERROR(__xludf.DUMMYFUNCTION("""COMPUTED_VALUE"""),6.28)</f>
        <v>6.28</v>
      </c>
      <c r="D147" s="1">
        <f>IFERROR(__xludf.DUMMYFUNCTION("""COMPUTED_VALUE"""),6.14)</f>
        <v>6.14</v>
      </c>
      <c r="E147" s="1">
        <f>IFERROR(__xludf.DUMMYFUNCTION("""COMPUTED_VALUE"""),6.26)</f>
        <v>6.26</v>
      </c>
      <c r="F147" s="1">
        <f>IFERROR(__xludf.DUMMYFUNCTION("""COMPUTED_VALUE"""),410445.0)</f>
        <v>410445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IFERROR(__xludf.DUMMYFUNCTION("""COMPUTED_VALUE"""),6.27)</f>
        <v>6.27</v>
      </c>
      <c r="C148" s="1">
        <f>IFERROR(__xludf.DUMMYFUNCTION("""COMPUTED_VALUE"""),6.35)</f>
        <v>6.35</v>
      </c>
      <c r="D148" s="1">
        <f>IFERROR(__xludf.DUMMYFUNCTION("""COMPUTED_VALUE"""),6.22)</f>
        <v>6.22</v>
      </c>
      <c r="E148" s="1">
        <f>IFERROR(__xludf.DUMMYFUNCTION("""COMPUTED_VALUE"""),6.3)</f>
        <v>6.3</v>
      </c>
      <c r="F148" s="1">
        <f>IFERROR(__xludf.DUMMYFUNCTION("""COMPUTED_VALUE"""),654274.0)</f>
        <v>654274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IFERROR(__xludf.DUMMYFUNCTION("""COMPUTED_VALUE"""),6.34)</f>
        <v>6.34</v>
      </c>
      <c r="C149" s="1">
        <f>IFERROR(__xludf.DUMMYFUNCTION("""COMPUTED_VALUE"""),6.44)</f>
        <v>6.44</v>
      </c>
      <c r="D149" s="1">
        <f>IFERROR(__xludf.DUMMYFUNCTION("""COMPUTED_VALUE"""),6.27)</f>
        <v>6.27</v>
      </c>
      <c r="E149" s="1">
        <f>IFERROR(__xludf.DUMMYFUNCTION("""COMPUTED_VALUE"""),6.32)</f>
        <v>6.32</v>
      </c>
      <c r="F149" s="1">
        <f>IFERROR(__xludf.DUMMYFUNCTION("""COMPUTED_VALUE"""),474912.0)</f>
        <v>474912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IFERROR(__xludf.DUMMYFUNCTION("""COMPUTED_VALUE"""),6.26)</f>
        <v>6.26</v>
      </c>
      <c r="C150" s="1">
        <f>IFERROR(__xludf.DUMMYFUNCTION("""COMPUTED_VALUE"""),6.28)</f>
        <v>6.28</v>
      </c>
      <c r="D150" s="1">
        <f>IFERROR(__xludf.DUMMYFUNCTION("""COMPUTED_VALUE"""),6.2)</f>
        <v>6.2</v>
      </c>
      <c r="E150" s="1">
        <f>IFERROR(__xludf.DUMMYFUNCTION("""COMPUTED_VALUE"""),6.27)</f>
        <v>6.27</v>
      </c>
      <c r="F150" s="1">
        <f>IFERROR(__xludf.DUMMYFUNCTION("""COMPUTED_VALUE"""),247639.0)</f>
        <v>247639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IFERROR(__xludf.DUMMYFUNCTION("""COMPUTED_VALUE"""),6.19)</f>
        <v>6.19</v>
      </c>
      <c r="C151" s="1">
        <f>IFERROR(__xludf.DUMMYFUNCTION("""COMPUTED_VALUE"""),6.29)</f>
        <v>6.29</v>
      </c>
      <c r="D151" s="1">
        <f>IFERROR(__xludf.DUMMYFUNCTION("""COMPUTED_VALUE"""),6.14)</f>
        <v>6.14</v>
      </c>
      <c r="E151" s="1">
        <f>IFERROR(__xludf.DUMMYFUNCTION("""COMPUTED_VALUE"""),6.27)</f>
        <v>6.27</v>
      </c>
      <c r="F151" s="1">
        <f>IFERROR(__xludf.DUMMYFUNCTION("""COMPUTED_VALUE"""),301622.0)</f>
        <v>301622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IFERROR(__xludf.DUMMYFUNCTION("""COMPUTED_VALUE"""),6.28)</f>
        <v>6.28</v>
      </c>
      <c r="C152" s="1">
        <f>IFERROR(__xludf.DUMMYFUNCTION("""COMPUTED_VALUE"""),6.3)</f>
        <v>6.3</v>
      </c>
      <c r="D152" s="1">
        <f>IFERROR(__xludf.DUMMYFUNCTION("""COMPUTED_VALUE"""),6.23)</f>
        <v>6.23</v>
      </c>
      <c r="E152" s="1">
        <f>IFERROR(__xludf.DUMMYFUNCTION("""COMPUTED_VALUE"""),6.28)</f>
        <v>6.28</v>
      </c>
      <c r="F152" s="1">
        <f>IFERROR(__xludf.DUMMYFUNCTION("""COMPUTED_VALUE"""),430884.0)</f>
        <v>430884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IFERROR(__xludf.DUMMYFUNCTION("""COMPUTED_VALUE"""),6.12)</f>
        <v>6.12</v>
      </c>
      <c r="C153" s="1">
        <f>IFERROR(__xludf.DUMMYFUNCTION("""COMPUTED_VALUE"""),6.16)</f>
        <v>6.16</v>
      </c>
      <c r="D153" s="1">
        <f>IFERROR(__xludf.DUMMYFUNCTION("""COMPUTED_VALUE"""),6.01)</f>
        <v>6.01</v>
      </c>
      <c r="E153" s="1">
        <f>IFERROR(__xludf.DUMMYFUNCTION("""COMPUTED_VALUE"""),6.13)</f>
        <v>6.13</v>
      </c>
      <c r="F153" s="1">
        <f>IFERROR(__xludf.DUMMYFUNCTION("""COMPUTED_VALUE"""),889505.0)</f>
        <v>889505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IFERROR(__xludf.DUMMYFUNCTION("""COMPUTED_VALUE"""),5.89)</f>
        <v>5.89</v>
      </c>
      <c r="C154" s="1">
        <f>IFERROR(__xludf.DUMMYFUNCTION("""COMPUTED_VALUE"""),5.89)</f>
        <v>5.89</v>
      </c>
      <c r="D154" s="1">
        <f>IFERROR(__xludf.DUMMYFUNCTION("""COMPUTED_VALUE"""),5.75)</f>
        <v>5.75</v>
      </c>
      <c r="E154" s="1">
        <f>IFERROR(__xludf.DUMMYFUNCTION("""COMPUTED_VALUE"""),5.76)</f>
        <v>5.76</v>
      </c>
      <c r="F154" s="1">
        <f>IFERROR(__xludf.DUMMYFUNCTION("""COMPUTED_VALUE"""),537457.0)</f>
        <v>537457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IFERROR(__xludf.DUMMYFUNCTION("""COMPUTED_VALUE"""),5.52)</f>
        <v>5.52</v>
      </c>
      <c r="C155" s="1">
        <f>IFERROR(__xludf.DUMMYFUNCTION("""COMPUTED_VALUE"""),5.63)</f>
        <v>5.63</v>
      </c>
      <c r="D155" s="1">
        <f>IFERROR(__xludf.DUMMYFUNCTION("""COMPUTED_VALUE"""),5.5)</f>
        <v>5.5</v>
      </c>
      <c r="E155" s="1">
        <f>IFERROR(__xludf.DUMMYFUNCTION("""COMPUTED_VALUE"""),5.58)</f>
        <v>5.58</v>
      </c>
      <c r="F155" s="1">
        <f>IFERROR(__xludf.DUMMYFUNCTION("""COMPUTED_VALUE"""),1447863.0)</f>
        <v>1447863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IFERROR(__xludf.DUMMYFUNCTION("""COMPUTED_VALUE"""),5.5)</f>
        <v>5.5</v>
      </c>
      <c r="C156" s="1">
        <f>IFERROR(__xludf.DUMMYFUNCTION("""COMPUTED_VALUE"""),5.54)</f>
        <v>5.54</v>
      </c>
      <c r="D156" s="1">
        <f>IFERROR(__xludf.DUMMYFUNCTION("""COMPUTED_VALUE"""),5.48)</f>
        <v>5.48</v>
      </c>
      <c r="E156" s="1">
        <f>IFERROR(__xludf.DUMMYFUNCTION("""COMPUTED_VALUE"""),5.51)</f>
        <v>5.51</v>
      </c>
      <c r="F156" s="1">
        <f>IFERROR(__xludf.DUMMYFUNCTION("""COMPUTED_VALUE"""),674928.0)</f>
        <v>674928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IFERROR(__xludf.DUMMYFUNCTION("""COMPUTED_VALUE"""),5.47)</f>
        <v>5.47</v>
      </c>
      <c r="C157" s="1">
        <f>IFERROR(__xludf.DUMMYFUNCTION("""COMPUTED_VALUE"""),5.58)</f>
        <v>5.58</v>
      </c>
      <c r="D157" s="1">
        <f>IFERROR(__xludf.DUMMYFUNCTION("""COMPUTED_VALUE"""),5.47)</f>
        <v>5.47</v>
      </c>
      <c r="E157" s="1">
        <f>IFERROR(__xludf.DUMMYFUNCTION("""COMPUTED_VALUE"""),5.51)</f>
        <v>5.51</v>
      </c>
      <c r="F157" s="1">
        <f>IFERROR(__xludf.DUMMYFUNCTION("""COMPUTED_VALUE"""),1306983.0)</f>
        <v>1306983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IFERROR(__xludf.DUMMYFUNCTION("""COMPUTED_VALUE"""),5.9)</f>
        <v>5.9</v>
      </c>
      <c r="C158" s="1">
        <f>IFERROR(__xludf.DUMMYFUNCTION("""COMPUTED_VALUE"""),5.94)</f>
        <v>5.94</v>
      </c>
      <c r="D158" s="1">
        <f>IFERROR(__xludf.DUMMYFUNCTION("""COMPUTED_VALUE"""),5.84)</f>
        <v>5.84</v>
      </c>
      <c r="E158" s="1">
        <f>IFERROR(__xludf.DUMMYFUNCTION("""COMPUTED_VALUE"""),5.87)</f>
        <v>5.87</v>
      </c>
      <c r="F158" s="1">
        <f>IFERROR(__xludf.DUMMYFUNCTION("""COMPUTED_VALUE"""),664028.0)</f>
        <v>664028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IFERROR(__xludf.DUMMYFUNCTION("""COMPUTED_VALUE"""),5.91)</f>
        <v>5.91</v>
      </c>
      <c r="C159" s="1">
        <f>IFERROR(__xludf.DUMMYFUNCTION("""COMPUTED_VALUE"""),5.93)</f>
        <v>5.93</v>
      </c>
      <c r="D159" s="1">
        <f>IFERROR(__xludf.DUMMYFUNCTION("""COMPUTED_VALUE"""),5.81)</f>
        <v>5.81</v>
      </c>
      <c r="E159" s="1">
        <f>IFERROR(__xludf.DUMMYFUNCTION("""COMPUTED_VALUE"""),5.87)</f>
        <v>5.87</v>
      </c>
      <c r="F159" s="1">
        <f>IFERROR(__xludf.DUMMYFUNCTION("""COMPUTED_VALUE"""),516509.0)</f>
        <v>516509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IFERROR(__xludf.DUMMYFUNCTION("""COMPUTED_VALUE"""),5.85)</f>
        <v>5.85</v>
      </c>
      <c r="C160" s="1">
        <f>IFERROR(__xludf.DUMMYFUNCTION("""COMPUTED_VALUE"""),5.88)</f>
        <v>5.88</v>
      </c>
      <c r="D160" s="1">
        <f>IFERROR(__xludf.DUMMYFUNCTION("""COMPUTED_VALUE"""),5.64)</f>
        <v>5.64</v>
      </c>
      <c r="E160" s="1">
        <f>IFERROR(__xludf.DUMMYFUNCTION("""COMPUTED_VALUE"""),5.67)</f>
        <v>5.67</v>
      </c>
      <c r="F160" s="1">
        <f>IFERROR(__xludf.DUMMYFUNCTION("""COMPUTED_VALUE"""),567280.0)</f>
        <v>567280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IFERROR(__xludf.DUMMYFUNCTION("""COMPUTED_VALUE"""),5.54)</f>
        <v>5.54</v>
      </c>
      <c r="C161" s="1">
        <f>IFERROR(__xludf.DUMMYFUNCTION("""COMPUTED_VALUE"""),5.54)</f>
        <v>5.54</v>
      </c>
      <c r="D161" s="1">
        <f>IFERROR(__xludf.DUMMYFUNCTION("""COMPUTED_VALUE"""),5.45)</f>
        <v>5.45</v>
      </c>
      <c r="E161" s="1">
        <f>IFERROR(__xludf.DUMMYFUNCTION("""COMPUTED_VALUE"""),5.51)</f>
        <v>5.51</v>
      </c>
      <c r="F161" s="1">
        <f>IFERROR(__xludf.DUMMYFUNCTION("""COMPUTED_VALUE"""),714351.0)</f>
        <v>714351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IFERROR(__xludf.DUMMYFUNCTION("""COMPUTED_VALUE"""),5.51)</f>
        <v>5.51</v>
      </c>
      <c r="C162" s="1">
        <f>IFERROR(__xludf.DUMMYFUNCTION("""COMPUTED_VALUE"""),5.55)</f>
        <v>5.55</v>
      </c>
      <c r="D162" s="1">
        <f>IFERROR(__xludf.DUMMYFUNCTION("""COMPUTED_VALUE"""),5.43)</f>
        <v>5.43</v>
      </c>
      <c r="E162" s="1">
        <f>IFERROR(__xludf.DUMMYFUNCTION("""COMPUTED_VALUE"""),5.43)</f>
        <v>5.43</v>
      </c>
      <c r="F162" s="1">
        <f>IFERROR(__xludf.DUMMYFUNCTION("""COMPUTED_VALUE"""),706617.0)</f>
        <v>706617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IFERROR(__xludf.DUMMYFUNCTION("""COMPUTED_VALUE"""),5.29)</f>
        <v>5.29</v>
      </c>
      <c r="C163" s="1">
        <f>IFERROR(__xludf.DUMMYFUNCTION("""COMPUTED_VALUE"""),5.33)</f>
        <v>5.33</v>
      </c>
      <c r="D163" s="1">
        <f>IFERROR(__xludf.DUMMYFUNCTION("""COMPUTED_VALUE"""),5.22)</f>
        <v>5.22</v>
      </c>
      <c r="E163" s="1">
        <f>IFERROR(__xludf.DUMMYFUNCTION("""COMPUTED_VALUE"""),5.28)</f>
        <v>5.28</v>
      </c>
      <c r="F163" s="1">
        <f>IFERROR(__xludf.DUMMYFUNCTION("""COMPUTED_VALUE"""),867584.0)</f>
        <v>867584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IFERROR(__xludf.DUMMYFUNCTION("""COMPUTED_VALUE"""),5.09)</f>
        <v>5.09</v>
      </c>
      <c r="C164" s="1">
        <f>IFERROR(__xludf.DUMMYFUNCTION("""COMPUTED_VALUE"""),5.25)</f>
        <v>5.25</v>
      </c>
      <c r="D164" s="1">
        <f>IFERROR(__xludf.DUMMYFUNCTION("""COMPUTED_VALUE"""),5.05)</f>
        <v>5.05</v>
      </c>
      <c r="E164" s="1">
        <f>IFERROR(__xludf.DUMMYFUNCTION("""COMPUTED_VALUE"""),5.23)</f>
        <v>5.23</v>
      </c>
      <c r="F164" s="1">
        <f>IFERROR(__xludf.DUMMYFUNCTION("""COMPUTED_VALUE"""),997602.0)</f>
        <v>997602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IFERROR(__xludf.DUMMYFUNCTION("""COMPUTED_VALUE"""),5.21)</f>
        <v>5.21</v>
      </c>
      <c r="C165" s="1">
        <f>IFERROR(__xludf.DUMMYFUNCTION("""COMPUTED_VALUE"""),5.25)</f>
        <v>5.25</v>
      </c>
      <c r="D165" s="1">
        <f>IFERROR(__xludf.DUMMYFUNCTION("""COMPUTED_VALUE"""),5.12)</f>
        <v>5.12</v>
      </c>
      <c r="E165" s="1">
        <f>IFERROR(__xludf.DUMMYFUNCTION("""COMPUTED_VALUE"""),5.14)</f>
        <v>5.14</v>
      </c>
      <c r="F165" s="1">
        <f>IFERROR(__xludf.DUMMYFUNCTION("""COMPUTED_VALUE"""),639237.0)</f>
        <v>639237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IFERROR(__xludf.DUMMYFUNCTION("""COMPUTED_VALUE"""),5.23)</f>
        <v>5.23</v>
      </c>
      <c r="C166" s="1">
        <f>IFERROR(__xludf.DUMMYFUNCTION("""COMPUTED_VALUE"""),5.34)</f>
        <v>5.34</v>
      </c>
      <c r="D166" s="1">
        <f>IFERROR(__xludf.DUMMYFUNCTION("""COMPUTED_VALUE"""),5.11)</f>
        <v>5.11</v>
      </c>
      <c r="E166" s="1">
        <f>IFERROR(__xludf.DUMMYFUNCTION("""COMPUTED_VALUE"""),5.32)</f>
        <v>5.32</v>
      </c>
      <c r="F166" s="1">
        <f>IFERROR(__xludf.DUMMYFUNCTION("""COMPUTED_VALUE"""),647452.0)</f>
        <v>647452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IFERROR(__xludf.DUMMYFUNCTION("""COMPUTED_VALUE"""),5.18)</f>
        <v>5.18</v>
      </c>
      <c r="C167" s="1">
        <f>IFERROR(__xludf.DUMMYFUNCTION("""COMPUTED_VALUE"""),5.21)</f>
        <v>5.21</v>
      </c>
      <c r="D167" s="1">
        <f>IFERROR(__xludf.DUMMYFUNCTION("""COMPUTED_VALUE"""),5.11)</f>
        <v>5.11</v>
      </c>
      <c r="E167" s="1">
        <f>IFERROR(__xludf.DUMMYFUNCTION("""COMPUTED_VALUE"""),5.12)</f>
        <v>5.12</v>
      </c>
      <c r="F167" s="1">
        <f>IFERROR(__xludf.DUMMYFUNCTION("""COMPUTED_VALUE"""),396376.0)</f>
        <v>396376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IFERROR(__xludf.DUMMYFUNCTION("""COMPUTED_VALUE"""),5.07)</f>
        <v>5.07</v>
      </c>
      <c r="C168" s="1">
        <f>IFERROR(__xludf.DUMMYFUNCTION("""COMPUTED_VALUE"""),5.17)</f>
        <v>5.17</v>
      </c>
      <c r="D168" s="1">
        <f>IFERROR(__xludf.DUMMYFUNCTION("""COMPUTED_VALUE"""),5.05)</f>
        <v>5.05</v>
      </c>
      <c r="E168" s="1">
        <f>IFERROR(__xludf.DUMMYFUNCTION("""COMPUTED_VALUE"""),5.11)</f>
        <v>5.11</v>
      </c>
      <c r="F168" s="1">
        <f>IFERROR(__xludf.DUMMYFUNCTION("""COMPUTED_VALUE"""),714705.0)</f>
        <v>714705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IFERROR(__xludf.DUMMYFUNCTION("""COMPUTED_VALUE"""),5.3)</f>
        <v>5.3</v>
      </c>
      <c r="C169" s="1">
        <f>IFERROR(__xludf.DUMMYFUNCTION("""COMPUTED_VALUE"""),5.47)</f>
        <v>5.47</v>
      </c>
      <c r="D169" s="1">
        <f>IFERROR(__xludf.DUMMYFUNCTION("""COMPUTED_VALUE"""),5.3)</f>
        <v>5.3</v>
      </c>
      <c r="E169" s="1">
        <f>IFERROR(__xludf.DUMMYFUNCTION("""COMPUTED_VALUE"""),5.43)</f>
        <v>5.43</v>
      </c>
      <c r="F169" s="1">
        <f>IFERROR(__xludf.DUMMYFUNCTION("""COMPUTED_VALUE"""),1491281.0)</f>
        <v>1491281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IFERROR(__xludf.DUMMYFUNCTION("""COMPUTED_VALUE"""),5.53)</f>
        <v>5.53</v>
      </c>
      <c r="C170" s="1">
        <f>IFERROR(__xludf.DUMMYFUNCTION("""COMPUTED_VALUE"""),5.57)</f>
        <v>5.57</v>
      </c>
      <c r="D170" s="1">
        <f>IFERROR(__xludf.DUMMYFUNCTION("""COMPUTED_VALUE"""),5.48)</f>
        <v>5.48</v>
      </c>
      <c r="E170" s="1">
        <f>IFERROR(__xludf.DUMMYFUNCTION("""COMPUTED_VALUE"""),5.55)</f>
        <v>5.55</v>
      </c>
      <c r="F170" s="1">
        <f>IFERROR(__xludf.DUMMYFUNCTION("""COMPUTED_VALUE"""),578509.0)</f>
        <v>578509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IFERROR(__xludf.DUMMYFUNCTION("""COMPUTED_VALUE"""),5.63)</f>
        <v>5.63</v>
      </c>
      <c r="C171" s="1">
        <f>IFERROR(__xludf.DUMMYFUNCTION("""COMPUTED_VALUE"""),5.67)</f>
        <v>5.67</v>
      </c>
      <c r="D171" s="1">
        <f>IFERROR(__xludf.DUMMYFUNCTION("""COMPUTED_VALUE"""),5.56)</f>
        <v>5.56</v>
      </c>
      <c r="E171" s="1">
        <f>IFERROR(__xludf.DUMMYFUNCTION("""COMPUTED_VALUE"""),5.63)</f>
        <v>5.63</v>
      </c>
      <c r="F171" s="1">
        <f>IFERROR(__xludf.DUMMYFUNCTION("""COMPUTED_VALUE"""),425603.0)</f>
        <v>425603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IFERROR(__xludf.DUMMYFUNCTION("""COMPUTED_VALUE"""),5.5)</f>
        <v>5.5</v>
      </c>
      <c r="C172" s="1">
        <f>IFERROR(__xludf.DUMMYFUNCTION("""COMPUTED_VALUE"""),5.52)</f>
        <v>5.52</v>
      </c>
      <c r="D172" s="1">
        <f>IFERROR(__xludf.DUMMYFUNCTION("""COMPUTED_VALUE"""),5.42)</f>
        <v>5.42</v>
      </c>
      <c r="E172" s="1">
        <f>IFERROR(__xludf.DUMMYFUNCTION("""COMPUTED_VALUE"""),5.43)</f>
        <v>5.43</v>
      </c>
      <c r="F172" s="1">
        <f>IFERROR(__xludf.DUMMYFUNCTION("""COMPUTED_VALUE"""),639101.0)</f>
        <v>639101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IFERROR(__xludf.DUMMYFUNCTION("""COMPUTED_VALUE"""),5.46)</f>
        <v>5.46</v>
      </c>
      <c r="C173" s="1">
        <f>IFERROR(__xludf.DUMMYFUNCTION("""COMPUTED_VALUE"""),5.55)</f>
        <v>5.55</v>
      </c>
      <c r="D173" s="1">
        <f>IFERROR(__xludf.DUMMYFUNCTION("""COMPUTED_VALUE"""),5.46)</f>
        <v>5.46</v>
      </c>
      <c r="E173" s="1">
        <f>IFERROR(__xludf.DUMMYFUNCTION("""COMPUTED_VALUE"""),5.49)</f>
        <v>5.49</v>
      </c>
      <c r="F173" s="1">
        <f>IFERROR(__xludf.DUMMYFUNCTION("""COMPUTED_VALUE"""),327444.0)</f>
        <v>327444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IFERROR(__xludf.DUMMYFUNCTION("""COMPUTED_VALUE"""),5.57)</f>
        <v>5.57</v>
      </c>
      <c r="C174" s="1">
        <f>IFERROR(__xludf.DUMMYFUNCTION("""COMPUTED_VALUE"""),5.57)</f>
        <v>5.57</v>
      </c>
      <c r="D174" s="1">
        <f>IFERROR(__xludf.DUMMYFUNCTION("""COMPUTED_VALUE"""),5.44)</f>
        <v>5.44</v>
      </c>
      <c r="E174" s="1">
        <f>IFERROR(__xludf.DUMMYFUNCTION("""COMPUTED_VALUE"""),5.5)</f>
        <v>5.5</v>
      </c>
      <c r="F174" s="1">
        <f>IFERROR(__xludf.DUMMYFUNCTION("""COMPUTED_VALUE"""),375035.0)</f>
        <v>375035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IFERROR(__xludf.DUMMYFUNCTION("""COMPUTED_VALUE"""),5.51)</f>
        <v>5.51</v>
      </c>
      <c r="C175" s="1">
        <f>IFERROR(__xludf.DUMMYFUNCTION("""COMPUTED_VALUE"""),5.56)</f>
        <v>5.56</v>
      </c>
      <c r="D175" s="1">
        <f>IFERROR(__xludf.DUMMYFUNCTION("""COMPUTED_VALUE"""),5.48)</f>
        <v>5.48</v>
      </c>
      <c r="E175" s="1">
        <f>IFERROR(__xludf.DUMMYFUNCTION("""COMPUTED_VALUE"""),5.55)</f>
        <v>5.55</v>
      </c>
      <c r="F175" s="1">
        <f>IFERROR(__xludf.DUMMYFUNCTION("""COMPUTED_VALUE"""),272313.0)</f>
        <v>272313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IFERROR(__xludf.DUMMYFUNCTION("""COMPUTED_VALUE"""),5.75)</f>
        <v>5.75</v>
      </c>
      <c r="C176" s="1">
        <f>IFERROR(__xludf.DUMMYFUNCTION("""COMPUTED_VALUE"""),5.77)</f>
        <v>5.77</v>
      </c>
      <c r="D176" s="1">
        <f>IFERROR(__xludf.DUMMYFUNCTION("""COMPUTED_VALUE"""),5.69)</f>
        <v>5.69</v>
      </c>
      <c r="E176" s="1">
        <f>IFERROR(__xludf.DUMMYFUNCTION("""COMPUTED_VALUE"""),5.74)</f>
        <v>5.74</v>
      </c>
      <c r="F176" s="1">
        <f>IFERROR(__xludf.DUMMYFUNCTION("""COMPUTED_VALUE"""),430608.0)</f>
        <v>430608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IFERROR(__xludf.DUMMYFUNCTION("""COMPUTED_VALUE"""),5.67)</f>
        <v>5.67</v>
      </c>
      <c r="C177" s="1">
        <f>IFERROR(__xludf.DUMMYFUNCTION("""COMPUTED_VALUE"""),5.75)</f>
        <v>5.75</v>
      </c>
      <c r="D177" s="1">
        <f>IFERROR(__xludf.DUMMYFUNCTION("""COMPUTED_VALUE"""),5.62)</f>
        <v>5.62</v>
      </c>
      <c r="E177" s="1">
        <f>IFERROR(__xludf.DUMMYFUNCTION("""COMPUTED_VALUE"""),5.7)</f>
        <v>5.7</v>
      </c>
      <c r="F177" s="1">
        <f>IFERROR(__xludf.DUMMYFUNCTION("""COMPUTED_VALUE"""),455243.0)</f>
        <v>455243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IFERROR(__xludf.DUMMYFUNCTION("""COMPUTED_VALUE"""),5.69)</f>
        <v>5.69</v>
      </c>
      <c r="C178" s="1">
        <f>IFERROR(__xludf.DUMMYFUNCTION("""COMPUTED_VALUE"""),5.8)</f>
        <v>5.8</v>
      </c>
      <c r="D178" s="1">
        <f>IFERROR(__xludf.DUMMYFUNCTION("""COMPUTED_VALUE"""),5.67)</f>
        <v>5.67</v>
      </c>
      <c r="E178" s="1">
        <f>IFERROR(__xludf.DUMMYFUNCTION("""COMPUTED_VALUE"""),5.8)</f>
        <v>5.8</v>
      </c>
      <c r="F178" s="1">
        <f>IFERROR(__xludf.DUMMYFUNCTION("""COMPUTED_VALUE"""),2170148.0)</f>
        <v>2170148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IFERROR(__xludf.DUMMYFUNCTION("""COMPUTED_VALUE"""),5.74)</f>
        <v>5.74</v>
      </c>
      <c r="C179" s="1">
        <f>IFERROR(__xludf.DUMMYFUNCTION("""COMPUTED_VALUE"""),5.76)</f>
        <v>5.76</v>
      </c>
      <c r="D179" s="1">
        <f>IFERROR(__xludf.DUMMYFUNCTION("""COMPUTED_VALUE"""),5.68)</f>
        <v>5.68</v>
      </c>
      <c r="E179" s="1">
        <f>IFERROR(__xludf.DUMMYFUNCTION("""COMPUTED_VALUE"""),5.72)</f>
        <v>5.72</v>
      </c>
      <c r="F179" s="1">
        <f>IFERROR(__xludf.DUMMYFUNCTION("""COMPUTED_VALUE"""),2254793.0)</f>
        <v>2254793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IFERROR(__xludf.DUMMYFUNCTION("""COMPUTED_VALUE"""),5.73)</f>
        <v>5.73</v>
      </c>
      <c r="C180" s="1">
        <f>IFERROR(__xludf.DUMMYFUNCTION("""COMPUTED_VALUE"""),5.78)</f>
        <v>5.78</v>
      </c>
      <c r="D180" s="1">
        <f>IFERROR(__xludf.DUMMYFUNCTION("""COMPUTED_VALUE"""),5.7)</f>
        <v>5.7</v>
      </c>
      <c r="E180" s="1">
        <f>IFERROR(__xludf.DUMMYFUNCTION("""COMPUTED_VALUE"""),5.78)</f>
        <v>5.78</v>
      </c>
      <c r="F180" s="1">
        <f>IFERROR(__xludf.DUMMYFUNCTION("""COMPUTED_VALUE"""),4361797.0)</f>
        <v>4361797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IFERROR(__xludf.DUMMYFUNCTION("""COMPUTED_VALUE"""),5.8)</f>
        <v>5.8</v>
      </c>
      <c r="C181" s="1">
        <f>IFERROR(__xludf.DUMMYFUNCTION("""COMPUTED_VALUE"""),5.92)</f>
        <v>5.92</v>
      </c>
      <c r="D181" s="1">
        <f>IFERROR(__xludf.DUMMYFUNCTION("""COMPUTED_VALUE"""),5.79)</f>
        <v>5.79</v>
      </c>
      <c r="E181" s="1">
        <f>IFERROR(__xludf.DUMMYFUNCTION("""COMPUTED_VALUE"""),5.91)</f>
        <v>5.91</v>
      </c>
      <c r="F181" s="1">
        <f>IFERROR(__xludf.DUMMYFUNCTION("""COMPUTED_VALUE"""),1804320.0)</f>
        <v>1804320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IFERROR(__xludf.DUMMYFUNCTION("""COMPUTED_VALUE"""),6.06)</f>
        <v>6.06</v>
      </c>
      <c r="C182" s="1">
        <f>IFERROR(__xludf.DUMMYFUNCTION("""COMPUTED_VALUE"""),6.2)</f>
        <v>6.2</v>
      </c>
      <c r="D182" s="1">
        <f>IFERROR(__xludf.DUMMYFUNCTION("""COMPUTED_VALUE"""),6.05)</f>
        <v>6.05</v>
      </c>
      <c r="E182" s="1">
        <f>IFERROR(__xludf.DUMMYFUNCTION("""COMPUTED_VALUE"""),6.09)</f>
        <v>6.09</v>
      </c>
      <c r="F182" s="1">
        <f>IFERROR(__xludf.DUMMYFUNCTION("""COMPUTED_VALUE"""),1216025.0)</f>
        <v>1216025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IFERROR(__xludf.DUMMYFUNCTION("""COMPUTED_VALUE"""),6.11)</f>
        <v>6.11</v>
      </c>
      <c r="C183" s="1">
        <f>IFERROR(__xludf.DUMMYFUNCTION("""COMPUTED_VALUE"""),6.16)</f>
        <v>6.16</v>
      </c>
      <c r="D183" s="1">
        <f>IFERROR(__xludf.DUMMYFUNCTION("""COMPUTED_VALUE"""),6.01)</f>
        <v>6.01</v>
      </c>
      <c r="E183" s="1">
        <f>IFERROR(__xludf.DUMMYFUNCTION("""COMPUTED_VALUE"""),6.04)</f>
        <v>6.04</v>
      </c>
      <c r="F183" s="1">
        <f>IFERROR(__xludf.DUMMYFUNCTION("""COMPUTED_VALUE"""),751455.0)</f>
        <v>751455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IFERROR(__xludf.DUMMYFUNCTION("""COMPUTED_VALUE"""),5.93)</f>
        <v>5.93</v>
      </c>
      <c r="C184" s="1">
        <f>IFERROR(__xludf.DUMMYFUNCTION("""COMPUTED_VALUE"""),5.98)</f>
        <v>5.98</v>
      </c>
      <c r="D184" s="1">
        <f>IFERROR(__xludf.DUMMYFUNCTION("""COMPUTED_VALUE"""),5.86)</f>
        <v>5.86</v>
      </c>
      <c r="E184" s="1">
        <f>IFERROR(__xludf.DUMMYFUNCTION("""COMPUTED_VALUE"""),5.86)</f>
        <v>5.86</v>
      </c>
      <c r="F184" s="1">
        <f>IFERROR(__xludf.DUMMYFUNCTION("""COMPUTED_VALUE"""),479578.0)</f>
        <v>479578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IFERROR(__xludf.DUMMYFUNCTION("""COMPUTED_VALUE"""),6.08)</f>
        <v>6.08</v>
      </c>
      <c r="C185" s="1">
        <f>IFERROR(__xludf.DUMMYFUNCTION("""COMPUTED_VALUE"""),6.15)</f>
        <v>6.15</v>
      </c>
      <c r="D185" s="1">
        <f>IFERROR(__xludf.DUMMYFUNCTION("""COMPUTED_VALUE"""),6.07)</f>
        <v>6.07</v>
      </c>
      <c r="E185" s="1">
        <f>IFERROR(__xludf.DUMMYFUNCTION("""COMPUTED_VALUE"""),6.15)</f>
        <v>6.15</v>
      </c>
      <c r="F185" s="1">
        <f>IFERROR(__xludf.DUMMYFUNCTION("""COMPUTED_VALUE"""),1991065.0)</f>
        <v>1991065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IFERROR(__xludf.DUMMYFUNCTION("""COMPUTED_VALUE"""),6.07)</f>
        <v>6.07</v>
      </c>
      <c r="C186" s="1">
        <f>IFERROR(__xludf.DUMMYFUNCTION("""COMPUTED_VALUE"""),6.09)</f>
        <v>6.09</v>
      </c>
      <c r="D186" s="1">
        <f>IFERROR(__xludf.DUMMYFUNCTION("""COMPUTED_VALUE"""),6.02)</f>
        <v>6.02</v>
      </c>
      <c r="E186" s="1">
        <f>IFERROR(__xludf.DUMMYFUNCTION("""COMPUTED_VALUE"""),6.02)</f>
        <v>6.02</v>
      </c>
      <c r="F186" s="1">
        <f>IFERROR(__xludf.DUMMYFUNCTION("""COMPUTED_VALUE"""),305955.0)</f>
        <v>305955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IFERROR(__xludf.DUMMYFUNCTION("""COMPUTED_VALUE"""),6.06)</f>
        <v>6.06</v>
      </c>
      <c r="C187" s="1">
        <f>IFERROR(__xludf.DUMMYFUNCTION("""COMPUTED_VALUE"""),6.11)</f>
        <v>6.11</v>
      </c>
      <c r="D187" s="1">
        <f>IFERROR(__xludf.DUMMYFUNCTION("""COMPUTED_VALUE"""),5.95)</f>
        <v>5.95</v>
      </c>
      <c r="E187" s="1">
        <f>IFERROR(__xludf.DUMMYFUNCTION("""COMPUTED_VALUE"""),6.09)</f>
        <v>6.09</v>
      </c>
      <c r="F187" s="1">
        <f>IFERROR(__xludf.DUMMYFUNCTION("""COMPUTED_VALUE"""),866986.0)</f>
        <v>866986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IFERROR(__xludf.DUMMYFUNCTION("""COMPUTED_VALUE"""),6.07)</f>
        <v>6.07</v>
      </c>
      <c r="C188" s="1">
        <f>IFERROR(__xludf.DUMMYFUNCTION("""COMPUTED_VALUE"""),6.1)</f>
        <v>6.1</v>
      </c>
      <c r="D188" s="1">
        <f>IFERROR(__xludf.DUMMYFUNCTION("""COMPUTED_VALUE"""),6.01)</f>
        <v>6.01</v>
      </c>
      <c r="E188" s="1">
        <f>IFERROR(__xludf.DUMMYFUNCTION("""COMPUTED_VALUE"""),6.06)</f>
        <v>6.06</v>
      </c>
      <c r="F188" s="1">
        <f>IFERROR(__xludf.DUMMYFUNCTION("""COMPUTED_VALUE"""),721809.0)</f>
        <v>721809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IFERROR(__xludf.DUMMYFUNCTION("""COMPUTED_VALUE"""),6.06)</f>
        <v>6.06</v>
      </c>
      <c r="C189" s="1">
        <f>IFERROR(__xludf.DUMMYFUNCTION("""COMPUTED_VALUE"""),6.12)</f>
        <v>6.12</v>
      </c>
      <c r="D189" s="1">
        <f>IFERROR(__xludf.DUMMYFUNCTION("""COMPUTED_VALUE"""),5.94)</f>
        <v>5.94</v>
      </c>
      <c r="E189" s="1">
        <f>IFERROR(__xludf.DUMMYFUNCTION("""COMPUTED_VALUE"""),5.99)</f>
        <v>5.99</v>
      </c>
      <c r="F189" s="1">
        <f>IFERROR(__xludf.DUMMYFUNCTION("""COMPUTED_VALUE"""),689417.0)</f>
        <v>689417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IFERROR(__xludf.DUMMYFUNCTION("""COMPUTED_VALUE"""),6.05)</f>
        <v>6.05</v>
      </c>
      <c r="C190" s="1">
        <f>IFERROR(__xludf.DUMMYFUNCTION("""COMPUTED_VALUE"""),6.1)</f>
        <v>6.1</v>
      </c>
      <c r="D190" s="1">
        <f>IFERROR(__xludf.DUMMYFUNCTION("""COMPUTED_VALUE"""),6.0)</f>
        <v>6</v>
      </c>
      <c r="E190" s="1">
        <f>IFERROR(__xludf.DUMMYFUNCTION("""COMPUTED_VALUE"""),6.04)</f>
        <v>6.04</v>
      </c>
      <c r="F190" s="1">
        <f>IFERROR(__xludf.DUMMYFUNCTION("""COMPUTED_VALUE"""),1085156.0)</f>
        <v>1085156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IFERROR(__xludf.DUMMYFUNCTION("""COMPUTED_VALUE"""),5.99)</f>
        <v>5.99</v>
      </c>
      <c r="C191" s="1">
        <f>IFERROR(__xludf.DUMMYFUNCTION("""COMPUTED_VALUE"""),6.02)</f>
        <v>6.02</v>
      </c>
      <c r="D191" s="1">
        <f>IFERROR(__xludf.DUMMYFUNCTION("""COMPUTED_VALUE"""),5.91)</f>
        <v>5.91</v>
      </c>
      <c r="E191" s="1">
        <f>IFERROR(__xludf.DUMMYFUNCTION("""COMPUTED_VALUE"""),5.95)</f>
        <v>5.95</v>
      </c>
      <c r="F191" s="1">
        <f>IFERROR(__xludf.DUMMYFUNCTION("""COMPUTED_VALUE"""),448048.0)</f>
        <v>448048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IFERROR(__xludf.DUMMYFUNCTION("""COMPUTED_VALUE"""),6.08)</f>
        <v>6.08</v>
      </c>
      <c r="C192" s="1">
        <f>IFERROR(__xludf.DUMMYFUNCTION("""COMPUTED_VALUE"""),6.2)</f>
        <v>6.2</v>
      </c>
      <c r="D192" s="1">
        <f>IFERROR(__xludf.DUMMYFUNCTION("""COMPUTED_VALUE"""),6.04)</f>
        <v>6.04</v>
      </c>
      <c r="E192" s="1">
        <f>IFERROR(__xludf.DUMMYFUNCTION("""COMPUTED_VALUE"""),6.2)</f>
        <v>6.2</v>
      </c>
      <c r="F192" s="1">
        <f>IFERROR(__xludf.DUMMYFUNCTION("""COMPUTED_VALUE"""),940889.0)</f>
        <v>940889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IFERROR(__xludf.DUMMYFUNCTION("""COMPUTED_VALUE"""),6.2)</f>
        <v>6.2</v>
      </c>
      <c r="C193" s="1">
        <f>IFERROR(__xludf.DUMMYFUNCTION("""COMPUTED_VALUE"""),6.23)</f>
        <v>6.23</v>
      </c>
      <c r="D193" s="1">
        <f>IFERROR(__xludf.DUMMYFUNCTION("""COMPUTED_VALUE"""),6.17)</f>
        <v>6.17</v>
      </c>
      <c r="E193" s="1">
        <f>IFERROR(__xludf.DUMMYFUNCTION("""COMPUTED_VALUE"""),6.2)</f>
        <v>6.2</v>
      </c>
      <c r="F193" s="1">
        <f>IFERROR(__xludf.DUMMYFUNCTION("""COMPUTED_VALUE"""),404006.0)</f>
        <v>404006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IFERROR(__xludf.DUMMYFUNCTION("""COMPUTED_VALUE"""),6.26)</f>
        <v>6.26</v>
      </c>
      <c r="C194" s="1">
        <f>IFERROR(__xludf.DUMMYFUNCTION("""COMPUTED_VALUE"""),6.28)</f>
        <v>6.28</v>
      </c>
      <c r="D194" s="1">
        <f>IFERROR(__xludf.DUMMYFUNCTION("""COMPUTED_VALUE"""),6.16)</f>
        <v>6.16</v>
      </c>
      <c r="E194" s="1">
        <f>IFERROR(__xludf.DUMMYFUNCTION("""COMPUTED_VALUE"""),6.22)</f>
        <v>6.22</v>
      </c>
      <c r="F194" s="1">
        <f>IFERROR(__xludf.DUMMYFUNCTION("""COMPUTED_VALUE"""),558112.0)</f>
        <v>558112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IFERROR(__xludf.DUMMYFUNCTION("""COMPUTED_VALUE"""),6.23)</f>
        <v>6.23</v>
      </c>
      <c r="C195" s="1">
        <f>IFERROR(__xludf.DUMMYFUNCTION("""COMPUTED_VALUE"""),6.28)</f>
        <v>6.28</v>
      </c>
      <c r="D195" s="1">
        <f>IFERROR(__xludf.DUMMYFUNCTION("""COMPUTED_VALUE"""),6.22)</f>
        <v>6.22</v>
      </c>
      <c r="E195" s="1">
        <f>IFERROR(__xludf.DUMMYFUNCTION("""COMPUTED_VALUE"""),6.25)</f>
        <v>6.25</v>
      </c>
      <c r="F195" s="1">
        <f>IFERROR(__xludf.DUMMYFUNCTION("""COMPUTED_VALUE"""),535205.0)</f>
        <v>535205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IFERROR(__xludf.DUMMYFUNCTION("""COMPUTED_VALUE"""),6.3)</f>
        <v>6.3</v>
      </c>
      <c r="C196" s="1">
        <f>IFERROR(__xludf.DUMMYFUNCTION("""COMPUTED_VALUE"""),6.33)</f>
        <v>6.33</v>
      </c>
      <c r="D196" s="1">
        <f>IFERROR(__xludf.DUMMYFUNCTION("""COMPUTED_VALUE"""),6.26)</f>
        <v>6.26</v>
      </c>
      <c r="E196" s="1">
        <f>IFERROR(__xludf.DUMMYFUNCTION("""COMPUTED_VALUE"""),6.28)</f>
        <v>6.28</v>
      </c>
      <c r="F196" s="1">
        <f>IFERROR(__xludf.DUMMYFUNCTION("""COMPUTED_VALUE"""),306438.0)</f>
        <v>306438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IFERROR(__xludf.DUMMYFUNCTION("""COMPUTED_VALUE"""),6.19)</f>
        <v>6.19</v>
      </c>
      <c r="C197" s="1">
        <f>IFERROR(__xludf.DUMMYFUNCTION("""COMPUTED_VALUE"""),6.28)</f>
        <v>6.28</v>
      </c>
      <c r="D197" s="1">
        <f>IFERROR(__xludf.DUMMYFUNCTION("""COMPUTED_VALUE"""),6.13)</f>
        <v>6.13</v>
      </c>
      <c r="E197" s="1">
        <f>IFERROR(__xludf.DUMMYFUNCTION("""COMPUTED_VALUE"""),6.27)</f>
        <v>6.27</v>
      </c>
      <c r="F197" s="1">
        <f>IFERROR(__xludf.DUMMYFUNCTION("""COMPUTED_VALUE"""),397477.0)</f>
        <v>397477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IFERROR(__xludf.DUMMYFUNCTION("""COMPUTED_VALUE"""),6.39)</f>
        <v>6.39</v>
      </c>
      <c r="C198" s="1">
        <f>IFERROR(__xludf.DUMMYFUNCTION("""COMPUTED_VALUE"""),6.41)</f>
        <v>6.41</v>
      </c>
      <c r="D198" s="1">
        <f>IFERROR(__xludf.DUMMYFUNCTION("""COMPUTED_VALUE"""),6.35)</f>
        <v>6.35</v>
      </c>
      <c r="E198" s="1">
        <f>IFERROR(__xludf.DUMMYFUNCTION("""COMPUTED_VALUE"""),6.38)</f>
        <v>6.38</v>
      </c>
      <c r="F198" s="1">
        <f>IFERROR(__xludf.DUMMYFUNCTION("""COMPUTED_VALUE"""),453902.0)</f>
        <v>453902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IFERROR(__xludf.DUMMYFUNCTION("""COMPUTED_VALUE"""),6.42)</f>
        <v>6.42</v>
      </c>
      <c r="C199" s="1">
        <f>IFERROR(__xludf.DUMMYFUNCTION("""COMPUTED_VALUE"""),6.44)</f>
        <v>6.44</v>
      </c>
      <c r="D199" s="1">
        <f>IFERROR(__xludf.DUMMYFUNCTION("""COMPUTED_VALUE"""),6.34)</f>
        <v>6.34</v>
      </c>
      <c r="E199" s="1">
        <f>IFERROR(__xludf.DUMMYFUNCTION("""COMPUTED_VALUE"""),6.4)</f>
        <v>6.4</v>
      </c>
      <c r="F199" s="1">
        <f>IFERROR(__xludf.DUMMYFUNCTION("""COMPUTED_VALUE"""),568033.0)</f>
        <v>568033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IFERROR(__xludf.DUMMYFUNCTION("""COMPUTED_VALUE"""),6.42)</f>
        <v>6.42</v>
      </c>
      <c r="C200" s="1">
        <f>IFERROR(__xludf.DUMMYFUNCTION("""COMPUTED_VALUE"""),6.43)</f>
        <v>6.43</v>
      </c>
      <c r="D200" s="1">
        <f>IFERROR(__xludf.DUMMYFUNCTION("""COMPUTED_VALUE"""),6.3)</f>
        <v>6.3</v>
      </c>
      <c r="E200" s="1">
        <f>IFERROR(__xludf.DUMMYFUNCTION("""COMPUTED_VALUE"""),6.35)</f>
        <v>6.35</v>
      </c>
      <c r="F200" s="1">
        <f>IFERROR(__xludf.DUMMYFUNCTION("""COMPUTED_VALUE"""),686565.0)</f>
        <v>686565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IFERROR(__xludf.DUMMYFUNCTION("""COMPUTED_VALUE"""),6.38)</f>
        <v>6.38</v>
      </c>
      <c r="C201" s="1">
        <f>IFERROR(__xludf.DUMMYFUNCTION("""COMPUTED_VALUE"""),6.48)</f>
        <v>6.48</v>
      </c>
      <c r="D201" s="1">
        <f>IFERROR(__xludf.DUMMYFUNCTION("""COMPUTED_VALUE"""),6.36)</f>
        <v>6.36</v>
      </c>
      <c r="E201" s="1">
        <f>IFERROR(__xludf.DUMMYFUNCTION("""COMPUTED_VALUE"""),6.47)</f>
        <v>6.47</v>
      </c>
      <c r="F201" s="1">
        <f>IFERROR(__xludf.DUMMYFUNCTION("""COMPUTED_VALUE"""),544643.0)</f>
        <v>544643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IFERROR(__xludf.DUMMYFUNCTION("""COMPUTED_VALUE"""),6.3)</f>
        <v>6.3</v>
      </c>
      <c r="C202" s="1">
        <f>IFERROR(__xludf.DUMMYFUNCTION("""COMPUTED_VALUE"""),6.38)</f>
        <v>6.38</v>
      </c>
      <c r="D202" s="1">
        <f>IFERROR(__xludf.DUMMYFUNCTION("""COMPUTED_VALUE"""),6.21)</f>
        <v>6.21</v>
      </c>
      <c r="E202" s="1">
        <f>IFERROR(__xludf.DUMMYFUNCTION("""COMPUTED_VALUE"""),6.27)</f>
        <v>6.27</v>
      </c>
      <c r="F202" s="1">
        <f>IFERROR(__xludf.DUMMYFUNCTION("""COMPUTED_VALUE"""),571802.0)</f>
        <v>571802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IFERROR(__xludf.DUMMYFUNCTION("""COMPUTED_VALUE"""),6.36)</f>
        <v>6.36</v>
      </c>
      <c r="C203" s="1">
        <f>IFERROR(__xludf.DUMMYFUNCTION("""COMPUTED_VALUE"""),6.49)</f>
        <v>6.49</v>
      </c>
      <c r="D203" s="1">
        <f>IFERROR(__xludf.DUMMYFUNCTION("""COMPUTED_VALUE"""),6.36)</f>
        <v>6.36</v>
      </c>
      <c r="E203" s="1">
        <f>IFERROR(__xludf.DUMMYFUNCTION("""COMPUTED_VALUE"""),6.45)</f>
        <v>6.45</v>
      </c>
      <c r="F203" s="1">
        <f>IFERROR(__xludf.DUMMYFUNCTION("""COMPUTED_VALUE"""),489613.0)</f>
        <v>489613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IFERROR(__xludf.DUMMYFUNCTION("""COMPUTED_VALUE"""),6.48)</f>
        <v>6.48</v>
      </c>
      <c r="C204" s="1">
        <f>IFERROR(__xludf.DUMMYFUNCTION("""COMPUTED_VALUE"""),6.53)</f>
        <v>6.53</v>
      </c>
      <c r="D204" s="1">
        <f>IFERROR(__xludf.DUMMYFUNCTION("""COMPUTED_VALUE"""),6.36)</f>
        <v>6.36</v>
      </c>
      <c r="E204" s="1">
        <f>IFERROR(__xludf.DUMMYFUNCTION("""COMPUTED_VALUE"""),6.45)</f>
        <v>6.45</v>
      </c>
      <c r="F204" s="1">
        <f>IFERROR(__xludf.DUMMYFUNCTION("""COMPUTED_VALUE"""),448894.0)</f>
        <v>448894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IFERROR(__xludf.DUMMYFUNCTION("""COMPUTED_VALUE"""),6.49)</f>
        <v>6.49</v>
      </c>
      <c r="C205" s="1">
        <f>IFERROR(__xludf.DUMMYFUNCTION("""COMPUTED_VALUE"""),6.51)</f>
        <v>6.51</v>
      </c>
      <c r="D205" s="1">
        <f>IFERROR(__xludf.DUMMYFUNCTION("""COMPUTED_VALUE"""),6.42)</f>
        <v>6.42</v>
      </c>
      <c r="E205" s="1">
        <f>IFERROR(__xludf.DUMMYFUNCTION("""COMPUTED_VALUE"""),6.47)</f>
        <v>6.47</v>
      </c>
      <c r="F205" s="1">
        <f>IFERROR(__xludf.DUMMYFUNCTION("""COMPUTED_VALUE"""),402127.0)</f>
        <v>402127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IFERROR(__xludf.DUMMYFUNCTION("""COMPUTED_VALUE"""),6.5)</f>
        <v>6.5</v>
      </c>
      <c r="C206" s="1">
        <f>IFERROR(__xludf.DUMMYFUNCTION("""COMPUTED_VALUE"""),6.51)</f>
        <v>6.51</v>
      </c>
      <c r="D206" s="1">
        <f>IFERROR(__xludf.DUMMYFUNCTION("""COMPUTED_VALUE"""),6.41)</f>
        <v>6.41</v>
      </c>
      <c r="E206" s="1">
        <f>IFERROR(__xludf.DUMMYFUNCTION("""COMPUTED_VALUE"""),6.44)</f>
        <v>6.44</v>
      </c>
      <c r="F206" s="1">
        <f>IFERROR(__xludf.DUMMYFUNCTION("""COMPUTED_VALUE"""),452904.0)</f>
        <v>452904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IFERROR(__xludf.DUMMYFUNCTION("""COMPUTED_VALUE"""),6.31)</f>
        <v>6.31</v>
      </c>
      <c r="C207" s="1">
        <f>IFERROR(__xludf.DUMMYFUNCTION("""COMPUTED_VALUE"""),6.38)</f>
        <v>6.38</v>
      </c>
      <c r="D207" s="1">
        <f>IFERROR(__xludf.DUMMYFUNCTION("""COMPUTED_VALUE"""),6.29)</f>
        <v>6.29</v>
      </c>
      <c r="E207" s="1">
        <f>IFERROR(__xludf.DUMMYFUNCTION("""COMPUTED_VALUE"""),6.34)</f>
        <v>6.34</v>
      </c>
      <c r="F207" s="1">
        <f>IFERROR(__xludf.DUMMYFUNCTION("""COMPUTED_VALUE"""),684553.0)</f>
        <v>684553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IFERROR(__xludf.DUMMYFUNCTION("""COMPUTED_VALUE"""),6.29)</f>
        <v>6.29</v>
      </c>
      <c r="C208" s="1">
        <f>IFERROR(__xludf.DUMMYFUNCTION("""COMPUTED_VALUE"""),6.32)</f>
        <v>6.32</v>
      </c>
      <c r="D208" s="1">
        <f>IFERROR(__xludf.DUMMYFUNCTION("""COMPUTED_VALUE"""),6.19)</f>
        <v>6.19</v>
      </c>
      <c r="E208" s="1">
        <f>IFERROR(__xludf.DUMMYFUNCTION("""COMPUTED_VALUE"""),6.28)</f>
        <v>6.28</v>
      </c>
      <c r="F208" s="1">
        <f>IFERROR(__xludf.DUMMYFUNCTION("""COMPUTED_VALUE"""),527859.0)</f>
        <v>527859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IFERROR(__xludf.DUMMYFUNCTION("""COMPUTED_VALUE"""),6.4)</f>
        <v>6.4</v>
      </c>
      <c r="C209" s="1">
        <f>IFERROR(__xludf.DUMMYFUNCTION("""COMPUTED_VALUE"""),6.43)</f>
        <v>6.43</v>
      </c>
      <c r="D209" s="1">
        <f>IFERROR(__xludf.DUMMYFUNCTION("""COMPUTED_VALUE"""),6.35)</f>
        <v>6.35</v>
      </c>
      <c r="E209" s="1">
        <f>IFERROR(__xludf.DUMMYFUNCTION("""COMPUTED_VALUE"""),6.4)</f>
        <v>6.4</v>
      </c>
      <c r="F209" s="1">
        <f>IFERROR(__xludf.DUMMYFUNCTION("""COMPUTED_VALUE"""),919398.0)</f>
        <v>919398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IFERROR(__xludf.DUMMYFUNCTION("""COMPUTED_VALUE"""),6.34)</f>
        <v>6.34</v>
      </c>
      <c r="C210" s="1">
        <f>IFERROR(__xludf.DUMMYFUNCTION("""COMPUTED_VALUE"""),6.37)</f>
        <v>6.37</v>
      </c>
      <c r="D210" s="1">
        <f>IFERROR(__xludf.DUMMYFUNCTION("""COMPUTED_VALUE"""),6.28)</f>
        <v>6.28</v>
      </c>
      <c r="E210" s="1">
        <f>IFERROR(__xludf.DUMMYFUNCTION("""COMPUTED_VALUE"""),6.31)</f>
        <v>6.31</v>
      </c>
      <c r="F210" s="1">
        <f>IFERROR(__xludf.DUMMYFUNCTION("""COMPUTED_VALUE"""),768504.0)</f>
        <v>768504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IFERROR(__xludf.DUMMYFUNCTION("""COMPUTED_VALUE"""),6.33)</f>
        <v>6.33</v>
      </c>
      <c r="C211" s="1">
        <f>IFERROR(__xludf.DUMMYFUNCTION("""COMPUTED_VALUE"""),6.37)</f>
        <v>6.37</v>
      </c>
      <c r="D211" s="1">
        <f>IFERROR(__xludf.DUMMYFUNCTION("""COMPUTED_VALUE"""),6.21)</f>
        <v>6.21</v>
      </c>
      <c r="E211" s="1">
        <f>IFERROR(__xludf.DUMMYFUNCTION("""COMPUTED_VALUE"""),6.27)</f>
        <v>6.27</v>
      </c>
      <c r="F211" s="1">
        <f>IFERROR(__xludf.DUMMYFUNCTION("""COMPUTED_VALUE"""),484262.0)</f>
        <v>484262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IFERROR(__xludf.DUMMYFUNCTION("""COMPUTED_VALUE"""),6.39)</f>
        <v>6.39</v>
      </c>
      <c r="C212" s="1">
        <f>IFERROR(__xludf.DUMMYFUNCTION("""COMPUTED_VALUE"""),6.44)</f>
        <v>6.44</v>
      </c>
      <c r="D212" s="1">
        <f>IFERROR(__xludf.DUMMYFUNCTION("""COMPUTED_VALUE"""),6.37)</f>
        <v>6.37</v>
      </c>
      <c r="E212" s="1">
        <f>IFERROR(__xludf.DUMMYFUNCTION("""COMPUTED_VALUE"""),6.43)</f>
        <v>6.43</v>
      </c>
      <c r="F212" s="1">
        <f>IFERROR(__xludf.DUMMYFUNCTION("""COMPUTED_VALUE"""),402910.0)</f>
        <v>402910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IFERROR(__xludf.DUMMYFUNCTION("""COMPUTED_VALUE"""),6.45)</f>
        <v>6.45</v>
      </c>
      <c r="C213" s="1">
        <f>IFERROR(__xludf.DUMMYFUNCTION("""COMPUTED_VALUE"""),6.46)</f>
        <v>6.46</v>
      </c>
      <c r="D213" s="1">
        <f>IFERROR(__xludf.DUMMYFUNCTION("""COMPUTED_VALUE"""),6.31)</f>
        <v>6.31</v>
      </c>
      <c r="E213" s="1">
        <f>IFERROR(__xludf.DUMMYFUNCTION("""COMPUTED_VALUE"""),6.46)</f>
        <v>6.46</v>
      </c>
      <c r="F213" s="1">
        <f>IFERROR(__xludf.DUMMYFUNCTION("""COMPUTED_VALUE"""),473012.0)</f>
        <v>473012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IFERROR(__xludf.DUMMYFUNCTION("""COMPUTED_VALUE"""),6.6)</f>
        <v>6.6</v>
      </c>
      <c r="C214" s="1">
        <f>IFERROR(__xludf.DUMMYFUNCTION("""COMPUTED_VALUE"""),6.69)</f>
        <v>6.69</v>
      </c>
      <c r="D214" s="1">
        <f>IFERROR(__xludf.DUMMYFUNCTION("""COMPUTED_VALUE"""),6.58)</f>
        <v>6.58</v>
      </c>
      <c r="E214" s="1">
        <f>IFERROR(__xludf.DUMMYFUNCTION("""COMPUTED_VALUE"""),6.67)</f>
        <v>6.67</v>
      </c>
      <c r="F214" s="1">
        <f>IFERROR(__xludf.DUMMYFUNCTION("""COMPUTED_VALUE"""),1114649.0)</f>
        <v>1114649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IFERROR(__xludf.DUMMYFUNCTION("""COMPUTED_VALUE"""),6.54)</f>
        <v>6.54</v>
      </c>
      <c r="C215" s="1">
        <f>IFERROR(__xludf.DUMMYFUNCTION("""COMPUTED_VALUE"""),6.57)</f>
        <v>6.57</v>
      </c>
      <c r="D215" s="1">
        <f>IFERROR(__xludf.DUMMYFUNCTION("""COMPUTED_VALUE"""),6.48)</f>
        <v>6.48</v>
      </c>
      <c r="E215" s="1">
        <f>IFERROR(__xludf.DUMMYFUNCTION("""COMPUTED_VALUE"""),6.54)</f>
        <v>6.54</v>
      </c>
      <c r="F215" s="1">
        <f>IFERROR(__xludf.DUMMYFUNCTION("""COMPUTED_VALUE"""),572306.0)</f>
        <v>572306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IFERROR(__xludf.DUMMYFUNCTION("""COMPUTED_VALUE"""),6.47)</f>
        <v>6.47</v>
      </c>
      <c r="C216" s="1">
        <f>IFERROR(__xludf.DUMMYFUNCTION("""COMPUTED_VALUE"""),6.5)</f>
        <v>6.5</v>
      </c>
      <c r="D216" s="1">
        <f>IFERROR(__xludf.DUMMYFUNCTION("""COMPUTED_VALUE"""),6.42)</f>
        <v>6.42</v>
      </c>
      <c r="E216" s="1">
        <f>IFERROR(__xludf.DUMMYFUNCTION("""COMPUTED_VALUE"""),6.49)</f>
        <v>6.49</v>
      </c>
      <c r="F216" s="1">
        <f>IFERROR(__xludf.DUMMYFUNCTION("""COMPUTED_VALUE"""),647562.0)</f>
        <v>647562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IFERROR(__xludf.DUMMYFUNCTION("""COMPUTED_VALUE"""),6.53)</f>
        <v>6.53</v>
      </c>
      <c r="C217" s="1">
        <f>IFERROR(__xludf.DUMMYFUNCTION("""COMPUTED_VALUE"""),6.57)</f>
        <v>6.57</v>
      </c>
      <c r="D217" s="1">
        <f>IFERROR(__xludf.DUMMYFUNCTION("""COMPUTED_VALUE"""),6.35)</f>
        <v>6.35</v>
      </c>
      <c r="E217" s="1">
        <f>IFERROR(__xludf.DUMMYFUNCTION("""COMPUTED_VALUE"""),6.39)</f>
        <v>6.39</v>
      </c>
      <c r="F217" s="1">
        <f>IFERROR(__xludf.DUMMYFUNCTION("""COMPUTED_VALUE"""),957148.0)</f>
        <v>957148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IFERROR(__xludf.DUMMYFUNCTION("""COMPUTED_VALUE"""),6.42)</f>
        <v>6.42</v>
      </c>
      <c r="C218" s="1">
        <f>IFERROR(__xludf.DUMMYFUNCTION("""COMPUTED_VALUE"""),6.42)</f>
        <v>6.42</v>
      </c>
      <c r="D218" s="1">
        <f>IFERROR(__xludf.DUMMYFUNCTION("""COMPUTED_VALUE"""),6.24)</f>
        <v>6.24</v>
      </c>
      <c r="E218" s="1">
        <f>IFERROR(__xludf.DUMMYFUNCTION("""COMPUTED_VALUE"""),6.38)</f>
        <v>6.38</v>
      </c>
      <c r="F218" s="1">
        <f>IFERROR(__xludf.DUMMYFUNCTION("""COMPUTED_VALUE"""),738482.0)</f>
        <v>738482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IFERROR(__xludf.DUMMYFUNCTION("""COMPUTED_VALUE"""),6.38)</f>
        <v>6.38</v>
      </c>
      <c r="C219" s="1">
        <f>IFERROR(__xludf.DUMMYFUNCTION("""COMPUTED_VALUE"""),6.38)</f>
        <v>6.38</v>
      </c>
      <c r="D219" s="1">
        <f>IFERROR(__xludf.DUMMYFUNCTION("""COMPUTED_VALUE"""),6.29)</f>
        <v>6.29</v>
      </c>
      <c r="E219" s="1">
        <f>IFERROR(__xludf.DUMMYFUNCTION("""COMPUTED_VALUE"""),6.33)</f>
        <v>6.33</v>
      </c>
      <c r="F219" s="1">
        <f>IFERROR(__xludf.DUMMYFUNCTION("""COMPUTED_VALUE"""),468755.0)</f>
        <v>468755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IFERROR(__xludf.DUMMYFUNCTION("""COMPUTED_VALUE"""),6.36)</f>
        <v>6.36</v>
      </c>
      <c r="C220" s="1">
        <f>IFERROR(__xludf.DUMMYFUNCTION("""COMPUTED_VALUE"""),6.42)</f>
        <v>6.42</v>
      </c>
      <c r="D220" s="1">
        <f>IFERROR(__xludf.DUMMYFUNCTION("""COMPUTED_VALUE"""),6.27)</f>
        <v>6.27</v>
      </c>
      <c r="E220" s="1">
        <f>IFERROR(__xludf.DUMMYFUNCTION("""COMPUTED_VALUE"""),6.31)</f>
        <v>6.31</v>
      </c>
      <c r="F220" s="1">
        <f>IFERROR(__xludf.DUMMYFUNCTION("""COMPUTED_VALUE"""),638471.0)</f>
        <v>638471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IFERROR(__xludf.DUMMYFUNCTION("""COMPUTED_VALUE"""),6.37)</f>
        <v>6.37</v>
      </c>
      <c r="C221" s="1">
        <f>IFERROR(__xludf.DUMMYFUNCTION("""COMPUTED_VALUE"""),6.41)</f>
        <v>6.41</v>
      </c>
      <c r="D221" s="1">
        <f>IFERROR(__xludf.DUMMYFUNCTION("""COMPUTED_VALUE"""),6.32)</f>
        <v>6.32</v>
      </c>
      <c r="E221" s="1">
        <f>IFERROR(__xludf.DUMMYFUNCTION("""COMPUTED_VALUE"""),6.32)</f>
        <v>6.32</v>
      </c>
      <c r="F221" s="1">
        <f>IFERROR(__xludf.DUMMYFUNCTION("""COMPUTED_VALUE"""),591862.0)</f>
        <v>591862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IFERROR(__xludf.DUMMYFUNCTION("""COMPUTED_VALUE"""),6.31)</f>
        <v>6.31</v>
      </c>
      <c r="C222" s="1">
        <f>IFERROR(__xludf.DUMMYFUNCTION("""COMPUTED_VALUE"""),6.32)</f>
        <v>6.32</v>
      </c>
      <c r="D222" s="1">
        <f>IFERROR(__xludf.DUMMYFUNCTION("""COMPUTED_VALUE"""),6.14)</f>
        <v>6.14</v>
      </c>
      <c r="E222" s="1">
        <f>IFERROR(__xludf.DUMMYFUNCTION("""COMPUTED_VALUE"""),6.19)</f>
        <v>6.19</v>
      </c>
      <c r="F222" s="1">
        <f>IFERROR(__xludf.DUMMYFUNCTION("""COMPUTED_VALUE"""),771227.0)</f>
        <v>771227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IFERROR(__xludf.DUMMYFUNCTION("""COMPUTED_VALUE"""),6.24)</f>
        <v>6.24</v>
      </c>
      <c r="C223" s="1">
        <f>IFERROR(__xludf.DUMMYFUNCTION("""COMPUTED_VALUE"""),6.32)</f>
        <v>6.32</v>
      </c>
      <c r="D223" s="1">
        <f>IFERROR(__xludf.DUMMYFUNCTION("""COMPUTED_VALUE"""),6.24)</f>
        <v>6.24</v>
      </c>
      <c r="E223" s="1">
        <f>IFERROR(__xludf.DUMMYFUNCTION("""COMPUTED_VALUE"""),6.25)</f>
        <v>6.25</v>
      </c>
      <c r="F223" s="1">
        <f>IFERROR(__xludf.DUMMYFUNCTION("""COMPUTED_VALUE"""),638538.0)</f>
        <v>638538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IFERROR(__xludf.DUMMYFUNCTION("""COMPUTED_VALUE"""),6.43)</f>
        <v>6.43</v>
      </c>
      <c r="C224" s="1">
        <f>IFERROR(__xludf.DUMMYFUNCTION("""COMPUTED_VALUE"""),6.44)</f>
        <v>6.44</v>
      </c>
      <c r="D224" s="1">
        <f>IFERROR(__xludf.DUMMYFUNCTION("""COMPUTED_VALUE"""),6.39)</f>
        <v>6.39</v>
      </c>
      <c r="E224" s="1">
        <f>IFERROR(__xludf.DUMMYFUNCTION("""COMPUTED_VALUE"""),6.4)</f>
        <v>6.4</v>
      </c>
      <c r="F224" s="1">
        <f>IFERROR(__xludf.DUMMYFUNCTION("""COMPUTED_VALUE"""),469587.0)</f>
        <v>469587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IFERROR(__xludf.DUMMYFUNCTION("""COMPUTED_VALUE"""),6.38)</f>
        <v>6.38</v>
      </c>
      <c r="C225" s="1">
        <f>IFERROR(__xludf.DUMMYFUNCTION("""COMPUTED_VALUE"""),6.42)</f>
        <v>6.42</v>
      </c>
      <c r="D225" s="1">
        <f>IFERROR(__xludf.DUMMYFUNCTION("""COMPUTED_VALUE"""),6.33)</f>
        <v>6.33</v>
      </c>
      <c r="E225" s="1">
        <f>IFERROR(__xludf.DUMMYFUNCTION("""COMPUTED_VALUE"""),6.42)</f>
        <v>6.42</v>
      </c>
      <c r="F225" s="1">
        <f>IFERROR(__xludf.DUMMYFUNCTION("""COMPUTED_VALUE"""),349814.0)</f>
        <v>349814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IFERROR(__xludf.DUMMYFUNCTION("""COMPUTED_VALUE"""),6.27)</f>
        <v>6.27</v>
      </c>
      <c r="C226" s="1">
        <f>IFERROR(__xludf.DUMMYFUNCTION("""COMPUTED_VALUE"""),6.33)</f>
        <v>6.33</v>
      </c>
      <c r="D226" s="1">
        <f>IFERROR(__xludf.DUMMYFUNCTION("""COMPUTED_VALUE"""),6.19)</f>
        <v>6.19</v>
      </c>
      <c r="E226" s="1">
        <f>IFERROR(__xludf.DUMMYFUNCTION("""COMPUTED_VALUE"""),6.28)</f>
        <v>6.28</v>
      </c>
      <c r="F226" s="1">
        <f>IFERROR(__xludf.DUMMYFUNCTION("""COMPUTED_VALUE"""),580777.0)</f>
        <v>580777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IFERROR(__xludf.DUMMYFUNCTION("""COMPUTED_VALUE"""),6.01)</f>
        <v>6.01</v>
      </c>
      <c r="C227" s="1">
        <f>IFERROR(__xludf.DUMMYFUNCTION("""COMPUTED_VALUE"""),6.02)</f>
        <v>6.02</v>
      </c>
      <c r="D227" s="1">
        <f>IFERROR(__xludf.DUMMYFUNCTION("""COMPUTED_VALUE"""),5.89)</f>
        <v>5.89</v>
      </c>
      <c r="E227" s="1">
        <f>IFERROR(__xludf.DUMMYFUNCTION("""COMPUTED_VALUE"""),5.9)</f>
        <v>5.9</v>
      </c>
      <c r="F227" s="1">
        <f>IFERROR(__xludf.DUMMYFUNCTION("""COMPUTED_VALUE"""),2331902.0)</f>
        <v>2331902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IFERROR(__xludf.DUMMYFUNCTION("""COMPUTED_VALUE"""),5.9)</f>
        <v>5.9</v>
      </c>
      <c r="C228" s="1">
        <f>IFERROR(__xludf.DUMMYFUNCTION("""COMPUTED_VALUE"""),5.93)</f>
        <v>5.93</v>
      </c>
      <c r="D228" s="1">
        <f>IFERROR(__xludf.DUMMYFUNCTION("""COMPUTED_VALUE"""),5.85)</f>
        <v>5.85</v>
      </c>
      <c r="E228" s="1">
        <f>IFERROR(__xludf.DUMMYFUNCTION("""COMPUTED_VALUE"""),5.92)</f>
        <v>5.92</v>
      </c>
      <c r="F228" s="1">
        <f>IFERROR(__xludf.DUMMYFUNCTION("""COMPUTED_VALUE"""),1560310.0)</f>
        <v>1560310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IFERROR(__xludf.DUMMYFUNCTION("""COMPUTED_VALUE"""),5.8)</f>
        <v>5.8</v>
      </c>
      <c r="C229" s="1">
        <f>IFERROR(__xludf.DUMMYFUNCTION("""COMPUTED_VALUE"""),5.85)</f>
        <v>5.85</v>
      </c>
      <c r="D229" s="1">
        <f>IFERROR(__xludf.DUMMYFUNCTION("""COMPUTED_VALUE"""),5.79)</f>
        <v>5.79</v>
      </c>
      <c r="E229" s="1">
        <f>IFERROR(__xludf.DUMMYFUNCTION("""COMPUTED_VALUE"""),5.83)</f>
        <v>5.83</v>
      </c>
      <c r="F229" s="1">
        <f>IFERROR(__xludf.DUMMYFUNCTION("""COMPUTED_VALUE"""),894386.0)</f>
        <v>894386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IFERROR(__xludf.DUMMYFUNCTION("""COMPUTED_VALUE"""),5.68)</f>
        <v>5.68</v>
      </c>
      <c r="C230" s="1">
        <f>IFERROR(__xludf.DUMMYFUNCTION("""COMPUTED_VALUE"""),5.71)</f>
        <v>5.71</v>
      </c>
      <c r="D230" s="1">
        <f>IFERROR(__xludf.DUMMYFUNCTION("""COMPUTED_VALUE"""),5.58)</f>
        <v>5.58</v>
      </c>
      <c r="E230" s="1">
        <f>IFERROR(__xludf.DUMMYFUNCTION("""COMPUTED_VALUE"""),5.71)</f>
        <v>5.71</v>
      </c>
      <c r="F230" s="1">
        <f>IFERROR(__xludf.DUMMYFUNCTION("""COMPUTED_VALUE"""),3121664.0)</f>
        <v>3121664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IFERROR(__xludf.DUMMYFUNCTION("""COMPUTED_VALUE"""),5.46)</f>
        <v>5.46</v>
      </c>
      <c r="C231" s="1">
        <f>IFERROR(__xludf.DUMMYFUNCTION("""COMPUTED_VALUE"""),5.58)</f>
        <v>5.58</v>
      </c>
      <c r="D231" s="1">
        <f>IFERROR(__xludf.DUMMYFUNCTION("""COMPUTED_VALUE"""),5.46)</f>
        <v>5.46</v>
      </c>
      <c r="E231" s="1">
        <f>IFERROR(__xludf.DUMMYFUNCTION("""COMPUTED_VALUE"""),5.53)</f>
        <v>5.53</v>
      </c>
      <c r="F231" s="1">
        <f>IFERROR(__xludf.DUMMYFUNCTION("""COMPUTED_VALUE"""),2401981.0)</f>
        <v>2401981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IFERROR(__xludf.DUMMYFUNCTION("""COMPUTED_VALUE"""),5.81)</f>
        <v>5.81</v>
      </c>
      <c r="C232" s="1">
        <f>IFERROR(__xludf.DUMMYFUNCTION("""COMPUTED_VALUE"""),5.88)</f>
        <v>5.88</v>
      </c>
      <c r="D232" s="1">
        <f>IFERROR(__xludf.DUMMYFUNCTION("""COMPUTED_VALUE"""),5.75)</f>
        <v>5.75</v>
      </c>
      <c r="E232" s="1">
        <f>IFERROR(__xludf.DUMMYFUNCTION("""COMPUTED_VALUE"""),5.88)</f>
        <v>5.88</v>
      </c>
      <c r="F232" s="1">
        <f>IFERROR(__xludf.DUMMYFUNCTION("""COMPUTED_VALUE"""),1192892.0)</f>
        <v>1192892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IFERROR(__xludf.DUMMYFUNCTION("""COMPUTED_VALUE"""),5.76)</f>
        <v>5.76</v>
      </c>
      <c r="C233" s="1">
        <f>IFERROR(__xludf.DUMMYFUNCTION("""COMPUTED_VALUE"""),5.96)</f>
        <v>5.96</v>
      </c>
      <c r="D233" s="1">
        <f>IFERROR(__xludf.DUMMYFUNCTION("""COMPUTED_VALUE"""),5.76)</f>
        <v>5.76</v>
      </c>
      <c r="E233" s="1">
        <f>IFERROR(__xludf.DUMMYFUNCTION("""COMPUTED_VALUE"""),5.96)</f>
        <v>5.96</v>
      </c>
      <c r="F233" s="1">
        <f>IFERROR(__xludf.DUMMYFUNCTION("""COMPUTED_VALUE"""),1958471.0)</f>
        <v>1958471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IFERROR(__xludf.DUMMYFUNCTION("""COMPUTED_VALUE"""),5.94)</f>
        <v>5.94</v>
      </c>
      <c r="C234" s="1">
        <f>IFERROR(__xludf.DUMMYFUNCTION("""COMPUTED_VALUE"""),6.06)</f>
        <v>6.06</v>
      </c>
      <c r="D234" s="1">
        <f>IFERROR(__xludf.DUMMYFUNCTION("""COMPUTED_VALUE"""),5.94)</f>
        <v>5.94</v>
      </c>
      <c r="E234" s="1">
        <f>IFERROR(__xludf.DUMMYFUNCTION("""COMPUTED_VALUE"""),6.03)</f>
        <v>6.03</v>
      </c>
      <c r="F234" s="1">
        <f>IFERROR(__xludf.DUMMYFUNCTION("""COMPUTED_VALUE"""),833283.0)</f>
        <v>833283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IFERROR(__xludf.DUMMYFUNCTION("""COMPUTED_VALUE"""),5.93)</f>
        <v>5.93</v>
      </c>
      <c r="C235" s="1">
        <f>IFERROR(__xludf.DUMMYFUNCTION("""COMPUTED_VALUE"""),5.94)</f>
        <v>5.94</v>
      </c>
      <c r="D235" s="1">
        <f>IFERROR(__xludf.DUMMYFUNCTION("""COMPUTED_VALUE"""),5.88)</f>
        <v>5.88</v>
      </c>
      <c r="E235" s="1">
        <f>IFERROR(__xludf.DUMMYFUNCTION("""COMPUTED_VALUE"""),5.92)</f>
        <v>5.92</v>
      </c>
      <c r="F235" s="1">
        <f>IFERROR(__xludf.DUMMYFUNCTION("""COMPUTED_VALUE"""),1069123.0)</f>
        <v>1069123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IFERROR(__xludf.DUMMYFUNCTION("""COMPUTED_VALUE"""),6.01)</f>
        <v>6.01</v>
      </c>
      <c r="C236" s="1">
        <f>IFERROR(__xludf.DUMMYFUNCTION("""COMPUTED_VALUE"""),6.03)</f>
        <v>6.03</v>
      </c>
      <c r="D236" s="1">
        <f>IFERROR(__xludf.DUMMYFUNCTION("""COMPUTED_VALUE"""),5.92)</f>
        <v>5.92</v>
      </c>
      <c r="E236" s="1">
        <f>IFERROR(__xludf.DUMMYFUNCTION("""COMPUTED_VALUE"""),5.93)</f>
        <v>5.93</v>
      </c>
      <c r="F236" s="1">
        <f>IFERROR(__xludf.DUMMYFUNCTION("""COMPUTED_VALUE"""),616939.0)</f>
        <v>616939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IFERROR(__xludf.DUMMYFUNCTION("""COMPUTED_VALUE"""),5.94)</f>
        <v>5.94</v>
      </c>
      <c r="C237" s="1">
        <f>IFERROR(__xludf.DUMMYFUNCTION("""COMPUTED_VALUE"""),6.04)</f>
        <v>6.04</v>
      </c>
      <c r="D237" s="1">
        <f>IFERROR(__xludf.DUMMYFUNCTION("""COMPUTED_VALUE"""),5.94)</f>
        <v>5.94</v>
      </c>
      <c r="E237" s="1">
        <f>IFERROR(__xludf.DUMMYFUNCTION("""COMPUTED_VALUE"""),6.03)</f>
        <v>6.03</v>
      </c>
      <c r="F237" s="1">
        <f>IFERROR(__xludf.DUMMYFUNCTION("""COMPUTED_VALUE"""),656317.0)</f>
        <v>656317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IFERROR(__xludf.DUMMYFUNCTION("""COMPUTED_VALUE"""),6.13)</f>
        <v>6.13</v>
      </c>
      <c r="C238" s="1">
        <f>IFERROR(__xludf.DUMMYFUNCTION("""COMPUTED_VALUE"""),6.16)</f>
        <v>6.16</v>
      </c>
      <c r="D238" s="1">
        <f>IFERROR(__xludf.DUMMYFUNCTION("""COMPUTED_VALUE"""),6.07)</f>
        <v>6.07</v>
      </c>
      <c r="E238" s="1">
        <f>IFERROR(__xludf.DUMMYFUNCTION("""COMPUTED_VALUE"""),6.14)</f>
        <v>6.14</v>
      </c>
      <c r="F238" s="1">
        <f>IFERROR(__xludf.DUMMYFUNCTION("""COMPUTED_VALUE"""),563404.0)</f>
        <v>563404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IFERROR(__xludf.DUMMYFUNCTION("""COMPUTED_VALUE"""),6.08)</f>
        <v>6.08</v>
      </c>
      <c r="C239" s="1">
        <f>IFERROR(__xludf.DUMMYFUNCTION("""COMPUTED_VALUE"""),6.11)</f>
        <v>6.11</v>
      </c>
      <c r="D239" s="1">
        <f>IFERROR(__xludf.DUMMYFUNCTION("""COMPUTED_VALUE"""),6.01)</f>
        <v>6.01</v>
      </c>
      <c r="E239" s="1">
        <f>IFERROR(__xludf.DUMMYFUNCTION("""COMPUTED_VALUE"""),6.11)</f>
        <v>6.11</v>
      </c>
      <c r="F239" s="1">
        <f>IFERROR(__xludf.DUMMYFUNCTION("""COMPUTED_VALUE"""),925835.0)</f>
        <v>925835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IFERROR(__xludf.DUMMYFUNCTION("""COMPUTED_VALUE"""),6.17)</f>
        <v>6.17</v>
      </c>
      <c r="C240" s="1">
        <f>IFERROR(__xludf.DUMMYFUNCTION("""COMPUTED_VALUE"""),6.22)</f>
        <v>6.22</v>
      </c>
      <c r="D240" s="1">
        <f>IFERROR(__xludf.DUMMYFUNCTION("""COMPUTED_VALUE"""),6.16)</f>
        <v>6.16</v>
      </c>
      <c r="E240" s="1">
        <f>IFERROR(__xludf.DUMMYFUNCTION("""COMPUTED_VALUE"""),6.18)</f>
        <v>6.18</v>
      </c>
      <c r="F240" s="1">
        <f>IFERROR(__xludf.DUMMYFUNCTION("""COMPUTED_VALUE"""),800416.0)</f>
        <v>800416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IFERROR(__xludf.DUMMYFUNCTION("""COMPUTED_VALUE"""),6.23)</f>
        <v>6.23</v>
      </c>
      <c r="C241" s="1">
        <f>IFERROR(__xludf.DUMMYFUNCTION("""COMPUTED_VALUE"""),6.27)</f>
        <v>6.27</v>
      </c>
      <c r="D241" s="1">
        <f>IFERROR(__xludf.DUMMYFUNCTION("""COMPUTED_VALUE"""),6.18)</f>
        <v>6.18</v>
      </c>
      <c r="E241" s="1">
        <f>IFERROR(__xludf.DUMMYFUNCTION("""COMPUTED_VALUE"""),6.2)</f>
        <v>6.2</v>
      </c>
      <c r="F241" s="1">
        <f>IFERROR(__xludf.DUMMYFUNCTION("""COMPUTED_VALUE"""),707815.0)</f>
        <v>707815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IFERROR(__xludf.DUMMYFUNCTION("""COMPUTED_VALUE"""),6.19)</f>
        <v>6.19</v>
      </c>
      <c r="C242" s="1">
        <f>IFERROR(__xludf.DUMMYFUNCTION("""COMPUTED_VALUE"""),6.24)</f>
        <v>6.24</v>
      </c>
      <c r="D242" s="1">
        <f>IFERROR(__xludf.DUMMYFUNCTION("""COMPUTED_VALUE"""),6.08)</f>
        <v>6.08</v>
      </c>
      <c r="E242" s="1">
        <f>IFERROR(__xludf.DUMMYFUNCTION("""COMPUTED_VALUE"""),6.11)</f>
        <v>6.11</v>
      </c>
      <c r="F242" s="1">
        <f>IFERROR(__xludf.DUMMYFUNCTION("""COMPUTED_VALUE"""),528277.0)</f>
        <v>528277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IFERROR(__xludf.DUMMYFUNCTION("""COMPUTED_VALUE"""),6.06)</f>
        <v>6.06</v>
      </c>
      <c r="C243" s="1">
        <f>IFERROR(__xludf.DUMMYFUNCTION("""COMPUTED_VALUE"""),6.09)</f>
        <v>6.09</v>
      </c>
      <c r="D243" s="1">
        <f>IFERROR(__xludf.DUMMYFUNCTION("""COMPUTED_VALUE"""),6.01)</f>
        <v>6.01</v>
      </c>
      <c r="E243" s="1">
        <f>IFERROR(__xludf.DUMMYFUNCTION("""COMPUTED_VALUE"""),6.07)</f>
        <v>6.07</v>
      </c>
      <c r="F243" s="1">
        <f>IFERROR(__xludf.DUMMYFUNCTION("""COMPUTED_VALUE"""),590774.0)</f>
        <v>590774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IFERROR(__xludf.DUMMYFUNCTION("""COMPUTED_VALUE"""),5.98)</f>
        <v>5.98</v>
      </c>
      <c r="C244" s="1">
        <f>IFERROR(__xludf.DUMMYFUNCTION("""COMPUTED_VALUE"""),6.0)</f>
        <v>6</v>
      </c>
      <c r="D244" s="1">
        <f>IFERROR(__xludf.DUMMYFUNCTION("""COMPUTED_VALUE"""),5.92)</f>
        <v>5.92</v>
      </c>
      <c r="E244" s="1">
        <f>IFERROR(__xludf.DUMMYFUNCTION("""COMPUTED_VALUE"""),5.98)</f>
        <v>5.98</v>
      </c>
      <c r="F244" s="1">
        <f>IFERROR(__xludf.DUMMYFUNCTION("""COMPUTED_VALUE"""),1286840.0)</f>
        <v>1286840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IFERROR(__xludf.DUMMYFUNCTION("""COMPUTED_VALUE"""),6.0)</f>
        <v>6</v>
      </c>
      <c r="C245" s="1">
        <f>IFERROR(__xludf.DUMMYFUNCTION("""COMPUTED_VALUE"""),6.02)</f>
        <v>6.02</v>
      </c>
      <c r="D245" s="1">
        <f>IFERROR(__xludf.DUMMYFUNCTION("""COMPUTED_VALUE"""),5.92)</f>
        <v>5.92</v>
      </c>
      <c r="E245" s="1">
        <f>IFERROR(__xludf.DUMMYFUNCTION("""COMPUTED_VALUE"""),5.93)</f>
        <v>5.93</v>
      </c>
      <c r="F245" s="1">
        <f>IFERROR(__xludf.DUMMYFUNCTION("""COMPUTED_VALUE"""),1386897.0)</f>
        <v>1386897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IFERROR(__xludf.DUMMYFUNCTION("""COMPUTED_VALUE"""),6.05)</f>
        <v>6.05</v>
      </c>
      <c r="C246" s="1">
        <f>IFERROR(__xludf.DUMMYFUNCTION("""COMPUTED_VALUE"""),6.09)</f>
        <v>6.09</v>
      </c>
      <c r="D246" s="1">
        <f>IFERROR(__xludf.DUMMYFUNCTION("""COMPUTED_VALUE"""),6.03)</f>
        <v>6.03</v>
      </c>
      <c r="E246" s="1">
        <f>IFERROR(__xludf.DUMMYFUNCTION("""COMPUTED_VALUE"""),6.05)</f>
        <v>6.05</v>
      </c>
      <c r="F246" s="1">
        <f>IFERROR(__xludf.DUMMYFUNCTION("""COMPUTED_VALUE"""),633515.0)</f>
        <v>633515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IFERROR(__xludf.DUMMYFUNCTION("""COMPUTED_VALUE"""),6.05)</f>
        <v>6.05</v>
      </c>
      <c r="C247" s="1">
        <f>IFERROR(__xludf.DUMMYFUNCTION("""COMPUTED_VALUE"""),6.09)</f>
        <v>6.09</v>
      </c>
      <c r="D247" s="1">
        <f>IFERROR(__xludf.DUMMYFUNCTION("""COMPUTED_VALUE"""),6.05)</f>
        <v>6.05</v>
      </c>
      <c r="E247" s="1">
        <f>IFERROR(__xludf.DUMMYFUNCTION("""COMPUTED_VALUE"""),6.08)</f>
        <v>6.08</v>
      </c>
      <c r="F247" s="1">
        <f>IFERROR(__xludf.DUMMYFUNCTION("""COMPUTED_VALUE"""),577558.0)</f>
        <v>577558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IFERROR(__xludf.DUMMYFUNCTION("""COMPUTED_VALUE"""),6.04)</f>
        <v>6.04</v>
      </c>
      <c r="C248" s="1">
        <f>IFERROR(__xludf.DUMMYFUNCTION("""COMPUTED_VALUE"""),6.06)</f>
        <v>6.06</v>
      </c>
      <c r="D248" s="1">
        <f>IFERROR(__xludf.DUMMYFUNCTION("""COMPUTED_VALUE"""),6.01)</f>
        <v>6.01</v>
      </c>
      <c r="E248" s="1">
        <f>IFERROR(__xludf.DUMMYFUNCTION("""COMPUTED_VALUE"""),6.03)</f>
        <v>6.03</v>
      </c>
      <c r="F248" s="1">
        <f>IFERROR(__xludf.DUMMYFUNCTION("""COMPUTED_VALUE"""),406789.0)</f>
        <v>406789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IFERROR(__xludf.DUMMYFUNCTION("""COMPUTED_VALUE"""),6.01)</f>
        <v>6.01</v>
      </c>
      <c r="C249" s="1">
        <f>IFERROR(__xludf.DUMMYFUNCTION("""COMPUTED_VALUE"""),6.07)</f>
        <v>6.07</v>
      </c>
      <c r="D249" s="1">
        <f>IFERROR(__xludf.DUMMYFUNCTION("""COMPUTED_VALUE"""),6.01)</f>
        <v>6.01</v>
      </c>
      <c r="E249" s="1">
        <f>IFERROR(__xludf.DUMMYFUNCTION("""COMPUTED_VALUE"""),6.06)</f>
        <v>6.06</v>
      </c>
      <c r="F249" s="1">
        <f>IFERROR(__xludf.DUMMYFUNCTION("""COMPUTED_VALUE"""),416670.0)</f>
        <v>416670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IFERROR(__xludf.DUMMYFUNCTION("""COMPUTED_VALUE"""),6.08)</f>
        <v>6.08</v>
      </c>
      <c r="C250" s="1">
        <f>IFERROR(__xludf.DUMMYFUNCTION("""COMPUTED_VALUE"""),6.1)</f>
        <v>6.1</v>
      </c>
      <c r="D250" s="1">
        <f>IFERROR(__xludf.DUMMYFUNCTION("""COMPUTED_VALUE"""),6.04)</f>
        <v>6.04</v>
      </c>
      <c r="E250" s="1">
        <f>IFERROR(__xludf.DUMMYFUNCTION("""COMPUTED_VALUE"""),6.06)</f>
        <v>6.06</v>
      </c>
      <c r="F250" s="1">
        <f>IFERROR(__xludf.DUMMYFUNCTION("""COMPUTED_VALUE"""),474891.0)</f>
        <v>474891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IFERROR(__xludf.DUMMYFUNCTION("""COMPUTED_VALUE"""),6.08)</f>
        <v>6.08</v>
      </c>
      <c r="C251" s="1">
        <f>IFERROR(__xludf.DUMMYFUNCTION("""COMPUTED_VALUE"""),6.1)</f>
        <v>6.1</v>
      </c>
      <c r="D251" s="1">
        <f>IFERROR(__xludf.DUMMYFUNCTION("""COMPUTED_VALUE"""),6.07)</f>
        <v>6.07</v>
      </c>
      <c r="E251" s="1">
        <f>IFERROR(__xludf.DUMMYFUNCTION("""COMPUTED_VALUE"""),6.07)</f>
        <v>6.07</v>
      </c>
      <c r="F251" s="1">
        <f>IFERROR(__xludf.DUMMYFUNCTION("""COMPUTED_VALUE"""),539389.0)</f>
        <v>539389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IFERROR(__xludf.DUMMYFUNCTION("""COMPUTED_VALUE"""),6.13)</f>
        <v>6.13</v>
      </c>
      <c r="C252" s="1">
        <f>IFERROR(__xludf.DUMMYFUNCTION("""COMPUTED_VALUE"""),6.13)</f>
        <v>6.13</v>
      </c>
      <c r="D252" s="1">
        <f>IFERROR(__xludf.DUMMYFUNCTION("""COMPUTED_VALUE"""),6.07)</f>
        <v>6.07</v>
      </c>
      <c r="E252" s="1">
        <f>IFERROR(__xludf.DUMMYFUNCTION("""COMPUTED_VALUE"""),6.09)</f>
        <v>6.09</v>
      </c>
      <c r="F252" s="1">
        <f>IFERROR(__xludf.DUMMYFUNCTION("""COMPUTED_VALUE"""),693335.0)</f>
        <v>693335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IFERROR(__xludf.DUMMYFUNCTION("""COMPUTED_VALUE"""),6.1)</f>
        <v>6.1</v>
      </c>
      <c r="C253" s="1">
        <f>IFERROR(__xludf.DUMMYFUNCTION("""COMPUTED_VALUE"""),6.2)</f>
        <v>6.2</v>
      </c>
      <c r="D253" s="1">
        <f>IFERROR(__xludf.DUMMYFUNCTION("""COMPUTED_VALUE"""),6.1)</f>
        <v>6.1</v>
      </c>
      <c r="E253" s="1">
        <f>IFERROR(__xludf.DUMMYFUNCTION("""COMPUTED_VALUE"""),6.13)</f>
        <v>6.13</v>
      </c>
      <c r="F253" s="1">
        <f>IFERROR(__xludf.DUMMYFUNCTION("""COMPUTED_VALUE"""),481428.0)</f>
        <v>481428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IFERROR(__xludf.DUMMYFUNCTION("""COMPUTED_VALUE"""),6.18)</f>
        <v>6.18</v>
      </c>
      <c r="C254" s="1">
        <f>IFERROR(__xludf.DUMMYFUNCTION("""COMPUTED_VALUE"""),6.22)</f>
        <v>6.22</v>
      </c>
      <c r="D254" s="1">
        <f>IFERROR(__xludf.DUMMYFUNCTION("""COMPUTED_VALUE"""),6.14)</f>
        <v>6.14</v>
      </c>
      <c r="E254" s="1">
        <f>IFERROR(__xludf.DUMMYFUNCTION("""COMPUTED_VALUE"""),6.21)</f>
        <v>6.21</v>
      </c>
      <c r="F254" s="1">
        <f>IFERROR(__xludf.DUMMYFUNCTION("""COMPUTED_VALUE"""),846825.0)</f>
        <v>846825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IFERROR(__xludf.DUMMYFUNCTION("""COMPUTED_VALUE"""),6.33)</f>
        <v>6.33</v>
      </c>
      <c r="C255" s="1">
        <f>IFERROR(__xludf.DUMMYFUNCTION("""COMPUTED_VALUE"""),6.33)</f>
        <v>6.33</v>
      </c>
      <c r="D255" s="1">
        <f>IFERROR(__xludf.DUMMYFUNCTION("""COMPUTED_VALUE"""),6.2)</f>
        <v>6.2</v>
      </c>
      <c r="E255" s="1">
        <f>IFERROR(__xludf.DUMMYFUNCTION("""COMPUTED_VALUE"""),6.26)</f>
        <v>6.26</v>
      </c>
      <c r="F255" s="1">
        <f>IFERROR(__xludf.DUMMYFUNCTION("""COMPUTED_VALUE"""),1245398.0)</f>
        <v>1245398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IFERROR(__xludf.DUMMYFUNCTION("""COMPUTED_VALUE"""),6.22)</f>
        <v>6.22</v>
      </c>
      <c r="C256" s="1">
        <f>IFERROR(__xludf.DUMMYFUNCTION("""COMPUTED_VALUE"""),6.37)</f>
        <v>6.37</v>
      </c>
      <c r="D256" s="1">
        <f>IFERROR(__xludf.DUMMYFUNCTION("""COMPUTED_VALUE"""),6.22)</f>
        <v>6.22</v>
      </c>
      <c r="E256" s="1">
        <f>IFERROR(__xludf.DUMMYFUNCTION("""COMPUTED_VALUE"""),6.35)</f>
        <v>6.35</v>
      </c>
      <c r="F256" s="1">
        <f>IFERROR(__xludf.DUMMYFUNCTION("""COMPUTED_VALUE"""),572281.0)</f>
        <v>572281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IFERROR(__xludf.DUMMYFUNCTION("""COMPUTED_VALUE"""),6.4)</f>
        <v>6.4</v>
      </c>
      <c r="C257" s="1">
        <f>IFERROR(__xludf.DUMMYFUNCTION("""COMPUTED_VALUE"""),6.43)</f>
        <v>6.43</v>
      </c>
      <c r="D257" s="1">
        <f>IFERROR(__xludf.DUMMYFUNCTION("""COMPUTED_VALUE"""),6.27)</f>
        <v>6.27</v>
      </c>
      <c r="E257" s="1">
        <f>IFERROR(__xludf.DUMMYFUNCTION("""COMPUTED_VALUE"""),6.29)</f>
        <v>6.29</v>
      </c>
      <c r="F257" s="1">
        <f>IFERROR(__xludf.DUMMYFUNCTION("""COMPUTED_VALUE"""),1985845.0)</f>
        <v>1985845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IFERROR(__xludf.DUMMYFUNCTION("""COMPUTED_VALUE"""),6.4)</f>
        <v>6.4</v>
      </c>
      <c r="C258" s="1">
        <f>IFERROR(__xludf.DUMMYFUNCTION("""COMPUTED_VALUE"""),6.44)</f>
        <v>6.44</v>
      </c>
      <c r="D258" s="1">
        <f>IFERROR(__xludf.DUMMYFUNCTION("""COMPUTED_VALUE"""),6.31)</f>
        <v>6.31</v>
      </c>
      <c r="E258" s="1">
        <f>IFERROR(__xludf.DUMMYFUNCTION("""COMPUTED_VALUE"""),6.34)</f>
        <v>6.34</v>
      </c>
      <c r="F258" s="1">
        <f>IFERROR(__xludf.DUMMYFUNCTION("""COMPUTED_VALUE"""),1629369.0)</f>
        <v>1629369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IFERROR(__xludf.DUMMYFUNCTION("""COMPUTED_VALUE"""),6.32)</f>
        <v>6.32</v>
      </c>
      <c r="C259" s="1">
        <f>IFERROR(__xludf.DUMMYFUNCTION("""COMPUTED_VALUE"""),6.33)</f>
        <v>6.33</v>
      </c>
      <c r="D259" s="1">
        <f>IFERROR(__xludf.DUMMYFUNCTION("""COMPUTED_VALUE"""),6.24)</f>
        <v>6.24</v>
      </c>
      <c r="E259" s="1">
        <f>IFERROR(__xludf.DUMMYFUNCTION("""COMPUTED_VALUE"""),6.31)</f>
        <v>6.31</v>
      </c>
      <c r="F259" s="1">
        <f>IFERROR(__xludf.DUMMYFUNCTION("""COMPUTED_VALUE"""),804913.0)</f>
        <v>804913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IFERROR(__xludf.DUMMYFUNCTION("""COMPUTED_VALUE"""),6.41)</f>
        <v>6.41</v>
      </c>
      <c r="C260" s="1">
        <f>IFERROR(__xludf.DUMMYFUNCTION("""COMPUTED_VALUE"""),6.45)</f>
        <v>6.45</v>
      </c>
      <c r="D260" s="1">
        <f>IFERROR(__xludf.DUMMYFUNCTION("""COMPUTED_VALUE"""),6.37)</f>
        <v>6.37</v>
      </c>
      <c r="E260" s="1">
        <f>IFERROR(__xludf.DUMMYFUNCTION("""COMPUTED_VALUE"""),6.43)</f>
        <v>6.43</v>
      </c>
      <c r="F260" s="1">
        <f>IFERROR(__xludf.DUMMYFUNCTION("""COMPUTED_VALUE"""),573117.0)</f>
        <v>573117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IFERROR(__xludf.DUMMYFUNCTION("""COMPUTED_VALUE"""),6.6)</f>
        <v>6.6</v>
      </c>
      <c r="C261" s="1">
        <f>IFERROR(__xludf.DUMMYFUNCTION("""COMPUTED_VALUE"""),6.66)</f>
        <v>6.66</v>
      </c>
      <c r="D261" s="1">
        <f>IFERROR(__xludf.DUMMYFUNCTION("""COMPUTED_VALUE"""),6.59)</f>
        <v>6.59</v>
      </c>
      <c r="E261" s="1">
        <f>IFERROR(__xludf.DUMMYFUNCTION("""COMPUTED_VALUE"""),6.66)</f>
        <v>6.66</v>
      </c>
      <c r="F261" s="1">
        <f>IFERROR(__xludf.DUMMYFUNCTION("""COMPUTED_VALUE"""),1354537.0)</f>
        <v>1354537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IFERROR(__xludf.DUMMYFUNCTION("""COMPUTED_VALUE"""),6.8)</f>
        <v>6.8</v>
      </c>
      <c r="C262" s="1">
        <f>IFERROR(__xludf.DUMMYFUNCTION("""COMPUTED_VALUE"""),6.88)</f>
        <v>6.88</v>
      </c>
      <c r="D262" s="1">
        <f>IFERROR(__xludf.DUMMYFUNCTION("""COMPUTED_VALUE"""),6.79)</f>
        <v>6.79</v>
      </c>
      <c r="E262" s="1">
        <f>IFERROR(__xludf.DUMMYFUNCTION("""COMPUTED_VALUE"""),6.8)</f>
        <v>6.8</v>
      </c>
      <c r="F262" s="1">
        <f>IFERROR(__xludf.DUMMYFUNCTION("""COMPUTED_VALUE"""),1352905.0)</f>
        <v>1352905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IFERROR(__xludf.DUMMYFUNCTION("""COMPUTED_VALUE"""),6.87)</f>
        <v>6.87</v>
      </c>
      <c r="C263" s="1">
        <f>IFERROR(__xludf.DUMMYFUNCTION("""COMPUTED_VALUE"""),7.03)</f>
        <v>7.03</v>
      </c>
      <c r="D263" s="1">
        <f>IFERROR(__xludf.DUMMYFUNCTION("""COMPUTED_VALUE"""),6.86)</f>
        <v>6.86</v>
      </c>
      <c r="E263" s="1">
        <f>IFERROR(__xludf.DUMMYFUNCTION("""COMPUTED_VALUE"""),7.02)</f>
        <v>7.02</v>
      </c>
      <c r="F263" s="1">
        <f>IFERROR(__xludf.DUMMYFUNCTION("""COMPUTED_VALUE"""),2184699.0)</f>
        <v>2184699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IFERROR(__xludf.DUMMYFUNCTION("""COMPUTED_VALUE"""),7.06)</f>
        <v>7.06</v>
      </c>
      <c r="C264" s="1">
        <f>IFERROR(__xludf.DUMMYFUNCTION("""COMPUTED_VALUE"""),7.22)</f>
        <v>7.22</v>
      </c>
      <c r="D264" s="1">
        <f>IFERROR(__xludf.DUMMYFUNCTION("""COMPUTED_VALUE"""),7.04)</f>
        <v>7.04</v>
      </c>
      <c r="E264" s="1">
        <f>IFERROR(__xludf.DUMMYFUNCTION("""COMPUTED_VALUE"""),7.18)</f>
        <v>7.18</v>
      </c>
      <c r="F264" s="1">
        <f>IFERROR(__xludf.DUMMYFUNCTION("""COMPUTED_VALUE"""),3163995.0)</f>
        <v>3163995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IFERROR(__xludf.DUMMYFUNCTION("""COMPUTED_VALUE"""),7.25)</f>
        <v>7.25</v>
      </c>
      <c r="C265" s="1">
        <f>IFERROR(__xludf.DUMMYFUNCTION("""COMPUTED_VALUE"""),7.26)</f>
        <v>7.26</v>
      </c>
      <c r="D265" s="1">
        <f>IFERROR(__xludf.DUMMYFUNCTION("""COMPUTED_VALUE"""),7.04)</f>
        <v>7.04</v>
      </c>
      <c r="E265" s="1">
        <f>IFERROR(__xludf.DUMMYFUNCTION("""COMPUTED_VALUE"""),7.08)</f>
        <v>7.08</v>
      </c>
      <c r="F265" s="1">
        <f>IFERROR(__xludf.DUMMYFUNCTION("""COMPUTED_VALUE"""),2809172.0)</f>
        <v>2809172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IFERROR(__xludf.DUMMYFUNCTION("""COMPUTED_VALUE"""),7.14)</f>
        <v>7.14</v>
      </c>
      <c r="C266" s="1">
        <f>IFERROR(__xludf.DUMMYFUNCTION("""COMPUTED_VALUE"""),7.2)</f>
        <v>7.2</v>
      </c>
      <c r="D266" s="1">
        <f>IFERROR(__xludf.DUMMYFUNCTION("""COMPUTED_VALUE"""),7.09)</f>
        <v>7.09</v>
      </c>
      <c r="E266" s="1">
        <f>IFERROR(__xludf.DUMMYFUNCTION("""COMPUTED_VALUE"""),7.19)</f>
        <v>7.19</v>
      </c>
      <c r="F266" s="1">
        <f>IFERROR(__xludf.DUMMYFUNCTION("""COMPUTED_VALUE"""),1770228.0)</f>
        <v>1770228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IFERROR(__xludf.DUMMYFUNCTION("""COMPUTED_VALUE"""),7.26)</f>
        <v>7.26</v>
      </c>
      <c r="C267" s="1">
        <f>IFERROR(__xludf.DUMMYFUNCTION("""COMPUTED_VALUE"""),7.31)</f>
        <v>7.31</v>
      </c>
      <c r="D267" s="1">
        <f>IFERROR(__xludf.DUMMYFUNCTION("""COMPUTED_VALUE"""),7.19)</f>
        <v>7.19</v>
      </c>
      <c r="E267" s="1">
        <f>IFERROR(__xludf.DUMMYFUNCTION("""COMPUTED_VALUE"""),7.23)</f>
        <v>7.23</v>
      </c>
      <c r="F267" s="1">
        <f>IFERROR(__xludf.DUMMYFUNCTION("""COMPUTED_VALUE"""),767052.0)</f>
        <v>767052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IFERROR(__xludf.DUMMYFUNCTION("""COMPUTED_VALUE"""),7.23)</f>
        <v>7.23</v>
      </c>
      <c r="C268" s="1">
        <f>IFERROR(__xludf.DUMMYFUNCTION("""COMPUTED_VALUE"""),7.34)</f>
        <v>7.34</v>
      </c>
      <c r="D268" s="1">
        <f>IFERROR(__xludf.DUMMYFUNCTION("""COMPUTED_VALUE"""),7.23)</f>
        <v>7.23</v>
      </c>
      <c r="E268" s="1">
        <f>IFERROR(__xludf.DUMMYFUNCTION("""COMPUTED_VALUE"""),7.33)</f>
        <v>7.33</v>
      </c>
      <c r="F268" s="1">
        <f>IFERROR(__xludf.DUMMYFUNCTION("""COMPUTED_VALUE"""),836402.0)</f>
        <v>836402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IFERROR(__xludf.DUMMYFUNCTION("""COMPUTED_VALUE"""),7.23)</f>
        <v>7.23</v>
      </c>
      <c r="C269" s="1">
        <f>IFERROR(__xludf.DUMMYFUNCTION("""COMPUTED_VALUE"""),7.3)</f>
        <v>7.3</v>
      </c>
      <c r="D269" s="1">
        <f>IFERROR(__xludf.DUMMYFUNCTION("""COMPUTED_VALUE"""),7.2)</f>
        <v>7.2</v>
      </c>
      <c r="E269" s="1">
        <f>IFERROR(__xludf.DUMMYFUNCTION("""COMPUTED_VALUE"""),7.3)</f>
        <v>7.3</v>
      </c>
      <c r="F269" s="1">
        <f>IFERROR(__xludf.DUMMYFUNCTION("""COMPUTED_VALUE"""),1125768.0)</f>
        <v>1125768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IFERROR(__xludf.DUMMYFUNCTION("""COMPUTED_VALUE"""),7.31)</f>
        <v>7.31</v>
      </c>
      <c r="C270" s="1">
        <f>IFERROR(__xludf.DUMMYFUNCTION("""COMPUTED_VALUE"""),7.34)</f>
        <v>7.34</v>
      </c>
      <c r="D270" s="1">
        <f>IFERROR(__xludf.DUMMYFUNCTION("""COMPUTED_VALUE"""),7.28)</f>
        <v>7.28</v>
      </c>
      <c r="E270" s="1">
        <f>IFERROR(__xludf.DUMMYFUNCTION("""COMPUTED_VALUE"""),7.3)</f>
        <v>7.3</v>
      </c>
      <c r="F270" s="1">
        <f>IFERROR(__xludf.DUMMYFUNCTION("""COMPUTED_VALUE"""),654593.0)</f>
        <v>654593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IFERROR(__xludf.DUMMYFUNCTION("""COMPUTED_VALUE"""),7.46)</f>
        <v>7.46</v>
      </c>
      <c r="C271" s="1">
        <f>IFERROR(__xludf.DUMMYFUNCTION("""COMPUTED_VALUE"""),7.54)</f>
        <v>7.54</v>
      </c>
      <c r="D271" s="1">
        <f>IFERROR(__xludf.DUMMYFUNCTION("""COMPUTED_VALUE"""),7.44)</f>
        <v>7.44</v>
      </c>
      <c r="E271" s="1">
        <f>IFERROR(__xludf.DUMMYFUNCTION("""COMPUTED_VALUE"""),7.52)</f>
        <v>7.52</v>
      </c>
      <c r="F271" s="1">
        <f>IFERROR(__xludf.DUMMYFUNCTION("""COMPUTED_VALUE"""),1054896.0)</f>
        <v>1054896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IFERROR(__xludf.DUMMYFUNCTION("""COMPUTED_VALUE"""),7.71)</f>
        <v>7.71</v>
      </c>
      <c r="C272" s="1">
        <f>IFERROR(__xludf.DUMMYFUNCTION("""COMPUTED_VALUE"""),7.75)</f>
        <v>7.75</v>
      </c>
      <c r="D272" s="1">
        <f>IFERROR(__xludf.DUMMYFUNCTION("""COMPUTED_VALUE"""),7.43)</f>
        <v>7.43</v>
      </c>
      <c r="E272" s="1">
        <f>IFERROR(__xludf.DUMMYFUNCTION("""COMPUTED_VALUE"""),7.43)</f>
        <v>7.43</v>
      </c>
      <c r="F272" s="1">
        <f>IFERROR(__xludf.DUMMYFUNCTION("""COMPUTED_VALUE"""),1390450.0)</f>
        <v>1390450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IFERROR(__xludf.DUMMYFUNCTION("""COMPUTED_VALUE"""),7.44)</f>
        <v>7.44</v>
      </c>
      <c r="C273" s="1">
        <f>IFERROR(__xludf.DUMMYFUNCTION("""COMPUTED_VALUE"""),7.45)</f>
        <v>7.45</v>
      </c>
      <c r="D273" s="1">
        <f>IFERROR(__xludf.DUMMYFUNCTION("""COMPUTED_VALUE"""),7.35)</f>
        <v>7.35</v>
      </c>
      <c r="E273" s="1">
        <f>IFERROR(__xludf.DUMMYFUNCTION("""COMPUTED_VALUE"""),7.4)</f>
        <v>7.4</v>
      </c>
      <c r="F273" s="1">
        <f>IFERROR(__xludf.DUMMYFUNCTION("""COMPUTED_VALUE"""),1012212.0)</f>
        <v>1012212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IFERROR(__xludf.DUMMYFUNCTION("""COMPUTED_VALUE"""),7.55)</f>
        <v>7.55</v>
      </c>
      <c r="C274" s="1">
        <f>IFERROR(__xludf.DUMMYFUNCTION("""COMPUTED_VALUE"""),7.8)</f>
        <v>7.8</v>
      </c>
      <c r="D274" s="1">
        <f>IFERROR(__xludf.DUMMYFUNCTION("""COMPUTED_VALUE"""),7.53)</f>
        <v>7.53</v>
      </c>
      <c r="E274" s="1">
        <f>IFERROR(__xludf.DUMMYFUNCTION("""COMPUTED_VALUE"""),7.78)</f>
        <v>7.78</v>
      </c>
      <c r="F274" s="1">
        <f>IFERROR(__xludf.DUMMYFUNCTION("""COMPUTED_VALUE"""),1169704.0)</f>
        <v>1169704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IFERROR(__xludf.DUMMYFUNCTION("""COMPUTED_VALUE"""),7.69)</f>
        <v>7.69</v>
      </c>
      <c r="C275" s="1">
        <f>IFERROR(__xludf.DUMMYFUNCTION("""COMPUTED_VALUE"""),7.71)</f>
        <v>7.71</v>
      </c>
      <c r="D275" s="1">
        <f>IFERROR(__xludf.DUMMYFUNCTION("""COMPUTED_VALUE"""),7.62)</f>
        <v>7.62</v>
      </c>
      <c r="E275" s="1">
        <f>IFERROR(__xludf.DUMMYFUNCTION("""COMPUTED_VALUE"""),7.69)</f>
        <v>7.69</v>
      </c>
      <c r="F275" s="1">
        <f>IFERROR(__xludf.DUMMYFUNCTION("""COMPUTED_VALUE"""),1461941.0)</f>
        <v>1461941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IFERROR(__xludf.DUMMYFUNCTION("""COMPUTED_VALUE"""),7.55)</f>
        <v>7.55</v>
      </c>
      <c r="C276" s="1">
        <f>IFERROR(__xludf.DUMMYFUNCTION("""COMPUTED_VALUE"""),7.55)</f>
        <v>7.55</v>
      </c>
      <c r="D276" s="1">
        <f>IFERROR(__xludf.DUMMYFUNCTION("""COMPUTED_VALUE"""),7.45)</f>
        <v>7.45</v>
      </c>
      <c r="E276" s="1">
        <f>IFERROR(__xludf.DUMMYFUNCTION("""COMPUTED_VALUE"""),7.55)</f>
        <v>7.55</v>
      </c>
      <c r="F276" s="1">
        <f>IFERROR(__xludf.DUMMYFUNCTION("""COMPUTED_VALUE"""),1023315.0)</f>
        <v>1023315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IFERROR(__xludf.DUMMYFUNCTION("""COMPUTED_VALUE"""),7.56)</f>
        <v>7.56</v>
      </c>
      <c r="C277" s="1">
        <f>IFERROR(__xludf.DUMMYFUNCTION("""COMPUTED_VALUE"""),7.61)</f>
        <v>7.61</v>
      </c>
      <c r="D277" s="1">
        <f>IFERROR(__xludf.DUMMYFUNCTION("""COMPUTED_VALUE"""),7.51)</f>
        <v>7.51</v>
      </c>
      <c r="E277" s="1">
        <f>IFERROR(__xludf.DUMMYFUNCTION("""COMPUTED_VALUE"""),7.61)</f>
        <v>7.61</v>
      </c>
      <c r="F277" s="1">
        <f>IFERROR(__xludf.DUMMYFUNCTION("""COMPUTED_VALUE"""),774399.0)</f>
        <v>774399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IFERROR(__xludf.DUMMYFUNCTION("""COMPUTED_VALUE"""),7.47)</f>
        <v>7.47</v>
      </c>
      <c r="C278" s="1">
        <f>IFERROR(__xludf.DUMMYFUNCTION("""COMPUTED_VALUE"""),7.58)</f>
        <v>7.58</v>
      </c>
      <c r="D278" s="1">
        <f>IFERROR(__xludf.DUMMYFUNCTION("""COMPUTED_VALUE"""),7.46)</f>
        <v>7.46</v>
      </c>
      <c r="E278" s="1">
        <f>IFERROR(__xludf.DUMMYFUNCTION("""COMPUTED_VALUE"""),7.55)</f>
        <v>7.55</v>
      </c>
      <c r="F278" s="1">
        <f>IFERROR(__xludf.DUMMYFUNCTION("""COMPUTED_VALUE"""),1113575.0)</f>
        <v>1113575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IFERROR(__xludf.DUMMYFUNCTION("""COMPUTED_VALUE"""),7.64)</f>
        <v>7.64</v>
      </c>
      <c r="C279" s="1">
        <f>IFERROR(__xludf.DUMMYFUNCTION("""COMPUTED_VALUE"""),7.75)</f>
        <v>7.75</v>
      </c>
      <c r="D279" s="1">
        <f>IFERROR(__xludf.DUMMYFUNCTION("""COMPUTED_VALUE"""),7.63)</f>
        <v>7.63</v>
      </c>
      <c r="E279" s="1">
        <f>IFERROR(__xludf.DUMMYFUNCTION("""COMPUTED_VALUE"""),7.73)</f>
        <v>7.73</v>
      </c>
      <c r="F279" s="1">
        <f>IFERROR(__xludf.DUMMYFUNCTION("""COMPUTED_VALUE"""),1119635.0)</f>
        <v>1119635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IFERROR(__xludf.DUMMYFUNCTION("""COMPUTED_VALUE"""),7.66)</f>
        <v>7.66</v>
      </c>
      <c r="C280" s="1">
        <f>IFERROR(__xludf.DUMMYFUNCTION("""COMPUTED_VALUE"""),7.72)</f>
        <v>7.72</v>
      </c>
      <c r="D280" s="1">
        <f>IFERROR(__xludf.DUMMYFUNCTION("""COMPUTED_VALUE"""),7.65)</f>
        <v>7.65</v>
      </c>
      <c r="E280" s="1">
        <f>IFERROR(__xludf.DUMMYFUNCTION("""COMPUTED_VALUE"""),7.71)</f>
        <v>7.71</v>
      </c>
      <c r="F280" s="1">
        <f>IFERROR(__xludf.DUMMYFUNCTION("""COMPUTED_VALUE"""),970342.0)</f>
        <v>970342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IFERROR(__xludf.DUMMYFUNCTION("""COMPUTED_VALUE"""),7.5)</f>
        <v>7.5</v>
      </c>
      <c r="C281" s="1">
        <f>IFERROR(__xludf.DUMMYFUNCTION("""COMPUTED_VALUE"""),7.59)</f>
        <v>7.59</v>
      </c>
      <c r="D281" s="1">
        <f>IFERROR(__xludf.DUMMYFUNCTION("""COMPUTED_VALUE"""),7.47)</f>
        <v>7.47</v>
      </c>
      <c r="E281" s="1">
        <f>IFERROR(__xludf.DUMMYFUNCTION("""COMPUTED_VALUE"""),7.55)</f>
        <v>7.55</v>
      </c>
      <c r="F281" s="1">
        <f>IFERROR(__xludf.DUMMYFUNCTION("""COMPUTED_VALUE"""),1938964.0)</f>
        <v>1938964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IFERROR(__xludf.DUMMYFUNCTION("""COMPUTED_VALUE"""),7.45)</f>
        <v>7.45</v>
      </c>
      <c r="C282" s="1">
        <f>IFERROR(__xludf.DUMMYFUNCTION("""COMPUTED_VALUE"""),7.59)</f>
        <v>7.59</v>
      </c>
      <c r="D282" s="1">
        <f>IFERROR(__xludf.DUMMYFUNCTION("""COMPUTED_VALUE"""),7.43)</f>
        <v>7.43</v>
      </c>
      <c r="E282" s="1">
        <f>IFERROR(__xludf.DUMMYFUNCTION("""COMPUTED_VALUE"""),7.55)</f>
        <v>7.55</v>
      </c>
      <c r="F282" s="1">
        <f>IFERROR(__xludf.DUMMYFUNCTION("""COMPUTED_VALUE"""),1647746.0)</f>
        <v>1647746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IFERROR(__xludf.DUMMYFUNCTION("""COMPUTED_VALUE"""),7.39)</f>
        <v>7.39</v>
      </c>
      <c r="C283" s="1">
        <f>IFERROR(__xludf.DUMMYFUNCTION("""COMPUTED_VALUE"""),7.47)</f>
        <v>7.47</v>
      </c>
      <c r="D283" s="1">
        <f>IFERROR(__xludf.DUMMYFUNCTION("""COMPUTED_VALUE"""),7.36)</f>
        <v>7.36</v>
      </c>
      <c r="E283" s="1">
        <f>IFERROR(__xludf.DUMMYFUNCTION("""COMPUTED_VALUE"""),7.46)</f>
        <v>7.46</v>
      </c>
      <c r="F283" s="1">
        <f>IFERROR(__xludf.DUMMYFUNCTION("""COMPUTED_VALUE"""),858899.0)</f>
        <v>858899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IFERROR(__xludf.DUMMYFUNCTION("""COMPUTED_VALUE"""),7.41)</f>
        <v>7.41</v>
      </c>
      <c r="C284" s="1">
        <f>IFERROR(__xludf.DUMMYFUNCTION("""COMPUTED_VALUE"""),7.46)</f>
        <v>7.46</v>
      </c>
      <c r="D284" s="1">
        <f>IFERROR(__xludf.DUMMYFUNCTION("""COMPUTED_VALUE"""),7.38)</f>
        <v>7.38</v>
      </c>
      <c r="E284" s="1">
        <f>IFERROR(__xludf.DUMMYFUNCTION("""COMPUTED_VALUE"""),7.39)</f>
        <v>7.39</v>
      </c>
      <c r="F284" s="1">
        <f>IFERROR(__xludf.DUMMYFUNCTION("""COMPUTED_VALUE"""),1228430.0)</f>
        <v>1228430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IFERROR(__xludf.DUMMYFUNCTION("""COMPUTED_VALUE"""),7.46)</f>
        <v>7.46</v>
      </c>
      <c r="C285" s="1">
        <f>IFERROR(__xludf.DUMMYFUNCTION("""COMPUTED_VALUE"""),7.64)</f>
        <v>7.64</v>
      </c>
      <c r="D285" s="1">
        <f>IFERROR(__xludf.DUMMYFUNCTION("""COMPUTED_VALUE"""),7.46)</f>
        <v>7.46</v>
      </c>
      <c r="E285" s="1">
        <f>IFERROR(__xludf.DUMMYFUNCTION("""COMPUTED_VALUE"""),7.64)</f>
        <v>7.64</v>
      </c>
      <c r="F285" s="1">
        <f>IFERROR(__xludf.DUMMYFUNCTION("""COMPUTED_VALUE"""),2078785.0)</f>
        <v>2078785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IFERROR(__xludf.DUMMYFUNCTION("""COMPUTED_VALUE"""),7.6)</f>
        <v>7.6</v>
      </c>
      <c r="C286" s="1">
        <f>IFERROR(__xludf.DUMMYFUNCTION("""COMPUTED_VALUE"""),7.7)</f>
        <v>7.7</v>
      </c>
      <c r="D286" s="1">
        <f>IFERROR(__xludf.DUMMYFUNCTION("""COMPUTED_VALUE"""),7.58)</f>
        <v>7.58</v>
      </c>
      <c r="E286" s="1">
        <f>IFERROR(__xludf.DUMMYFUNCTION("""COMPUTED_VALUE"""),7.68)</f>
        <v>7.68</v>
      </c>
      <c r="F286" s="1">
        <f>IFERROR(__xludf.DUMMYFUNCTION("""COMPUTED_VALUE"""),819731.0)</f>
        <v>819731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IFERROR(__xludf.DUMMYFUNCTION("""COMPUTED_VALUE"""),7.62)</f>
        <v>7.62</v>
      </c>
      <c r="C287" s="1">
        <f>IFERROR(__xludf.DUMMYFUNCTION("""COMPUTED_VALUE"""),7.73)</f>
        <v>7.73</v>
      </c>
      <c r="D287" s="1">
        <f>IFERROR(__xludf.DUMMYFUNCTION("""COMPUTED_VALUE"""),7.62)</f>
        <v>7.62</v>
      </c>
      <c r="E287" s="1">
        <f>IFERROR(__xludf.DUMMYFUNCTION("""COMPUTED_VALUE"""),7.69)</f>
        <v>7.69</v>
      </c>
      <c r="F287" s="1">
        <f>IFERROR(__xludf.DUMMYFUNCTION("""COMPUTED_VALUE"""),567381.0)</f>
        <v>567381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IFERROR(__xludf.DUMMYFUNCTION("""COMPUTED_VALUE"""),7.5)</f>
        <v>7.5</v>
      </c>
      <c r="C288" s="1">
        <f>IFERROR(__xludf.DUMMYFUNCTION("""COMPUTED_VALUE"""),7.56)</f>
        <v>7.56</v>
      </c>
      <c r="D288" s="1">
        <f>IFERROR(__xludf.DUMMYFUNCTION("""COMPUTED_VALUE"""),7.4)</f>
        <v>7.4</v>
      </c>
      <c r="E288" s="1">
        <f>IFERROR(__xludf.DUMMYFUNCTION("""COMPUTED_VALUE"""),7.44)</f>
        <v>7.44</v>
      </c>
      <c r="F288" s="1">
        <f>IFERROR(__xludf.DUMMYFUNCTION("""COMPUTED_VALUE"""),1410846.0)</f>
        <v>1410846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IFERROR(__xludf.DUMMYFUNCTION("""COMPUTED_VALUE"""),7.52)</f>
        <v>7.52</v>
      </c>
      <c r="C289" s="1">
        <f>IFERROR(__xludf.DUMMYFUNCTION("""COMPUTED_VALUE"""),7.57)</f>
        <v>7.57</v>
      </c>
      <c r="D289" s="1">
        <f>IFERROR(__xludf.DUMMYFUNCTION("""COMPUTED_VALUE"""),7.39)</f>
        <v>7.39</v>
      </c>
      <c r="E289" s="1">
        <f>IFERROR(__xludf.DUMMYFUNCTION("""COMPUTED_VALUE"""),7.42)</f>
        <v>7.42</v>
      </c>
      <c r="F289" s="1">
        <f>IFERROR(__xludf.DUMMYFUNCTION("""COMPUTED_VALUE"""),842760.0)</f>
        <v>842760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IFERROR(__xludf.DUMMYFUNCTION("""COMPUTED_VALUE"""),7.39)</f>
        <v>7.39</v>
      </c>
      <c r="C290" s="1">
        <f>IFERROR(__xludf.DUMMYFUNCTION("""COMPUTED_VALUE"""),7.46)</f>
        <v>7.46</v>
      </c>
      <c r="D290" s="1">
        <f>IFERROR(__xludf.DUMMYFUNCTION("""COMPUTED_VALUE"""),7.32)</f>
        <v>7.32</v>
      </c>
      <c r="E290" s="1">
        <f>IFERROR(__xludf.DUMMYFUNCTION("""COMPUTED_VALUE"""),7.38)</f>
        <v>7.38</v>
      </c>
      <c r="F290" s="1">
        <f>IFERROR(__xludf.DUMMYFUNCTION("""COMPUTED_VALUE"""),2756637.0)</f>
        <v>2756637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IFERROR(__xludf.DUMMYFUNCTION("""COMPUTED_VALUE"""),7.54)</f>
        <v>7.54</v>
      </c>
      <c r="C291" s="1">
        <f>IFERROR(__xludf.DUMMYFUNCTION("""COMPUTED_VALUE"""),7.65)</f>
        <v>7.65</v>
      </c>
      <c r="D291" s="1">
        <f>IFERROR(__xludf.DUMMYFUNCTION("""COMPUTED_VALUE"""),7.51)</f>
        <v>7.51</v>
      </c>
      <c r="E291" s="1">
        <f>IFERROR(__xludf.DUMMYFUNCTION("""COMPUTED_VALUE"""),7.62)</f>
        <v>7.62</v>
      </c>
      <c r="F291" s="1">
        <f>IFERROR(__xludf.DUMMYFUNCTION("""COMPUTED_VALUE"""),1805566.0)</f>
        <v>1805566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IFERROR(__xludf.DUMMYFUNCTION("""COMPUTED_VALUE"""),7.64)</f>
        <v>7.64</v>
      </c>
      <c r="C292" s="1">
        <f>IFERROR(__xludf.DUMMYFUNCTION("""COMPUTED_VALUE"""),7.71)</f>
        <v>7.71</v>
      </c>
      <c r="D292" s="1">
        <f>IFERROR(__xludf.DUMMYFUNCTION("""COMPUTED_VALUE"""),7.63)</f>
        <v>7.63</v>
      </c>
      <c r="E292" s="1">
        <f>IFERROR(__xludf.DUMMYFUNCTION("""COMPUTED_VALUE"""),7.69)</f>
        <v>7.69</v>
      </c>
      <c r="F292" s="1">
        <f>IFERROR(__xludf.DUMMYFUNCTION("""COMPUTED_VALUE"""),1166612.0)</f>
        <v>1166612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IFERROR(__xludf.DUMMYFUNCTION("""COMPUTED_VALUE"""),7.73)</f>
        <v>7.73</v>
      </c>
      <c r="C293" s="1">
        <f>IFERROR(__xludf.DUMMYFUNCTION("""COMPUTED_VALUE"""),7.75)</f>
        <v>7.75</v>
      </c>
      <c r="D293" s="1">
        <f>IFERROR(__xludf.DUMMYFUNCTION("""COMPUTED_VALUE"""),7.52)</f>
        <v>7.52</v>
      </c>
      <c r="E293" s="1">
        <f>IFERROR(__xludf.DUMMYFUNCTION("""COMPUTED_VALUE"""),7.54)</f>
        <v>7.54</v>
      </c>
      <c r="F293" s="1">
        <f>IFERROR(__xludf.DUMMYFUNCTION("""COMPUTED_VALUE"""),1438480.0)</f>
        <v>1438480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IFERROR(__xludf.DUMMYFUNCTION("""COMPUTED_VALUE"""),7.58)</f>
        <v>7.58</v>
      </c>
      <c r="C294" s="1">
        <f>IFERROR(__xludf.DUMMYFUNCTION("""COMPUTED_VALUE"""),7.62)</f>
        <v>7.62</v>
      </c>
      <c r="D294" s="1">
        <f>IFERROR(__xludf.DUMMYFUNCTION("""COMPUTED_VALUE"""),7.5)</f>
        <v>7.5</v>
      </c>
      <c r="E294" s="1">
        <f>IFERROR(__xludf.DUMMYFUNCTION("""COMPUTED_VALUE"""),7.55)</f>
        <v>7.55</v>
      </c>
      <c r="F294" s="1">
        <f>IFERROR(__xludf.DUMMYFUNCTION("""COMPUTED_VALUE"""),895386.0)</f>
        <v>895386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IFERROR(__xludf.DUMMYFUNCTION("""COMPUTED_VALUE"""),7.67)</f>
        <v>7.67</v>
      </c>
      <c r="C295" s="1">
        <f>IFERROR(__xludf.DUMMYFUNCTION("""COMPUTED_VALUE"""),7.75)</f>
        <v>7.75</v>
      </c>
      <c r="D295" s="1">
        <f>IFERROR(__xludf.DUMMYFUNCTION("""COMPUTED_VALUE"""),7.61)</f>
        <v>7.61</v>
      </c>
      <c r="E295" s="1">
        <f>IFERROR(__xludf.DUMMYFUNCTION("""COMPUTED_VALUE"""),7.74)</f>
        <v>7.74</v>
      </c>
      <c r="F295" s="1">
        <f>IFERROR(__xludf.DUMMYFUNCTION("""COMPUTED_VALUE"""),760329.0)</f>
        <v>760329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IFERROR(__xludf.DUMMYFUNCTION("""COMPUTED_VALUE"""),7.78)</f>
        <v>7.78</v>
      </c>
      <c r="C296" s="1">
        <f>IFERROR(__xludf.DUMMYFUNCTION("""COMPUTED_VALUE"""),7.81)</f>
        <v>7.81</v>
      </c>
      <c r="D296" s="1">
        <f>IFERROR(__xludf.DUMMYFUNCTION("""COMPUTED_VALUE"""),7.66)</f>
        <v>7.66</v>
      </c>
      <c r="E296" s="1">
        <f>IFERROR(__xludf.DUMMYFUNCTION("""COMPUTED_VALUE"""),7.75)</f>
        <v>7.75</v>
      </c>
      <c r="F296" s="1">
        <f>IFERROR(__xludf.DUMMYFUNCTION("""COMPUTED_VALUE"""),1118506.0)</f>
        <v>1118506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IFERROR(__xludf.DUMMYFUNCTION("""COMPUTED_VALUE"""),7.8)</f>
        <v>7.8</v>
      </c>
      <c r="C297" s="1">
        <f>IFERROR(__xludf.DUMMYFUNCTION("""COMPUTED_VALUE"""),7.84)</f>
        <v>7.84</v>
      </c>
      <c r="D297" s="1">
        <f>IFERROR(__xludf.DUMMYFUNCTION("""COMPUTED_VALUE"""),7.62)</f>
        <v>7.62</v>
      </c>
      <c r="E297" s="1">
        <f>IFERROR(__xludf.DUMMYFUNCTION("""COMPUTED_VALUE"""),7.7)</f>
        <v>7.7</v>
      </c>
      <c r="F297" s="1">
        <f>IFERROR(__xludf.DUMMYFUNCTION("""COMPUTED_VALUE"""),2703847.0)</f>
        <v>2703847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IFERROR(__xludf.DUMMYFUNCTION("""COMPUTED_VALUE"""),7.78)</f>
        <v>7.78</v>
      </c>
      <c r="C298" s="1">
        <f>IFERROR(__xludf.DUMMYFUNCTION("""COMPUTED_VALUE"""),7.85)</f>
        <v>7.85</v>
      </c>
      <c r="D298" s="1">
        <f>IFERROR(__xludf.DUMMYFUNCTION("""COMPUTED_VALUE"""),7.73)</f>
        <v>7.73</v>
      </c>
      <c r="E298" s="1">
        <f>IFERROR(__xludf.DUMMYFUNCTION("""COMPUTED_VALUE"""),7.82)</f>
        <v>7.82</v>
      </c>
      <c r="F298" s="1">
        <f>IFERROR(__xludf.DUMMYFUNCTION("""COMPUTED_VALUE"""),1534181.0)</f>
        <v>1534181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IFERROR(__xludf.DUMMYFUNCTION("""COMPUTED_VALUE"""),7.85)</f>
        <v>7.85</v>
      </c>
      <c r="C299" s="1">
        <f>IFERROR(__xludf.DUMMYFUNCTION("""COMPUTED_VALUE"""),7.93)</f>
        <v>7.93</v>
      </c>
      <c r="D299" s="1">
        <f>IFERROR(__xludf.DUMMYFUNCTION("""COMPUTED_VALUE"""),7.84)</f>
        <v>7.84</v>
      </c>
      <c r="E299" s="1">
        <f>IFERROR(__xludf.DUMMYFUNCTION("""COMPUTED_VALUE"""),7.92)</f>
        <v>7.92</v>
      </c>
      <c r="F299" s="1">
        <f>IFERROR(__xludf.DUMMYFUNCTION("""COMPUTED_VALUE"""),831484.0)</f>
        <v>831484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IFERROR(__xludf.DUMMYFUNCTION("""COMPUTED_VALUE"""),7.69)</f>
        <v>7.69</v>
      </c>
      <c r="C300" s="1">
        <f>IFERROR(__xludf.DUMMYFUNCTION("""COMPUTED_VALUE"""),7.69)</f>
        <v>7.69</v>
      </c>
      <c r="D300" s="1">
        <f>IFERROR(__xludf.DUMMYFUNCTION("""COMPUTED_VALUE"""),7.51)</f>
        <v>7.51</v>
      </c>
      <c r="E300" s="1">
        <f>IFERROR(__xludf.DUMMYFUNCTION("""COMPUTED_VALUE"""),7.57)</f>
        <v>7.57</v>
      </c>
      <c r="F300" s="1">
        <f>IFERROR(__xludf.DUMMYFUNCTION("""COMPUTED_VALUE"""),1345903.0)</f>
        <v>1345903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IFERROR(__xludf.DUMMYFUNCTION("""COMPUTED_VALUE"""),7.37)</f>
        <v>7.37</v>
      </c>
      <c r="C301" s="1">
        <f>IFERROR(__xludf.DUMMYFUNCTION("""COMPUTED_VALUE"""),7.49)</f>
        <v>7.49</v>
      </c>
      <c r="D301" s="1">
        <f>IFERROR(__xludf.DUMMYFUNCTION("""COMPUTED_VALUE"""),7.37)</f>
        <v>7.37</v>
      </c>
      <c r="E301" s="1">
        <f>IFERROR(__xludf.DUMMYFUNCTION("""COMPUTED_VALUE"""),7.49)</f>
        <v>7.49</v>
      </c>
      <c r="F301" s="1">
        <f>IFERROR(__xludf.DUMMYFUNCTION("""COMPUTED_VALUE"""),942856.0)</f>
        <v>942856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IFERROR(__xludf.DUMMYFUNCTION("""COMPUTED_VALUE"""),7.34)</f>
        <v>7.34</v>
      </c>
      <c r="C302" s="1">
        <f>IFERROR(__xludf.DUMMYFUNCTION("""COMPUTED_VALUE"""),7.37)</f>
        <v>7.37</v>
      </c>
      <c r="D302" s="1">
        <f>IFERROR(__xludf.DUMMYFUNCTION("""COMPUTED_VALUE"""),7.25)</f>
        <v>7.25</v>
      </c>
      <c r="E302" s="1">
        <f>IFERROR(__xludf.DUMMYFUNCTION("""COMPUTED_VALUE"""),7.33)</f>
        <v>7.33</v>
      </c>
      <c r="F302" s="1">
        <f>IFERROR(__xludf.DUMMYFUNCTION("""COMPUTED_VALUE"""),947185.0)</f>
        <v>947185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IFERROR(__xludf.DUMMYFUNCTION("""COMPUTED_VALUE"""),6.94)</f>
        <v>6.94</v>
      </c>
      <c r="C303" s="1">
        <f>IFERROR(__xludf.DUMMYFUNCTION("""COMPUTED_VALUE"""),7.18)</f>
        <v>7.18</v>
      </c>
      <c r="D303" s="1">
        <f>IFERROR(__xludf.DUMMYFUNCTION("""COMPUTED_VALUE"""),6.88)</f>
        <v>6.88</v>
      </c>
      <c r="E303" s="1">
        <f>IFERROR(__xludf.DUMMYFUNCTION("""COMPUTED_VALUE"""),7.16)</f>
        <v>7.16</v>
      </c>
      <c r="F303" s="1">
        <f>IFERROR(__xludf.DUMMYFUNCTION("""COMPUTED_VALUE"""),1473582.0)</f>
        <v>1473582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IFERROR(__xludf.DUMMYFUNCTION("""COMPUTED_VALUE"""),7.05)</f>
        <v>7.05</v>
      </c>
      <c r="C304" s="1">
        <f>IFERROR(__xludf.DUMMYFUNCTION("""COMPUTED_VALUE"""),7.1)</f>
        <v>7.1</v>
      </c>
      <c r="D304" s="1">
        <f>IFERROR(__xludf.DUMMYFUNCTION("""COMPUTED_VALUE"""),6.67)</f>
        <v>6.67</v>
      </c>
      <c r="E304" s="1">
        <f>IFERROR(__xludf.DUMMYFUNCTION("""COMPUTED_VALUE"""),6.78)</f>
        <v>6.78</v>
      </c>
      <c r="F304" s="1">
        <f>IFERROR(__xludf.DUMMYFUNCTION("""COMPUTED_VALUE"""),2650256.0)</f>
        <v>2650256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IFERROR(__xludf.DUMMYFUNCTION("""COMPUTED_VALUE"""),7.03)</f>
        <v>7.03</v>
      </c>
      <c r="C305" s="1">
        <f>IFERROR(__xludf.DUMMYFUNCTION("""COMPUTED_VALUE"""),7.07)</f>
        <v>7.07</v>
      </c>
      <c r="D305" s="1">
        <f>IFERROR(__xludf.DUMMYFUNCTION("""COMPUTED_VALUE"""),6.99)</f>
        <v>6.99</v>
      </c>
      <c r="E305" s="1">
        <f>IFERROR(__xludf.DUMMYFUNCTION("""COMPUTED_VALUE"""),7.0)</f>
        <v>7</v>
      </c>
      <c r="F305" s="1">
        <f>IFERROR(__xludf.DUMMYFUNCTION("""COMPUTED_VALUE"""),1094138.0)</f>
        <v>1094138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IFERROR(__xludf.DUMMYFUNCTION("""COMPUTED_VALUE"""),7.17)</f>
        <v>7.17</v>
      </c>
      <c r="C306" s="1">
        <f>IFERROR(__xludf.DUMMYFUNCTION("""COMPUTED_VALUE"""),7.2)</f>
        <v>7.2</v>
      </c>
      <c r="D306" s="1">
        <f>IFERROR(__xludf.DUMMYFUNCTION("""COMPUTED_VALUE"""),7.12)</f>
        <v>7.12</v>
      </c>
      <c r="E306" s="1">
        <f>IFERROR(__xludf.DUMMYFUNCTION("""COMPUTED_VALUE"""),7.16)</f>
        <v>7.16</v>
      </c>
      <c r="F306" s="1">
        <f>IFERROR(__xludf.DUMMYFUNCTION("""COMPUTED_VALUE"""),1102657.0)</f>
        <v>1102657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IFERROR(__xludf.DUMMYFUNCTION("""COMPUTED_VALUE"""),7.35)</f>
        <v>7.35</v>
      </c>
      <c r="C307" s="1">
        <f>IFERROR(__xludf.DUMMYFUNCTION("""COMPUTED_VALUE"""),7.46)</f>
        <v>7.46</v>
      </c>
      <c r="D307" s="1">
        <f>IFERROR(__xludf.DUMMYFUNCTION("""COMPUTED_VALUE"""),7.32)</f>
        <v>7.32</v>
      </c>
      <c r="E307" s="1">
        <f>IFERROR(__xludf.DUMMYFUNCTION("""COMPUTED_VALUE"""),7.42)</f>
        <v>7.42</v>
      </c>
      <c r="F307" s="1">
        <f>IFERROR(__xludf.DUMMYFUNCTION("""COMPUTED_VALUE"""),1325263.0)</f>
        <v>1325263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IFERROR(__xludf.DUMMYFUNCTION("""COMPUTED_VALUE"""),7.4)</f>
        <v>7.4</v>
      </c>
      <c r="C308" s="1">
        <f>IFERROR(__xludf.DUMMYFUNCTION("""COMPUTED_VALUE"""),7.41)</f>
        <v>7.41</v>
      </c>
      <c r="D308" s="1">
        <f>IFERROR(__xludf.DUMMYFUNCTION("""COMPUTED_VALUE"""),7.32)</f>
        <v>7.32</v>
      </c>
      <c r="E308" s="1">
        <f>IFERROR(__xludf.DUMMYFUNCTION("""COMPUTED_VALUE"""),7.37)</f>
        <v>7.37</v>
      </c>
      <c r="F308" s="1">
        <f>IFERROR(__xludf.DUMMYFUNCTION("""COMPUTED_VALUE"""),1451574.0)</f>
        <v>1451574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IFERROR(__xludf.DUMMYFUNCTION("""COMPUTED_VALUE"""),7.28)</f>
        <v>7.28</v>
      </c>
      <c r="C309" s="1">
        <f>IFERROR(__xludf.DUMMYFUNCTION("""COMPUTED_VALUE"""),7.42)</f>
        <v>7.42</v>
      </c>
      <c r="D309" s="1">
        <f>IFERROR(__xludf.DUMMYFUNCTION("""COMPUTED_VALUE"""),7.27)</f>
        <v>7.27</v>
      </c>
      <c r="E309" s="1">
        <f>IFERROR(__xludf.DUMMYFUNCTION("""COMPUTED_VALUE"""),7.39)</f>
        <v>7.39</v>
      </c>
      <c r="F309" s="1">
        <f>IFERROR(__xludf.DUMMYFUNCTION("""COMPUTED_VALUE"""),1039886.0)</f>
        <v>1039886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IFERROR(__xludf.DUMMYFUNCTION("""COMPUTED_VALUE"""),7.48)</f>
        <v>7.48</v>
      </c>
      <c r="C310" s="1">
        <f>IFERROR(__xludf.DUMMYFUNCTION("""COMPUTED_VALUE"""),7.55)</f>
        <v>7.55</v>
      </c>
      <c r="D310" s="1">
        <f>IFERROR(__xludf.DUMMYFUNCTION("""COMPUTED_VALUE"""),7.43)</f>
        <v>7.43</v>
      </c>
      <c r="E310" s="1">
        <f>IFERROR(__xludf.DUMMYFUNCTION("""COMPUTED_VALUE"""),7.53)</f>
        <v>7.53</v>
      </c>
      <c r="F310" s="1">
        <f>IFERROR(__xludf.DUMMYFUNCTION("""COMPUTED_VALUE"""),1043471.0)</f>
        <v>1043471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IFERROR(__xludf.DUMMYFUNCTION("""COMPUTED_VALUE"""),7.52)</f>
        <v>7.52</v>
      </c>
      <c r="C311" s="1">
        <f>IFERROR(__xludf.DUMMYFUNCTION("""COMPUTED_VALUE"""),7.54)</f>
        <v>7.54</v>
      </c>
      <c r="D311" s="1">
        <f>IFERROR(__xludf.DUMMYFUNCTION("""COMPUTED_VALUE"""),7.44)</f>
        <v>7.44</v>
      </c>
      <c r="E311" s="1">
        <f>IFERROR(__xludf.DUMMYFUNCTION("""COMPUTED_VALUE"""),7.44)</f>
        <v>7.44</v>
      </c>
      <c r="F311" s="1">
        <f>IFERROR(__xludf.DUMMYFUNCTION("""COMPUTED_VALUE"""),544485.0)</f>
        <v>544485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IFERROR(__xludf.DUMMYFUNCTION("""COMPUTED_VALUE"""),7.49)</f>
        <v>7.49</v>
      </c>
      <c r="C312" s="1">
        <f>IFERROR(__xludf.DUMMYFUNCTION("""COMPUTED_VALUE"""),7.54)</f>
        <v>7.54</v>
      </c>
      <c r="D312" s="1">
        <f>IFERROR(__xludf.DUMMYFUNCTION("""COMPUTED_VALUE"""),7.47)</f>
        <v>7.47</v>
      </c>
      <c r="E312" s="1">
        <f>IFERROR(__xludf.DUMMYFUNCTION("""COMPUTED_VALUE"""),7.47)</f>
        <v>7.47</v>
      </c>
      <c r="F312" s="1">
        <f>IFERROR(__xludf.DUMMYFUNCTION("""COMPUTED_VALUE"""),568793.0)</f>
        <v>568793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IFERROR(__xludf.DUMMYFUNCTION("""COMPUTED_VALUE"""),7.43)</f>
        <v>7.43</v>
      </c>
      <c r="C313" s="1">
        <f>IFERROR(__xludf.DUMMYFUNCTION("""COMPUTED_VALUE"""),7.49)</f>
        <v>7.49</v>
      </c>
      <c r="D313" s="1">
        <f>IFERROR(__xludf.DUMMYFUNCTION("""COMPUTED_VALUE"""),7.42)</f>
        <v>7.42</v>
      </c>
      <c r="E313" s="1">
        <f>IFERROR(__xludf.DUMMYFUNCTION("""COMPUTED_VALUE"""),7.49)</f>
        <v>7.49</v>
      </c>
      <c r="F313" s="1">
        <f>IFERROR(__xludf.DUMMYFUNCTION("""COMPUTED_VALUE"""),528672.0)</f>
        <v>528672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IFERROR(__xludf.DUMMYFUNCTION("""COMPUTED_VALUE"""),7.48)</f>
        <v>7.48</v>
      </c>
      <c r="C314" s="1">
        <f>IFERROR(__xludf.DUMMYFUNCTION("""COMPUTED_VALUE"""),7.6)</f>
        <v>7.6</v>
      </c>
      <c r="D314" s="1">
        <f>IFERROR(__xludf.DUMMYFUNCTION("""COMPUTED_VALUE"""),7.48)</f>
        <v>7.48</v>
      </c>
      <c r="E314" s="1">
        <f>IFERROR(__xludf.DUMMYFUNCTION("""COMPUTED_VALUE"""),7.58)</f>
        <v>7.58</v>
      </c>
      <c r="F314" s="1">
        <f>IFERROR(__xludf.DUMMYFUNCTION("""COMPUTED_VALUE"""),548490.0)</f>
        <v>548490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IFERROR(__xludf.DUMMYFUNCTION("""COMPUTED_VALUE"""),7.42)</f>
        <v>7.42</v>
      </c>
      <c r="C315" s="1">
        <f>IFERROR(__xludf.DUMMYFUNCTION("""COMPUTED_VALUE"""),7.55)</f>
        <v>7.55</v>
      </c>
      <c r="D315" s="1">
        <f>IFERROR(__xludf.DUMMYFUNCTION("""COMPUTED_VALUE"""),7.4)</f>
        <v>7.4</v>
      </c>
      <c r="E315" s="1">
        <f>IFERROR(__xludf.DUMMYFUNCTION("""COMPUTED_VALUE"""),7.5)</f>
        <v>7.5</v>
      </c>
      <c r="F315" s="1">
        <f>IFERROR(__xludf.DUMMYFUNCTION("""COMPUTED_VALUE"""),863851.0)</f>
        <v>863851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IFERROR(__xludf.DUMMYFUNCTION("""COMPUTED_VALUE"""),7.74)</f>
        <v>7.74</v>
      </c>
      <c r="C316" s="1">
        <f>IFERROR(__xludf.DUMMYFUNCTION("""COMPUTED_VALUE"""),7.8)</f>
        <v>7.8</v>
      </c>
      <c r="D316" s="1">
        <f>IFERROR(__xludf.DUMMYFUNCTION("""COMPUTED_VALUE"""),7.67)</f>
        <v>7.67</v>
      </c>
      <c r="E316" s="1">
        <f>IFERROR(__xludf.DUMMYFUNCTION("""COMPUTED_VALUE"""),7.76)</f>
        <v>7.76</v>
      </c>
      <c r="F316" s="1">
        <f>IFERROR(__xludf.DUMMYFUNCTION("""COMPUTED_VALUE"""),811982.0)</f>
        <v>811982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IFERROR(__xludf.DUMMYFUNCTION("""COMPUTED_VALUE"""),7.82)</f>
        <v>7.82</v>
      </c>
      <c r="C317" s="1">
        <f>IFERROR(__xludf.DUMMYFUNCTION("""COMPUTED_VALUE"""),7.84)</f>
        <v>7.84</v>
      </c>
      <c r="D317" s="1">
        <f>IFERROR(__xludf.DUMMYFUNCTION("""COMPUTED_VALUE"""),7.75)</f>
        <v>7.75</v>
      </c>
      <c r="E317" s="1">
        <f>IFERROR(__xludf.DUMMYFUNCTION("""COMPUTED_VALUE"""),7.79)</f>
        <v>7.79</v>
      </c>
      <c r="F317" s="1">
        <f>IFERROR(__xludf.DUMMYFUNCTION("""COMPUTED_VALUE"""),559658.0)</f>
        <v>559658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IFERROR(__xludf.DUMMYFUNCTION("""COMPUTED_VALUE"""),7.73)</f>
        <v>7.73</v>
      </c>
      <c r="C318" s="1">
        <f>IFERROR(__xludf.DUMMYFUNCTION("""COMPUTED_VALUE"""),7.86)</f>
        <v>7.86</v>
      </c>
      <c r="D318" s="1">
        <f>IFERROR(__xludf.DUMMYFUNCTION("""COMPUTED_VALUE"""),7.72)</f>
        <v>7.72</v>
      </c>
      <c r="E318" s="1">
        <f>IFERROR(__xludf.DUMMYFUNCTION("""COMPUTED_VALUE"""),7.83)</f>
        <v>7.83</v>
      </c>
      <c r="F318" s="1">
        <f>IFERROR(__xludf.DUMMYFUNCTION("""COMPUTED_VALUE"""),946316.0)</f>
        <v>946316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IFERROR(__xludf.DUMMYFUNCTION("""COMPUTED_VALUE"""),7.94)</f>
        <v>7.94</v>
      </c>
      <c r="C319" s="1">
        <f>IFERROR(__xludf.DUMMYFUNCTION("""COMPUTED_VALUE"""),8.02)</f>
        <v>8.02</v>
      </c>
      <c r="D319" s="1">
        <f>IFERROR(__xludf.DUMMYFUNCTION("""COMPUTED_VALUE"""),7.94)</f>
        <v>7.94</v>
      </c>
      <c r="E319" s="1">
        <f>IFERROR(__xludf.DUMMYFUNCTION("""COMPUTED_VALUE"""),8.0)</f>
        <v>8</v>
      </c>
      <c r="F319" s="1">
        <f>IFERROR(__xludf.DUMMYFUNCTION("""COMPUTED_VALUE"""),1072596.0)</f>
        <v>1072596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IFERROR(__xludf.DUMMYFUNCTION("""COMPUTED_VALUE"""),7.95)</f>
        <v>7.95</v>
      </c>
      <c r="C320" s="1">
        <f>IFERROR(__xludf.DUMMYFUNCTION("""COMPUTED_VALUE"""),8.0)</f>
        <v>8</v>
      </c>
      <c r="D320" s="1">
        <f>IFERROR(__xludf.DUMMYFUNCTION("""COMPUTED_VALUE"""),7.87)</f>
        <v>7.87</v>
      </c>
      <c r="E320" s="1">
        <f>IFERROR(__xludf.DUMMYFUNCTION("""COMPUTED_VALUE"""),7.94)</f>
        <v>7.94</v>
      </c>
      <c r="F320" s="1">
        <f>IFERROR(__xludf.DUMMYFUNCTION("""COMPUTED_VALUE"""),805636.0)</f>
        <v>805636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IFERROR(__xludf.DUMMYFUNCTION("""COMPUTED_VALUE"""),8.06)</f>
        <v>8.06</v>
      </c>
      <c r="C321" s="1">
        <f>IFERROR(__xludf.DUMMYFUNCTION("""COMPUTED_VALUE"""),8.07)</f>
        <v>8.07</v>
      </c>
      <c r="D321" s="1">
        <f>IFERROR(__xludf.DUMMYFUNCTION("""COMPUTED_VALUE"""),7.95)</f>
        <v>7.95</v>
      </c>
      <c r="E321" s="1">
        <f>IFERROR(__xludf.DUMMYFUNCTION("""COMPUTED_VALUE"""),7.98)</f>
        <v>7.98</v>
      </c>
      <c r="F321" s="1">
        <f>IFERROR(__xludf.DUMMYFUNCTION("""COMPUTED_VALUE"""),1275865.0)</f>
        <v>1275865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IFERROR(__xludf.DUMMYFUNCTION("""COMPUTED_VALUE"""),8.01)</f>
        <v>8.01</v>
      </c>
      <c r="C322" s="1">
        <f>IFERROR(__xludf.DUMMYFUNCTION("""COMPUTED_VALUE"""),8.04)</f>
        <v>8.04</v>
      </c>
      <c r="D322" s="1">
        <f>IFERROR(__xludf.DUMMYFUNCTION("""COMPUTED_VALUE"""),7.93)</f>
        <v>7.93</v>
      </c>
      <c r="E322" s="1">
        <f>IFERROR(__xludf.DUMMYFUNCTION("""COMPUTED_VALUE"""),7.96)</f>
        <v>7.96</v>
      </c>
      <c r="F322" s="1">
        <f>IFERROR(__xludf.DUMMYFUNCTION("""COMPUTED_VALUE"""),670825.0)</f>
        <v>670825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IFERROR(__xludf.DUMMYFUNCTION("""COMPUTED_VALUE"""),7.89)</f>
        <v>7.89</v>
      </c>
      <c r="C323" s="1">
        <f>IFERROR(__xludf.DUMMYFUNCTION("""COMPUTED_VALUE"""),7.93)</f>
        <v>7.93</v>
      </c>
      <c r="D323" s="1">
        <f>IFERROR(__xludf.DUMMYFUNCTION("""COMPUTED_VALUE"""),7.83)</f>
        <v>7.83</v>
      </c>
      <c r="E323" s="1">
        <f>IFERROR(__xludf.DUMMYFUNCTION("""COMPUTED_VALUE"""),7.89)</f>
        <v>7.89</v>
      </c>
      <c r="F323" s="1">
        <f>IFERROR(__xludf.DUMMYFUNCTION("""COMPUTED_VALUE"""),772349.0)</f>
        <v>772349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IFERROR(__xludf.DUMMYFUNCTION("""COMPUTED_VALUE"""),7.94)</f>
        <v>7.94</v>
      </c>
      <c r="C324" s="1">
        <f>IFERROR(__xludf.DUMMYFUNCTION("""COMPUTED_VALUE"""),7.96)</f>
        <v>7.96</v>
      </c>
      <c r="D324" s="1">
        <f>IFERROR(__xludf.DUMMYFUNCTION("""COMPUTED_VALUE"""),7.79)</f>
        <v>7.79</v>
      </c>
      <c r="E324" s="1">
        <f>IFERROR(__xludf.DUMMYFUNCTION("""COMPUTED_VALUE"""),7.82)</f>
        <v>7.82</v>
      </c>
      <c r="F324" s="1">
        <f>IFERROR(__xludf.DUMMYFUNCTION("""COMPUTED_VALUE"""),507067.0)</f>
        <v>507067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IFERROR(__xludf.DUMMYFUNCTION("""COMPUTED_VALUE"""),7.66)</f>
        <v>7.66</v>
      </c>
      <c r="C325" s="1">
        <f>IFERROR(__xludf.DUMMYFUNCTION("""COMPUTED_VALUE"""),7.75)</f>
        <v>7.75</v>
      </c>
      <c r="D325" s="1">
        <f>IFERROR(__xludf.DUMMYFUNCTION("""COMPUTED_VALUE"""),7.62)</f>
        <v>7.62</v>
      </c>
      <c r="E325" s="1">
        <f>IFERROR(__xludf.DUMMYFUNCTION("""COMPUTED_VALUE"""),7.75)</f>
        <v>7.75</v>
      </c>
      <c r="F325" s="1">
        <f>IFERROR(__xludf.DUMMYFUNCTION("""COMPUTED_VALUE"""),872186.0)</f>
        <v>872186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IFERROR(__xludf.DUMMYFUNCTION("""COMPUTED_VALUE"""),7.6)</f>
        <v>7.6</v>
      </c>
      <c r="C326" s="1">
        <f>IFERROR(__xludf.DUMMYFUNCTION("""COMPUTED_VALUE"""),7.68)</f>
        <v>7.68</v>
      </c>
      <c r="D326" s="1">
        <f>IFERROR(__xludf.DUMMYFUNCTION("""COMPUTED_VALUE"""),7.55)</f>
        <v>7.55</v>
      </c>
      <c r="E326" s="1">
        <f>IFERROR(__xludf.DUMMYFUNCTION("""COMPUTED_VALUE"""),7.66)</f>
        <v>7.66</v>
      </c>
      <c r="F326" s="1">
        <f>IFERROR(__xludf.DUMMYFUNCTION("""COMPUTED_VALUE"""),869758.0)</f>
        <v>869758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IFERROR(__xludf.DUMMYFUNCTION("""COMPUTED_VALUE"""),7.24)</f>
        <v>7.24</v>
      </c>
      <c r="C327" s="1">
        <f>IFERROR(__xludf.DUMMYFUNCTION("""COMPUTED_VALUE"""),7.29)</f>
        <v>7.29</v>
      </c>
      <c r="D327" s="1">
        <f>IFERROR(__xludf.DUMMYFUNCTION("""COMPUTED_VALUE"""),7.11)</f>
        <v>7.11</v>
      </c>
      <c r="E327" s="1">
        <f>IFERROR(__xludf.DUMMYFUNCTION("""COMPUTED_VALUE"""),7.21)</f>
        <v>7.21</v>
      </c>
      <c r="F327" s="1">
        <f>IFERROR(__xludf.DUMMYFUNCTION("""COMPUTED_VALUE"""),1890336.0)</f>
        <v>1890336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IFERROR(__xludf.DUMMYFUNCTION("""COMPUTED_VALUE"""),7.24)</f>
        <v>7.24</v>
      </c>
      <c r="C328" s="1">
        <f>IFERROR(__xludf.DUMMYFUNCTION("""COMPUTED_VALUE"""),7.29)</f>
        <v>7.29</v>
      </c>
      <c r="D328" s="1">
        <f>IFERROR(__xludf.DUMMYFUNCTION("""COMPUTED_VALUE"""),7.21)</f>
        <v>7.21</v>
      </c>
      <c r="E328" s="1">
        <f>IFERROR(__xludf.DUMMYFUNCTION("""COMPUTED_VALUE"""),7.26)</f>
        <v>7.26</v>
      </c>
      <c r="F328" s="1">
        <f>IFERROR(__xludf.DUMMYFUNCTION("""COMPUTED_VALUE"""),1736793.0)</f>
        <v>1736793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IFERROR(__xludf.DUMMYFUNCTION("""COMPUTED_VALUE"""),7.46)</f>
        <v>7.46</v>
      </c>
      <c r="C329" s="1">
        <f>IFERROR(__xludf.DUMMYFUNCTION("""COMPUTED_VALUE"""),7.53)</f>
        <v>7.53</v>
      </c>
      <c r="D329" s="1">
        <f>IFERROR(__xludf.DUMMYFUNCTION("""COMPUTED_VALUE"""),7.45)</f>
        <v>7.45</v>
      </c>
      <c r="E329" s="1">
        <f>IFERROR(__xludf.DUMMYFUNCTION("""COMPUTED_VALUE"""),7.5)</f>
        <v>7.5</v>
      </c>
      <c r="F329" s="1">
        <f>IFERROR(__xludf.DUMMYFUNCTION("""COMPUTED_VALUE"""),1741355.0)</f>
        <v>1741355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IFERROR(__xludf.DUMMYFUNCTION("""COMPUTED_VALUE"""),7.6)</f>
        <v>7.6</v>
      </c>
      <c r="C330" s="1">
        <f>IFERROR(__xludf.DUMMYFUNCTION("""COMPUTED_VALUE"""),7.62)</f>
        <v>7.62</v>
      </c>
      <c r="D330" s="1">
        <f>IFERROR(__xludf.DUMMYFUNCTION("""COMPUTED_VALUE"""),7.53)</f>
        <v>7.53</v>
      </c>
      <c r="E330" s="1">
        <f>IFERROR(__xludf.DUMMYFUNCTION("""COMPUTED_VALUE"""),7.56)</f>
        <v>7.56</v>
      </c>
      <c r="F330" s="1">
        <f>IFERROR(__xludf.DUMMYFUNCTION("""COMPUTED_VALUE"""),733613.0)</f>
        <v>733613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IFERROR(__xludf.DUMMYFUNCTION("""COMPUTED_VALUE"""),7.52)</f>
        <v>7.52</v>
      </c>
      <c r="C331" s="1">
        <f>IFERROR(__xludf.DUMMYFUNCTION("""COMPUTED_VALUE"""),7.68)</f>
        <v>7.68</v>
      </c>
      <c r="D331" s="1">
        <f>IFERROR(__xludf.DUMMYFUNCTION("""COMPUTED_VALUE"""),7.52)</f>
        <v>7.52</v>
      </c>
      <c r="E331" s="1">
        <f>IFERROR(__xludf.DUMMYFUNCTION("""COMPUTED_VALUE"""),7.64)</f>
        <v>7.64</v>
      </c>
      <c r="F331" s="1">
        <f>IFERROR(__xludf.DUMMYFUNCTION("""COMPUTED_VALUE"""),1989148.0)</f>
        <v>1989148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IFERROR(__xludf.DUMMYFUNCTION("""COMPUTED_VALUE"""),7.85)</f>
        <v>7.85</v>
      </c>
      <c r="C332" s="1">
        <f>IFERROR(__xludf.DUMMYFUNCTION("""COMPUTED_VALUE"""),7.9)</f>
        <v>7.9</v>
      </c>
      <c r="D332" s="1">
        <f>IFERROR(__xludf.DUMMYFUNCTION("""COMPUTED_VALUE"""),7.8)</f>
        <v>7.8</v>
      </c>
      <c r="E332" s="1">
        <f>IFERROR(__xludf.DUMMYFUNCTION("""COMPUTED_VALUE"""),7.89)</f>
        <v>7.89</v>
      </c>
      <c r="F332" s="1">
        <f>IFERROR(__xludf.DUMMYFUNCTION("""COMPUTED_VALUE"""),931393.0)</f>
        <v>931393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IFERROR(__xludf.DUMMYFUNCTION("""COMPUTED_VALUE"""),7.89)</f>
        <v>7.89</v>
      </c>
      <c r="C333" s="1">
        <f>IFERROR(__xludf.DUMMYFUNCTION("""COMPUTED_VALUE"""),8.06)</f>
        <v>8.06</v>
      </c>
      <c r="D333" s="1">
        <f>IFERROR(__xludf.DUMMYFUNCTION("""COMPUTED_VALUE"""),7.87)</f>
        <v>7.87</v>
      </c>
      <c r="E333" s="1">
        <f>IFERROR(__xludf.DUMMYFUNCTION("""COMPUTED_VALUE"""),8.03)</f>
        <v>8.03</v>
      </c>
      <c r="F333" s="1">
        <f>IFERROR(__xludf.DUMMYFUNCTION("""COMPUTED_VALUE"""),1157361.0)</f>
        <v>1157361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IFERROR(__xludf.DUMMYFUNCTION("""COMPUTED_VALUE"""),7.94)</f>
        <v>7.94</v>
      </c>
      <c r="C334" s="1">
        <f>IFERROR(__xludf.DUMMYFUNCTION("""COMPUTED_VALUE"""),8.0)</f>
        <v>8</v>
      </c>
      <c r="D334" s="1">
        <f>IFERROR(__xludf.DUMMYFUNCTION("""COMPUTED_VALUE"""),7.9)</f>
        <v>7.9</v>
      </c>
      <c r="E334" s="1">
        <f>IFERROR(__xludf.DUMMYFUNCTION("""COMPUTED_VALUE"""),7.93)</f>
        <v>7.93</v>
      </c>
      <c r="F334" s="1">
        <f>IFERROR(__xludf.DUMMYFUNCTION("""COMPUTED_VALUE"""),1920852.0)</f>
        <v>1920852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IFERROR(__xludf.DUMMYFUNCTION("""COMPUTED_VALUE"""),7.97)</f>
        <v>7.97</v>
      </c>
      <c r="C335" s="1">
        <f>IFERROR(__xludf.DUMMYFUNCTION("""COMPUTED_VALUE"""),7.99)</f>
        <v>7.99</v>
      </c>
      <c r="D335" s="1">
        <f>IFERROR(__xludf.DUMMYFUNCTION("""COMPUTED_VALUE"""),7.91)</f>
        <v>7.91</v>
      </c>
      <c r="E335" s="1">
        <f>IFERROR(__xludf.DUMMYFUNCTION("""COMPUTED_VALUE"""),7.96)</f>
        <v>7.96</v>
      </c>
      <c r="F335" s="1">
        <f>IFERROR(__xludf.DUMMYFUNCTION("""COMPUTED_VALUE"""),1678582.0)</f>
        <v>1678582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IFERROR(__xludf.DUMMYFUNCTION("""COMPUTED_VALUE"""),8.03)</f>
        <v>8.03</v>
      </c>
      <c r="C336" s="1">
        <f>IFERROR(__xludf.DUMMYFUNCTION("""COMPUTED_VALUE"""),8.05)</f>
        <v>8.05</v>
      </c>
      <c r="D336" s="1">
        <f>IFERROR(__xludf.DUMMYFUNCTION("""COMPUTED_VALUE"""),7.94)</f>
        <v>7.94</v>
      </c>
      <c r="E336" s="1">
        <f>IFERROR(__xludf.DUMMYFUNCTION("""COMPUTED_VALUE"""),7.96)</f>
        <v>7.96</v>
      </c>
      <c r="F336" s="1">
        <f>IFERROR(__xludf.DUMMYFUNCTION("""COMPUTED_VALUE"""),1068511.0)</f>
        <v>1068511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IFERROR(__xludf.DUMMYFUNCTION("""COMPUTED_VALUE"""),7.9)</f>
        <v>7.9</v>
      </c>
      <c r="C337" s="1">
        <f>IFERROR(__xludf.DUMMYFUNCTION("""COMPUTED_VALUE"""),8.0)</f>
        <v>8</v>
      </c>
      <c r="D337" s="1">
        <f>IFERROR(__xludf.DUMMYFUNCTION("""COMPUTED_VALUE"""),7.87)</f>
        <v>7.87</v>
      </c>
      <c r="E337" s="1">
        <f>IFERROR(__xludf.DUMMYFUNCTION("""COMPUTED_VALUE"""),7.95)</f>
        <v>7.95</v>
      </c>
      <c r="F337" s="1">
        <f>IFERROR(__xludf.DUMMYFUNCTION("""COMPUTED_VALUE"""),418777.0)</f>
        <v>418777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IFERROR(__xludf.DUMMYFUNCTION("""COMPUTED_VALUE"""),7.93)</f>
        <v>7.93</v>
      </c>
      <c r="C338" s="1">
        <f>IFERROR(__xludf.DUMMYFUNCTION("""COMPUTED_VALUE"""),7.93)</f>
        <v>7.93</v>
      </c>
      <c r="D338" s="1">
        <f>IFERROR(__xludf.DUMMYFUNCTION("""COMPUTED_VALUE"""),7.76)</f>
        <v>7.76</v>
      </c>
      <c r="E338" s="1">
        <f>IFERROR(__xludf.DUMMYFUNCTION("""COMPUTED_VALUE"""),7.8)</f>
        <v>7.8</v>
      </c>
      <c r="F338" s="1">
        <f>IFERROR(__xludf.DUMMYFUNCTION("""COMPUTED_VALUE"""),633979.0)</f>
        <v>633979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IFERROR(__xludf.DUMMYFUNCTION("""COMPUTED_VALUE"""),7.63)</f>
        <v>7.63</v>
      </c>
      <c r="C339" s="1">
        <f>IFERROR(__xludf.DUMMYFUNCTION("""COMPUTED_VALUE"""),7.68)</f>
        <v>7.68</v>
      </c>
      <c r="D339" s="1">
        <f>IFERROR(__xludf.DUMMYFUNCTION("""COMPUTED_VALUE"""),7.54)</f>
        <v>7.54</v>
      </c>
      <c r="E339" s="1">
        <f>IFERROR(__xludf.DUMMYFUNCTION("""COMPUTED_VALUE"""),7.56)</f>
        <v>7.56</v>
      </c>
      <c r="F339" s="1">
        <f>IFERROR(__xludf.DUMMYFUNCTION("""COMPUTED_VALUE"""),955155.0)</f>
        <v>955155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IFERROR(__xludf.DUMMYFUNCTION("""COMPUTED_VALUE"""),7.71)</f>
        <v>7.71</v>
      </c>
      <c r="C340" s="1">
        <f>IFERROR(__xludf.DUMMYFUNCTION("""COMPUTED_VALUE"""),7.76)</f>
        <v>7.76</v>
      </c>
      <c r="D340" s="1">
        <f>IFERROR(__xludf.DUMMYFUNCTION("""COMPUTED_VALUE"""),7.49)</f>
        <v>7.49</v>
      </c>
      <c r="E340" s="1">
        <f>IFERROR(__xludf.DUMMYFUNCTION("""COMPUTED_VALUE"""),7.55)</f>
        <v>7.55</v>
      </c>
      <c r="F340" s="1">
        <f>IFERROR(__xludf.DUMMYFUNCTION("""COMPUTED_VALUE"""),2204070.0)</f>
        <v>2204070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IFERROR(__xludf.DUMMYFUNCTION("""COMPUTED_VALUE"""),7.46)</f>
        <v>7.46</v>
      </c>
      <c r="C341" s="1">
        <f>IFERROR(__xludf.DUMMYFUNCTION("""COMPUTED_VALUE"""),7.53)</f>
        <v>7.53</v>
      </c>
      <c r="D341" s="1">
        <f>IFERROR(__xludf.DUMMYFUNCTION("""COMPUTED_VALUE"""),7.42)</f>
        <v>7.42</v>
      </c>
      <c r="E341" s="1">
        <f>IFERROR(__xludf.DUMMYFUNCTION("""COMPUTED_VALUE"""),7.53)</f>
        <v>7.53</v>
      </c>
      <c r="F341" s="1">
        <f>IFERROR(__xludf.DUMMYFUNCTION("""COMPUTED_VALUE"""),731819.0)</f>
        <v>731819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IFERROR(__xludf.DUMMYFUNCTION("""COMPUTED_VALUE"""),7.57)</f>
        <v>7.57</v>
      </c>
      <c r="C342" s="1">
        <f>IFERROR(__xludf.DUMMYFUNCTION("""COMPUTED_VALUE"""),7.65)</f>
        <v>7.65</v>
      </c>
      <c r="D342" s="1">
        <f>IFERROR(__xludf.DUMMYFUNCTION("""COMPUTED_VALUE"""),7.57)</f>
        <v>7.57</v>
      </c>
      <c r="E342" s="1">
        <f>IFERROR(__xludf.DUMMYFUNCTION("""COMPUTED_VALUE"""),7.63)</f>
        <v>7.63</v>
      </c>
      <c r="F342" s="1">
        <f>IFERROR(__xludf.DUMMYFUNCTION("""COMPUTED_VALUE"""),766861.0)</f>
        <v>766861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IFERROR(__xludf.DUMMYFUNCTION("""COMPUTED_VALUE"""),7.66)</f>
        <v>7.66</v>
      </c>
      <c r="C343" s="1">
        <f>IFERROR(__xludf.DUMMYFUNCTION("""COMPUTED_VALUE"""),7.69)</f>
        <v>7.69</v>
      </c>
      <c r="D343" s="1">
        <f>IFERROR(__xludf.DUMMYFUNCTION("""COMPUTED_VALUE"""),7.5)</f>
        <v>7.5</v>
      </c>
      <c r="E343" s="1">
        <f>IFERROR(__xludf.DUMMYFUNCTION("""COMPUTED_VALUE"""),7.55)</f>
        <v>7.55</v>
      </c>
      <c r="F343" s="1">
        <f>IFERROR(__xludf.DUMMYFUNCTION("""COMPUTED_VALUE"""),1101923.0)</f>
        <v>1101923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IFERROR(__xludf.DUMMYFUNCTION("""COMPUTED_VALUE"""),7.21)</f>
        <v>7.21</v>
      </c>
      <c r="C344" s="1">
        <f>IFERROR(__xludf.DUMMYFUNCTION("""COMPUTED_VALUE"""),7.31)</f>
        <v>7.31</v>
      </c>
      <c r="D344" s="1">
        <f>IFERROR(__xludf.DUMMYFUNCTION("""COMPUTED_VALUE"""),7.15)</f>
        <v>7.15</v>
      </c>
      <c r="E344" s="1">
        <f>IFERROR(__xludf.DUMMYFUNCTION("""COMPUTED_VALUE"""),7.27)</f>
        <v>7.27</v>
      </c>
      <c r="F344" s="1">
        <f>IFERROR(__xludf.DUMMYFUNCTION("""COMPUTED_VALUE"""),1921412.0)</f>
        <v>1921412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IFERROR(__xludf.DUMMYFUNCTION("""COMPUTED_VALUE"""),7.11)</f>
        <v>7.11</v>
      </c>
      <c r="C345" s="1">
        <f>IFERROR(__xludf.DUMMYFUNCTION("""COMPUTED_VALUE"""),7.11)</f>
        <v>7.11</v>
      </c>
      <c r="D345" s="1">
        <f>IFERROR(__xludf.DUMMYFUNCTION("""COMPUTED_VALUE"""),6.91)</f>
        <v>6.91</v>
      </c>
      <c r="E345" s="1">
        <f>IFERROR(__xludf.DUMMYFUNCTION("""COMPUTED_VALUE"""),6.98)</f>
        <v>6.98</v>
      </c>
      <c r="F345" s="1">
        <f>IFERROR(__xludf.DUMMYFUNCTION("""COMPUTED_VALUE"""),1892689.0)</f>
        <v>1892689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IFERROR(__xludf.DUMMYFUNCTION("""COMPUTED_VALUE"""),6.88)</f>
        <v>6.88</v>
      </c>
      <c r="C346" s="1">
        <f>IFERROR(__xludf.DUMMYFUNCTION("""COMPUTED_VALUE"""),6.97)</f>
        <v>6.97</v>
      </c>
      <c r="D346" s="1">
        <f>IFERROR(__xludf.DUMMYFUNCTION("""COMPUTED_VALUE"""),6.84)</f>
        <v>6.84</v>
      </c>
      <c r="E346" s="1">
        <f>IFERROR(__xludf.DUMMYFUNCTION("""COMPUTED_VALUE"""),6.87)</f>
        <v>6.87</v>
      </c>
      <c r="F346" s="1">
        <f>IFERROR(__xludf.DUMMYFUNCTION("""COMPUTED_VALUE"""),2257736.0)</f>
        <v>2257736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IFERROR(__xludf.DUMMYFUNCTION("""COMPUTED_VALUE"""),6.85)</f>
        <v>6.85</v>
      </c>
      <c r="C347" s="1">
        <f>IFERROR(__xludf.DUMMYFUNCTION("""COMPUTED_VALUE"""),6.92)</f>
        <v>6.92</v>
      </c>
      <c r="D347" s="1">
        <f>IFERROR(__xludf.DUMMYFUNCTION("""COMPUTED_VALUE"""),6.81)</f>
        <v>6.81</v>
      </c>
      <c r="E347" s="1">
        <f>IFERROR(__xludf.DUMMYFUNCTION("""COMPUTED_VALUE"""),6.89)</f>
        <v>6.89</v>
      </c>
      <c r="F347" s="1">
        <f>IFERROR(__xludf.DUMMYFUNCTION("""COMPUTED_VALUE"""),1148124.0)</f>
        <v>1148124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IFERROR(__xludf.DUMMYFUNCTION("""COMPUTED_VALUE"""),6.89)</f>
        <v>6.89</v>
      </c>
      <c r="C348" s="1">
        <f>IFERROR(__xludf.DUMMYFUNCTION("""COMPUTED_VALUE"""),7.01)</f>
        <v>7.01</v>
      </c>
      <c r="D348" s="1">
        <f>IFERROR(__xludf.DUMMYFUNCTION("""COMPUTED_VALUE"""),6.87)</f>
        <v>6.87</v>
      </c>
      <c r="E348" s="1">
        <f>IFERROR(__xludf.DUMMYFUNCTION("""COMPUTED_VALUE"""),7.0)</f>
        <v>7</v>
      </c>
      <c r="F348" s="1">
        <f>IFERROR(__xludf.DUMMYFUNCTION("""COMPUTED_VALUE"""),1377685.0)</f>
        <v>1377685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IFERROR(__xludf.DUMMYFUNCTION("""COMPUTED_VALUE"""),6.98)</f>
        <v>6.98</v>
      </c>
      <c r="C349" s="1">
        <f>IFERROR(__xludf.DUMMYFUNCTION("""COMPUTED_VALUE"""),7.01)</f>
        <v>7.01</v>
      </c>
      <c r="D349" s="1">
        <f>IFERROR(__xludf.DUMMYFUNCTION("""COMPUTED_VALUE"""),6.9)</f>
        <v>6.9</v>
      </c>
      <c r="E349" s="1">
        <f>IFERROR(__xludf.DUMMYFUNCTION("""COMPUTED_VALUE"""),7.0)</f>
        <v>7</v>
      </c>
      <c r="F349" s="1">
        <f>IFERROR(__xludf.DUMMYFUNCTION("""COMPUTED_VALUE"""),1143553.0)</f>
        <v>1143553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IFERROR(__xludf.DUMMYFUNCTION("""COMPUTED_VALUE"""),6.94)</f>
        <v>6.94</v>
      </c>
      <c r="C350" s="1">
        <f>IFERROR(__xludf.DUMMYFUNCTION("""COMPUTED_VALUE"""),6.97)</f>
        <v>6.97</v>
      </c>
      <c r="D350" s="1">
        <f>IFERROR(__xludf.DUMMYFUNCTION("""COMPUTED_VALUE"""),6.79)</f>
        <v>6.79</v>
      </c>
      <c r="E350" s="1">
        <f>IFERROR(__xludf.DUMMYFUNCTION("""COMPUTED_VALUE"""),6.82)</f>
        <v>6.82</v>
      </c>
      <c r="F350" s="1">
        <f>IFERROR(__xludf.DUMMYFUNCTION("""COMPUTED_VALUE"""),774635.0)</f>
        <v>774635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IFERROR(__xludf.DUMMYFUNCTION("""COMPUTED_VALUE"""),6.52)</f>
        <v>6.52</v>
      </c>
      <c r="C351" s="1">
        <f>IFERROR(__xludf.DUMMYFUNCTION("""COMPUTED_VALUE"""),6.59)</f>
        <v>6.59</v>
      </c>
      <c r="D351" s="1">
        <f>IFERROR(__xludf.DUMMYFUNCTION("""COMPUTED_VALUE"""),6.5)</f>
        <v>6.5</v>
      </c>
      <c r="E351" s="1">
        <f>IFERROR(__xludf.DUMMYFUNCTION("""COMPUTED_VALUE"""),6.57)</f>
        <v>6.57</v>
      </c>
      <c r="F351" s="1">
        <f>IFERROR(__xludf.DUMMYFUNCTION("""COMPUTED_VALUE"""),979381.0)</f>
        <v>979381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IFERROR(__xludf.DUMMYFUNCTION("""COMPUTED_VALUE"""),6.6)</f>
        <v>6.6</v>
      </c>
      <c r="C352" s="1">
        <f>IFERROR(__xludf.DUMMYFUNCTION("""COMPUTED_VALUE"""),6.64)</f>
        <v>6.64</v>
      </c>
      <c r="D352" s="1">
        <f>IFERROR(__xludf.DUMMYFUNCTION("""COMPUTED_VALUE"""),6.52)</f>
        <v>6.52</v>
      </c>
      <c r="E352" s="1">
        <f>IFERROR(__xludf.DUMMYFUNCTION("""COMPUTED_VALUE"""),6.54)</f>
        <v>6.54</v>
      </c>
      <c r="F352" s="1">
        <f>IFERROR(__xludf.DUMMYFUNCTION("""COMPUTED_VALUE"""),896754.0)</f>
        <v>896754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IFERROR(__xludf.DUMMYFUNCTION("""COMPUTED_VALUE"""),6.5)</f>
        <v>6.5</v>
      </c>
      <c r="C353" s="1">
        <f>IFERROR(__xludf.DUMMYFUNCTION("""COMPUTED_VALUE"""),6.65)</f>
        <v>6.65</v>
      </c>
      <c r="D353" s="1">
        <f>IFERROR(__xludf.DUMMYFUNCTION("""COMPUTED_VALUE"""),6.5)</f>
        <v>6.5</v>
      </c>
      <c r="E353" s="1">
        <f>IFERROR(__xludf.DUMMYFUNCTION("""COMPUTED_VALUE"""),6.62)</f>
        <v>6.62</v>
      </c>
      <c r="F353" s="1">
        <f>IFERROR(__xludf.DUMMYFUNCTION("""COMPUTED_VALUE"""),816517.0)</f>
        <v>816517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IFERROR(__xludf.DUMMYFUNCTION("""COMPUTED_VALUE"""),6.62)</f>
        <v>6.62</v>
      </c>
      <c r="C354" s="1">
        <f>IFERROR(__xludf.DUMMYFUNCTION("""COMPUTED_VALUE"""),6.67)</f>
        <v>6.67</v>
      </c>
      <c r="D354" s="1">
        <f>IFERROR(__xludf.DUMMYFUNCTION("""COMPUTED_VALUE"""),6.53)</f>
        <v>6.53</v>
      </c>
      <c r="E354" s="1">
        <f>IFERROR(__xludf.DUMMYFUNCTION("""COMPUTED_VALUE"""),6.63)</f>
        <v>6.63</v>
      </c>
      <c r="F354" s="1">
        <f>IFERROR(__xludf.DUMMYFUNCTION("""COMPUTED_VALUE"""),856675.0)</f>
        <v>856675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IFERROR(__xludf.DUMMYFUNCTION("""COMPUTED_VALUE"""),6.88)</f>
        <v>6.88</v>
      </c>
      <c r="C355" s="1">
        <f>IFERROR(__xludf.DUMMYFUNCTION("""COMPUTED_VALUE"""),6.95)</f>
        <v>6.95</v>
      </c>
      <c r="D355" s="1">
        <f>IFERROR(__xludf.DUMMYFUNCTION("""COMPUTED_VALUE"""),6.86)</f>
        <v>6.86</v>
      </c>
      <c r="E355" s="1">
        <f>IFERROR(__xludf.DUMMYFUNCTION("""COMPUTED_VALUE"""),6.91)</f>
        <v>6.91</v>
      </c>
      <c r="F355" s="1">
        <f>IFERROR(__xludf.DUMMYFUNCTION("""COMPUTED_VALUE"""),1110093.0)</f>
        <v>1110093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IFERROR(__xludf.DUMMYFUNCTION("""COMPUTED_VALUE"""),7.01)</f>
        <v>7.01</v>
      </c>
      <c r="C356" s="1">
        <f>IFERROR(__xludf.DUMMYFUNCTION("""COMPUTED_VALUE"""),7.02)</f>
        <v>7.02</v>
      </c>
      <c r="D356" s="1">
        <f>IFERROR(__xludf.DUMMYFUNCTION("""COMPUTED_VALUE"""),6.93)</f>
        <v>6.93</v>
      </c>
      <c r="E356" s="1">
        <f>IFERROR(__xludf.DUMMYFUNCTION("""COMPUTED_VALUE"""),7.0)</f>
        <v>7</v>
      </c>
      <c r="F356" s="1">
        <f>IFERROR(__xludf.DUMMYFUNCTION("""COMPUTED_VALUE"""),1113374.0)</f>
        <v>1113374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IFERROR(__xludf.DUMMYFUNCTION("""COMPUTED_VALUE"""),6.89)</f>
        <v>6.89</v>
      </c>
      <c r="C357" s="1">
        <f>IFERROR(__xludf.DUMMYFUNCTION("""COMPUTED_VALUE"""),6.9)</f>
        <v>6.9</v>
      </c>
      <c r="D357" s="1">
        <f>IFERROR(__xludf.DUMMYFUNCTION("""COMPUTED_VALUE"""),6.7)</f>
        <v>6.7</v>
      </c>
      <c r="E357" s="1">
        <f>IFERROR(__xludf.DUMMYFUNCTION("""COMPUTED_VALUE"""),6.71)</f>
        <v>6.71</v>
      </c>
      <c r="F357" s="1">
        <f>IFERROR(__xludf.DUMMYFUNCTION("""COMPUTED_VALUE"""),980948.0)</f>
        <v>980948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IFERROR(__xludf.DUMMYFUNCTION("""COMPUTED_VALUE"""),6.75)</f>
        <v>6.75</v>
      </c>
      <c r="C358" s="1">
        <f>IFERROR(__xludf.DUMMYFUNCTION("""COMPUTED_VALUE"""),6.8)</f>
        <v>6.8</v>
      </c>
      <c r="D358" s="1">
        <f>IFERROR(__xludf.DUMMYFUNCTION("""COMPUTED_VALUE"""),6.67)</f>
        <v>6.67</v>
      </c>
      <c r="E358" s="1">
        <f>IFERROR(__xludf.DUMMYFUNCTION("""COMPUTED_VALUE"""),6.75)</f>
        <v>6.75</v>
      </c>
      <c r="F358" s="1">
        <f>IFERROR(__xludf.DUMMYFUNCTION("""COMPUTED_VALUE"""),997471.0)</f>
        <v>997471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IFERROR(__xludf.DUMMYFUNCTION("""COMPUTED_VALUE"""),6.65)</f>
        <v>6.65</v>
      </c>
      <c r="C359" s="1">
        <f>IFERROR(__xludf.DUMMYFUNCTION("""COMPUTED_VALUE"""),6.83)</f>
        <v>6.83</v>
      </c>
      <c r="D359" s="1">
        <f>IFERROR(__xludf.DUMMYFUNCTION("""COMPUTED_VALUE"""),6.65)</f>
        <v>6.65</v>
      </c>
      <c r="E359" s="1">
        <f>IFERROR(__xludf.DUMMYFUNCTION("""COMPUTED_VALUE"""),6.77)</f>
        <v>6.77</v>
      </c>
      <c r="F359" s="1">
        <f>IFERROR(__xludf.DUMMYFUNCTION("""COMPUTED_VALUE"""),1138623.0)</f>
        <v>1138623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IFERROR(__xludf.DUMMYFUNCTION("""COMPUTED_VALUE"""),6.68)</f>
        <v>6.68</v>
      </c>
      <c r="C360" s="1">
        <f>IFERROR(__xludf.DUMMYFUNCTION("""COMPUTED_VALUE"""),6.72)</f>
        <v>6.72</v>
      </c>
      <c r="D360" s="1">
        <f>IFERROR(__xludf.DUMMYFUNCTION("""COMPUTED_VALUE"""),6.61)</f>
        <v>6.61</v>
      </c>
      <c r="E360" s="1">
        <f>IFERROR(__xludf.DUMMYFUNCTION("""COMPUTED_VALUE"""),6.62)</f>
        <v>6.62</v>
      </c>
      <c r="F360" s="1">
        <f>IFERROR(__xludf.DUMMYFUNCTION("""COMPUTED_VALUE"""),787020.0)</f>
        <v>787020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IFERROR(__xludf.DUMMYFUNCTION("""COMPUTED_VALUE"""),6.76)</f>
        <v>6.76</v>
      </c>
      <c r="C361" s="1">
        <f>IFERROR(__xludf.DUMMYFUNCTION("""COMPUTED_VALUE"""),6.8)</f>
        <v>6.8</v>
      </c>
      <c r="D361" s="1">
        <f>IFERROR(__xludf.DUMMYFUNCTION("""COMPUTED_VALUE"""),6.69)</f>
        <v>6.69</v>
      </c>
      <c r="E361" s="1">
        <f>IFERROR(__xludf.DUMMYFUNCTION("""COMPUTED_VALUE"""),6.71)</f>
        <v>6.71</v>
      </c>
      <c r="F361" s="1">
        <f>IFERROR(__xludf.DUMMYFUNCTION("""COMPUTED_VALUE"""),743637.0)</f>
        <v>743637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IFERROR(__xludf.DUMMYFUNCTION("""COMPUTED_VALUE"""),6.6)</f>
        <v>6.6</v>
      </c>
      <c r="C362" s="1">
        <f>IFERROR(__xludf.DUMMYFUNCTION("""COMPUTED_VALUE"""),6.62)</f>
        <v>6.62</v>
      </c>
      <c r="D362" s="1">
        <f>IFERROR(__xludf.DUMMYFUNCTION("""COMPUTED_VALUE"""),6.52)</f>
        <v>6.52</v>
      </c>
      <c r="E362" s="1">
        <f>IFERROR(__xludf.DUMMYFUNCTION("""COMPUTED_VALUE"""),6.56)</f>
        <v>6.56</v>
      </c>
      <c r="F362" s="1">
        <f>IFERROR(__xludf.DUMMYFUNCTION("""COMPUTED_VALUE"""),1049255.0)</f>
        <v>1049255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IFERROR(__xludf.DUMMYFUNCTION("""COMPUTED_VALUE"""),6.5)</f>
        <v>6.5</v>
      </c>
      <c r="C363" s="1">
        <f>IFERROR(__xludf.DUMMYFUNCTION("""COMPUTED_VALUE"""),6.62)</f>
        <v>6.62</v>
      </c>
      <c r="D363" s="1">
        <f>IFERROR(__xludf.DUMMYFUNCTION("""COMPUTED_VALUE"""),6.47)</f>
        <v>6.47</v>
      </c>
      <c r="E363" s="1">
        <f>IFERROR(__xludf.DUMMYFUNCTION("""COMPUTED_VALUE"""),6.59)</f>
        <v>6.59</v>
      </c>
      <c r="F363" s="1">
        <f>IFERROR(__xludf.DUMMYFUNCTION("""COMPUTED_VALUE"""),496837.0)</f>
        <v>496837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IFERROR(__xludf.DUMMYFUNCTION("""COMPUTED_VALUE"""),6.62)</f>
        <v>6.62</v>
      </c>
      <c r="C364" s="1">
        <f>IFERROR(__xludf.DUMMYFUNCTION("""COMPUTED_VALUE"""),6.63)</f>
        <v>6.63</v>
      </c>
      <c r="D364" s="1">
        <f>IFERROR(__xludf.DUMMYFUNCTION("""COMPUTED_VALUE"""),6.44)</f>
        <v>6.44</v>
      </c>
      <c r="E364" s="1">
        <f>IFERROR(__xludf.DUMMYFUNCTION("""COMPUTED_VALUE"""),6.49)</f>
        <v>6.49</v>
      </c>
      <c r="F364" s="1">
        <f>IFERROR(__xludf.DUMMYFUNCTION("""COMPUTED_VALUE"""),885623.0)</f>
        <v>885623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IFERROR(__xludf.DUMMYFUNCTION("""COMPUTED_VALUE"""),6.51)</f>
        <v>6.51</v>
      </c>
      <c r="C365" s="1">
        <f>IFERROR(__xludf.DUMMYFUNCTION("""COMPUTED_VALUE"""),6.54)</f>
        <v>6.54</v>
      </c>
      <c r="D365" s="1">
        <f>IFERROR(__xludf.DUMMYFUNCTION("""COMPUTED_VALUE"""),6.42)</f>
        <v>6.42</v>
      </c>
      <c r="E365" s="1">
        <f>IFERROR(__xludf.DUMMYFUNCTION("""COMPUTED_VALUE"""),6.49)</f>
        <v>6.49</v>
      </c>
      <c r="F365" s="1">
        <f>IFERROR(__xludf.DUMMYFUNCTION("""COMPUTED_VALUE"""),718196.0)</f>
        <v>718196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IFERROR(__xludf.DUMMYFUNCTION("""COMPUTED_VALUE"""),6.6)</f>
        <v>6.6</v>
      </c>
      <c r="C366" s="1">
        <f>IFERROR(__xludf.DUMMYFUNCTION("""COMPUTED_VALUE"""),6.66)</f>
        <v>6.66</v>
      </c>
      <c r="D366" s="1">
        <f>IFERROR(__xludf.DUMMYFUNCTION("""COMPUTED_VALUE"""),6.59)</f>
        <v>6.59</v>
      </c>
      <c r="E366" s="1">
        <f>IFERROR(__xludf.DUMMYFUNCTION("""COMPUTED_VALUE"""),6.61)</f>
        <v>6.61</v>
      </c>
      <c r="F366" s="1">
        <f>IFERROR(__xludf.DUMMYFUNCTION("""COMPUTED_VALUE"""),1967524.0)</f>
        <v>1967524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IFERROR(__xludf.DUMMYFUNCTION("""COMPUTED_VALUE"""),6.51)</f>
        <v>6.51</v>
      </c>
      <c r="C367" s="1">
        <f>IFERROR(__xludf.DUMMYFUNCTION("""COMPUTED_VALUE"""),6.52)</f>
        <v>6.52</v>
      </c>
      <c r="D367" s="1">
        <f>IFERROR(__xludf.DUMMYFUNCTION("""COMPUTED_VALUE"""),6.32)</f>
        <v>6.32</v>
      </c>
      <c r="E367" s="1">
        <f>IFERROR(__xludf.DUMMYFUNCTION("""COMPUTED_VALUE"""),6.38)</f>
        <v>6.38</v>
      </c>
      <c r="F367" s="1">
        <f>IFERROR(__xludf.DUMMYFUNCTION("""COMPUTED_VALUE"""),1367540.0)</f>
        <v>1367540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IFERROR(__xludf.DUMMYFUNCTION("""COMPUTED_VALUE"""),6.3)</f>
        <v>6.3</v>
      </c>
      <c r="C368" s="1">
        <f>IFERROR(__xludf.DUMMYFUNCTION("""COMPUTED_VALUE"""),6.33)</f>
        <v>6.33</v>
      </c>
      <c r="D368" s="1">
        <f>IFERROR(__xludf.DUMMYFUNCTION("""COMPUTED_VALUE"""),6.2)</f>
        <v>6.2</v>
      </c>
      <c r="E368" s="1">
        <f>IFERROR(__xludf.DUMMYFUNCTION("""COMPUTED_VALUE"""),6.3)</f>
        <v>6.3</v>
      </c>
      <c r="F368" s="1">
        <f>IFERROR(__xludf.DUMMYFUNCTION("""COMPUTED_VALUE"""),1226320.0)</f>
        <v>1226320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IFERROR(__xludf.DUMMYFUNCTION("""COMPUTED_VALUE"""),6.45)</f>
        <v>6.45</v>
      </c>
      <c r="C369" s="1">
        <f>IFERROR(__xludf.DUMMYFUNCTION("""COMPUTED_VALUE"""),6.46)</f>
        <v>6.46</v>
      </c>
      <c r="D369" s="1">
        <f>IFERROR(__xludf.DUMMYFUNCTION("""COMPUTED_VALUE"""),6.38)</f>
        <v>6.38</v>
      </c>
      <c r="E369" s="1">
        <f>IFERROR(__xludf.DUMMYFUNCTION("""COMPUTED_VALUE"""),6.41)</f>
        <v>6.41</v>
      </c>
      <c r="F369" s="1">
        <f>IFERROR(__xludf.DUMMYFUNCTION("""COMPUTED_VALUE"""),461748.0)</f>
        <v>461748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IFERROR(__xludf.DUMMYFUNCTION("""COMPUTED_VALUE"""),6.27)</f>
        <v>6.27</v>
      </c>
      <c r="C370" s="1">
        <f>IFERROR(__xludf.DUMMYFUNCTION("""COMPUTED_VALUE"""),6.36)</f>
        <v>6.36</v>
      </c>
      <c r="D370" s="1">
        <f>IFERROR(__xludf.DUMMYFUNCTION("""COMPUTED_VALUE"""),6.26)</f>
        <v>6.26</v>
      </c>
      <c r="E370" s="1">
        <f>IFERROR(__xludf.DUMMYFUNCTION("""COMPUTED_VALUE"""),6.34)</f>
        <v>6.34</v>
      </c>
      <c r="F370" s="1">
        <f>IFERROR(__xludf.DUMMYFUNCTION("""COMPUTED_VALUE"""),483607.0)</f>
        <v>483607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IFERROR(__xludf.DUMMYFUNCTION("""COMPUTED_VALUE"""),6.42)</f>
        <v>6.42</v>
      </c>
      <c r="C371" s="1">
        <f>IFERROR(__xludf.DUMMYFUNCTION("""COMPUTED_VALUE"""),6.54)</f>
        <v>6.54</v>
      </c>
      <c r="D371" s="1">
        <f>IFERROR(__xludf.DUMMYFUNCTION("""COMPUTED_VALUE"""),6.42)</f>
        <v>6.42</v>
      </c>
      <c r="E371" s="1">
        <f>IFERROR(__xludf.DUMMYFUNCTION("""COMPUTED_VALUE"""),6.53)</f>
        <v>6.53</v>
      </c>
      <c r="F371" s="1">
        <f>IFERROR(__xludf.DUMMYFUNCTION("""COMPUTED_VALUE"""),463808.0)</f>
        <v>463808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IFERROR(__xludf.DUMMYFUNCTION("""COMPUTED_VALUE"""),6.53)</f>
        <v>6.53</v>
      </c>
      <c r="C372" s="1">
        <f>IFERROR(__xludf.DUMMYFUNCTION("""COMPUTED_VALUE"""),6.56)</f>
        <v>6.56</v>
      </c>
      <c r="D372" s="1">
        <f>IFERROR(__xludf.DUMMYFUNCTION("""COMPUTED_VALUE"""),6.45)</f>
        <v>6.45</v>
      </c>
      <c r="E372" s="1">
        <f>IFERROR(__xludf.DUMMYFUNCTION("""COMPUTED_VALUE"""),6.45)</f>
        <v>6.45</v>
      </c>
      <c r="F372" s="1">
        <f>IFERROR(__xludf.DUMMYFUNCTION("""COMPUTED_VALUE"""),602747.0)</f>
        <v>602747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IFERROR(__xludf.DUMMYFUNCTION("""COMPUTED_VALUE"""),6.25)</f>
        <v>6.25</v>
      </c>
      <c r="C373" s="1">
        <f>IFERROR(__xludf.DUMMYFUNCTION("""COMPUTED_VALUE"""),6.36)</f>
        <v>6.36</v>
      </c>
      <c r="D373" s="1">
        <f>IFERROR(__xludf.DUMMYFUNCTION("""COMPUTED_VALUE"""),6.2)</f>
        <v>6.2</v>
      </c>
      <c r="E373" s="1">
        <f>IFERROR(__xludf.DUMMYFUNCTION("""COMPUTED_VALUE"""),6.35)</f>
        <v>6.35</v>
      </c>
      <c r="F373" s="1">
        <f>IFERROR(__xludf.DUMMYFUNCTION("""COMPUTED_VALUE"""),1520522.0)</f>
        <v>1520522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IFERROR(__xludf.DUMMYFUNCTION("""COMPUTED_VALUE"""),6.27)</f>
        <v>6.27</v>
      </c>
      <c r="C374" s="1">
        <f>IFERROR(__xludf.DUMMYFUNCTION("""COMPUTED_VALUE"""),6.3)</f>
        <v>6.3</v>
      </c>
      <c r="D374" s="1">
        <f>IFERROR(__xludf.DUMMYFUNCTION("""COMPUTED_VALUE"""),6.19)</f>
        <v>6.19</v>
      </c>
      <c r="E374" s="1">
        <f>IFERROR(__xludf.DUMMYFUNCTION("""COMPUTED_VALUE"""),6.23)</f>
        <v>6.23</v>
      </c>
      <c r="F374" s="1">
        <f>IFERROR(__xludf.DUMMYFUNCTION("""COMPUTED_VALUE"""),2334785.0)</f>
        <v>2334785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IFERROR(__xludf.DUMMYFUNCTION("""COMPUTED_VALUE"""),6.11)</f>
        <v>6.11</v>
      </c>
      <c r="C375" s="1">
        <f>IFERROR(__xludf.DUMMYFUNCTION("""COMPUTED_VALUE"""),6.26)</f>
        <v>6.26</v>
      </c>
      <c r="D375" s="1">
        <f>IFERROR(__xludf.DUMMYFUNCTION("""COMPUTED_VALUE"""),6.1)</f>
        <v>6.1</v>
      </c>
      <c r="E375" s="1">
        <f>IFERROR(__xludf.DUMMYFUNCTION("""COMPUTED_VALUE"""),6.25)</f>
        <v>6.25</v>
      </c>
      <c r="F375" s="1">
        <f>IFERROR(__xludf.DUMMYFUNCTION("""COMPUTED_VALUE"""),651422.0)</f>
        <v>651422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IFERROR(__xludf.DUMMYFUNCTION("""COMPUTED_VALUE"""),6.28)</f>
        <v>6.28</v>
      </c>
      <c r="C376" s="1">
        <f>IFERROR(__xludf.DUMMYFUNCTION("""COMPUTED_VALUE"""),6.4)</f>
        <v>6.4</v>
      </c>
      <c r="D376" s="1">
        <f>IFERROR(__xludf.DUMMYFUNCTION("""COMPUTED_VALUE"""),6.28)</f>
        <v>6.28</v>
      </c>
      <c r="E376" s="1">
        <f>IFERROR(__xludf.DUMMYFUNCTION("""COMPUTED_VALUE"""),6.39)</f>
        <v>6.39</v>
      </c>
      <c r="F376" s="1">
        <f>IFERROR(__xludf.DUMMYFUNCTION("""COMPUTED_VALUE"""),722445.0)</f>
        <v>722445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IFERROR(__xludf.DUMMYFUNCTION("""COMPUTED_VALUE"""),6.56)</f>
        <v>6.56</v>
      </c>
      <c r="C377" s="1">
        <f>IFERROR(__xludf.DUMMYFUNCTION("""COMPUTED_VALUE"""),6.62)</f>
        <v>6.62</v>
      </c>
      <c r="D377" s="1">
        <f>IFERROR(__xludf.DUMMYFUNCTION("""COMPUTED_VALUE"""),6.51)</f>
        <v>6.51</v>
      </c>
      <c r="E377" s="1">
        <f>IFERROR(__xludf.DUMMYFUNCTION("""COMPUTED_VALUE"""),6.6)</f>
        <v>6.6</v>
      </c>
      <c r="F377" s="1">
        <f>IFERROR(__xludf.DUMMYFUNCTION("""COMPUTED_VALUE"""),710967.0)</f>
        <v>710967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IFERROR(__xludf.DUMMYFUNCTION("""COMPUTED_VALUE"""),6.69)</f>
        <v>6.69</v>
      </c>
      <c r="C378" s="1">
        <f>IFERROR(__xludf.DUMMYFUNCTION("""COMPUTED_VALUE"""),6.84)</f>
        <v>6.84</v>
      </c>
      <c r="D378" s="1">
        <f>IFERROR(__xludf.DUMMYFUNCTION("""COMPUTED_VALUE"""),6.67)</f>
        <v>6.67</v>
      </c>
      <c r="E378" s="1">
        <f>IFERROR(__xludf.DUMMYFUNCTION("""COMPUTED_VALUE"""),6.8)</f>
        <v>6.8</v>
      </c>
      <c r="F378" s="1">
        <f>IFERROR(__xludf.DUMMYFUNCTION("""COMPUTED_VALUE"""),690861.0)</f>
        <v>690861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IFERROR(__xludf.DUMMYFUNCTION("""COMPUTED_VALUE"""),6.87)</f>
        <v>6.87</v>
      </c>
      <c r="C379" s="1">
        <f>IFERROR(__xludf.DUMMYFUNCTION("""COMPUTED_VALUE"""),7.01)</f>
        <v>7.01</v>
      </c>
      <c r="D379" s="1">
        <f>IFERROR(__xludf.DUMMYFUNCTION("""COMPUTED_VALUE"""),6.85)</f>
        <v>6.85</v>
      </c>
      <c r="E379" s="1">
        <f>IFERROR(__xludf.DUMMYFUNCTION("""COMPUTED_VALUE"""),6.99)</f>
        <v>6.99</v>
      </c>
      <c r="F379" s="1">
        <f>IFERROR(__xludf.DUMMYFUNCTION("""COMPUTED_VALUE"""),906776.0)</f>
        <v>906776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IFERROR(__xludf.DUMMYFUNCTION("""COMPUTED_VALUE"""),6.94)</f>
        <v>6.94</v>
      </c>
      <c r="C380" s="1">
        <f>IFERROR(__xludf.DUMMYFUNCTION("""COMPUTED_VALUE"""),6.95)</f>
        <v>6.95</v>
      </c>
      <c r="D380" s="1">
        <f>IFERROR(__xludf.DUMMYFUNCTION("""COMPUTED_VALUE"""),6.86)</f>
        <v>6.86</v>
      </c>
      <c r="E380" s="1">
        <f>IFERROR(__xludf.DUMMYFUNCTION("""COMPUTED_VALUE"""),6.88)</f>
        <v>6.88</v>
      </c>
      <c r="F380" s="1">
        <f>IFERROR(__xludf.DUMMYFUNCTION("""COMPUTED_VALUE"""),648733.0)</f>
        <v>648733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IFERROR(__xludf.DUMMYFUNCTION("""COMPUTED_VALUE"""),6.68)</f>
        <v>6.68</v>
      </c>
      <c r="C381" s="1">
        <f>IFERROR(__xludf.DUMMYFUNCTION("""COMPUTED_VALUE"""),6.71)</f>
        <v>6.71</v>
      </c>
      <c r="D381" s="1">
        <f>IFERROR(__xludf.DUMMYFUNCTION("""COMPUTED_VALUE"""),6.61)</f>
        <v>6.61</v>
      </c>
      <c r="E381" s="1">
        <f>IFERROR(__xludf.DUMMYFUNCTION("""COMPUTED_VALUE"""),6.71)</f>
        <v>6.71</v>
      </c>
      <c r="F381" s="1">
        <f>IFERROR(__xludf.DUMMYFUNCTION("""COMPUTED_VALUE"""),823025.0)</f>
        <v>823025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IFERROR(__xludf.DUMMYFUNCTION("""COMPUTED_VALUE"""),6.72)</f>
        <v>6.72</v>
      </c>
      <c r="C382" s="1">
        <f>IFERROR(__xludf.DUMMYFUNCTION("""COMPUTED_VALUE"""),6.75)</f>
        <v>6.75</v>
      </c>
      <c r="D382" s="1">
        <f>IFERROR(__xludf.DUMMYFUNCTION("""COMPUTED_VALUE"""),6.69)</f>
        <v>6.69</v>
      </c>
      <c r="E382" s="1">
        <f>IFERROR(__xludf.DUMMYFUNCTION("""COMPUTED_VALUE"""),6.73)</f>
        <v>6.73</v>
      </c>
      <c r="F382" s="1">
        <f>IFERROR(__xludf.DUMMYFUNCTION("""COMPUTED_VALUE"""),573504.0)</f>
        <v>573504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IFERROR(__xludf.DUMMYFUNCTION("""COMPUTED_VALUE"""),6.57)</f>
        <v>6.57</v>
      </c>
      <c r="C383" s="1">
        <f>IFERROR(__xludf.DUMMYFUNCTION("""COMPUTED_VALUE"""),6.59)</f>
        <v>6.59</v>
      </c>
      <c r="D383" s="1">
        <f>IFERROR(__xludf.DUMMYFUNCTION("""COMPUTED_VALUE"""),6.49)</f>
        <v>6.49</v>
      </c>
      <c r="E383" s="1">
        <f>IFERROR(__xludf.DUMMYFUNCTION("""COMPUTED_VALUE"""),6.56)</f>
        <v>6.56</v>
      </c>
      <c r="F383" s="1">
        <f>IFERROR(__xludf.DUMMYFUNCTION("""COMPUTED_VALUE"""),651268.0)</f>
        <v>651268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IFERROR(__xludf.DUMMYFUNCTION("""COMPUTED_VALUE"""),6.17)</f>
        <v>6.17</v>
      </c>
      <c r="C384" s="1">
        <f>IFERROR(__xludf.DUMMYFUNCTION("""COMPUTED_VALUE"""),6.19)</f>
        <v>6.19</v>
      </c>
      <c r="D384" s="1">
        <f>IFERROR(__xludf.DUMMYFUNCTION("""COMPUTED_VALUE"""),6.08)</f>
        <v>6.08</v>
      </c>
      <c r="E384" s="1">
        <f>IFERROR(__xludf.DUMMYFUNCTION("""COMPUTED_VALUE"""),6.11)</f>
        <v>6.11</v>
      </c>
      <c r="F384" s="1">
        <f>IFERROR(__xludf.DUMMYFUNCTION("""COMPUTED_VALUE"""),1018706.0)</f>
        <v>1018706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IFERROR(__xludf.DUMMYFUNCTION("""COMPUTED_VALUE"""),5.92)</f>
        <v>5.92</v>
      </c>
      <c r="C385" s="1">
        <f>IFERROR(__xludf.DUMMYFUNCTION("""COMPUTED_VALUE"""),6.1)</f>
        <v>6.1</v>
      </c>
      <c r="D385" s="1">
        <f>IFERROR(__xludf.DUMMYFUNCTION("""COMPUTED_VALUE"""),5.92)</f>
        <v>5.92</v>
      </c>
      <c r="E385" s="1">
        <f>IFERROR(__xludf.DUMMYFUNCTION("""COMPUTED_VALUE"""),6.04)</f>
        <v>6.04</v>
      </c>
      <c r="F385" s="1">
        <f>IFERROR(__xludf.DUMMYFUNCTION("""COMPUTED_VALUE"""),4243011.0)</f>
        <v>4243011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IFERROR(__xludf.DUMMYFUNCTION("""COMPUTED_VALUE"""),6.02)</f>
        <v>6.02</v>
      </c>
      <c r="C386" s="1">
        <f>IFERROR(__xludf.DUMMYFUNCTION("""COMPUTED_VALUE"""),6.15)</f>
        <v>6.15</v>
      </c>
      <c r="D386" s="1">
        <f>IFERROR(__xludf.DUMMYFUNCTION("""COMPUTED_VALUE"""),5.95)</f>
        <v>5.95</v>
      </c>
      <c r="E386" s="1">
        <f>IFERROR(__xludf.DUMMYFUNCTION("""COMPUTED_VALUE"""),6.09)</f>
        <v>6.09</v>
      </c>
      <c r="F386" s="1">
        <f>IFERROR(__xludf.DUMMYFUNCTION("""COMPUTED_VALUE"""),2016064.0)</f>
        <v>2016064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IFERROR(__xludf.DUMMYFUNCTION("""COMPUTED_VALUE"""),6.0)</f>
        <v>6</v>
      </c>
      <c r="C387" s="1">
        <f>IFERROR(__xludf.DUMMYFUNCTION("""COMPUTED_VALUE"""),6.01)</f>
        <v>6.01</v>
      </c>
      <c r="D387" s="1">
        <f>IFERROR(__xludf.DUMMYFUNCTION("""COMPUTED_VALUE"""),5.87)</f>
        <v>5.87</v>
      </c>
      <c r="E387" s="1">
        <f>IFERROR(__xludf.DUMMYFUNCTION("""COMPUTED_VALUE"""),5.9)</f>
        <v>5.9</v>
      </c>
      <c r="F387" s="1">
        <f>IFERROR(__xludf.DUMMYFUNCTION("""COMPUTED_VALUE"""),1189452.0)</f>
        <v>1189452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IFERROR(__xludf.DUMMYFUNCTION("""COMPUTED_VALUE"""),5.9)</f>
        <v>5.9</v>
      </c>
      <c r="C388" s="1">
        <f>IFERROR(__xludf.DUMMYFUNCTION("""COMPUTED_VALUE"""),5.93)</f>
        <v>5.93</v>
      </c>
      <c r="D388" s="1">
        <f>IFERROR(__xludf.DUMMYFUNCTION("""COMPUTED_VALUE"""),5.81)</f>
        <v>5.81</v>
      </c>
      <c r="E388" s="1">
        <f>IFERROR(__xludf.DUMMYFUNCTION("""COMPUTED_VALUE"""),5.85)</f>
        <v>5.85</v>
      </c>
      <c r="F388" s="1">
        <f>IFERROR(__xludf.DUMMYFUNCTION("""COMPUTED_VALUE"""),1104236.0)</f>
        <v>1104236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IFERROR(__xludf.DUMMYFUNCTION("""COMPUTED_VALUE"""),5.69)</f>
        <v>5.69</v>
      </c>
      <c r="C389" s="1">
        <f>IFERROR(__xludf.DUMMYFUNCTION("""COMPUTED_VALUE"""),5.69)</f>
        <v>5.69</v>
      </c>
      <c r="D389" s="1">
        <f>IFERROR(__xludf.DUMMYFUNCTION("""COMPUTED_VALUE"""),5.5)</f>
        <v>5.5</v>
      </c>
      <c r="E389" s="1">
        <f>IFERROR(__xludf.DUMMYFUNCTION("""COMPUTED_VALUE"""),5.57)</f>
        <v>5.57</v>
      </c>
      <c r="F389" s="1">
        <f>IFERROR(__xludf.DUMMYFUNCTION("""COMPUTED_VALUE"""),1221200.0)</f>
        <v>1221200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IFERROR(__xludf.DUMMYFUNCTION("""COMPUTED_VALUE"""),5.7)</f>
        <v>5.7</v>
      </c>
      <c r="C390" s="1">
        <f>IFERROR(__xludf.DUMMYFUNCTION("""COMPUTED_VALUE"""),5.8)</f>
        <v>5.8</v>
      </c>
      <c r="D390" s="1">
        <f>IFERROR(__xludf.DUMMYFUNCTION("""COMPUTED_VALUE"""),5.7)</f>
        <v>5.7</v>
      </c>
      <c r="E390" s="1">
        <f>IFERROR(__xludf.DUMMYFUNCTION("""COMPUTED_VALUE"""),5.76)</f>
        <v>5.76</v>
      </c>
      <c r="F390" s="1">
        <f>IFERROR(__xludf.DUMMYFUNCTION("""COMPUTED_VALUE"""),1778291.0)</f>
        <v>1778291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IFERROR(__xludf.DUMMYFUNCTION("""COMPUTED_VALUE"""),5.91)</f>
        <v>5.91</v>
      </c>
      <c r="C391" s="1">
        <f>IFERROR(__xludf.DUMMYFUNCTION("""COMPUTED_VALUE"""),5.98)</f>
        <v>5.98</v>
      </c>
      <c r="D391" s="1">
        <f>IFERROR(__xludf.DUMMYFUNCTION("""COMPUTED_VALUE"""),5.85)</f>
        <v>5.85</v>
      </c>
      <c r="E391" s="1">
        <f>IFERROR(__xludf.DUMMYFUNCTION("""COMPUTED_VALUE"""),5.95)</f>
        <v>5.95</v>
      </c>
      <c r="F391" s="1">
        <f>IFERROR(__xludf.DUMMYFUNCTION("""COMPUTED_VALUE"""),1025063.0)</f>
        <v>1025063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IFERROR(__xludf.DUMMYFUNCTION("""COMPUTED_VALUE"""),6.18)</f>
        <v>6.18</v>
      </c>
      <c r="C392" s="1">
        <f>IFERROR(__xludf.DUMMYFUNCTION("""COMPUTED_VALUE"""),6.29)</f>
        <v>6.29</v>
      </c>
      <c r="D392" s="1">
        <f>IFERROR(__xludf.DUMMYFUNCTION("""COMPUTED_VALUE"""),6.16)</f>
        <v>6.16</v>
      </c>
      <c r="E392" s="1">
        <f>IFERROR(__xludf.DUMMYFUNCTION("""COMPUTED_VALUE"""),6.24)</f>
        <v>6.24</v>
      </c>
      <c r="F392" s="1">
        <f>IFERROR(__xludf.DUMMYFUNCTION("""COMPUTED_VALUE"""),1156478.0)</f>
        <v>1156478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IFERROR(__xludf.DUMMYFUNCTION("""COMPUTED_VALUE"""),6.23)</f>
        <v>6.23</v>
      </c>
      <c r="C393" s="1">
        <f>IFERROR(__xludf.DUMMYFUNCTION("""COMPUTED_VALUE"""),6.23)</f>
        <v>6.23</v>
      </c>
      <c r="D393" s="1">
        <f>IFERROR(__xludf.DUMMYFUNCTION("""COMPUTED_VALUE"""),6.14)</f>
        <v>6.14</v>
      </c>
      <c r="E393" s="1">
        <f>IFERROR(__xludf.DUMMYFUNCTION("""COMPUTED_VALUE"""),6.19)</f>
        <v>6.19</v>
      </c>
      <c r="F393" s="1">
        <f>IFERROR(__xludf.DUMMYFUNCTION("""COMPUTED_VALUE"""),585084.0)</f>
        <v>585084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IFERROR(__xludf.DUMMYFUNCTION("""COMPUTED_VALUE"""),6.05)</f>
        <v>6.05</v>
      </c>
      <c r="C394" s="1">
        <f>IFERROR(__xludf.DUMMYFUNCTION("""COMPUTED_VALUE"""),6.06)</f>
        <v>6.06</v>
      </c>
      <c r="D394" s="1">
        <f>IFERROR(__xludf.DUMMYFUNCTION("""COMPUTED_VALUE"""),5.99)</f>
        <v>5.99</v>
      </c>
      <c r="E394" s="1">
        <f>IFERROR(__xludf.DUMMYFUNCTION("""COMPUTED_VALUE"""),6.01)</f>
        <v>6.01</v>
      </c>
      <c r="F394" s="1">
        <f>IFERROR(__xludf.DUMMYFUNCTION("""COMPUTED_VALUE"""),3738558.0)</f>
        <v>3738558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IFERROR(__xludf.DUMMYFUNCTION("""COMPUTED_VALUE"""),6.01)</f>
        <v>6.01</v>
      </c>
      <c r="C395" s="1">
        <f>IFERROR(__xludf.DUMMYFUNCTION("""COMPUTED_VALUE"""),6.04)</f>
        <v>6.04</v>
      </c>
      <c r="D395" s="1">
        <f>IFERROR(__xludf.DUMMYFUNCTION("""COMPUTED_VALUE"""),5.97)</f>
        <v>5.97</v>
      </c>
      <c r="E395" s="1">
        <f>IFERROR(__xludf.DUMMYFUNCTION("""COMPUTED_VALUE"""),5.99)</f>
        <v>5.99</v>
      </c>
      <c r="F395" s="1">
        <f>IFERROR(__xludf.DUMMYFUNCTION("""COMPUTED_VALUE"""),3011259.0)</f>
        <v>3011259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IFERROR(__xludf.DUMMYFUNCTION("""COMPUTED_VALUE"""),5.87)</f>
        <v>5.87</v>
      </c>
      <c r="C396" s="1">
        <f>IFERROR(__xludf.DUMMYFUNCTION("""COMPUTED_VALUE"""),5.89)</f>
        <v>5.89</v>
      </c>
      <c r="D396" s="1">
        <f>IFERROR(__xludf.DUMMYFUNCTION("""COMPUTED_VALUE"""),5.7)</f>
        <v>5.7</v>
      </c>
      <c r="E396" s="1">
        <f>IFERROR(__xludf.DUMMYFUNCTION("""COMPUTED_VALUE"""),5.74)</f>
        <v>5.74</v>
      </c>
      <c r="F396" s="1">
        <f>IFERROR(__xludf.DUMMYFUNCTION("""COMPUTED_VALUE"""),1108829.0)</f>
        <v>1108829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IFERROR(__xludf.DUMMYFUNCTION("""COMPUTED_VALUE"""),5.77)</f>
        <v>5.77</v>
      </c>
      <c r="C397" s="1">
        <f>IFERROR(__xludf.DUMMYFUNCTION("""COMPUTED_VALUE"""),5.85)</f>
        <v>5.85</v>
      </c>
      <c r="D397" s="1">
        <f>IFERROR(__xludf.DUMMYFUNCTION("""COMPUTED_VALUE"""),5.74)</f>
        <v>5.74</v>
      </c>
      <c r="E397" s="1">
        <f>IFERROR(__xludf.DUMMYFUNCTION("""COMPUTED_VALUE"""),5.77)</f>
        <v>5.77</v>
      </c>
      <c r="F397" s="1">
        <f>IFERROR(__xludf.DUMMYFUNCTION("""COMPUTED_VALUE"""),678764.0)</f>
        <v>678764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IFERROR(__xludf.DUMMYFUNCTION("""COMPUTED_VALUE"""),5.67)</f>
        <v>5.67</v>
      </c>
      <c r="C398" s="1">
        <f>IFERROR(__xludf.DUMMYFUNCTION("""COMPUTED_VALUE"""),5.81)</f>
        <v>5.81</v>
      </c>
      <c r="D398" s="1">
        <f>IFERROR(__xludf.DUMMYFUNCTION("""COMPUTED_VALUE"""),5.64)</f>
        <v>5.64</v>
      </c>
      <c r="E398" s="1">
        <f>IFERROR(__xludf.DUMMYFUNCTION("""COMPUTED_VALUE"""),5.71)</f>
        <v>5.71</v>
      </c>
      <c r="F398" s="1">
        <f>IFERROR(__xludf.DUMMYFUNCTION("""COMPUTED_VALUE"""),696161.0)</f>
        <v>696161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IFERROR(__xludf.DUMMYFUNCTION("""COMPUTED_VALUE"""),5.82)</f>
        <v>5.82</v>
      </c>
      <c r="C399" s="1">
        <f>IFERROR(__xludf.DUMMYFUNCTION("""COMPUTED_VALUE"""),5.82)</f>
        <v>5.82</v>
      </c>
      <c r="D399" s="1">
        <f>IFERROR(__xludf.DUMMYFUNCTION("""COMPUTED_VALUE"""),5.52)</f>
        <v>5.52</v>
      </c>
      <c r="E399" s="1">
        <f>IFERROR(__xludf.DUMMYFUNCTION("""COMPUTED_VALUE"""),5.62)</f>
        <v>5.62</v>
      </c>
      <c r="F399" s="1">
        <f>IFERROR(__xludf.DUMMYFUNCTION("""COMPUTED_VALUE"""),1103689.0)</f>
        <v>1103689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IFERROR(__xludf.DUMMYFUNCTION("""COMPUTED_VALUE"""),5.48)</f>
        <v>5.48</v>
      </c>
      <c r="C400" s="1">
        <f>IFERROR(__xludf.DUMMYFUNCTION("""COMPUTED_VALUE"""),5.53)</f>
        <v>5.53</v>
      </c>
      <c r="D400" s="1">
        <f>IFERROR(__xludf.DUMMYFUNCTION("""COMPUTED_VALUE"""),5.29)</f>
        <v>5.29</v>
      </c>
      <c r="E400" s="1">
        <f>IFERROR(__xludf.DUMMYFUNCTION("""COMPUTED_VALUE"""),5.3)</f>
        <v>5.3</v>
      </c>
      <c r="F400" s="1">
        <f>IFERROR(__xludf.DUMMYFUNCTION("""COMPUTED_VALUE"""),1366271.0)</f>
        <v>1366271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IFERROR(__xludf.DUMMYFUNCTION("""COMPUTED_VALUE"""),5.27)</f>
        <v>5.27</v>
      </c>
      <c r="C401" s="1">
        <f>IFERROR(__xludf.DUMMYFUNCTION("""COMPUTED_VALUE"""),5.28)</f>
        <v>5.28</v>
      </c>
      <c r="D401" s="1">
        <f>IFERROR(__xludf.DUMMYFUNCTION("""COMPUTED_VALUE"""),5.08)</f>
        <v>5.08</v>
      </c>
      <c r="E401" s="1">
        <f>IFERROR(__xludf.DUMMYFUNCTION("""COMPUTED_VALUE"""),5.21)</f>
        <v>5.21</v>
      </c>
      <c r="F401" s="1">
        <f>IFERROR(__xludf.DUMMYFUNCTION("""COMPUTED_VALUE"""),2132695.0)</f>
        <v>2132695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IFERROR(__xludf.DUMMYFUNCTION("""COMPUTED_VALUE"""),5.0)</f>
        <v>5</v>
      </c>
      <c r="C402" s="1">
        <f>IFERROR(__xludf.DUMMYFUNCTION("""COMPUTED_VALUE"""),5.0)</f>
        <v>5</v>
      </c>
      <c r="D402" s="1">
        <f>IFERROR(__xludf.DUMMYFUNCTION("""COMPUTED_VALUE"""),4.75)</f>
        <v>4.75</v>
      </c>
      <c r="E402" s="1">
        <f>IFERROR(__xludf.DUMMYFUNCTION("""COMPUTED_VALUE"""),4.75)</f>
        <v>4.75</v>
      </c>
      <c r="F402" s="1">
        <f>IFERROR(__xludf.DUMMYFUNCTION("""COMPUTED_VALUE"""),3384853.0)</f>
        <v>3384853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IFERROR(__xludf.DUMMYFUNCTION("""COMPUTED_VALUE"""),4.96)</f>
        <v>4.96</v>
      </c>
      <c r="C403" s="1">
        <f>IFERROR(__xludf.DUMMYFUNCTION("""COMPUTED_VALUE"""),5.03)</f>
        <v>5.03</v>
      </c>
      <c r="D403" s="1">
        <f>IFERROR(__xludf.DUMMYFUNCTION("""COMPUTED_VALUE"""),4.61)</f>
        <v>4.61</v>
      </c>
      <c r="E403" s="1">
        <f>IFERROR(__xludf.DUMMYFUNCTION("""COMPUTED_VALUE"""),4.9)</f>
        <v>4.9</v>
      </c>
      <c r="F403" s="1">
        <f>IFERROR(__xludf.DUMMYFUNCTION("""COMPUTED_VALUE"""),3083931.0)</f>
        <v>3083931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IFERROR(__xludf.DUMMYFUNCTION("""COMPUTED_VALUE"""),4.53)</f>
        <v>4.53</v>
      </c>
      <c r="C404" s="1">
        <f>IFERROR(__xludf.DUMMYFUNCTION("""COMPUTED_VALUE"""),4.62)</f>
        <v>4.62</v>
      </c>
      <c r="D404" s="1">
        <f>IFERROR(__xludf.DUMMYFUNCTION("""COMPUTED_VALUE"""),4.18)</f>
        <v>4.18</v>
      </c>
      <c r="E404" s="1">
        <f>IFERROR(__xludf.DUMMYFUNCTION("""COMPUTED_VALUE"""),4.25)</f>
        <v>4.25</v>
      </c>
      <c r="F404" s="1">
        <f>IFERROR(__xludf.DUMMYFUNCTION("""COMPUTED_VALUE"""),3534800.0)</f>
        <v>3534800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IFERROR(__xludf.DUMMYFUNCTION("""COMPUTED_VALUE"""),4.46)</f>
        <v>4.46</v>
      </c>
      <c r="C405" s="1">
        <f>IFERROR(__xludf.DUMMYFUNCTION("""COMPUTED_VALUE"""),4.62)</f>
        <v>4.62</v>
      </c>
      <c r="D405" s="1">
        <f>IFERROR(__xludf.DUMMYFUNCTION("""COMPUTED_VALUE"""),4.22)</f>
        <v>4.22</v>
      </c>
      <c r="E405" s="1">
        <f>IFERROR(__xludf.DUMMYFUNCTION("""COMPUTED_VALUE"""),4.58)</f>
        <v>4.58</v>
      </c>
      <c r="F405" s="1">
        <f>IFERROR(__xludf.DUMMYFUNCTION("""COMPUTED_VALUE"""),1558635.0)</f>
        <v>1558635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IFERROR(__xludf.DUMMYFUNCTION("""COMPUTED_VALUE"""),4.41)</f>
        <v>4.41</v>
      </c>
      <c r="C406" s="1">
        <f>IFERROR(__xludf.DUMMYFUNCTION("""COMPUTED_VALUE"""),4.42)</f>
        <v>4.42</v>
      </c>
      <c r="D406" s="1">
        <f>IFERROR(__xludf.DUMMYFUNCTION("""COMPUTED_VALUE"""),4.17)</f>
        <v>4.17</v>
      </c>
      <c r="E406" s="1">
        <f>IFERROR(__xludf.DUMMYFUNCTION("""COMPUTED_VALUE"""),4.23)</f>
        <v>4.23</v>
      </c>
      <c r="F406" s="1">
        <f>IFERROR(__xludf.DUMMYFUNCTION("""COMPUTED_VALUE"""),1897438.0)</f>
        <v>1897438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IFERROR(__xludf.DUMMYFUNCTION("""COMPUTED_VALUE"""),3.92)</f>
        <v>3.92</v>
      </c>
      <c r="C407" s="1">
        <f>IFERROR(__xludf.DUMMYFUNCTION("""COMPUTED_VALUE"""),4.3)</f>
        <v>4.3</v>
      </c>
      <c r="D407" s="1">
        <f>IFERROR(__xludf.DUMMYFUNCTION("""COMPUTED_VALUE"""),3.9)</f>
        <v>3.9</v>
      </c>
      <c r="E407" s="1">
        <f>IFERROR(__xludf.DUMMYFUNCTION("""COMPUTED_VALUE"""),4.19)</f>
        <v>4.19</v>
      </c>
      <c r="F407" s="1">
        <f>IFERROR(__xludf.DUMMYFUNCTION("""COMPUTED_VALUE"""),3431287.0)</f>
        <v>3431287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IFERROR(__xludf.DUMMYFUNCTION("""COMPUTED_VALUE"""),4.38)</f>
        <v>4.38</v>
      </c>
      <c r="C408" s="1">
        <f>IFERROR(__xludf.DUMMYFUNCTION("""COMPUTED_VALUE"""),4.49)</f>
        <v>4.49</v>
      </c>
      <c r="D408" s="1">
        <f>IFERROR(__xludf.DUMMYFUNCTION("""COMPUTED_VALUE"""),4.3)</f>
        <v>4.3</v>
      </c>
      <c r="E408" s="1">
        <f>IFERROR(__xludf.DUMMYFUNCTION("""COMPUTED_VALUE"""),4.42)</f>
        <v>4.42</v>
      </c>
      <c r="F408" s="1">
        <f>IFERROR(__xludf.DUMMYFUNCTION("""COMPUTED_VALUE"""),1519522.0)</f>
        <v>1519522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IFERROR(__xludf.DUMMYFUNCTION("""COMPUTED_VALUE"""),4.66)</f>
        <v>4.66</v>
      </c>
      <c r="C409" s="1">
        <f>IFERROR(__xludf.DUMMYFUNCTION("""COMPUTED_VALUE"""),4.68)</f>
        <v>4.68</v>
      </c>
      <c r="D409" s="1">
        <f>IFERROR(__xludf.DUMMYFUNCTION("""COMPUTED_VALUE"""),4.6)</f>
        <v>4.6</v>
      </c>
      <c r="E409" s="1">
        <f>IFERROR(__xludf.DUMMYFUNCTION("""COMPUTED_VALUE"""),4.66)</f>
        <v>4.66</v>
      </c>
      <c r="F409" s="1">
        <f>IFERROR(__xludf.DUMMYFUNCTION("""COMPUTED_VALUE"""),1116423.0)</f>
        <v>1116423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IFERROR(__xludf.DUMMYFUNCTION("""COMPUTED_VALUE"""),4.53)</f>
        <v>4.53</v>
      </c>
      <c r="C410" s="1">
        <f>IFERROR(__xludf.DUMMYFUNCTION("""COMPUTED_VALUE"""),4.66)</f>
        <v>4.66</v>
      </c>
      <c r="D410" s="1">
        <f>IFERROR(__xludf.DUMMYFUNCTION("""COMPUTED_VALUE"""),4.48)</f>
        <v>4.48</v>
      </c>
      <c r="E410" s="1">
        <f>IFERROR(__xludf.DUMMYFUNCTION("""COMPUTED_VALUE"""),4.52)</f>
        <v>4.52</v>
      </c>
      <c r="F410" s="1">
        <f>IFERROR(__xludf.DUMMYFUNCTION("""COMPUTED_VALUE"""),1261934.0)</f>
        <v>1261934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IFERROR(__xludf.DUMMYFUNCTION("""COMPUTED_VALUE"""),4.61)</f>
        <v>4.61</v>
      </c>
      <c r="C411" s="1">
        <f>IFERROR(__xludf.DUMMYFUNCTION("""COMPUTED_VALUE"""),4.68)</f>
        <v>4.68</v>
      </c>
      <c r="D411" s="1">
        <f>IFERROR(__xludf.DUMMYFUNCTION("""COMPUTED_VALUE"""),4.52)</f>
        <v>4.52</v>
      </c>
      <c r="E411" s="1">
        <f>IFERROR(__xludf.DUMMYFUNCTION("""COMPUTED_VALUE"""),4.57)</f>
        <v>4.57</v>
      </c>
      <c r="F411" s="1">
        <f>IFERROR(__xludf.DUMMYFUNCTION("""COMPUTED_VALUE"""),941779.0)</f>
        <v>941779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IFERROR(__xludf.DUMMYFUNCTION("""COMPUTED_VALUE"""),4.26)</f>
        <v>4.26</v>
      </c>
      <c r="C412" s="1">
        <f>IFERROR(__xludf.DUMMYFUNCTION("""COMPUTED_VALUE"""),4.27)</f>
        <v>4.27</v>
      </c>
      <c r="D412" s="1">
        <f>IFERROR(__xludf.DUMMYFUNCTION("""COMPUTED_VALUE"""),4.11)</f>
        <v>4.11</v>
      </c>
      <c r="E412" s="1">
        <f>IFERROR(__xludf.DUMMYFUNCTION("""COMPUTED_VALUE"""),4.16)</f>
        <v>4.16</v>
      </c>
      <c r="F412" s="1">
        <f>IFERROR(__xludf.DUMMYFUNCTION("""COMPUTED_VALUE"""),1859672.0)</f>
        <v>1859672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IFERROR(__xludf.DUMMYFUNCTION("""COMPUTED_VALUE"""),4.11)</f>
        <v>4.11</v>
      </c>
      <c r="C413" s="1">
        <f>IFERROR(__xludf.DUMMYFUNCTION("""COMPUTED_VALUE"""),4.23)</f>
        <v>4.23</v>
      </c>
      <c r="D413" s="1">
        <f>IFERROR(__xludf.DUMMYFUNCTION("""COMPUTED_VALUE"""),4.08)</f>
        <v>4.08</v>
      </c>
      <c r="E413" s="1">
        <f>IFERROR(__xludf.DUMMYFUNCTION("""COMPUTED_VALUE"""),4.1)</f>
        <v>4.1</v>
      </c>
      <c r="F413" s="1">
        <f>IFERROR(__xludf.DUMMYFUNCTION("""COMPUTED_VALUE"""),680611.0)</f>
        <v>680611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IFERROR(__xludf.DUMMYFUNCTION("""COMPUTED_VALUE"""),4.28)</f>
        <v>4.28</v>
      </c>
      <c r="C414" s="1">
        <f>IFERROR(__xludf.DUMMYFUNCTION("""COMPUTED_VALUE"""),4.29)</f>
        <v>4.29</v>
      </c>
      <c r="D414" s="1">
        <f>IFERROR(__xludf.DUMMYFUNCTION("""COMPUTED_VALUE"""),4.08)</f>
        <v>4.08</v>
      </c>
      <c r="E414" s="1">
        <f>IFERROR(__xludf.DUMMYFUNCTION("""COMPUTED_VALUE"""),4.09)</f>
        <v>4.09</v>
      </c>
      <c r="F414" s="1">
        <f>IFERROR(__xludf.DUMMYFUNCTION("""COMPUTED_VALUE"""),692465.0)</f>
        <v>692465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IFERROR(__xludf.DUMMYFUNCTION("""COMPUTED_VALUE"""),4.13)</f>
        <v>4.13</v>
      </c>
      <c r="C415" s="1">
        <f>IFERROR(__xludf.DUMMYFUNCTION("""COMPUTED_VALUE"""),4.22)</f>
        <v>4.22</v>
      </c>
      <c r="D415" s="1">
        <f>IFERROR(__xludf.DUMMYFUNCTION("""COMPUTED_VALUE"""),4.08)</f>
        <v>4.08</v>
      </c>
      <c r="E415" s="1">
        <f>IFERROR(__xludf.DUMMYFUNCTION("""COMPUTED_VALUE"""),4.22)</f>
        <v>4.22</v>
      </c>
      <c r="F415" s="1">
        <f>IFERROR(__xludf.DUMMYFUNCTION("""COMPUTED_VALUE"""),1026223.0)</f>
        <v>1026223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IFERROR(__xludf.DUMMYFUNCTION("""COMPUTED_VALUE"""),4.23)</f>
        <v>4.23</v>
      </c>
      <c r="C416" s="1">
        <f>IFERROR(__xludf.DUMMYFUNCTION("""COMPUTED_VALUE"""),4.32)</f>
        <v>4.32</v>
      </c>
      <c r="D416" s="1">
        <f>IFERROR(__xludf.DUMMYFUNCTION("""COMPUTED_VALUE"""),4.2)</f>
        <v>4.2</v>
      </c>
      <c r="E416" s="1">
        <f>IFERROR(__xludf.DUMMYFUNCTION("""COMPUTED_VALUE"""),4.29)</f>
        <v>4.29</v>
      </c>
      <c r="F416" s="1">
        <f>IFERROR(__xludf.DUMMYFUNCTION("""COMPUTED_VALUE"""),824408.0)</f>
        <v>824408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IFERROR(__xludf.DUMMYFUNCTION("""COMPUTED_VALUE"""),4.35)</f>
        <v>4.35</v>
      </c>
      <c r="C417" s="1">
        <f>IFERROR(__xludf.DUMMYFUNCTION("""COMPUTED_VALUE"""),4.44)</f>
        <v>4.44</v>
      </c>
      <c r="D417" s="1">
        <f>IFERROR(__xludf.DUMMYFUNCTION("""COMPUTED_VALUE"""),4.19)</f>
        <v>4.19</v>
      </c>
      <c r="E417" s="1">
        <f>IFERROR(__xludf.DUMMYFUNCTION("""COMPUTED_VALUE"""),4.23)</f>
        <v>4.23</v>
      </c>
      <c r="F417" s="1">
        <f>IFERROR(__xludf.DUMMYFUNCTION("""COMPUTED_VALUE"""),1006100.0)</f>
        <v>1006100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IFERROR(__xludf.DUMMYFUNCTION("""COMPUTED_VALUE"""),4.13)</f>
        <v>4.13</v>
      </c>
      <c r="C418" s="1">
        <f>IFERROR(__xludf.DUMMYFUNCTION("""COMPUTED_VALUE"""),4.24)</f>
        <v>4.24</v>
      </c>
      <c r="D418" s="1">
        <f>IFERROR(__xludf.DUMMYFUNCTION("""COMPUTED_VALUE"""),4.07)</f>
        <v>4.07</v>
      </c>
      <c r="E418" s="1">
        <f>IFERROR(__xludf.DUMMYFUNCTION("""COMPUTED_VALUE"""),4.19)</f>
        <v>4.19</v>
      </c>
      <c r="F418" s="1">
        <f>IFERROR(__xludf.DUMMYFUNCTION("""COMPUTED_VALUE"""),758765.0)</f>
        <v>758765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IFERROR(__xludf.DUMMYFUNCTION("""COMPUTED_VALUE"""),4.32)</f>
        <v>4.32</v>
      </c>
      <c r="C419" s="1">
        <f>IFERROR(__xludf.DUMMYFUNCTION("""COMPUTED_VALUE"""),4.41)</f>
        <v>4.41</v>
      </c>
      <c r="D419" s="1">
        <f>IFERROR(__xludf.DUMMYFUNCTION("""COMPUTED_VALUE"""),4.32)</f>
        <v>4.32</v>
      </c>
      <c r="E419" s="1">
        <f>IFERROR(__xludf.DUMMYFUNCTION("""COMPUTED_VALUE"""),4.38)</f>
        <v>4.38</v>
      </c>
      <c r="F419" s="1">
        <f>IFERROR(__xludf.DUMMYFUNCTION("""COMPUTED_VALUE"""),915218.0)</f>
        <v>915218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IFERROR(__xludf.DUMMYFUNCTION("""COMPUTED_VALUE"""),4.34)</f>
        <v>4.34</v>
      </c>
      <c r="C420" s="1">
        <f>IFERROR(__xludf.DUMMYFUNCTION("""COMPUTED_VALUE"""),4.39)</f>
        <v>4.39</v>
      </c>
      <c r="D420" s="1">
        <f>IFERROR(__xludf.DUMMYFUNCTION("""COMPUTED_VALUE"""),4.28)</f>
        <v>4.28</v>
      </c>
      <c r="E420" s="1">
        <f>IFERROR(__xludf.DUMMYFUNCTION("""COMPUTED_VALUE"""),4.38)</f>
        <v>4.38</v>
      </c>
      <c r="F420" s="1">
        <f>IFERROR(__xludf.DUMMYFUNCTION("""COMPUTED_VALUE"""),965663.0)</f>
        <v>965663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IFERROR(__xludf.DUMMYFUNCTION("""COMPUTED_VALUE"""),4.46)</f>
        <v>4.46</v>
      </c>
      <c r="C421" s="1">
        <f>IFERROR(__xludf.DUMMYFUNCTION("""COMPUTED_VALUE"""),4.56)</f>
        <v>4.56</v>
      </c>
      <c r="D421" s="1">
        <f>IFERROR(__xludf.DUMMYFUNCTION("""COMPUTED_VALUE"""),4.46)</f>
        <v>4.46</v>
      </c>
      <c r="E421" s="1">
        <f>IFERROR(__xludf.DUMMYFUNCTION("""COMPUTED_VALUE"""),4.53)</f>
        <v>4.53</v>
      </c>
      <c r="F421" s="1">
        <f>IFERROR(__xludf.DUMMYFUNCTION("""COMPUTED_VALUE"""),919031.0)</f>
        <v>919031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IFERROR(__xludf.DUMMYFUNCTION("""COMPUTED_VALUE"""),4.5)</f>
        <v>4.5</v>
      </c>
      <c r="C422" s="1">
        <f>IFERROR(__xludf.DUMMYFUNCTION("""COMPUTED_VALUE"""),4.56)</f>
        <v>4.56</v>
      </c>
      <c r="D422" s="1">
        <f>IFERROR(__xludf.DUMMYFUNCTION("""COMPUTED_VALUE"""),4.43)</f>
        <v>4.43</v>
      </c>
      <c r="E422" s="1">
        <f>IFERROR(__xludf.DUMMYFUNCTION("""COMPUTED_VALUE"""),4.44)</f>
        <v>4.44</v>
      </c>
      <c r="F422" s="1">
        <f>IFERROR(__xludf.DUMMYFUNCTION("""COMPUTED_VALUE"""),499627.0)</f>
        <v>499627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IFERROR(__xludf.DUMMYFUNCTION("""COMPUTED_VALUE"""),4.31)</f>
        <v>4.31</v>
      </c>
      <c r="C423" s="1">
        <f>IFERROR(__xludf.DUMMYFUNCTION("""COMPUTED_VALUE"""),4.34)</f>
        <v>4.34</v>
      </c>
      <c r="D423" s="1">
        <f>IFERROR(__xludf.DUMMYFUNCTION("""COMPUTED_VALUE"""),4.24)</f>
        <v>4.24</v>
      </c>
      <c r="E423" s="1">
        <f>IFERROR(__xludf.DUMMYFUNCTION("""COMPUTED_VALUE"""),4.25)</f>
        <v>4.25</v>
      </c>
      <c r="F423" s="1">
        <f>IFERROR(__xludf.DUMMYFUNCTION("""COMPUTED_VALUE"""),1603141.0)</f>
        <v>1603141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IFERROR(__xludf.DUMMYFUNCTION("""COMPUTED_VALUE"""),3.87)</f>
        <v>3.87</v>
      </c>
      <c r="C424" s="1">
        <f>IFERROR(__xludf.DUMMYFUNCTION("""COMPUTED_VALUE"""),3.98)</f>
        <v>3.98</v>
      </c>
      <c r="D424" s="1">
        <f>IFERROR(__xludf.DUMMYFUNCTION("""COMPUTED_VALUE"""),3.82)</f>
        <v>3.82</v>
      </c>
      <c r="E424" s="1">
        <f>IFERROR(__xludf.DUMMYFUNCTION("""COMPUTED_VALUE"""),3.94)</f>
        <v>3.94</v>
      </c>
      <c r="F424" s="1">
        <f>IFERROR(__xludf.DUMMYFUNCTION("""COMPUTED_VALUE"""),1438802.0)</f>
        <v>1438802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IFERROR(__xludf.DUMMYFUNCTION("""COMPUTED_VALUE"""),4.08)</f>
        <v>4.08</v>
      </c>
      <c r="C425" s="1">
        <f>IFERROR(__xludf.DUMMYFUNCTION("""COMPUTED_VALUE"""),4.24)</f>
        <v>4.24</v>
      </c>
      <c r="D425" s="1">
        <f>IFERROR(__xludf.DUMMYFUNCTION("""COMPUTED_VALUE"""),4.07)</f>
        <v>4.07</v>
      </c>
      <c r="E425" s="1">
        <f>IFERROR(__xludf.DUMMYFUNCTION("""COMPUTED_VALUE"""),4.21)</f>
        <v>4.21</v>
      </c>
      <c r="F425" s="1">
        <f>IFERROR(__xludf.DUMMYFUNCTION("""COMPUTED_VALUE"""),865449.0)</f>
        <v>865449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IFERROR(__xludf.DUMMYFUNCTION("""COMPUTED_VALUE"""),4.19)</f>
        <v>4.19</v>
      </c>
      <c r="C426" s="1">
        <f>IFERROR(__xludf.DUMMYFUNCTION("""COMPUTED_VALUE"""),4.29)</f>
        <v>4.29</v>
      </c>
      <c r="D426" s="1">
        <f>IFERROR(__xludf.DUMMYFUNCTION("""COMPUTED_VALUE"""),4.16)</f>
        <v>4.16</v>
      </c>
      <c r="E426" s="1">
        <f>IFERROR(__xludf.DUMMYFUNCTION("""COMPUTED_VALUE"""),4.16)</f>
        <v>4.16</v>
      </c>
      <c r="F426" s="1">
        <f>IFERROR(__xludf.DUMMYFUNCTION("""COMPUTED_VALUE"""),829354.0)</f>
        <v>829354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IFERROR(__xludf.DUMMYFUNCTION("""COMPUTED_VALUE"""),3.97)</f>
        <v>3.97</v>
      </c>
      <c r="C427" s="1">
        <f>IFERROR(__xludf.DUMMYFUNCTION("""COMPUTED_VALUE"""),4.02)</f>
        <v>4.02</v>
      </c>
      <c r="D427" s="1">
        <f>IFERROR(__xludf.DUMMYFUNCTION("""COMPUTED_VALUE"""),3.85)</f>
        <v>3.85</v>
      </c>
      <c r="E427" s="1">
        <f>IFERROR(__xludf.DUMMYFUNCTION("""COMPUTED_VALUE"""),3.91)</f>
        <v>3.91</v>
      </c>
      <c r="F427" s="1">
        <f>IFERROR(__xludf.DUMMYFUNCTION("""COMPUTED_VALUE"""),1527199.0)</f>
        <v>1527199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IFERROR(__xludf.DUMMYFUNCTION("""COMPUTED_VALUE"""),3.74)</f>
        <v>3.74</v>
      </c>
      <c r="C428" s="1">
        <f>IFERROR(__xludf.DUMMYFUNCTION("""COMPUTED_VALUE"""),3.84)</f>
        <v>3.84</v>
      </c>
      <c r="D428" s="1">
        <f>IFERROR(__xludf.DUMMYFUNCTION("""COMPUTED_VALUE"""),3.67)</f>
        <v>3.67</v>
      </c>
      <c r="E428" s="1">
        <f>IFERROR(__xludf.DUMMYFUNCTION("""COMPUTED_VALUE"""),3.8)</f>
        <v>3.8</v>
      </c>
      <c r="F428" s="1">
        <f>IFERROR(__xludf.DUMMYFUNCTION("""COMPUTED_VALUE"""),2216000.0)</f>
        <v>2216000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IFERROR(__xludf.DUMMYFUNCTION("""COMPUTED_VALUE"""),3.84)</f>
        <v>3.84</v>
      </c>
      <c r="C429" s="1">
        <f>IFERROR(__xludf.DUMMYFUNCTION("""COMPUTED_VALUE"""),3.93)</f>
        <v>3.93</v>
      </c>
      <c r="D429" s="1">
        <f>IFERROR(__xludf.DUMMYFUNCTION("""COMPUTED_VALUE"""),3.8)</f>
        <v>3.8</v>
      </c>
      <c r="E429" s="1">
        <f>IFERROR(__xludf.DUMMYFUNCTION("""COMPUTED_VALUE"""),3.87)</f>
        <v>3.87</v>
      </c>
      <c r="F429" s="1">
        <f>IFERROR(__xludf.DUMMYFUNCTION("""COMPUTED_VALUE"""),1546431.0)</f>
        <v>1546431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IFERROR(__xludf.DUMMYFUNCTION("""COMPUTED_VALUE"""),3.92)</f>
        <v>3.92</v>
      </c>
      <c r="C430" s="1">
        <f>IFERROR(__xludf.DUMMYFUNCTION("""COMPUTED_VALUE"""),4.12)</f>
        <v>4.12</v>
      </c>
      <c r="D430" s="1">
        <f>IFERROR(__xludf.DUMMYFUNCTION("""COMPUTED_VALUE"""),3.82)</f>
        <v>3.82</v>
      </c>
      <c r="E430" s="1">
        <f>IFERROR(__xludf.DUMMYFUNCTION("""COMPUTED_VALUE"""),4.05)</f>
        <v>4.05</v>
      </c>
      <c r="F430" s="1">
        <f>IFERROR(__xludf.DUMMYFUNCTION("""COMPUTED_VALUE"""),1430249.0)</f>
        <v>1430249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IFERROR(__xludf.DUMMYFUNCTION("""COMPUTED_VALUE"""),4.23)</f>
        <v>4.23</v>
      </c>
      <c r="C431" s="1">
        <f>IFERROR(__xludf.DUMMYFUNCTION("""COMPUTED_VALUE"""),4.3)</f>
        <v>4.3</v>
      </c>
      <c r="D431" s="1">
        <f>IFERROR(__xludf.DUMMYFUNCTION("""COMPUTED_VALUE"""),4.16)</f>
        <v>4.16</v>
      </c>
      <c r="E431" s="1">
        <f>IFERROR(__xludf.DUMMYFUNCTION("""COMPUTED_VALUE"""),4.3)</f>
        <v>4.3</v>
      </c>
      <c r="F431" s="1">
        <f>IFERROR(__xludf.DUMMYFUNCTION("""COMPUTED_VALUE"""),2182839.0)</f>
        <v>2182839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IFERROR(__xludf.DUMMYFUNCTION("""COMPUTED_VALUE"""),4.35)</f>
        <v>4.35</v>
      </c>
      <c r="C432" s="1">
        <f>IFERROR(__xludf.DUMMYFUNCTION("""COMPUTED_VALUE"""),4.41)</f>
        <v>4.41</v>
      </c>
      <c r="D432" s="1">
        <f>IFERROR(__xludf.DUMMYFUNCTION("""COMPUTED_VALUE"""),4.27)</f>
        <v>4.27</v>
      </c>
      <c r="E432" s="1">
        <f>IFERROR(__xludf.DUMMYFUNCTION("""COMPUTED_VALUE"""),4.34)</f>
        <v>4.34</v>
      </c>
      <c r="F432" s="1">
        <f>IFERROR(__xludf.DUMMYFUNCTION("""COMPUTED_VALUE"""),788173.0)</f>
        <v>788173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IFERROR(__xludf.DUMMYFUNCTION("""COMPUTED_VALUE"""),4.05)</f>
        <v>4.05</v>
      </c>
      <c r="C433" s="1">
        <f>IFERROR(__xludf.DUMMYFUNCTION("""COMPUTED_VALUE"""),4.06)</f>
        <v>4.06</v>
      </c>
      <c r="D433" s="1">
        <f>IFERROR(__xludf.DUMMYFUNCTION("""COMPUTED_VALUE"""),3.98)</f>
        <v>3.98</v>
      </c>
      <c r="E433" s="1">
        <f>IFERROR(__xludf.DUMMYFUNCTION("""COMPUTED_VALUE"""),4.05)</f>
        <v>4.05</v>
      </c>
      <c r="F433" s="1">
        <f>IFERROR(__xludf.DUMMYFUNCTION("""COMPUTED_VALUE"""),2743332.0)</f>
        <v>2743332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IFERROR(__xludf.DUMMYFUNCTION("""COMPUTED_VALUE"""),4.03)</f>
        <v>4.03</v>
      </c>
      <c r="C434" s="1">
        <f>IFERROR(__xludf.DUMMYFUNCTION("""COMPUTED_VALUE"""),4.08)</f>
        <v>4.08</v>
      </c>
      <c r="D434" s="1">
        <f>IFERROR(__xludf.DUMMYFUNCTION("""COMPUTED_VALUE"""),3.96)</f>
        <v>3.96</v>
      </c>
      <c r="E434" s="1">
        <f>IFERROR(__xludf.DUMMYFUNCTION("""COMPUTED_VALUE"""),3.98)</f>
        <v>3.98</v>
      </c>
      <c r="F434" s="1">
        <f>IFERROR(__xludf.DUMMYFUNCTION("""COMPUTED_VALUE"""),859311.0)</f>
        <v>859311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IFERROR(__xludf.DUMMYFUNCTION("""COMPUTED_VALUE"""),4.1)</f>
        <v>4.1</v>
      </c>
      <c r="C435" s="1">
        <f>IFERROR(__xludf.DUMMYFUNCTION("""COMPUTED_VALUE"""),4.13)</f>
        <v>4.13</v>
      </c>
      <c r="D435" s="1">
        <f>IFERROR(__xludf.DUMMYFUNCTION("""COMPUTED_VALUE"""),3.9)</f>
        <v>3.9</v>
      </c>
      <c r="E435" s="1">
        <f>IFERROR(__xludf.DUMMYFUNCTION("""COMPUTED_VALUE"""),3.9)</f>
        <v>3.9</v>
      </c>
      <c r="F435" s="1">
        <f>IFERROR(__xludf.DUMMYFUNCTION("""COMPUTED_VALUE"""),794484.0)</f>
        <v>794484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IFERROR(__xludf.DUMMYFUNCTION("""COMPUTED_VALUE"""),3.71)</f>
        <v>3.71</v>
      </c>
      <c r="C436" s="1">
        <f>IFERROR(__xludf.DUMMYFUNCTION("""COMPUTED_VALUE"""),3.75)</f>
        <v>3.75</v>
      </c>
      <c r="D436" s="1">
        <f>IFERROR(__xludf.DUMMYFUNCTION("""COMPUTED_VALUE"""),3.6)</f>
        <v>3.6</v>
      </c>
      <c r="E436" s="1">
        <f>IFERROR(__xludf.DUMMYFUNCTION("""COMPUTED_VALUE"""),3.67)</f>
        <v>3.67</v>
      </c>
      <c r="F436" s="1">
        <f>IFERROR(__xludf.DUMMYFUNCTION("""COMPUTED_VALUE"""),1700623.0)</f>
        <v>1700623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IFERROR(__xludf.DUMMYFUNCTION("""COMPUTED_VALUE"""),3.54)</f>
        <v>3.54</v>
      </c>
      <c r="C437" s="1">
        <f>IFERROR(__xludf.DUMMYFUNCTION("""COMPUTED_VALUE"""),3.66)</f>
        <v>3.66</v>
      </c>
      <c r="D437" s="1">
        <f>IFERROR(__xludf.DUMMYFUNCTION("""COMPUTED_VALUE"""),3.54)</f>
        <v>3.54</v>
      </c>
      <c r="E437" s="1">
        <f>IFERROR(__xludf.DUMMYFUNCTION("""COMPUTED_VALUE"""),3.62)</f>
        <v>3.62</v>
      </c>
      <c r="F437" s="1">
        <f>IFERROR(__xludf.DUMMYFUNCTION("""COMPUTED_VALUE"""),1470769.0)</f>
        <v>1470769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IFERROR(__xludf.DUMMYFUNCTION("""COMPUTED_VALUE"""),3.76)</f>
        <v>3.76</v>
      </c>
      <c r="C438" s="1">
        <f>IFERROR(__xludf.DUMMYFUNCTION("""COMPUTED_VALUE"""),3.91)</f>
        <v>3.91</v>
      </c>
      <c r="D438" s="1">
        <f>IFERROR(__xludf.DUMMYFUNCTION("""COMPUTED_VALUE"""),3.66)</f>
        <v>3.66</v>
      </c>
      <c r="E438" s="1">
        <f>IFERROR(__xludf.DUMMYFUNCTION("""COMPUTED_VALUE"""),3.91)</f>
        <v>3.91</v>
      </c>
      <c r="F438" s="1">
        <f>IFERROR(__xludf.DUMMYFUNCTION("""COMPUTED_VALUE"""),1275349.0)</f>
        <v>1275349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IFERROR(__xludf.DUMMYFUNCTION("""COMPUTED_VALUE"""),4.11)</f>
        <v>4.11</v>
      </c>
      <c r="C439" s="1">
        <f>IFERROR(__xludf.DUMMYFUNCTION("""COMPUTED_VALUE"""),4.22)</f>
        <v>4.22</v>
      </c>
      <c r="D439" s="1">
        <f>IFERROR(__xludf.DUMMYFUNCTION("""COMPUTED_VALUE"""),4.05)</f>
        <v>4.05</v>
      </c>
      <c r="E439" s="1">
        <f>IFERROR(__xludf.DUMMYFUNCTION("""COMPUTED_VALUE"""),4.09)</f>
        <v>4.09</v>
      </c>
      <c r="F439" s="1">
        <f>IFERROR(__xludf.DUMMYFUNCTION("""COMPUTED_VALUE"""),1669466.0)</f>
        <v>1669466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IFERROR(__xludf.DUMMYFUNCTION("""COMPUTED_VALUE"""),4.21)</f>
        <v>4.21</v>
      </c>
      <c r="C440" s="1">
        <f>IFERROR(__xludf.DUMMYFUNCTION("""COMPUTED_VALUE"""),4.25)</f>
        <v>4.25</v>
      </c>
      <c r="D440" s="1">
        <f>IFERROR(__xludf.DUMMYFUNCTION("""COMPUTED_VALUE"""),4.07)</f>
        <v>4.07</v>
      </c>
      <c r="E440" s="1">
        <f>IFERROR(__xludf.DUMMYFUNCTION("""COMPUTED_VALUE"""),4.09)</f>
        <v>4.09</v>
      </c>
      <c r="F440" s="1">
        <f>IFERROR(__xludf.DUMMYFUNCTION("""COMPUTED_VALUE"""),1918351.0)</f>
        <v>1918351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IFERROR(__xludf.DUMMYFUNCTION("""COMPUTED_VALUE"""),4.3)</f>
        <v>4.3</v>
      </c>
      <c r="C441" s="1">
        <f>IFERROR(__xludf.DUMMYFUNCTION("""COMPUTED_VALUE"""),4.37)</f>
        <v>4.37</v>
      </c>
      <c r="D441" s="1">
        <f>IFERROR(__xludf.DUMMYFUNCTION("""COMPUTED_VALUE"""),4.19)</f>
        <v>4.19</v>
      </c>
      <c r="E441" s="1">
        <f>IFERROR(__xludf.DUMMYFUNCTION("""COMPUTED_VALUE"""),4.27)</f>
        <v>4.27</v>
      </c>
      <c r="F441" s="1">
        <f>IFERROR(__xludf.DUMMYFUNCTION("""COMPUTED_VALUE"""),1230010.0)</f>
        <v>1230010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IFERROR(__xludf.DUMMYFUNCTION("""COMPUTED_VALUE"""),4.13)</f>
        <v>4.13</v>
      </c>
      <c r="C442" s="1">
        <f>IFERROR(__xludf.DUMMYFUNCTION("""COMPUTED_VALUE"""),4.19)</f>
        <v>4.19</v>
      </c>
      <c r="D442" s="1">
        <f>IFERROR(__xludf.DUMMYFUNCTION("""COMPUTED_VALUE"""),4.05)</f>
        <v>4.05</v>
      </c>
      <c r="E442" s="1">
        <f>IFERROR(__xludf.DUMMYFUNCTION("""COMPUTED_VALUE"""),4.05)</f>
        <v>4.05</v>
      </c>
      <c r="F442" s="1">
        <f>IFERROR(__xludf.DUMMYFUNCTION("""COMPUTED_VALUE"""),1895682.0)</f>
        <v>1895682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IFERROR(__xludf.DUMMYFUNCTION("""COMPUTED_VALUE"""),3.96)</f>
        <v>3.96</v>
      </c>
      <c r="C443" s="1">
        <f>IFERROR(__xludf.DUMMYFUNCTION("""COMPUTED_VALUE"""),4.07)</f>
        <v>4.07</v>
      </c>
      <c r="D443" s="1">
        <f>IFERROR(__xludf.DUMMYFUNCTION("""COMPUTED_VALUE"""),3.83)</f>
        <v>3.83</v>
      </c>
      <c r="E443" s="1">
        <f>IFERROR(__xludf.DUMMYFUNCTION("""COMPUTED_VALUE"""),3.83)</f>
        <v>3.83</v>
      </c>
      <c r="F443" s="1">
        <f>IFERROR(__xludf.DUMMYFUNCTION("""COMPUTED_VALUE"""),1646380.0)</f>
        <v>1646380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IFERROR(__xludf.DUMMYFUNCTION("""COMPUTED_VALUE"""),3.83)</f>
        <v>3.83</v>
      </c>
      <c r="C444" s="1">
        <f>IFERROR(__xludf.DUMMYFUNCTION("""COMPUTED_VALUE"""),4.03)</f>
        <v>4.03</v>
      </c>
      <c r="D444" s="1">
        <f>IFERROR(__xludf.DUMMYFUNCTION("""COMPUTED_VALUE"""),3.78)</f>
        <v>3.78</v>
      </c>
      <c r="E444" s="1">
        <f>IFERROR(__xludf.DUMMYFUNCTION("""COMPUTED_VALUE"""),4.01)</f>
        <v>4.01</v>
      </c>
      <c r="F444" s="1">
        <f>IFERROR(__xludf.DUMMYFUNCTION("""COMPUTED_VALUE"""),2835773.0)</f>
        <v>2835773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IFERROR(__xludf.DUMMYFUNCTION("""COMPUTED_VALUE"""),4.09)</f>
        <v>4.09</v>
      </c>
      <c r="C445" s="1">
        <f>IFERROR(__xludf.DUMMYFUNCTION("""COMPUTED_VALUE"""),4.23)</f>
        <v>4.23</v>
      </c>
      <c r="D445" s="1">
        <f>IFERROR(__xludf.DUMMYFUNCTION("""COMPUTED_VALUE"""),4.05)</f>
        <v>4.05</v>
      </c>
      <c r="E445" s="1">
        <f>IFERROR(__xludf.DUMMYFUNCTION("""COMPUTED_VALUE"""),4.23)</f>
        <v>4.23</v>
      </c>
      <c r="F445" s="1">
        <f>IFERROR(__xludf.DUMMYFUNCTION("""COMPUTED_VALUE"""),2594591.0)</f>
        <v>2594591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IFERROR(__xludf.DUMMYFUNCTION("""COMPUTED_VALUE"""),4.22)</f>
        <v>4.22</v>
      </c>
      <c r="C446" s="1">
        <f>IFERROR(__xludf.DUMMYFUNCTION("""COMPUTED_VALUE"""),4.54)</f>
        <v>4.54</v>
      </c>
      <c r="D446" s="1">
        <f>IFERROR(__xludf.DUMMYFUNCTION("""COMPUTED_VALUE"""),4.2)</f>
        <v>4.2</v>
      </c>
      <c r="E446" s="1">
        <f>IFERROR(__xludf.DUMMYFUNCTION("""COMPUTED_VALUE"""),4.4)</f>
        <v>4.4</v>
      </c>
      <c r="F446" s="1">
        <f>IFERROR(__xludf.DUMMYFUNCTION("""COMPUTED_VALUE"""),1380002.0)</f>
        <v>1380002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IFERROR(__xludf.DUMMYFUNCTION("""COMPUTED_VALUE"""),4.44)</f>
        <v>4.44</v>
      </c>
      <c r="C447" s="1">
        <f>IFERROR(__xludf.DUMMYFUNCTION("""COMPUTED_VALUE"""),4.45)</f>
        <v>4.45</v>
      </c>
      <c r="D447" s="1">
        <f>IFERROR(__xludf.DUMMYFUNCTION("""COMPUTED_VALUE"""),4.29)</f>
        <v>4.29</v>
      </c>
      <c r="E447" s="1">
        <f>IFERROR(__xludf.DUMMYFUNCTION("""COMPUTED_VALUE"""),4.31)</f>
        <v>4.31</v>
      </c>
      <c r="F447" s="1">
        <f>IFERROR(__xludf.DUMMYFUNCTION("""COMPUTED_VALUE"""),982774.0)</f>
        <v>982774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IFERROR(__xludf.DUMMYFUNCTION("""COMPUTED_VALUE"""),4.53)</f>
        <v>4.53</v>
      </c>
      <c r="C448" s="1">
        <f>IFERROR(__xludf.DUMMYFUNCTION("""COMPUTED_VALUE"""),4.66)</f>
        <v>4.66</v>
      </c>
      <c r="D448" s="1">
        <f>IFERROR(__xludf.DUMMYFUNCTION("""COMPUTED_VALUE"""),4.53)</f>
        <v>4.53</v>
      </c>
      <c r="E448" s="1">
        <f>IFERROR(__xludf.DUMMYFUNCTION("""COMPUTED_VALUE"""),4.66)</f>
        <v>4.66</v>
      </c>
      <c r="F448" s="1">
        <f>IFERROR(__xludf.DUMMYFUNCTION("""COMPUTED_VALUE"""),830476.0)</f>
        <v>830476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IFERROR(__xludf.DUMMYFUNCTION("""COMPUTED_VALUE"""),4.54)</f>
        <v>4.54</v>
      </c>
      <c r="C449" s="1">
        <f>IFERROR(__xludf.DUMMYFUNCTION("""COMPUTED_VALUE"""),4.65)</f>
        <v>4.65</v>
      </c>
      <c r="D449" s="1">
        <f>IFERROR(__xludf.DUMMYFUNCTION("""COMPUTED_VALUE"""),4.52)</f>
        <v>4.52</v>
      </c>
      <c r="E449" s="1">
        <f>IFERROR(__xludf.DUMMYFUNCTION("""COMPUTED_VALUE"""),4.63)</f>
        <v>4.63</v>
      </c>
      <c r="F449" s="1">
        <f>IFERROR(__xludf.DUMMYFUNCTION("""COMPUTED_VALUE"""),678078.0)</f>
        <v>678078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IFERROR(__xludf.DUMMYFUNCTION("""COMPUTED_VALUE"""),5.01)</f>
        <v>5.01</v>
      </c>
      <c r="C450" s="1">
        <f>IFERROR(__xludf.DUMMYFUNCTION("""COMPUTED_VALUE"""),5.09)</f>
        <v>5.09</v>
      </c>
      <c r="D450" s="1">
        <f>IFERROR(__xludf.DUMMYFUNCTION("""COMPUTED_VALUE"""),4.96)</f>
        <v>4.96</v>
      </c>
      <c r="E450" s="1">
        <f>IFERROR(__xludf.DUMMYFUNCTION("""COMPUTED_VALUE"""),4.98)</f>
        <v>4.98</v>
      </c>
      <c r="F450" s="1">
        <f>IFERROR(__xludf.DUMMYFUNCTION("""COMPUTED_VALUE"""),1640424.0)</f>
        <v>1640424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IFERROR(__xludf.DUMMYFUNCTION("""COMPUTED_VALUE"""),4.84)</f>
        <v>4.84</v>
      </c>
      <c r="C451" s="1">
        <f>IFERROR(__xludf.DUMMYFUNCTION("""COMPUTED_VALUE"""),4.84)</f>
        <v>4.84</v>
      </c>
      <c r="D451" s="1">
        <f>IFERROR(__xludf.DUMMYFUNCTION("""COMPUTED_VALUE"""),4.69)</f>
        <v>4.69</v>
      </c>
      <c r="E451" s="1">
        <f>IFERROR(__xludf.DUMMYFUNCTION("""COMPUTED_VALUE"""),4.79)</f>
        <v>4.79</v>
      </c>
      <c r="F451" s="1">
        <f>IFERROR(__xludf.DUMMYFUNCTION("""COMPUTED_VALUE"""),664263.0)</f>
        <v>664263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IFERROR(__xludf.DUMMYFUNCTION("""COMPUTED_VALUE"""),4.91)</f>
        <v>4.91</v>
      </c>
      <c r="C452" s="1">
        <f>IFERROR(__xludf.DUMMYFUNCTION("""COMPUTED_VALUE"""),4.95)</f>
        <v>4.95</v>
      </c>
      <c r="D452" s="1">
        <f>IFERROR(__xludf.DUMMYFUNCTION("""COMPUTED_VALUE"""),4.82)</f>
        <v>4.82</v>
      </c>
      <c r="E452" s="1">
        <f>IFERROR(__xludf.DUMMYFUNCTION("""COMPUTED_VALUE"""),4.88)</f>
        <v>4.88</v>
      </c>
      <c r="F452" s="1">
        <f>IFERROR(__xludf.DUMMYFUNCTION("""COMPUTED_VALUE"""),759196.0)</f>
        <v>759196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IFERROR(__xludf.DUMMYFUNCTION("""COMPUTED_VALUE"""),4.78)</f>
        <v>4.78</v>
      </c>
      <c r="C453" s="1">
        <f>IFERROR(__xludf.DUMMYFUNCTION("""COMPUTED_VALUE"""),4.78)</f>
        <v>4.78</v>
      </c>
      <c r="D453" s="1">
        <f>IFERROR(__xludf.DUMMYFUNCTION("""COMPUTED_VALUE"""),4.58)</f>
        <v>4.58</v>
      </c>
      <c r="E453" s="1">
        <f>IFERROR(__xludf.DUMMYFUNCTION("""COMPUTED_VALUE"""),4.61)</f>
        <v>4.61</v>
      </c>
      <c r="F453" s="1">
        <f>IFERROR(__xludf.DUMMYFUNCTION("""COMPUTED_VALUE"""),851290.0)</f>
        <v>851290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IFERROR(__xludf.DUMMYFUNCTION("""COMPUTED_VALUE"""),4.5)</f>
        <v>4.5</v>
      </c>
      <c r="C454" s="1">
        <f>IFERROR(__xludf.DUMMYFUNCTION("""COMPUTED_VALUE"""),4.65)</f>
        <v>4.65</v>
      </c>
      <c r="D454" s="1">
        <f>IFERROR(__xludf.DUMMYFUNCTION("""COMPUTED_VALUE"""),4.4)</f>
        <v>4.4</v>
      </c>
      <c r="E454" s="1">
        <f>IFERROR(__xludf.DUMMYFUNCTION("""COMPUTED_VALUE"""),4.62)</f>
        <v>4.62</v>
      </c>
      <c r="F454" s="1">
        <f>IFERROR(__xludf.DUMMYFUNCTION("""COMPUTED_VALUE"""),1467954.0)</f>
        <v>1467954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IFERROR(__xludf.DUMMYFUNCTION("""COMPUTED_VALUE"""),4.63)</f>
        <v>4.63</v>
      </c>
      <c r="C455" s="1">
        <f>IFERROR(__xludf.DUMMYFUNCTION("""COMPUTED_VALUE"""),4.67)</f>
        <v>4.67</v>
      </c>
      <c r="D455" s="1">
        <f>IFERROR(__xludf.DUMMYFUNCTION("""COMPUTED_VALUE"""),4.55)</f>
        <v>4.55</v>
      </c>
      <c r="E455" s="1">
        <f>IFERROR(__xludf.DUMMYFUNCTION("""COMPUTED_VALUE"""),4.58)</f>
        <v>4.58</v>
      </c>
      <c r="F455" s="1">
        <f>IFERROR(__xludf.DUMMYFUNCTION("""COMPUTED_VALUE"""),684485.0)</f>
        <v>684485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IFERROR(__xludf.DUMMYFUNCTION("""COMPUTED_VALUE"""),4.52)</f>
        <v>4.52</v>
      </c>
      <c r="C456" s="1">
        <f>IFERROR(__xludf.DUMMYFUNCTION("""COMPUTED_VALUE"""),4.54)</f>
        <v>4.54</v>
      </c>
      <c r="D456" s="1">
        <f>IFERROR(__xludf.DUMMYFUNCTION("""COMPUTED_VALUE"""),4.38)</f>
        <v>4.38</v>
      </c>
      <c r="E456" s="1">
        <f>IFERROR(__xludf.DUMMYFUNCTION("""COMPUTED_VALUE"""),4.54)</f>
        <v>4.54</v>
      </c>
      <c r="F456" s="1">
        <f>IFERROR(__xludf.DUMMYFUNCTION("""COMPUTED_VALUE"""),939521.0)</f>
        <v>939521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IFERROR(__xludf.DUMMYFUNCTION("""COMPUTED_VALUE"""),4.63)</f>
        <v>4.63</v>
      </c>
      <c r="C457" s="1">
        <f>IFERROR(__xludf.DUMMYFUNCTION("""COMPUTED_VALUE"""),4.71)</f>
        <v>4.71</v>
      </c>
      <c r="D457" s="1">
        <f>IFERROR(__xludf.DUMMYFUNCTION("""COMPUTED_VALUE"""),4.62)</f>
        <v>4.62</v>
      </c>
      <c r="E457" s="1">
        <f>IFERROR(__xludf.DUMMYFUNCTION("""COMPUTED_VALUE"""),4.69)</f>
        <v>4.69</v>
      </c>
      <c r="F457" s="1">
        <f>IFERROR(__xludf.DUMMYFUNCTION("""COMPUTED_VALUE"""),659559.0)</f>
        <v>659559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IFERROR(__xludf.DUMMYFUNCTION("""COMPUTED_VALUE"""),4.71)</f>
        <v>4.71</v>
      </c>
      <c r="C458" s="1">
        <f>IFERROR(__xludf.DUMMYFUNCTION("""COMPUTED_VALUE"""),4.9)</f>
        <v>4.9</v>
      </c>
      <c r="D458" s="1">
        <f>IFERROR(__xludf.DUMMYFUNCTION("""COMPUTED_VALUE"""),4.71)</f>
        <v>4.71</v>
      </c>
      <c r="E458" s="1">
        <f>IFERROR(__xludf.DUMMYFUNCTION("""COMPUTED_VALUE"""),4.84)</f>
        <v>4.84</v>
      </c>
      <c r="F458" s="1">
        <f>IFERROR(__xludf.DUMMYFUNCTION("""COMPUTED_VALUE"""),565888.0)</f>
        <v>565888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IFERROR(__xludf.DUMMYFUNCTION("""COMPUTED_VALUE"""),4.8)</f>
        <v>4.8</v>
      </c>
      <c r="C459" s="1">
        <f>IFERROR(__xludf.DUMMYFUNCTION("""COMPUTED_VALUE"""),4.82)</f>
        <v>4.82</v>
      </c>
      <c r="D459" s="1">
        <f>IFERROR(__xludf.DUMMYFUNCTION("""COMPUTED_VALUE"""),4.68)</f>
        <v>4.68</v>
      </c>
      <c r="E459" s="1">
        <f>IFERROR(__xludf.DUMMYFUNCTION("""COMPUTED_VALUE"""),4.73)</f>
        <v>4.73</v>
      </c>
      <c r="F459" s="1">
        <f>IFERROR(__xludf.DUMMYFUNCTION("""COMPUTED_VALUE"""),813658.0)</f>
        <v>813658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IFERROR(__xludf.DUMMYFUNCTION("""COMPUTED_VALUE"""),4.88)</f>
        <v>4.88</v>
      </c>
      <c r="C460" s="1">
        <f>IFERROR(__xludf.DUMMYFUNCTION("""COMPUTED_VALUE"""),4.89)</f>
        <v>4.89</v>
      </c>
      <c r="D460" s="1">
        <f>IFERROR(__xludf.DUMMYFUNCTION("""COMPUTED_VALUE"""),4.64)</f>
        <v>4.64</v>
      </c>
      <c r="E460" s="1">
        <f>IFERROR(__xludf.DUMMYFUNCTION("""COMPUTED_VALUE"""),4.81)</f>
        <v>4.81</v>
      </c>
      <c r="F460" s="1">
        <f>IFERROR(__xludf.DUMMYFUNCTION("""COMPUTED_VALUE"""),812574.0)</f>
        <v>812574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IFERROR(__xludf.DUMMYFUNCTION("""COMPUTED_VALUE"""),5.31)</f>
        <v>5.31</v>
      </c>
      <c r="C461" s="1">
        <f>IFERROR(__xludf.DUMMYFUNCTION("""COMPUTED_VALUE"""),5.43)</f>
        <v>5.43</v>
      </c>
      <c r="D461" s="1">
        <f>IFERROR(__xludf.DUMMYFUNCTION("""COMPUTED_VALUE"""),5.21)</f>
        <v>5.21</v>
      </c>
      <c r="E461" s="1">
        <f>IFERROR(__xludf.DUMMYFUNCTION("""COMPUTED_VALUE"""),5.34)</f>
        <v>5.34</v>
      </c>
      <c r="F461" s="1">
        <f>IFERROR(__xludf.DUMMYFUNCTION("""COMPUTED_VALUE"""),2052848.0)</f>
        <v>2052848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IFERROR(__xludf.DUMMYFUNCTION("""COMPUTED_VALUE"""),5.06)</f>
        <v>5.06</v>
      </c>
      <c r="C462" s="1">
        <f>IFERROR(__xludf.DUMMYFUNCTION("""COMPUTED_VALUE"""),5.14)</f>
        <v>5.14</v>
      </c>
      <c r="D462" s="1">
        <f>IFERROR(__xludf.DUMMYFUNCTION("""COMPUTED_VALUE"""),5.05)</f>
        <v>5.05</v>
      </c>
      <c r="E462" s="1">
        <f>IFERROR(__xludf.DUMMYFUNCTION("""COMPUTED_VALUE"""),5.11)</f>
        <v>5.11</v>
      </c>
      <c r="F462" s="1">
        <f>IFERROR(__xludf.DUMMYFUNCTION("""COMPUTED_VALUE"""),937947.0)</f>
        <v>937947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IFERROR(__xludf.DUMMYFUNCTION("""COMPUTED_VALUE"""),4.93)</f>
        <v>4.93</v>
      </c>
      <c r="C463" s="1">
        <f>IFERROR(__xludf.DUMMYFUNCTION("""COMPUTED_VALUE"""),4.94)</f>
        <v>4.94</v>
      </c>
      <c r="D463" s="1">
        <f>IFERROR(__xludf.DUMMYFUNCTION("""COMPUTED_VALUE"""),4.77)</f>
        <v>4.77</v>
      </c>
      <c r="E463" s="1">
        <f>IFERROR(__xludf.DUMMYFUNCTION("""COMPUTED_VALUE"""),4.78)</f>
        <v>4.78</v>
      </c>
      <c r="F463" s="1">
        <f>IFERROR(__xludf.DUMMYFUNCTION("""COMPUTED_VALUE"""),2441498.0)</f>
        <v>2441498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IFERROR(__xludf.DUMMYFUNCTION("""COMPUTED_VALUE"""),4.33)</f>
        <v>4.33</v>
      </c>
      <c r="C464" s="1">
        <f>IFERROR(__xludf.DUMMYFUNCTION("""COMPUTED_VALUE"""),4.43)</f>
        <v>4.43</v>
      </c>
      <c r="D464" s="1">
        <f>IFERROR(__xludf.DUMMYFUNCTION("""COMPUTED_VALUE"""),4.27)</f>
        <v>4.27</v>
      </c>
      <c r="E464" s="1">
        <f>IFERROR(__xludf.DUMMYFUNCTION("""COMPUTED_VALUE"""),4.34)</f>
        <v>4.34</v>
      </c>
      <c r="F464" s="1">
        <f>IFERROR(__xludf.DUMMYFUNCTION("""COMPUTED_VALUE"""),1567641.0)</f>
        <v>1567641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IFERROR(__xludf.DUMMYFUNCTION("""COMPUTED_VALUE"""),4.56)</f>
        <v>4.56</v>
      </c>
      <c r="C465" s="1">
        <f>IFERROR(__xludf.DUMMYFUNCTION("""COMPUTED_VALUE"""),4.62)</f>
        <v>4.62</v>
      </c>
      <c r="D465" s="1">
        <f>IFERROR(__xludf.DUMMYFUNCTION("""COMPUTED_VALUE"""),4.51)</f>
        <v>4.51</v>
      </c>
      <c r="E465" s="1">
        <f>IFERROR(__xludf.DUMMYFUNCTION("""COMPUTED_VALUE"""),4.61)</f>
        <v>4.61</v>
      </c>
      <c r="F465" s="1">
        <f>IFERROR(__xludf.DUMMYFUNCTION("""COMPUTED_VALUE"""),588148.0)</f>
        <v>588148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IFERROR(__xludf.DUMMYFUNCTION("""COMPUTED_VALUE"""),4.78)</f>
        <v>4.78</v>
      </c>
      <c r="C466" s="1">
        <f>IFERROR(__xludf.DUMMYFUNCTION("""COMPUTED_VALUE"""),4.83)</f>
        <v>4.83</v>
      </c>
      <c r="D466" s="1">
        <f>IFERROR(__xludf.DUMMYFUNCTION("""COMPUTED_VALUE"""),4.6)</f>
        <v>4.6</v>
      </c>
      <c r="E466" s="1">
        <f>IFERROR(__xludf.DUMMYFUNCTION("""COMPUTED_VALUE"""),4.78)</f>
        <v>4.78</v>
      </c>
      <c r="F466" s="1">
        <f>IFERROR(__xludf.DUMMYFUNCTION("""COMPUTED_VALUE"""),1137167.0)</f>
        <v>1137167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IFERROR(__xludf.DUMMYFUNCTION("""COMPUTED_VALUE"""),4.62)</f>
        <v>4.62</v>
      </c>
      <c r="C467" s="1">
        <f>IFERROR(__xludf.DUMMYFUNCTION("""COMPUTED_VALUE"""),4.64)</f>
        <v>4.64</v>
      </c>
      <c r="D467" s="1">
        <f>IFERROR(__xludf.DUMMYFUNCTION("""COMPUTED_VALUE"""),4.49)</f>
        <v>4.49</v>
      </c>
      <c r="E467" s="1">
        <f>IFERROR(__xludf.DUMMYFUNCTION("""COMPUTED_VALUE"""),4.6)</f>
        <v>4.6</v>
      </c>
      <c r="F467" s="1">
        <f>IFERROR(__xludf.DUMMYFUNCTION("""COMPUTED_VALUE"""),697092.0)</f>
        <v>697092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IFERROR(__xludf.DUMMYFUNCTION("""COMPUTED_VALUE"""),4.55)</f>
        <v>4.55</v>
      </c>
      <c r="C468" s="1">
        <f>IFERROR(__xludf.DUMMYFUNCTION("""COMPUTED_VALUE"""),4.61)</f>
        <v>4.61</v>
      </c>
      <c r="D468" s="1">
        <f>IFERROR(__xludf.DUMMYFUNCTION("""COMPUTED_VALUE"""),4.47)</f>
        <v>4.47</v>
      </c>
      <c r="E468" s="1">
        <f>IFERROR(__xludf.DUMMYFUNCTION("""COMPUTED_VALUE"""),4.56)</f>
        <v>4.56</v>
      </c>
      <c r="F468" s="1">
        <f>IFERROR(__xludf.DUMMYFUNCTION("""COMPUTED_VALUE"""),529829.0)</f>
        <v>529829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IFERROR(__xludf.DUMMYFUNCTION("""COMPUTED_VALUE"""),4.63)</f>
        <v>4.63</v>
      </c>
      <c r="C469" s="1">
        <f>IFERROR(__xludf.DUMMYFUNCTION("""COMPUTED_VALUE"""),4.68)</f>
        <v>4.68</v>
      </c>
      <c r="D469" s="1">
        <f>IFERROR(__xludf.DUMMYFUNCTION("""COMPUTED_VALUE"""),4.52)</f>
        <v>4.52</v>
      </c>
      <c r="E469" s="1">
        <f>IFERROR(__xludf.DUMMYFUNCTION("""COMPUTED_VALUE"""),4.65)</f>
        <v>4.65</v>
      </c>
      <c r="F469" s="1">
        <f>IFERROR(__xludf.DUMMYFUNCTION("""COMPUTED_VALUE"""),884780.0)</f>
        <v>884780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IFERROR(__xludf.DUMMYFUNCTION("""COMPUTED_VALUE"""),4.26)</f>
        <v>4.26</v>
      </c>
      <c r="C470" s="1">
        <f>IFERROR(__xludf.DUMMYFUNCTION("""COMPUTED_VALUE"""),4.28)</f>
        <v>4.28</v>
      </c>
      <c r="D470" s="1">
        <f>IFERROR(__xludf.DUMMYFUNCTION("""COMPUTED_VALUE"""),4.15)</f>
        <v>4.15</v>
      </c>
      <c r="E470" s="1">
        <f>IFERROR(__xludf.DUMMYFUNCTION("""COMPUTED_VALUE"""),4.21)</f>
        <v>4.21</v>
      </c>
      <c r="F470" s="1">
        <f>IFERROR(__xludf.DUMMYFUNCTION("""COMPUTED_VALUE"""),1256360.0)</f>
        <v>1256360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IFERROR(__xludf.DUMMYFUNCTION("""COMPUTED_VALUE"""),4.42)</f>
        <v>4.42</v>
      </c>
      <c r="C471" s="1">
        <f>IFERROR(__xludf.DUMMYFUNCTION("""COMPUTED_VALUE"""),4.42)</f>
        <v>4.42</v>
      </c>
      <c r="D471" s="1">
        <f>IFERROR(__xludf.DUMMYFUNCTION("""COMPUTED_VALUE"""),4.25)</f>
        <v>4.25</v>
      </c>
      <c r="E471" s="1">
        <f>IFERROR(__xludf.DUMMYFUNCTION("""COMPUTED_VALUE"""),4.35)</f>
        <v>4.35</v>
      </c>
      <c r="F471" s="1">
        <f>IFERROR(__xludf.DUMMYFUNCTION("""COMPUTED_VALUE"""),460789.0)</f>
        <v>460789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IFERROR(__xludf.DUMMYFUNCTION("""COMPUTED_VALUE"""),4.58)</f>
        <v>4.58</v>
      </c>
      <c r="C472" s="1">
        <f>IFERROR(__xludf.DUMMYFUNCTION("""COMPUTED_VALUE"""),4.64)</f>
        <v>4.64</v>
      </c>
      <c r="D472" s="1">
        <f>IFERROR(__xludf.DUMMYFUNCTION("""COMPUTED_VALUE"""),4.55)</f>
        <v>4.55</v>
      </c>
      <c r="E472" s="1">
        <f>IFERROR(__xludf.DUMMYFUNCTION("""COMPUTED_VALUE"""),4.57)</f>
        <v>4.57</v>
      </c>
      <c r="F472" s="1">
        <f>IFERROR(__xludf.DUMMYFUNCTION("""COMPUTED_VALUE"""),665731.0)</f>
        <v>665731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IFERROR(__xludf.DUMMYFUNCTION("""COMPUTED_VALUE"""),4.42)</f>
        <v>4.42</v>
      </c>
      <c r="C473" s="1">
        <f>IFERROR(__xludf.DUMMYFUNCTION("""COMPUTED_VALUE"""),4.46)</f>
        <v>4.46</v>
      </c>
      <c r="D473" s="1">
        <f>IFERROR(__xludf.DUMMYFUNCTION("""COMPUTED_VALUE"""),4.33)</f>
        <v>4.33</v>
      </c>
      <c r="E473" s="1">
        <f>IFERROR(__xludf.DUMMYFUNCTION("""COMPUTED_VALUE"""),4.38)</f>
        <v>4.38</v>
      </c>
      <c r="F473" s="1">
        <f>IFERROR(__xludf.DUMMYFUNCTION("""COMPUTED_VALUE"""),734621.0)</f>
        <v>734621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IFERROR(__xludf.DUMMYFUNCTION("""COMPUTED_VALUE"""),4.29)</f>
        <v>4.29</v>
      </c>
      <c r="C474" s="1">
        <f>IFERROR(__xludf.DUMMYFUNCTION("""COMPUTED_VALUE"""),4.34)</f>
        <v>4.34</v>
      </c>
      <c r="D474" s="1">
        <f>IFERROR(__xludf.DUMMYFUNCTION("""COMPUTED_VALUE"""),4.25)</f>
        <v>4.25</v>
      </c>
      <c r="E474" s="1">
        <f>IFERROR(__xludf.DUMMYFUNCTION("""COMPUTED_VALUE"""),4.31)</f>
        <v>4.31</v>
      </c>
      <c r="F474" s="1">
        <f>IFERROR(__xludf.DUMMYFUNCTION("""COMPUTED_VALUE"""),1292941.0)</f>
        <v>1292941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IFERROR(__xludf.DUMMYFUNCTION("""COMPUTED_VALUE"""),4.27)</f>
        <v>4.27</v>
      </c>
      <c r="C475" s="1">
        <f>IFERROR(__xludf.DUMMYFUNCTION("""COMPUTED_VALUE"""),4.32)</f>
        <v>4.32</v>
      </c>
      <c r="D475" s="1">
        <f>IFERROR(__xludf.DUMMYFUNCTION("""COMPUTED_VALUE"""),4.2)</f>
        <v>4.2</v>
      </c>
      <c r="E475" s="1">
        <f>IFERROR(__xludf.DUMMYFUNCTION("""COMPUTED_VALUE"""),4.21)</f>
        <v>4.21</v>
      </c>
      <c r="F475" s="1">
        <f>IFERROR(__xludf.DUMMYFUNCTION("""COMPUTED_VALUE"""),569626.0)</f>
        <v>569626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IFERROR(__xludf.DUMMYFUNCTION("""COMPUTED_VALUE"""),4.25)</f>
        <v>4.25</v>
      </c>
      <c r="C476" s="1">
        <f>IFERROR(__xludf.DUMMYFUNCTION("""COMPUTED_VALUE"""),4.26)</f>
        <v>4.26</v>
      </c>
      <c r="D476" s="1">
        <f>IFERROR(__xludf.DUMMYFUNCTION("""COMPUTED_VALUE"""),4.11)</f>
        <v>4.11</v>
      </c>
      <c r="E476" s="1">
        <f>IFERROR(__xludf.DUMMYFUNCTION("""COMPUTED_VALUE"""),4.15)</f>
        <v>4.15</v>
      </c>
      <c r="F476" s="1">
        <f>IFERROR(__xludf.DUMMYFUNCTION("""COMPUTED_VALUE"""),668285.0)</f>
        <v>668285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IFERROR(__xludf.DUMMYFUNCTION("""COMPUTED_VALUE"""),4.2)</f>
        <v>4.2</v>
      </c>
      <c r="C477" s="1">
        <f>IFERROR(__xludf.DUMMYFUNCTION("""COMPUTED_VALUE"""),4.22)</f>
        <v>4.22</v>
      </c>
      <c r="D477" s="1">
        <f>IFERROR(__xludf.DUMMYFUNCTION("""COMPUTED_VALUE"""),4.12)</f>
        <v>4.12</v>
      </c>
      <c r="E477" s="1">
        <f>IFERROR(__xludf.DUMMYFUNCTION("""COMPUTED_VALUE"""),4.16)</f>
        <v>4.16</v>
      </c>
      <c r="F477" s="1">
        <f>IFERROR(__xludf.DUMMYFUNCTION("""COMPUTED_VALUE"""),1371552.0)</f>
        <v>1371552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IFERROR(__xludf.DUMMYFUNCTION("""COMPUTED_VALUE"""),4.03)</f>
        <v>4.03</v>
      </c>
      <c r="C478" s="1">
        <f>IFERROR(__xludf.DUMMYFUNCTION("""COMPUTED_VALUE"""),4.03)</f>
        <v>4.03</v>
      </c>
      <c r="D478" s="1">
        <f>IFERROR(__xludf.DUMMYFUNCTION("""COMPUTED_VALUE"""),3.94)</f>
        <v>3.94</v>
      </c>
      <c r="E478" s="1">
        <f>IFERROR(__xludf.DUMMYFUNCTION("""COMPUTED_VALUE"""),3.98)</f>
        <v>3.98</v>
      </c>
      <c r="F478" s="1">
        <f>IFERROR(__xludf.DUMMYFUNCTION("""COMPUTED_VALUE"""),908296.0)</f>
        <v>908296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IFERROR(__xludf.DUMMYFUNCTION("""COMPUTED_VALUE"""),3.95)</f>
        <v>3.95</v>
      </c>
      <c r="C479" s="1">
        <f>IFERROR(__xludf.DUMMYFUNCTION("""COMPUTED_VALUE"""),3.97)</f>
        <v>3.97</v>
      </c>
      <c r="D479" s="1">
        <f>IFERROR(__xludf.DUMMYFUNCTION("""COMPUTED_VALUE"""),3.85)</f>
        <v>3.85</v>
      </c>
      <c r="E479" s="1">
        <f>IFERROR(__xludf.DUMMYFUNCTION("""COMPUTED_VALUE"""),3.91)</f>
        <v>3.91</v>
      </c>
      <c r="F479" s="1">
        <f>IFERROR(__xludf.DUMMYFUNCTION("""COMPUTED_VALUE"""),1344662.0)</f>
        <v>1344662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IFERROR(__xludf.DUMMYFUNCTION("""COMPUTED_VALUE"""),3.85)</f>
        <v>3.85</v>
      </c>
      <c r="C480" s="1">
        <f>IFERROR(__xludf.DUMMYFUNCTION("""COMPUTED_VALUE"""),3.86)</f>
        <v>3.86</v>
      </c>
      <c r="D480" s="1">
        <f>IFERROR(__xludf.DUMMYFUNCTION("""COMPUTED_VALUE"""),3.73)</f>
        <v>3.73</v>
      </c>
      <c r="E480" s="1">
        <f>IFERROR(__xludf.DUMMYFUNCTION("""COMPUTED_VALUE"""),3.74)</f>
        <v>3.74</v>
      </c>
      <c r="F480" s="1">
        <f>IFERROR(__xludf.DUMMYFUNCTION("""COMPUTED_VALUE"""),1109674.0)</f>
        <v>1109674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IFERROR(__xludf.DUMMYFUNCTION("""COMPUTED_VALUE"""),3.68)</f>
        <v>3.68</v>
      </c>
      <c r="C481" s="1">
        <f>IFERROR(__xludf.DUMMYFUNCTION("""COMPUTED_VALUE"""),3.76)</f>
        <v>3.76</v>
      </c>
      <c r="D481" s="1">
        <f>IFERROR(__xludf.DUMMYFUNCTION("""COMPUTED_VALUE"""),3.66)</f>
        <v>3.66</v>
      </c>
      <c r="E481" s="1">
        <f>IFERROR(__xludf.DUMMYFUNCTION("""COMPUTED_VALUE"""),3.67)</f>
        <v>3.67</v>
      </c>
      <c r="F481" s="1">
        <f>IFERROR(__xludf.DUMMYFUNCTION("""COMPUTED_VALUE"""),889712.0)</f>
        <v>889712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IFERROR(__xludf.DUMMYFUNCTION("""COMPUTED_VALUE"""),4.06)</f>
        <v>4.06</v>
      </c>
      <c r="C482" s="1">
        <f>IFERROR(__xludf.DUMMYFUNCTION("""COMPUTED_VALUE"""),4.09)</f>
        <v>4.09</v>
      </c>
      <c r="D482" s="1">
        <f>IFERROR(__xludf.DUMMYFUNCTION("""COMPUTED_VALUE"""),3.97)</f>
        <v>3.97</v>
      </c>
      <c r="E482" s="1">
        <f>IFERROR(__xludf.DUMMYFUNCTION("""COMPUTED_VALUE"""),4.01)</f>
        <v>4.01</v>
      </c>
      <c r="F482" s="1">
        <f>IFERROR(__xludf.DUMMYFUNCTION("""COMPUTED_VALUE"""),867442.0)</f>
        <v>867442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IFERROR(__xludf.DUMMYFUNCTION("""COMPUTED_VALUE"""),4.04)</f>
        <v>4.04</v>
      </c>
      <c r="C483" s="1">
        <f>IFERROR(__xludf.DUMMYFUNCTION("""COMPUTED_VALUE"""),4.11)</f>
        <v>4.11</v>
      </c>
      <c r="D483" s="1">
        <f>IFERROR(__xludf.DUMMYFUNCTION("""COMPUTED_VALUE"""),4.01)</f>
        <v>4.01</v>
      </c>
      <c r="E483" s="1">
        <f>IFERROR(__xludf.DUMMYFUNCTION("""COMPUTED_VALUE"""),4.08)</f>
        <v>4.08</v>
      </c>
      <c r="F483" s="1">
        <f>IFERROR(__xludf.DUMMYFUNCTION("""COMPUTED_VALUE"""),1931469.0)</f>
        <v>1931469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IFERROR(__xludf.DUMMYFUNCTION("""COMPUTED_VALUE"""),4.34)</f>
        <v>4.34</v>
      </c>
      <c r="C484" s="1">
        <f>IFERROR(__xludf.DUMMYFUNCTION("""COMPUTED_VALUE"""),4.4)</f>
        <v>4.4</v>
      </c>
      <c r="D484" s="1">
        <f>IFERROR(__xludf.DUMMYFUNCTION("""COMPUTED_VALUE"""),4.31)</f>
        <v>4.31</v>
      </c>
      <c r="E484" s="1">
        <f>IFERROR(__xludf.DUMMYFUNCTION("""COMPUTED_VALUE"""),4.37)</f>
        <v>4.37</v>
      </c>
      <c r="F484" s="1">
        <f>IFERROR(__xludf.DUMMYFUNCTION("""COMPUTED_VALUE"""),1014847.0)</f>
        <v>1014847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IFERROR(__xludf.DUMMYFUNCTION("""COMPUTED_VALUE"""),4.25)</f>
        <v>4.25</v>
      </c>
      <c r="C485" s="1">
        <f>IFERROR(__xludf.DUMMYFUNCTION("""COMPUTED_VALUE"""),4.32)</f>
        <v>4.32</v>
      </c>
      <c r="D485" s="1">
        <f>IFERROR(__xludf.DUMMYFUNCTION("""COMPUTED_VALUE"""),4.21)</f>
        <v>4.21</v>
      </c>
      <c r="E485" s="1">
        <f>IFERROR(__xludf.DUMMYFUNCTION("""COMPUTED_VALUE"""),4.26)</f>
        <v>4.26</v>
      </c>
      <c r="F485" s="1">
        <f>IFERROR(__xludf.DUMMYFUNCTION("""COMPUTED_VALUE"""),865004.0)</f>
        <v>865004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IFERROR(__xludf.DUMMYFUNCTION("""COMPUTED_VALUE"""),4.39)</f>
        <v>4.39</v>
      </c>
      <c r="C486" s="1">
        <f>IFERROR(__xludf.DUMMYFUNCTION("""COMPUTED_VALUE"""),4.4)</f>
        <v>4.4</v>
      </c>
      <c r="D486" s="1">
        <f>IFERROR(__xludf.DUMMYFUNCTION("""COMPUTED_VALUE"""),4.31)</f>
        <v>4.31</v>
      </c>
      <c r="E486" s="1">
        <f>IFERROR(__xludf.DUMMYFUNCTION("""COMPUTED_VALUE"""),4.31)</f>
        <v>4.31</v>
      </c>
      <c r="F486" s="1">
        <f>IFERROR(__xludf.DUMMYFUNCTION("""COMPUTED_VALUE"""),646904.0)</f>
        <v>646904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IFERROR(__xludf.DUMMYFUNCTION("""COMPUTED_VALUE"""),4.54)</f>
        <v>4.54</v>
      </c>
      <c r="C487" s="1">
        <f>IFERROR(__xludf.DUMMYFUNCTION("""COMPUTED_VALUE"""),4.56)</f>
        <v>4.56</v>
      </c>
      <c r="D487" s="1">
        <f>IFERROR(__xludf.DUMMYFUNCTION("""COMPUTED_VALUE"""),4.37)</f>
        <v>4.37</v>
      </c>
      <c r="E487" s="1">
        <f>IFERROR(__xludf.DUMMYFUNCTION("""COMPUTED_VALUE"""),4.45)</f>
        <v>4.45</v>
      </c>
      <c r="F487" s="1">
        <f>IFERROR(__xludf.DUMMYFUNCTION("""COMPUTED_VALUE"""),1081489.0)</f>
        <v>1081489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IFERROR(__xludf.DUMMYFUNCTION("""COMPUTED_VALUE"""),4.51)</f>
        <v>4.51</v>
      </c>
      <c r="C488" s="1">
        <f>IFERROR(__xludf.DUMMYFUNCTION("""COMPUTED_VALUE"""),4.57)</f>
        <v>4.57</v>
      </c>
      <c r="D488" s="1">
        <f>IFERROR(__xludf.DUMMYFUNCTION("""COMPUTED_VALUE"""),4.49)</f>
        <v>4.49</v>
      </c>
      <c r="E488" s="1">
        <f>IFERROR(__xludf.DUMMYFUNCTION("""COMPUTED_VALUE"""),4.52)</f>
        <v>4.52</v>
      </c>
      <c r="F488" s="1">
        <f>IFERROR(__xludf.DUMMYFUNCTION("""COMPUTED_VALUE"""),1591970.0)</f>
        <v>1591970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IFERROR(__xludf.DUMMYFUNCTION("""COMPUTED_VALUE"""),4.44)</f>
        <v>4.44</v>
      </c>
      <c r="C489" s="1">
        <f>IFERROR(__xludf.DUMMYFUNCTION("""COMPUTED_VALUE"""),4.61)</f>
        <v>4.61</v>
      </c>
      <c r="D489" s="1">
        <f>IFERROR(__xludf.DUMMYFUNCTION("""COMPUTED_VALUE"""),4.39)</f>
        <v>4.39</v>
      </c>
      <c r="E489" s="1">
        <f>IFERROR(__xludf.DUMMYFUNCTION("""COMPUTED_VALUE"""),4.59)</f>
        <v>4.59</v>
      </c>
      <c r="F489" s="1">
        <f>IFERROR(__xludf.DUMMYFUNCTION("""COMPUTED_VALUE"""),2512177.0)</f>
        <v>2512177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IFERROR(__xludf.DUMMYFUNCTION("""COMPUTED_VALUE"""),4.37)</f>
        <v>4.37</v>
      </c>
      <c r="C490" s="1">
        <f>IFERROR(__xludf.DUMMYFUNCTION("""COMPUTED_VALUE"""),4.4)</f>
        <v>4.4</v>
      </c>
      <c r="D490" s="1">
        <f>IFERROR(__xludf.DUMMYFUNCTION("""COMPUTED_VALUE"""),4.23)</f>
        <v>4.23</v>
      </c>
      <c r="E490" s="1">
        <f>IFERROR(__xludf.DUMMYFUNCTION("""COMPUTED_VALUE"""),4.27)</f>
        <v>4.27</v>
      </c>
      <c r="F490" s="1">
        <f>IFERROR(__xludf.DUMMYFUNCTION("""COMPUTED_VALUE"""),2173060.0)</f>
        <v>2173060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IFERROR(__xludf.DUMMYFUNCTION("""COMPUTED_VALUE"""),4.4)</f>
        <v>4.4</v>
      </c>
      <c r="C491" s="1">
        <f>IFERROR(__xludf.DUMMYFUNCTION("""COMPUTED_VALUE"""),4.52)</f>
        <v>4.52</v>
      </c>
      <c r="D491" s="1">
        <f>IFERROR(__xludf.DUMMYFUNCTION("""COMPUTED_VALUE"""),4.4)</f>
        <v>4.4</v>
      </c>
      <c r="E491" s="1">
        <f>IFERROR(__xludf.DUMMYFUNCTION("""COMPUTED_VALUE"""),4.45)</f>
        <v>4.45</v>
      </c>
      <c r="F491" s="1">
        <f>IFERROR(__xludf.DUMMYFUNCTION("""COMPUTED_VALUE"""),966807.0)</f>
        <v>966807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IFERROR(__xludf.DUMMYFUNCTION("""COMPUTED_VALUE"""),4.14)</f>
        <v>4.14</v>
      </c>
      <c r="C492" s="1">
        <f>IFERROR(__xludf.DUMMYFUNCTION("""COMPUTED_VALUE"""),4.16)</f>
        <v>4.16</v>
      </c>
      <c r="D492" s="1">
        <f>IFERROR(__xludf.DUMMYFUNCTION("""COMPUTED_VALUE"""),4.05)</f>
        <v>4.05</v>
      </c>
      <c r="E492" s="1">
        <f>IFERROR(__xludf.DUMMYFUNCTION("""COMPUTED_VALUE"""),4.1)</f>
        <v>4.1</v>
      </c>
      <c r="F492" s="1">
        <f>IFERROR(__xludf.DUMMYFUNCTION("""COMPUTED_VALUE"""),721732.0)</f>
        <v>721732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IFERROR(__xludf.DUMMYFUNCTION("""COMPUTED_VALUE"""),4.13)</f>
        <v>4.13</v>
      </c>
      <c r="C493" s="1">
        <f>IFERROR(__xludf.DUMMYFUNCTION("""COMPUTED_VALUE"""),4.17)</f>
        <v>4.17</v>
      </c>
      <c r="D493" s="1">
        <f>IFERROR(__xludf.DUMMYFUNCTION("""COMPUTED_VALUE"""),3.94)</f>
        <v>3.94</v>
      </c>
      <c r="E493" s="1">
        <f>IFERROR(__xludf.DUMMYFUNCTION("""COMPUTED_VALUE"""),3.99)</f>
        <v>3.99</v>
      </c>
      <c r="F493" s="1">
        <f>IFERROR(__xludf.DUMMYFUNCTION("""COMPUTED_VALUE"""),683522.0)</f>
        <v>683522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IFERROR(__xludf.DUMMYFUNCTION("""COMPUTED_VALUE"""),3.87)</f>
        <v>3.87</v>
      </c>
      <c r="C494" s="1">
        <f>IFERROR(__xludf.DUMMYFUNCTION("""COMPUTED_VALUE"""),3.92)</f>
        <v>3.92</v>
      </c>
      <c r="D494" s="1">
        <f>IFERROR(__xludf.DUMMYFUNCTION("""COMPUTED_VALUE"""),3.82)</f>
        <v>3.82</v>
      </c>
      <c r="E494" s="1">
        <f>IFERROR(__xludf.DUMMYFUNCTION("""COMPUTED_VALUE"""),3.86)</f>
        <v>3.86</v>
      </c>
      <c r="F494" s="1">
        <f>IFERROR(__xludf.DUMMYFUNCTION("""COMPUTED_VALUE"""),1036461.0)</f>
        <v>1036461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IFERROR(__xludf.DUMMYFUNCTION("""COMPUTED_VALUE"""),3.92)</f>
        <v>3.92</v>
      </c>
      <c r="C495" s="1">
        <f>IFERROR(__xludf.DUMMYFUNCTION("""COMPUTED_VALUE"""),3.92)</f>
        <v>3.92</v>
      </c>
      <c r="D495" s="1">
        <f>IFERROR(__xludf.DUMMYFUNCTION("""COMPUTED_VALUE"""),3.79)</f>
        <v>3.79</v>
      </c>
      <c r="E495" s="1">
        <f>IFERROR(__xludf.DUMMYFUNCTION("""COMPUTED_VALUE"""),3.79)</f>
        <v>3.79</v>
      </c>
      <c r="F495" s="1">
        <f>IFERROR(__xludf.DUMMYFUNCTION("""COMPUTED_VALUE"""),1168109.0)</f>
        <v>1168109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IFERROR(__xludf.DUMMYFUNCTION("""COMPUTED_VALUE"""),3.81)</f>
        <v>3.81</v>
      </c>
      <c r="C496" s="1">
        <f>IFERROR(__xludf.DUMMYFUNCTION("""COMPUTED_VALUE"""),3.85)</f>
        <v>3.85</v>
      </c>
      <c r="D496" s="1">
        <f>IFERROR(__xludf.DUMMYFUNCTION("""COMPUTED_VALUE"""),3.78)</f>
        <v>3.78</v>
      </c>
      <c r="E496" s="1">
        <f>IFERROR(__xludf.DUMMYFUNCTION("""COMPUTED_VALUE"""),3.79)</f>
        <v>3.79</v>
      </c>
      <c r="F496" s="1">
        <f>IFERROR(__xludf.DUMMYFUNCTION("""COMPUTED_VALUE"""),947463.0)</f>
        <v>947463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IFERROR(__xludf.DUMMYFUNCTION("""COMPUTED_VALUE"""),3.82)</f>
        <v>3.82</v>
      </c>
      <c r="C497" s="1">
        <f>IFERROR(__xludf.DUMMYFUNCTION("""COMPUTED_VALUE"""),3.83)</f>
        <v>3.83</v>
      </c>
      <c r="D497" s="1">
        <f>IFERROR(__xludf.DUMMYFUNCTION("""COMPUTED_VALUE"""),3.66)</f>
        <v>3.66</v>
      </c>
      <c r="E497" s="1">
        <f>IFERROR(__xludf.DUMMYFUNCTION("""COMPUTED_VALUE"""),3.66)</f>
        <v>3.66</v>
      </c>
      <c r="F497" s="1">
        <f>IFERROR(__xludf.DUMMYFUNCTION("""COMPUTED_VALUE"""),767897.0)</f>
        <v>767897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IFERROR(__xludf.DUMMYFUNCTION("""COMPUTED_VALUE"""),3.92)</f>
        <v>3.92</v>
      </c>
      <c r="C498" s="1">
        <f>IFERROR(__xludf.DUMMYFUNCTION("""COMPUTED_VALUE"""),3.97)</f>
        <v>3.97</v>
      </c>
      <c r="D498" s="1">
        <f>IFERROR(__xludf.DUMMYFUNCTION("""COMPUTED_VALUE"""),3.91)</f>
        <v>3.91</v>
      </c>
      <c r="E498" s="1">
        <f>IFERROR(__xludf.DUMMYFUNCTION("""COMPUTED_VALUE"""),3.95)</f>
        <v>3.95</v>
      </c>
      <c r="F498" s="1">
        <f>IFERROR(__xludf.DUMMYFUNCTION("""COMPUTED_VALUE"""),1311171.0)</f>
        <v>1311171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IFERROR(__xludf.DUMMYFUNCTION("""COMPUTED_VALUE"""),4.1)</f>
        <v>4.1</v>
      </c>
      <c r="C499" s="1">
        <f>IFERROR(__xludf.DUMMYFUNCTION("""COMPUTED_VALUE"""),4.1)</f>
        <v>4.1</v>
      </c>
      <c r="D499" s="1">
        <f>IFERROR(__xludf.DUMMYFUNCTION("""COMPUTED_VALUE"""),3.98)</f>
        <v>3.98</v>
      </c>
      <c r="E499" s="1">
        <f>IFERROR(__xludf.DUMMYFUNCTION("""COMPUTED_VALUE"""),4.03)</f>
        <v>4.03</v>
      </c>
      <c r="F499" s="1">
        <f>IFERROR(__xludf.DUMMYFUNCTION("""COMPUTED_VALUE"""),818652.0)</f>
        <v>818652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IFERROR(__xludf.DUMMYFUNCTION("""COMPUTED_VALUE"""),4.02)</f>
        <v>4.02</v>
      </c>
      <c r="C500" s="1">
        <f>IFERROR(__xludf.DUMMYFUNCTION("""COMPUTED_VALUE"""),4.13)</f>
        <v>4.13</v>
      </c>
      <c r="D500" s="1">
        <f>IFERROR(__xludf.DUMMYFUNCTION("""COMPUTED_VALUE"""),4.02)</f>
        <v>4.02</v>
      </c>
      <c r="E500" s="1">
        <f>IFERROR(__xludf.DUMMYFUNCTION("""COMPUTED_VALUE"""),4.12)</f>
        <v>4.12</v>
      </c>
      <c r="F500" s="1">
        <f>IFERROR(__xludf.DUMMYFUNCTION("""COMPUTED_VALUE"""),666574.0)</f>
        <v>666574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IFERROR(__xludf.DUMMYFUNCTION("""COMPUTED_VALUE"""),4.08)</f>
        <v>4.08</v>
      </c>
      <c r="C501" s="1">
        <f>IFERROR(__xludf.DUMMYFUNCTION("""COMPUTED_VALUE"""),4.13)</f>
        <v>4.13</v>
      </c>
      <c r="D501" s="1">
        <f>IFERROR(__xludf.DUMMYFUNCTION("""COMPUTED_VALUE"""),4.08)</f>
        <v>4.08</v>
      </c>
      <c r="E501" s="1">
        <f>IFERROR(__xludf.DUMMYFUNCTION("""COMPUTED_VALUE"""),4.12)</f>
        <v>4.12</v>
      </c>
      <c r="F501" s="1">
        <f>IFERROR(__xludf.DUMMYFUNCTION("""COMPUTED_VALUE"""),304802.0)</f>
        <v>304802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IFERROR(__xludf.DUMMYFUNCTION("""COMPUTED_VALUE"""),4.12)</f>
        <v>4.12</v>
      </c>
      <c r="C502" s="1">
        <f>IFERROR(__xludf.DUMMYFUNCTION("""COMPUTED_VALUE"""),4.16)</f>
        <v>4.16</v>
      </c>
      <c r="D502" s="1">
        <f>IFERROR(__xludf.DUMMYFUNCTION("""COMPUTED_VALUE"""),4.11)</f>
        <v>4.11</v>
      </c>
      <c r="E502" s="1">
        <f>IFERROR(__xludf.DUMMYFUNCTION("""COMPUTED_VALUE"""),4.14)</f>
        <v>4.14</v>
      </c>
      <c r="F502" s="1">
        <f>IFERROR(__xludf.DUMMYFUNCTION("""COMPUTED_VALUE"""),548333.0)</f>
        <v>548333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IFERROR(__xludf.DUMMYFUNCTION("""COMPUTED_VALUE"""),4.04)</f>
        <v>4.04</v>
      </c>
      <c r="C503" s="1">
        <f>IFERROR(__xludf.DUMMYFUNCTION("""COMPUTED_VALUE"""),4.04)</f>
        <v>4.04</v>
      </c>
      <c r="D503" s="1">
        <f>IFERROR(__xludf.DUMMYFUNCTION("""COMPUTED_VALUE"""),3.93)</f>
        <v>3.93</v>
      </c>
      <c r="E503" s="1">
        <f>IFERROR(__xludf.DUMMYFUNCTION("""COMPUTED_VALUE"""),3.97)</f>
        <v>3.97</v>
      </c>
      <c r="F503" s="1">
        <f>IFERROR(__xludf.DUMMYFUNCTION("""COMPUTED_VALUE"""),891282.0)</f>
        <v>891282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IFERROR(__xludf.DUMMYFUNCTION("""COMPUTED_VALUE"""),3.92)</f>
        <v>3.92</v>
      </c>
      <c r="C504" s="1">
        <f>IFERROR(__xludf.DUMMYFUNCTION("""COMPUTED_VALUE"""),4.05)</f>
        <v>4.05</v>
      </c>
      <c r="D504" s="1">
        <f>IFERROR(__xludf.DUMMYFUNCTION("""COMPUTED_VALUE"""),3.92)</f>
        <v>3.92</v>
      </c>
      <c r="E504" s="1">
        <f>IFERROR(__xludf.DUMMYFUNCTION("""COMPUTED_VALUE"""),4.04)</f>
        <v>4.04</v>
      </c>
      <c r="F504" s="1">
        <f>IFERROR(__xludf.DUMMYFUNCTION("""COMPUTED_VALUE"""),823656.0)</f>
        <v>823656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IFERROR(__xludf.DUMMYFUNCTION("""COMPUTED_VALUE"""),4.0)</f>
        <v>4</v>
      </c>
      <c r="C505" s="1">
        <f>IFERROR(__xludf.DUMMYFUNCTION("""COMPUTED_VALUE"""),4.03)</f>
        <v>4.03</v>
      </c>
      <c r="D505" s="1">
        <f>IFERROR(__xludf.DUMMYFUNCTION("""COMPUTED_VALUE"""),3.99)</f>
        <v>3.99</v>
      </c>
      <c r="E505" s="1">
        <f>IFERROR(__xludf.DUMMYFUNCTION("""COMPUTED_VALUE"""),4.02)</f>
        <v>4.02</v>
      </c>
      <c r="F505" s="1">
        <f>IFERROR(__xludf.DUMMYFUNCTION("""COMPUTED_VALUE"""),611549.0)</f>
        <v>611549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IFERROR(__xludf.DUMMYFUNCTION("""COMPUTED_VALUE"""),4.14)</f>
        <v>4.14</v>
      </c>
      <c r="C506" s="1">
        <f>IFERROR(__xludf.DUMMYFUNCTION("""COMPUTED_VALUE"""),4.19)</f>
        <v>4.19</v>
      </c>
      <c r="D506" s="1">
        <f>IFERROR(__xludf.DUMMYFUNCTION("""COMPUTED_VALUE"""),4.13)</f>
        <v>4.13</v>
      </c>
      <c r="E506" s="1">
        <f>IFERROR(__xludf.DUMMYFUNCTION("""COMPUTED_VALUE"""),4.18)</f>
        <v>4.18</v>
      </c>
      <c r="F506" s="1">
        <f>IFERROR(__xludf.DUMMYFUNCTION("""COMPUTED_VALUE"""),850537.0)</f>
        <v>850537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IFERROR(__xludf.DUMMYFUNCTION("""COMPUTED_VALUE"""),4.09)</f>
        <v>4.09</v>
      </c>
      <c r="C507" s="1">
        <f>IFERROR(__xludf.DUMMYFUNCTION("""COMPUTED_VALUE"""),4.11)</f>
        <v>4.11</v>
      </c>
      <c r="D507" s="1">
        <f>IFERROR(__xludf.DUMMYFUNCTION("""COMPUTED_VALUE"""),4.02)</f>
        <v>4.02</v>
      </c>
      <c r="E507" s="1">
        <f>IFERROR(__xludf.DUMMYFUNCTION("""COMPUTED_VALUE"""),4.1)</f>
        <v>4.1</v>
      </c>
      <c r="F507" s="1">
        <f>IFERROR(__xludf.DUMMYFUNCTION("""COMPUTED_VALUE"""),1034362.0)</f>
        <v>1034362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IFERROR(__xludf.DUMMYFUNCTION("""COMPUTED_VALUE"""),3.94)</f>
        <v>3.94</v>
      </c>
      <c r="C508" s="1">
        <f>IFERROR(__xludf.DUMMYFUNCTION("""COMPUTED_VALUE"""),4.0)</f>
        <v>4</v>
      </c>
      <c r="D508" s="1">
        <f>IFERROR(__xludf.DUMMYFUNCTION("""COMPUTED_VALUE"""),3.9)</f>
        <v>3.9</v>
      </c>
      <c r="E508" s="1">
        <f>IFERROR(__xludf.DUMMYFUNCTION("""COMPUTED_VALUE"""),3.96)</f>
        <v>3.96</v>
      </c>
      <c r="F508" s="1">
        <f>IFERROR(__xludf.DUMMYFUNCTION("""COMPUTED_VALUE"""),1215685.0)</f>
        <v>1215685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IFERROR(__xludf.DUMMYFUNCTION("""COMPUTED_VALUE"""),3.96)</f>
        <v>3.96</v>
      </c>
      <c r="C509" s="1">
        <f>IFERROR(__xludf.DUMMYFUNCTION("""COMPUTED_VALUE"""),3.97)</f>
        <v>3.97</v>
      </c>
      <c r="D509" s="1">
        <f>IFERROR(__xludf.DUMMYFUNCTION("""COMPUTED_VALUE"""),3.88)</f>
        <v>3.88</v>
      </c>
      <c r="E509" s="1">
        <f>IFERROR(__xludf.DUMMYFUNCTION("""COMPUTED_VALUE"""),3.92)</f>
        <v>3.92</v>
      </c>
      <c r="F509" s="1">
        <f>IFERROR(__xludf.DUMMYFUNCTION("""COMPUTED_VALUE"""),578702.0)</f>
        <v>578702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IFERROR(__xludf.DUMMYFUNCTION("""COMPUTED_VALUE"""),3.92)</f>
        <v>3.92</v>
      </c>
      <c r="C510" s="1">
        <f>IFERROR(__xludf.DUMMYFUNCTION("""COMPUTED_VALUE"""),3.94)</f>
        <v>3.94</v>
      </c>
      <c r="D510" s="1">
        <f>IFERROR(__xludf.DUMMYFUNCTION("""COMPUTED_VALUE"""),3.87)</f>
        <v>3.87</v>
      </c>
      <c r="E510" s="1">
        <f>IFERROR(__xludf.DUMMYFUNCTION("""COMPUTED_VALUE"""),3.92)</f>
        <v>3.92</v>
      </c>
      <c r="F510" s="1">
        <f>IFERROR(__xludf.DUMMYFUNCTION("""COMPUTED_VALUE"""),854497.0)</f>
        <v>854497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IFERROR(__xludf.DUMMYFUNCTION("""COMPUTED_VALUE"""),4.16)</f>
        <v>4.16</v>
      </c>
      <c r="C511" s="1">
        <f>IFERROR(__xludf.DUMMYFUNCTION("""COMPUTED_VALUE"""),4.22)</f>
        <v>4.22</v>
      </c>
      <c r="D511" s="1">
        <f>IFERROR(__xludf.DUMMYFUNCTION("""COMPUTED_VALUE"""),4.14)</f>
        <v>4.14</v>
      </c>
      <c r="E511" s="1">
        <f>IFERROR(__xludf.DUMMYFUNCTION("""COMPUTED_VALUE"""),4.18)</f>
        <v>4.18</v>
      </c>
      <c r="F511" s="1">
        <f>IFERROR(__xludf.DUMMYFUNCTION("""COMPUTED_VALUE"""),2417639.0)</f>
        <v>2417639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IFERROR(__xludf.DUMMYFUNCTION("""COMPUTED_VALUE"""),4.19)</f>
        <v>4.19</v>
      </c>
      <c r="C512" s="1">
        <f>IFERROR(__xludf.DUMMYFUNCTION("""COMPUTED_VALUE"""),4.34)</f>
        <v>4.34</v>
      </c>
      <c r="D512" s="1">
        <f>IFERROR(__xludf.DUMMYFUNCTION("""COMPUTED_VALUE"""),4.17)</f>
        <v>4.17</v>
      </c>
      <c r="E512" s="1">
        <f>IFERROR(__xludf.DUMMYFUNCTION("""COMPUTED_VALUE"""),4.31)</f>
        <v>4.31</v>
      </c>
      <c r="F512" s="1">
        <f>IFERROR(__xludf.DUMMYFUNCTION("""COMPUTED_VALUE"""),785720.0)</f>
        <v>785720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IFERROR(__xludf.DUMMYFUNCTION("""COMPUTED_VALUE"""),4.45)</f>
        <v>4.45</v>
      </c>
      <c r="C513" s="1">
        <f>IFERROR(__xludf.DUMMYFUNCTION("""COMPUTED_VALUE"""),4.47)</f>
        <v>4.47</v>
      </c>
      <c r="D513" s="1">
        <f>IFERROR(__xludf.DUMMYFUNCTION("""COMPUTED_VALUE"""),4.31)</f>
        <v>4.31</v>
      </c>
      <c r="E513" s="1">
        <f>IFERROR(__xludf.DUMMYFUNCTION("""COMPUTED_VALUE"""),4.4)</f>
        <v>4.4</v>
      </c>
      <c r="F513" s="1">
        <f>IFERROR(__xludf.DUMMYFUNCTION("""COMPUTED_VALUE"""),648538.0)</f>
        <v>648538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IFERROR(__xludf.DUMMYFUNCTION("""COMPUTED_VALUE"""),4.22)</f>
        <v>4.22</v>
      </c>
      <c r="C514" s="1">
        <f>IFERROR(__xludf.DUMMYFUNCTION("""COMPUTED_VALUE"""),4.25)</f>
        <v>4.25</v>
      </c>
      <c r="D514" s="1">
        <f>IFERROR(__xludf.DUMMYFUNCTION("""COMPUTED_VALUE"""),4.11)</f>
        <v>4.11</v>
      </c>
      <c r="E514" s="1">
        <f>IFERROR(__xludf.DUMMYFUNCTION("""COMPUTED_VALUE"""),4.21)</f>
        <v>4.21</v>
      </c>
      <c r="F514" s="1">
        <f>IFERROR(__xludf.DUMMYFUNCTION("""COMPUTED_VALUE"""),671597.0)</f>
        <v>671597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IFERROR(__xludf.DUMMYFUNCTION("""COMPUTED_VALUE"""),4.5)</f>
        <v>4.5</v>
      </c>
      <c r="C515" s="1">
        <f>IFERROR(__xludf.DUMMYFUNCTION("""COMPUTED_VALUE"""),4.57)</f>
        <v>4.57</v>
      </c>
      <c r="D515" s="1">
        <f>IFERROR(__xludf.DUMMYFUNCTION("""COMPUTED_VALUE"""),4.48)</f>
        <v>4.48</v>
      </c>
      <c r="E515" s="1">
        <f>IFERROR(__xludf.DUMMYFUNCTION("""COMPUTED_VALUE"""),4.51)</f>
        <v>4.51</v>
      </c>
      <c r="F515" s="1">
        <f>IFERROR(__xludf.DUMMYFUNCTION("""COMPUTED_VALUE"""),1164267.0)</f>
        <v>1164267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IFERROR(__xludf.DUMMYFUNCTION("""COMPUTED_VALUE"""),4.6)</f>
        <v>4.6</v>
      </c>
      <c r="C516" s="1">
        <f>IFERROR(__xludf.DUMMYFUNCTION("""COMPUTED_VALUE"""),4.68)</f>
        <v>4.68</v>
      </c>
      <c r="D516" s="1">
        <f>IFERROR(__xludf.DUMMYFUNCTION("""COMPUTED_VALUE"""),4.6)</f>
        <v>4.6</v>
      </c>
      <c r="E516" s="1">
        <f>IFERROR(__xludf.DUMMYFUNCTION("""COMPUTED_VALUE"""),4.65)</f>
        <v>4.65</v>
      </c>
      <c r="F516" s="1">
        <f>IFERROR(__xludf.DUMMYFUNCTION("""COMPUTED_VALUE"""),841020.0)</f>
        <v>841020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IFERROR(__xludf.DUMMYFUNCTION("""COMPUTED_VALUE"""),4.94)</f>
        <v>4.94</v>
      </c>
      <c r="C517" s="1">
        <f>IFERROR(__xludf.DUMMYFUNCTION("""COMPUTED_VALUE"""),4.96)</f>
        <v>4.96</v>
      </c>
      <c r="D517" s="1">
        <f>IFERROR(__xludf.DUMMYFUNCTION("""COMPUTED_VALUE"""),4.84)</f>
        <v>4.84</v>
      </c>
      <c r="E517" s="1">
        <f>IFERROR(__xludf.DUMMYFUNCTION("""COMPUTED_VALUE"""),4.85)</f>
        <v>4.85</v>
      </c>
      <c r="F517" s="1">
        <f>IFERROR(__xludf.DUMMYFUNCTION("""COMPUTED_VALUE"""),823080.0)</f>
        <v>823080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IFERROR(__xludf.DUMMYFUNCTION("""COMPUTED_VALUE"""),4.83)</f>
        <v>4.83</v>
      </c>
      <c r="C518" s="1">
        <f>IFERROR(__xludf.DUMMYFUNCTION("""COMPUTED_VALUE"""),4.9)</f>
        <v>4.9</v>
      </c>
      <c r="D518" s="1">
        <f>IFERROR(__xludf.DUMMYFUNCTION("""COMPUTED_VALUE"""),4.8)</f>
        <v>4.8</v>
      </c>
      <c r="E518" s="1">
        <f>IFERROR(__xludf.DUMMYFUNCTION("""COMPUTED_VALUE"""),4.9)</f>
        <v>4.9</v>
      </c>
      <c r="F518" s="1">
        <f>IFERROR(__xludf.DUMMYFUNCTION("""COMPUTED_VALUE"""),564971.0)</f>
        <v>564971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IFERROR(__xludf.DUMMYFUNCTION("""COMPUTED_VALUE"""),5.0)</f>
        <v>5</v>
      </c>
      <c r="C519" s="1">
        <f>IFERROR(__xludf.DUMMYFUNCTION("""COMPUTED_VALUE"""),5.1)</f>
        <v>5.1</v>
      </c>
      <c r="D519" s="1">
        <f>IFERROR(__xludf.DUMMYFUNCTION("""COMPUTED_VALUE"""),4.96)</f>
        <v>4.96</v>
      </c>
      <c r="E519" s="1">
        <f>IFERROR(__xludf.DUMMYFUNCTION("""COMPUTED_VALUE"""),5.03)</f>
        <v>5.03</v>
      </c>
      <c r="F519" s="1">
        <f>IFERROR(__xludf.DUMMYFUNCTION("""COMPUTED_VALUE"""),627192.0)</f>
        <v>627192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IFERROR(__xludf.DUMMYFUNCTION("""COMPUTED_VALUE"""),4.88)</f>
        <v>4.88</v>
      </c>
      <c r="C520" s="1">
        <f>IFERROR(__xludf.DUMMYFUNCTION("""COMPUTED_VALUE"""),4.97)</f>
        <v>4.97</v>
      </c>
      <c r="D520" s="1">
        <f>IFERROR(__xludf.DUMMYFUNCTION("""COMPUTED_VALUE"""),4.84)</f>
        <v>4.84</v>
      </c>
      <c r="E520" s="1">
        <f>IFERROR(__xludf.DUMMYFUNCTION("""COMPUTED_VALUE"""),4.93)</f>
        <v>4.93</v>
      </c>
      <c r="F520" s="1">
        <f>IFERROR(__xludf.DUMMYFUNCTION("""COMPUTED_VALUE"""),374047.0)</f>
        <v>374047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IFERROR(__xludf.DUMMYFUNCTION("""COMPUTED_VALUE"""),4.88)</f>
        <v>4.88</v>
      </c>
      <c r="C521" s="1">
        <f>IFERROR(__xludf.DUMMYFUNCTION("""COMPUTED_VALUE"""),5.06)</f>
        <v>5.06</v>
      </c>
      <c r="D521" s="1">
        <f>IFERROR(__xludf.DUMMYFUNCTION("""COMPUTED_VALUE"""),4.85)</f>
        <v>4.85</v>
      </c>
      <c r="E521" s="1">
        <f>IFERROR(__xludf.DUMMYFUNCTION("""COMPUTED_VALUE"""),5.03)</f>
        <v>5.03</v>
      </c>
      <c r="F521" s="1">
        <f>IFERROR(__xludf.DUMMYFUNCTION("""COMPUTED_VALUE"""),602172.0)</f>
        <v>602172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IFERROR(__xludf.DUMMYFUNCTION("""COMPUTED_VALUE"""),4.99)</f>
        <v>4.99</v>
      </c>
      <c r="C522" s="1">
        <f>IFERROR(__xludf.DUMMYFUNCTION("""COMPUTED_VALUE"""),5.01)</f>
        <v>5.01</v>
      </c>
      <c r="D522" s="1">
        <f>IFERROR(__xludf.DUMMYFUNCTION("""COMPUTED_VALUE"""),4.85)</f>
        <v>4.85</v>
      </c>
      <c r="E522" s="1">
        <f>IFERROR(__xludf.DUMMYFUNCTION("""COMPUTED_VALUE"""),4.9)</f>
        <v>4.9</v>
      </c>
      <c r="F522" s="1">
        <f>IFERROR(__xludf.DUMMYFUNCTION("""COMPUTED_VALUE"""),637064.0)</f>
        <v>637064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IFERROR(__xludf.DUMMYFUNCTION("""COMPUTED_VALUE"""),4.78)</f>
        <v>4.78</v>
      </c>
      <c r="C523" s="1">
        <f>IFERROR(__xludf.DUMMYFUNCTION("""COMPUTED_VALUE"""),4.87)</f>
        <v>4.87</v>
      </c>
      <c r="D523" s="1">
        <f>IFERROR(__xludf.DUMMYFUNCTION("""COMPUTED_VALUE"""),4.76)</f>
        <v>4.76</v>
      </c>
      <c r="E523" s="1">
        <f>IFERROR(__xludf.DUMMYFUNCTION("""COMPUTED_VALUE"""),4.85)</f>
        <v>4.85</v>
      </c>
      <c r="F523" s="1">
        <f>IFERROR(__xludf.DUMMYFUNCTION("""COMPUTED_VALUE"""),464707.0)</f>
        <v>464707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IFERROR(__xludf.DUMMYFUNCTION("""COMPUTED_VALUE"""),4.6)</f>
        <v>4.6</v>
      </c>
      <c r="C524" s="1">
        <f>IFERROR(__xludf.DUMMYFUNCTION("""COMPUTED_VALUE"""),4.72)</f>
        <v>4.72</v>
      </c>
      <c r="D524" s="1">
        <f>IFERROR(__xludf.DUMMYFUNCTION("""COMPUTED_VALUE"""),4.56)</f>
        <v>4.56</v>
      </c>
      <c r="E524" s="1">
        <f>IFERROR(__xludf.DUMMYFUNCTION("""COMPUTED_VALUE"""),4.69)</f>
        <v>4.69</v>
      </c>
      <c r="F524" s="1">
        <f>IFERROR(__xludf.DUMMYFUNCTION("""COMPUTED_VALUE"""),664927.0)</f>
        <v>664927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IFERROR(__xludf.DUMMYFUNCTION("""COMPUTED_VALUE"""),4.94)</f>
        <v>4.94</v>
      </c>
      <c r="C525" s="1">
        <f>IFERROR(__xludf.DUMMYFUNCTION("""COMPUTED_VALUE"""),4.94)</f>
        <v>4.94</v>
      </c>
      <c r="D525" s="1">
        <f>IFERROR(__xludf.DUMMYFUNCTION("""COMPUTED_VALUE"""),4.81)</f>
        <v>4.81</v>
      </c>
      <c r="E525" s="1">
        <f>IFERROR(__xludf.DUMMYFUNCTION("""COMPUTED_VALUE"""),4.86)</f>
        <v>4.86</v>
      </c>
      <c r="F525" s="1">
        <f>IFERROR(__xludf.DUMMYFUNCTION("""COMPUTED_VALUE"""),676062.0)</f>
        <v>676062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IFERROR(__xludf.DUMMYFUNCTION("""COMPUTED_VALUE"""),5.0)</f>
        <v>5</v>
      </c>
      <c r="C526" s="1">
        <f>IFERROR(__xludf.DUMMYFUNCTION("""COMPUTED_VALUE"""),5.04)</f>
        <v>5.04</v>
      </c>
      <c r="D526" s="1">
        <f>IFERROR(__xludf.DUMMYFUNCTION("""COMPUTED_VALUE"""),4.96)</f>
        <v>4.96</v>
      </c>
      <c r="E526" s="1">
        <f>IFERROR(__xludf.DUMMYFUNCTION("""COMPUTED_VALUE"""),4.99)</f>
        <v>4.99</v>
      </c>
      <c r="F526" s="1">
        <f>IFERROR(__xludf.DUMMYFUNCTION("""COMPUTED_VALUE"""),461151.0)</f>
        <v>461151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IFERROR(__xludf.DUMMYFUNCTION("""COMPUTED_VALUE"""),5.02)</f>
        <v>5.02</v>
      </c>
      <c r="C527" s="1">
        <f>IFERROR(__xludf.DUMMYFUNCTION("""COMPUTED_VALUE"""),5.07)</f>
        <v>5.07</v>
      </c>
      <c r="D527" s="1">
        <f>IFERROR(__xludf.DUMMYFUNCTION("""COMPUTED_VALUE"""),4.99)</f>
        <v>4.99</v>
      </c>
      <c r="E527" s="1">
        <f>IFERROR(__xludf.DUMMYFUNCTION("""COMPUTED_VALUE"""),5.01)</f>
        <v>5.01</v>
      </c>
      <c r="F527" s="1">
        <f>IFERROR(__xludf.DUMMYFUNCTION("""COMPUTED_VALUE"""),342661.0)</f>
        <v>342661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IFERROR(__xludf.DUMMYFUNCTION("""COMPUTED_VALUE"""),5.02)</f>
        <v>5.02</v>
      </c>
      <c r="C528" s="1">
        <f>IFERROR(__xludf.DUMMYFUNCTION("""COMPUTED_VALUE"""),5.1)</f>
        <v>5.1</v>
      </c>
      <c r="D528" s="1">
        <f>IFERROR(__xludf.DUMMYFUNCTION("""COMPUTED_VALUE"""),5.02)</f>
        <v>5.02</v>
      </c>
      <c r="E528" s="1">
        <f>IFERROR(__xludf.DUMMYFUNCTION("""COMPUTED_VALUE"""),5.08)</f>
        <v>5.08</v>
      </c>
      <c r="F528" s="1">
        <f>IFERROR(__xludf.DUMMYFUNCTION("""COMPUTED_VALUE"""),636389.0)</f>
        <v>636389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IFERROR(__xludf.DUMMYFUNCTION("""COMPUTED_VALUE"""),4.97)</f>
        <v>4.97</v>
      </c>
      <c r="C529" s="1">
        <f>IFERROR(__xludf.DUMMYFUNCTION("""COMPUTED_VALUE"""),5.07)</f>
        <v>5.07</v>
      </c>
      <c r="D529" s="1">
        <f>IFERROR(__xludf.DUMMYFUNCTION("""COMPUTED_VALUE"""),4.95)</f>
        <v>4.95</v>
      </c>
      <c r="E529" s="1">
        <f>IFERROR(__xludf.DUMMYFUNCTION("""COMPUTED_VALUE"""),5.04)</f>
        <v>5.04</v>
      </c>
      <c r="F529" s="1">
        <f>IFERROR(__xludf.DUMMYFUNCTION("""COMPUTED_VALUE"""),480286.0)</f>
        <v>480286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IFERROR(__xludf.DUMMYFUNCTION("""COMPUTED_VALUE"""),5.05)</f>
        <v>5.05</v>
      </c>
      <c r="C530" s="1">
        <f>IFERROR(__xludf.DUMMYFUNCTION("""COMPUTED_VALUE"""),5.09)</f>
        <v>5.09</v>
      </c>
      <c r="D530" s="1">
        <f>IFERROR(__xludf.DUMMYFUNCTION("""COMPUTED_VALUE"""),5.01)</f>
        <v>5.01</v>
      </c>
      <c r="E530" s="1">
        <f>IFERROR(__xludf.DUMMYFUNCTION("""COMPUTED_VALUE"""),5.08)</f>
        <v>5.08</v>
      </c>
      <c r="F530" s="1">
        <f>IFERROR(__xludf.DUMMYFUNCTION("""COMPUTED_VALUE"""),313855.0)</f>
        <v>313855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IFERROR(__xludf.DUMMYFUNCTION("""COMPUTED_VALUE"""),5.22)</f>
        <v>5.22</v>
      </c>
      <c r="C531" s="1">
        <f>IFERROR(__xludf.DUMMYFUNCTION("""COMPUTED_VALUE"""),5.26)</f>
        <v>5.26</v>
      </c>
      <c r="D531" s="1">
        <f>IFERROR(__xludf.DUMMYFUNCTION("""COMPUTED_VALUE"""),5.14)</f>
        <v>5.14</v>
      </c>
      <c r="E531" s="1">
        <f>IFERROR(__xludf.DUMMYFUNCTION("""COMPUTED_VALUE"""),5.2)</f>
        <v>5.2</v>
      </c>
      <c r="F531" s="1">
        <f>IFERROR(__xludf.DUMMYFUNCTION("""COMPUTED_VALUE"""),601876.0)</f>
        <v>601876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IFERROR(__xludf.DUMMYFUNCTION("""COMPUTED_VALUE"""),5.31)</f>
        <v>5.31</v>
      </c>
      <c r="C532" s="1">
        <f>IFERROR(__xludf.DUMMYFUNCTION("""COMPUTED_VALUE"""),5.32)</f>
        <v>5.32</v>
      </c>
      <c r="D532" s="1">
        <f>IFERROR(__xludf.DUMMYFUNCTION("""COMPUTED_VALUE"""),5.15)</f>
        <v>5.15</v>
      </c>
      <c r="E532" s="1">
        <f>IFERROR(__xludf.DUMMYFUNCTION("""COMPUTED_VALUE"""),5.19)</f>
        <v>5.19</v>
      </c>
      <c r="F532" s="1">
        <f>IFERROR(__xludf.DUMMYFUNCTION("""COMPUTED_VALUE"""),527261.0)</f>
        <v>527261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IFERROR(__xludf.DUMMYFUNCTION("""COMPUTED_VALUE"""),4.96)</f>
        <v>4.96</v>
      </c>
      <c r="C533" s="1">
        <f>IFERROR(__xludf.DUMMYFUNCTION("""COMPUTED_VALUE"""),5.01)</f>
        <v>5.01</v>
      </c>
      <c r="D533" s="1">
        <f>IFERROR(__xludf.DUMMYFUNCTION("""COMPUTED_VALUE"""),4.94)</f>
        <v>4.94</v>
      </c>
      <c r="E533" s="1">
        <f>IFERROR(__xludf.DUMMYFUNCTION("""COMPUTED_VALUE"""),4.98)</f>
        <v>4.98</v>
      </c>
      <c r="F533" s="1">
        <f>IFERROR(__xludf.DUMMYFUNCTION("""COMPUTED_VALUE"""),547522.0)</f>
        <v>547522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IFERROR(__xludf.DUMMYFUNCTION("""COMPUTED_VALUE"""),5.19)</f>
        <v>5.19</v>
      </c>
      <c r="C534" s="1">
        <f>IFERROR(__xludf.DUMMYFUNCTION("""COMPUTED_VALUE"""),5.2)</f>
        <v>5.2</v>
      </c>
      <c r="D534" s="1">
        <f>IFERROR(__xludf.DUMMYFUNCTION("""COMPUTED_VALUE"""),5.14)</f>
        <v>5.14</v>
      </c>
      <c r="E534" s="1">
        <f>IFERROR(__xludf.DUMMYFUNCTION("""COMPUTED_VALUE"""),5.2)</f>
        <v>5.2</v>
      </c>
      <c r="F534" s="1">
        <f>IFERROR(__xludf.DUMMYFUNCTION("""COMPUTED_VALUE"""),453989.0)</f>
        <v>453989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IFERROR(__xludf.DUMMYFUNCTION("""COMPUTED_VALUE"""),5.0)</f>
        <v>5</v>
      </c>
      <c r="C535" s="1">
        <f>IFERROR(__xludf.DUMMYFUNCTION("""COMPUTED_VALUE"""),5.02)</f>
        <v>5.02</v>
      </c>
      <c r="D535" s="1">
        <f>IFERROR(__xludf.DUMMYFUNCTION("""COMPUTED_VALUE"""),4.89)</f>
        <v>4.89</v>
      </c>
      <c r="E535" s="1">
        <f>IFERROR(__xludf.DUMMYFUNCTION("""COMPUTED_VALUE"""),4.93)</f>
        <v>4.93</v>
      </c>
      <c r="F535" s="1">
        <f>IFERROR(__xludf.DUMMYFUNCTION("""COMPUTED_VALUE"""),598180.0)</f>
        <v>598180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IFERROR(__xludf.DUMMYFUNCTION("""COMPUTED_VALUE"""),4.92)</f>
        <v>4.92</v>
      </c>
      <c r="C536" s="1">
        <f>IFERROR(__xludf.DUMMYFUNCTION("""COMPUTED_VALUE"""),4.93)</f>
        <v>4.93</v>
      </c>
      <c r="D536" s="1">
        <f>IFERROR(__xludf.DUMMYFUNCTION("""COMPUTED_VALUE"""),4.85)</f>
        <v>4.85</v>
      </c>
      <c r="E536" s="1">
        <f>IFERROR(__xludf.DUMMYFUNCTION("""COMPUTED_VALUE"""),4.87)</f>
        <v>4.87</v>
      </c>
      <c r="F536" s="1">
        <f>IFERROR(__xludf.DUMMYFUNCTION("""COMPUTED_VALUE"""),616635.0)</f>
        <v>616635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IFERROR(__xludf.DUMMYFUNCTION("""COMPUTED_VALUE"""),4.79)</f>
        <v>4.79</v>
      </c>
      <c r="C537" s="1">
        <f>IFERROR(__xludf.DUMMYFUNCTION("""COMPUTED_VALUE"""),4.99)</f>
        <v>4.99</v>
      </c>
      <c r="D537" s="1">
        <f>IFERROR(__xludf.DUMMYFUNCTION("""COMPUTED_VALUE"""),4.77)</f>
        <v>4.77</v>
      </c>
      <c r="E537" s="1">
        <f>IFERROR(__xludf.DUMMYFUNCTION("""COMPUTED_VALUE"""),4.98)</f>
        <v>4.98</v>
      </c>
      <c r="F537" s="1">
        <f>IFERROR(__xludf.DUMMYFUNCTION("""COMPUTED_VALUE"""),634426.0)</f>
        <v>634426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IFERROR(__xludf.DUMMYFUNCTION("""COMPUTED_VALUE"""),5.28)</f>
        <v>5.28</v>
      </c>
      <c r="C538" s="1">
        <f>IFERROR(__xludf.DUMMYFUNCTION("""COMPUTED_VALUE"""),5.3)</f>
        <v>5.3</v>
      </c>
      <c r="D538" s="1">
        <f>IFERROR(__xludf.DUMMYFUNCTION("""COMPUTED_VALUE"""),5.21)</f>
        <v>5.21</v>
      </c>
      <c r="E538" s="1">
        <f>IFERROR(__xludf.DUMMYFUNCTION("""COMPUTED_VALUE"""),5.27)</f>
        <v>5.27</v>
      </c>
      <c r="F538" s="1">
        <f>IFERROR(__xludf.DUMMYFUNCTION("""COMPUTED_VALUE"""),860002.0)</f>
        <v>860002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IFERROR(__xludf.DUMMYFUNCTION("""COMPUTED_VALUE"""),5.31)</f>
        <v>5.31</v>
      </c>
      <c r="C539" s="1">
        <f>IFERROR(__xludf.DUMMYFUNCTION("""COMPUTED_VALUE"""),5.36)</f>
        <v>5.36</v>
      </c>
      <c r="D539" s="1">
        <f>IFERROR(__xludf.DUMMYFUNCTION("""COMPUTED_VALUE"""),5.27)</f>
        <v>5.27</v>
      </c>
      <c r="E539" s="1">
        <f>IFERROR(__xludf.DUMMYFUNCTION("""COMPUTED_VALUE"""),5.3)</f>
        <v>5.3</v>
      </c>
      <c r="F539" s="1">
        <f>IFERROR(__xludf.DUMMYFUNCTION("""COMPUTED_VALUE"""),827503.0)</f>
        <v>827503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IFERROR(__xludf.DUMMYFUNCTION("""COMPUTED_VALUE"""),5.22)</f>
        <v>5.22</v>
      </c>
      <c r="C540" s="1">
        <f>IFERROR(__xludf.DUMMYFUNCTION("""COMPUTED_VALUE"""),5.25)</f>
        <v>5.25</v>
      </c>
      <c r="D540" s="1">
        <f>IFERROR(__xludf.DUMMYFUNCTION("""COMPUTED_VALUE"""),5.17)</f>
        <v>5.17</v>
      </c>
      <c r="E540" s="1">
        <f>IFERROR(__xludf.DUMMYFUNCTION("""COMPUTED_VALUE"""),5.19)</f>
        <v>5.19</v>
      </c>
      <c r="F540" s="1">
        <f>IFERROR(__xludf.DUMMYFUNCTION("""COMPUTED_VALUE"""),477998.0)</f>
        <v>477998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IFERROR(__xludf.DUMMYFUNCTION("""COMPUTED_VALUE"""),5.14)</f>
        <v>5.14</v>
      </c>
      <c r="C541" s="1">
        <f>IFERROR(__xludf.DUMMYFUNCTION("""COMPUTED_VALUE"""),5.21)</f>
        <v>5.21</v>
      </c>
      <c r="D541" s="1">
        <f>IFERROR(__xludf.DUMMYFUNCTION("""COMPUTED_VALUE"""),5.1)</f>
        <v>5.1</v>
      </c>
      <c r="E541" s="1">
        <f>IFERROR(__xludf.DUMMYFUNCTION("""COMPUTED_VALUE"""),5.19)</f>
        <v>5.19</v>
      </c>
      <c r="F541" s="1">
        <f>IFERROR(__xludf.DUMMYFUNCTION("""COMPUTED_VALUE"""),352825.0)</f>
        <v>352825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IFERROR(__xludf.DUMMYFUNCTION("""COMPUTED_VALUE"""),5.27)</f>
        <v>5.27</v>
      </c>
      <c r="C542" s="1">
        <f>IFERROR(__xludf.DUMMYFUNCTION("""COMPUTED_VALUE"""),5.31)</f>
        <v>5.31</v>
      </c>
      <c r="D542" s="1">
        <f>IFERROR(__xludf.DUMMYFUNCTION("""COMPUTED_VALUE"""),5.24)</f>
        <v>5.24</v>
      </c>
      <c r="E542" s="1">
        <f>IFERROR(__xludf.DUMMYFUNCTION("""COMPUTED_VALUE"""),5.25)</f>
        <v>5.25</v>
      </c>
      <c r="F542" s="1">
        <f>IFERROR(__xludf.DUMMYFUNCTION("""COMPUTED_VALUE"""),383710.0)</f>
        <v>383710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IFERROR(__xludf.DUMMYFUNCTION("""COMPUTED_VALUE"""),5.11)</f>
        <v>5.11</v>
      </c>
      <c r="C543" s="1">
        <f>IFERROR(__xludf.DUMMYFUNCTION("""COMPUTED_VALUE"""),5.27)</f>
        <v>5.27</v>
      </c>
      <c r="D543" s="1">
        <f>IFERROR(__xludf.DUMMYFUNCTION("""COMPUTED_VALUE"""),5.08)</f>
        <v>5.08</v>
      </c>
      <c r="E543" s="1">
        <f>IFERROR(__xludf.DUMMYFUNCTION("""COMPUTED_VALUE"""),5.23)</f>
        <v>5.23</v>
      </c>
      <c r="F543" s="1">
        <f>IFERROR(__xludf.DUMMYFUNCTION("""COMPUTED_VALUE"""),317443.0)</f>
        <v>317443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IFERROR(__xludf.DUMMYFUNCTION("""COMPUTED_VALUE"""),5.18)</f>
        <v>5.18</v>
      </c>
      <c r="C544" s="1">
        <f>IFERROR(__xludf.DUMMYFUNCTION("""COMPUTED_VALUE"""),5.3)</f>
        <v>5.3</v>
      </c>
      <c r="D544" s="1">
        <f>IFERROR(__xludf.DUMMYFUNCTION("""COMPUTED_VALUE"""),5.15)</f>
        <v>5.15</v>
      </c>
      <c r="E544" s="1">
        <f>IFERROR(__xludf.DUMMYFUNCTION("""COMPUTED_VALUE"""),5.27)</f>
        <v>5.27</v>
      </c>
      <c r="F544" s="1">
        <f>IFERROR(__xludf.DUMMYFUNCTION("""COMPUTED_VALUE"""),574459.0)</f>
        <v>574459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IFERROR(__xludf.DUMMYFUNCTION("""COMPUTED_VALUE"""),5.29)</f>
        <v>5.29</v>
      </c>
      <c r="C545" s="1">
        <f>IFERROR(__xludf.DUMMYFUNCTION("""COMPUTED_VALUE"""),5.35)</f>
        <v>5.35</v>
      </c>
      <c r="D545" s="1">
        <f>IFERROR(__xludf.DUMMYFUNCTION("""COMPUTED_VALUE"""),5.21)</f>
        <v>5.21</v>
      </c>
      <c r="E545" s="1">
        <f>IFERROR(__xludf.DUMMYFUNCTION("""COMPUTED_VALUE"""),5.25)</f>
        <v>5.25</v>
      </c>
      <c r="F545" s="1">
        <f>IFERROR(__xludf.DUMMYFUNCTION("""COMPUTED_VALUE"""),280273.0)</f>
        <v>280273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IFERROR(__xludf.DUMMYFUNCTION("""COMPUTED_VALUE"""),5.28)</f>
        <v>5.28</v>
      </c>
      <c r="C546" s="1">
        <f>IFERROR(__xludf.DUMMYFUNCTION("""COMPUTED_VALUE"""),5.37)</f>
        <v>5.37</v>
      </c>
      <c r="D546" s="1">
        <f>IFERROR(__xludf.DUMMYFUNCTION("""COMPUTED_VALUE"""),5.26)</f>
        <v>5.26</v>
      </c>
      <c r="E546" s="1">
        <f>IFERROR(__xludf.DUMMYFUNCTION("""COMPUTED_VALUE"""),5.33)</f>
        <v>5.33</v>
      </c>
      <c r="F546" s="1">
        <f>IFERROR(__xludf.DUMMYFUNCTION("""COMPUTED_VALUE"""),561494.0)</f>
        <v>561494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IFERROR(__xludf.DUMMYFUNCTION("""COMPUTED_VALUE"""),5.29)</f>
        <v>5.29</v>
      </c>
      <c r="C547" s="1">
        <f>IFERROR(__xludf.DUMMYFUNCTION("""COMPUTED_VALUE"""),5.34)</f>
        <v>5.34</v>
      </c>
      <c r="D547" s="1">
        <f>IFERROR(__xludf.DUMMYFUNCTION("""COMPUTED_VALUE"""),5.27)</f>
        <v>5.27</v>
      </c>
      <c r="E547" s="1">
        <f>IFERROR(__xludf.DUMMYFUNCTION("""COMPUTED_VALUE"""),5.3)</f>
        <v>5.3</v>
      </c>
      <c r="F547" s="1">
        <f>IFERROR(__xludf.DUMMYFUNCTION("""COMPUTED_VALUE"""),472818.0)</f>
        <v>472818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IFERROR(__xludf.DUMMYFUNCTION("""COMPUTED_VALUE"""),5.26)</f>
        <v>5.26</v>
      </c>
      <c r="C548" s="1">
        <f>IFERROR(__xludf.DUMMYFUNCTION("""COMPUTED_VALUE"""),5.28)</f>
        <v>5.28</v>
      </c>
      <c r="D548" s="1">
        <f>IFERROR(__xludf.DUMMYFUNCTION("""COMPUTED_VALUE"""),5.22)</f>
        <v>5.22</v>
      </c>
      <c r="E548" s="1">
        <f>IFERROR(__xludf.DUMMYFUNCTION("""COMPUTED_VALUE"""),5.27)</f>
        <v>5.27</v>
      </c>
      <c r="F548" s="1">
        <f>IFERROR(__xludf.DUMMYFUNCTION("""COMPUTED_VALUE"""),457952.0)</f>
        <v>457952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IFERROR(__xludf.DUMMYFUNCTION("""COMPUTED_VALUE"""),5.04)</f>
        <v>5.04</v>
      </c>
      <c r="C549" s="1">
        <f>IFERROR(__xludf.DUMMYFUNCTION("""COMPUTED_VALUE"""),5.07)</f>
        <v>5.07</v>
      </c>
      <c r="D549" s="1">
        <f>IFERROR(__xludf.DUMMYFUNCTION("""COMPUTED_VALUE"""),4.92)</f>
        <v>4.92</v>
      </c>
      <c r="E549" s="1">
        <f>IFERROR(__xludf.DUMMYFUNCTION("""COMPUTED_VALUE"""),4.95)</f>
        <v>4.95</v>
      </c>
      <c r="F549" s="1">
        <f>IFERROR(__xludf.DUMMYFUNCTION("""COMPUTED_VALUE"""),684258.0)</f>
        <v>684258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IFERROR(__xludf.DUMMYFUNCTION("""COMPUTED_VALUE"""),4.98)</f>
        <v>4.98</v>
      </c>
      <c r="C550" s="1">
        <f>IFERROR(__xludf.DUMMYFUNCTION("""COMPUTED_VALUE"""),5.03)</f>
        <v>5.03</v>
      </c>
      <c r="D550" s="1">
        <f>IFERROR(__xludf.DUMMYFUNCTION("""COMPUTED_VALUE"""),4.96)</f>
        <v>4.96</v>
      </c>
      <c r="E550" s="1">
        <f>IFERROR(__xludf.DUMMYFUNCTION("""COMPUTED_VALUE"""),5.0)</f>
        <v>5</v>
      </c>
      <c r="F550" s="1">
        <f>IFERROR(__xludf.DUMMYFUNCTION("""COMPUTED_VALUE"""),236688.0)</f>
        <v>236688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IFERROR(__xludf.DUMMYFUNCTION("""COMPUTED_VALUE"""),5.11)</f>
        <v>5.11</v>
      </c>
      <c r="C551" s="1">
        <f>IFERROR(__xludf.DUMMYFUNCTION("""COMPUTED_VALUE"""),5.2)</f>
        <v>5.2</v>
      </c>
      <c r="D551" s="1">
        <f>IFERROR(__xludf.DUMMYFUNCTION("""COMPUTED_VALUE"""),5.09)</f>
        <v>5.09</v>
      </c>
      <c r="E551" s="1">
        <f>IFERROR(__xludf.DUMMYFUNCTION("""COMPUTED_VALUE"""),5.17)</f>
        <v>5.17</v>
      </c>
      <c r="F551" s="1">
        <f>IFERROR(__xludf.DUMMYFUNCTION("""COMPUTED_VALUE"""),468858.0)</f>
        <v>468858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IFERROR(__xludf.DUMMYFUNCTION("""COMPUTED_VALUE"""),5.13)</f>
        <v>5.13</v>
      </c>
      <c r="C552" s="1">
        <f>IFERROR(__xludf.DUMMYFUNCTION("""COMPUTED_VALUE"""),5.18)</f>
        <v>5.18</v>
      </c>
      <c r="D552" s="1">
        <f>IFERROR(__xludf.DUMMYFUNCTION("""COMPUTED_VALUE"""),5.1)</f>
        <v>5.1</v>
      </c>
      <c r="E552" s="1">
        <f>IFERROR(__xludf.DUMMYFUNCTION("""COMPUTED_VALUE"""),5.13)</f>
        <v>5.13</v>
      </c>
      <c r="F552" s="1">
        <f>IFERROR(__xludf.DUMMYFUNCTION("""COMPUTED_VALUE"""),312569.0)</f>
        <v>312569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IFERROR(__xludf.DUMMYFUNCTION("""COMPUTED_VALUE"""),5.14)</f>
        <v>5.14</v>
      </c>
      <c r="C553" s="1">
        <f>IFERROR(__xludf.DUMMYFUNCTION("""COMPUTED_VALUE"""),5.16)</f>
        <v>5.16</v>
      </c>
      <c r="D553" s="1">
        <f>IFERROR(__xludf.DUMMYFUNCTION("""COMPUTED_VALUE"""),5.09)</f>
        <v>5.09</v>
      </c>
      <c r="E553" s="1">
        <f>IFERROR(__xludf.DUMMYFUNCTION("""COMPUTED_VALUE"""),5.14)</f>
        <v>5.14</v>
      </c>
      <c r="F553" s="1">
        <f>IFERROR(__xludf.DUMMYFUNCTION("""COMPUTED_VALUE"""),293255.0)</f>
        <v>293255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IFERROR(__xludf.DUMMYFUNCTION("""COMPUTED_VALUE"""),5.13)</f>
        <v>5.13</v>
      </c>
      <c r="C554" s="1">
        <f>IFERROR(__xludf.DUMMYFUNCTION("""COMPUTED_VALUE"""),5.21)</f>
        <v>5.21</v>
      </c>
      <c r="D554" s="1">
        <f>IFERROR(__xludf.DUMMYFUNCTION("""COMPUTED_VALUE"""),5.11)</f>
        <v>5.11</v>
      </c>
      <c r="E554" s="1">
        <f>IFERROR(__xludf.DUMMYFUNCTION("""COMPUTED_VALUE"""),5.21)</f>
        <v>5.21</v>
      </c>
      <c r="F554" s="1">
        <f>IFERROR(__xludf.DUMMYFUNCTION("""COMPUTED_VALUE"""),471640.0)</f>
        <v>471640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IFERROR(__xludf.DUMMYFUNCTION("""COMPUTED_VALUE"""),5.42)</f>
        <v>5.42</v>
      </c>
      <c r="C555" s="1">
        <f>IFERROR(__xludf.DUMMYFUNCTION("""COMPUTED_VALUE"""),5.48)</f>
        <v>5.48</v>
      </c>
      <c r="D555" s="1">
        <f>IFERROR(__xludf.DUMMYFUNCTION("""COMPUTED_VALUE"""),5.4)</f>
        <v>5.4</v>
      </c>
      <c r="E555" s="1">
        <f>IFERROR(__xludf.DUMMYFUNCTION("""COMPUTED_VALUE"""),5.45)</f>
        <v>5.45</v>
      </c>
      <c r="F555" s="1">
        <f>IFERROR(__xludf.DUMMYFUNCTION("""COMPUTED_VALUE"""),789322.0)</f>
        <v>789322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IFERROR(__xludf.DUMMYFUNCTION("""COMPUTED_VALUE"""),5.7)</f>
        <v>5.7</v>
      </c>
      <c r="C556" s="1">
        <f>IFERROR(__xludf.DUMMYFUNCTION("""COMPUTED_VALUE"""),5.79)</f>
        <v>5.79</v>
      </c>
      <c r="D556" s="1">
        <f>IFERROR(__xludf.DUMMYFUNCTION("""COMPUTED_VALUE"""),5.65)</f>
        <v>5.65</v>
      </c>
      <c r="E556" s="1">
        <f>IFERROR(__xludf.DUMMYFUNCTION("""COMPUTED_VALUE"""),5.77)</f>
        <v>5.77</v>
      </c>
      <c r="F556" s="1">
        <f>IFERROR(__xludf.DUMMYFUNCTION("""COMPUTED_VALUE"""),944043.0)</f>
        <v>944043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IFERROR(__xludf.DUMMYFUNCTION("""COMPUTED_VALUE"""),5.93)</f>
        <v>5.93</v>
      </c>
      <c r="C557" s="1">
        <f>IFERROR(__xludf.DUMMYFUNCTION("""COMPUTED_VALUE"""),6.03)</f>
        <v>6.03</v>
      </c>
      <c r="D557" s="1">
        <f>IFERROR(__xludf.DUMMYFUNCTION("""COMPUTED_VALUE"""),5.92)</f>
        <v>5.92</v>
      </c>
      <c r="E557" s="1">
        <f>IFERROR(__xludf.DUMMYFUNCTION("""COMPUTED_VALUE"""),5.93)</f>
        <v>5.93</v>
      </c>
      <c r="F557" s="1">
        <f>IFERROR(__xludf.DUMMYFUNCTION("""COMPUTED_VALUE"""),902444.0)</f>
        <v>902444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IFERROR(__xludf.DUMMYFUNCTION("""COMPUTED_VALUE"""),5.84)</f>
        <v>5.84</v>
      </c>
      <c r="C558" s="1">
        <f>IFERROR(__xludf.DUMMYFUNCTION("""COMPUTED_VALUE"""),5.95)</f>
        <v>5.95</v>
      </c>
      <c r="D558" s="1">
        <f>IFERROR(__xludf.DUMMYFUNCTION("""COMPUTED_VALUE"""),5.83)</f>
        <v>5.83</v>
      </c>
      <c r="E558" s="1">
        <f>IFERROR(__xludf.DUMMYFUNCTION("""COMPUTED_VALUE"""),5.91)</f>
        <v>5.91</v>
      </c>
      <c r="F558" s="1">
        <f>IFERROR(__xludf.DUMMYFUNCTION("""COMPUTED_VALUE"""),706747.0)</f>
        <v>706747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IFERROR(__xludf.DUMMYFUNCTION("""COMPUTED_VALUE"""),5.75)</f>
        <v>5.75</v>
      </c>
      <c r="C559" s="1">
        <f>IFERROR(__xludf.DUMMYFUNCTION("""COMPUTED_VALUE"""),5.8)</f>
        <v>5.8</v>
      </c>
      <c r="D559" s="1">
        <f>IFERROR(__xludf.DUMMYFUNCTION("""COMPUTED_VALUE"""),5.73)</f>
        <v>5.73</v>
      </c>
      <c r="E559" s="1">
        <f>IFERROR(__xludf.DUMMYFUNCTION("""COMPUTED_VALUE"""),5.76)</f>
        <v>5.76</v>
      </c>
      <c r="F559" s="1">
        <f>IFERROR(__xludf.DUMMYFUNCTION("""COMPUTED_VALUE"""),423213.0)</f>
        <v>423213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IFERROR(__xludf.DUMMYFUNCTION("""COMPUTED_VALUE"""),5.79)</f>
        <v>5.79</v>
      </c>
      <c r="C560" s="1">
        <f>IFERROR(__xludf.DUMMYFUNCTION("""COMPUTED_VALUE"""),5.8)</f>
        <v>5.8</v>
      </c>
      <c r="D560" s="1">
        <f>IFERROR(__xludf.DUMMYFUNCTION("""COMPUTED_VALUE"""),5.67)</f>
        <v>5.67</v>
      </c>
      <c r="E560" s="1">
        <f>IFERROR(__xludf.DUMMYFUNCTION("""COMPUTED_VALUE"""),5.7)</f>
        <v>5.7</v>
      </c>
      <c r="F560" s="1">
        <f>IFERROR(__xludf.DUMMYFUNCTION("""COMPUTED_VALUE"""),403395.0)</f>
        <v>403395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IFERROR(__xludf.DUMMYFUNCTION("""COMPUTED_VALUE"""),5.55)</f>
        <v>5.55</v>
      </c>
      <c r="C561" s="1">
        <f>IFERROR(__xludf.DUMMYFUNCTION("""COMPUTED_VALUE"""),5.62)</f>
        <v>5.62</v>
      </c>
      <c r="D561" s="1">
        <f>IFERROR(__xludf.DUMMYFUNCTION("""COMPUTED_VALUE"""),5.54)</f>
        <v>5.54</v>
      </c>
      <c r="E561" s="1">
        <f>IFERROR(__xludf.DUMMYFUNCTION("""COMPUTED_VALUE"""),5.58)</f>
        <v>5.58</v>
      </c>
      <c r="F561" s="1">
        <f>IFERROR(__xludf.DUMMYFUNCTION("""COMPUTED_VALUE"""),397466.0)</f>
        <v>397466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IFERROR(__xludf.DUMMYFUNCTION("""COMPUTED_VALUE"""),5.62)</f>
        <v>5.62</v>
      </c>
      <c r="C562" s="1">
        <f>IFERROR(__xludf.DUMMYFUNCTION("""COMPUTED_VALUE"""),5.72)</f>
        <v>5.72</v>
      </c>
      <c r="D562" s="1">
        <f>IFERROR(__xludf.DUMMYFUNCTION("""COMPUTED_VALUE"""),5.56)</f>
        <v>5.56</v>
      </c>
      <c r="E562" s="1">
        <f>IFERROR(__xludf.DUMMYFUNCTION("""COMPUTED_VALUE"""),5.71)</f>
        <v>5.71</v>
      </c>
      <c r="F562" s="1">
        <f>IFERROR(__xludf.DUMMYFUNCTION("""COMPUTED_VALUE"""),417132.0)</f>
        <v>417132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IFERROR(__xludf.DUMMYFUNCTION("""COMPUTED_VALUE"""),5.77)</f>
        <v>5.77</v>
      </c>
      <c r="C563" s="1">
        <f>IFERROR(__xludf.DUMMYFUNCTION("""COMPUTED_VALUE"""),5.78)</f>
        <v>5.78</v>
      </c>
      <c r="D563" s="1">
        <f>IFERROR(__xludf.DUMMYFUNCTION("""COMPUTED_VALUE"""),5.72)</f>
        <v>5.72</v>
      </c>
      <c r="E563" s="1">
        <f>IFERROR(__xludf.DUMMYFUNCTION("""COMPUTED_VALUE"""),5.76)</f>
        <v>5.76</v>
      </c>
      <c r="F563" s="1">
        <f>IFERROR(__xludf.DUMMYFUNCTION("""COMPUTED_VALUE"""),905470.0)</f>
        <v>905470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IFERROR(__xludf.DUMMYFUNCTION("""COMPUTED_VALUE"""),5.77)</f>
        <v>5.77</v>
      </c>
      <c r="C564" s="1">
        <f>IFERROR(__xludf.DUMMYFUNCTION("""COMPUTED_VALUE"""),5.8)</f>
        <v>5.8</v>
      </c>
      <c r="D564" s="1">
        <f>IFERROR(__xludf.DUMMYFUNCTION("""COMPUTED_VALUE"""),5.72)</f>
        <v>5.72</v>
      </c>
      <c r="E564" s="1">
        <f>IFERROR(__xludf.DUMMYFUNCTION("""COMPUTED_VALUE"""),5.74)</f>
        <v>5.74</v>
      </c>
      <c r="F564" s="1">
        <f>IFERROR(__xludf.DUMMYFUNCTION("""COMPUTED_VALUE"""),444172.0)</f>
        <v>444172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IFERROR(__xludf.DUMMYFUNCTION("""COMPUTED_VALUE"""),5.76)</f>
        <v>5.76</v>
      </c>
      <c r="C565" s="1">
        <f>IFERROR(__xludf.DUMMYFUNCTION("""COMPUTED_VALUE"""),5.76)</f>
        <v>5.76</v>
      </c>
      <c r="D565" s="1">
        <f>IFERROR(__xludf.DUMMYFUNCTION("""COMPUTED_VALUE"""),5.63)</f>
        <v>5.63</v>
      </c>
      <c r="E565" s="1">
        <f>IFERROR(__xludf.DUMMYFUNCTION("""COMPUTED_VALUE"""),5.69)</f>
        <v>5.69</v>
      </c>
      <c r="F565" s="1">
        <f>IFERROR(__xludf.DUMMYFUNCTION("""COMPUTED_VALUE"""),585104.0)</f>
        <v>585104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IFERROR(__xludf.DUMMYFUNCTION("""COMPUTED_VALUE"""),5.55)</f>
        <v>5.55</v>
      </c>
      <c r="C566" s="1">
        <f>IFERROR(__xludf.DUMMYFUNCTION("""COMPUTED_VALUE"""),5.58)</f>
        <v>5.58</v>
      </c>
      <c r="D566" s="1">
        <f>IFERROR(__xludf.DUMMYFUNCTION("""COMPUTED_VALUE"""),5.48)</f>
        <v>5.48</v>
      </c>
      <c r="E566" s="1">
        <f>IFERROR(__xludf.DUMMYFUNCTION("""COMPUTED_VALUE"""),5.58)</f>
        <v>5.58</v>
      </c>
      <c r="F566" s="1">
        <f>IFERROR(__xludf.DUMMYFUNCTION("""COMPUTED_VALUE"""),546250.0)</f>
        <v>546250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IFERROR(__xludf.DUMMYFUNCTION("""COMPUTED_VALUE"""),5.58)</f>
        <v>5.58</v>
      </c>
      <c r="C567" s="1">
        <f>IFERROR(__xludf.DUMMYFUNCTION("""COMPUTED_VALUE"""),5.58)</f>
        <v>5.58</v>
      </c>
      <c r="D567" s="1">
        <f>IFERROR(__xludf.DUMMYFUNCTION("""COMPUTED_VALUE"""),5.45)</f>
        <v>5.45</v>
      </c>
      <c r="E567" s="1">
        <f>IFERROR(__xludf.DUMMYFUNCTION("""COMPUTED_VALUE"""),5.56)</f>
        <v>5.56</v>
      </c>
      <c r="F567" s="1">
        <f>IFERROR(__xludf.DUMMYFUNCTION("""COMPUTED_VALUE"""),401645.0)</f>
        <v>401645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IFERROR(__xludf.DUMMYFUNCTION("""COMPUTED_VALUE"""),5.47)</f>
        <v>5.47</v>
      </c>
      <c r="C568" s="1">
        <f>IFERROR(__xludf.DUMMYFUNCTION("""COMPUTED_VALUE"""),5.63)</f>
        <v>5.63</v>
      </c>
      <c r="D568" s="1">
        <f>IFERROR(__xludf.DUMMYFUNCTION("""COMPUTED_VALUE"""),5.45)</f>
        <v>5.45</v>
      </c>
      <c r="E568" s="1">
        <f>IFERROR(__xludf.DUMMYFUNCTION("""COMPUTED_VALUE"""),5.6)</f>
        <v>5.6</v>
      </c>
      <c r="F568" s="1">
        <f>IFERROR(__xludf.DUMMYFUNCTION("""COMPUTED_VALUE"""),354838.0)</f>
        <v>354838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IFERROR(__xludf.DUMMYFUNCTION("""COMPUTED_VALUE"""),5.52)</f>
        <v>5.52</v>
      </c>
      <c r="C569" s="1">
        <f>IFERROR(__xludf.DUMMYFUNCTION("""COMPUTED_VALUE"""),5.54)</f>
        <v>5.54</v>
      </c>
      <c r="D569" s="1">
        <f>IFERROR(__xludf.DUMMYFUNCTION("""COMPUTED_VALUE"""),5.35)</f>
        <v>5.35</v>
      </c>
      <c r="E569" s="1">
        <f>IFERROR(__xludf.DUMMYFUNCTION("""COMPUTED_VALUE"""),5.39)</f>
        <v>5.39</v>
      </c>
      <c r="F569" s="1">
        <f>IFERROR(__xludf.DUMMYFUNCTION("""COMPUTED_VALUE"""),554122.0)</f>
        <v>554122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IFERROR(__xludf.DUMMYFUNCTION("""COMPUTED_VALUE"""),5.23)</f>
        <v>5.23</v>
      </c>
      <c r="C570" s="1">
        <f>IFERROR(__xludf.DUMMYFUNCTION("""COMPUTED_VALUE"""),5.28)</f>
        <v>5.28</v>
      </c>
      <c r="D570" s="1">
        <f>IFERROR(__xludf.DUMMYFUNCTION("""COMPUTED_VALUE"""),5.13)</f>
        <v>5.13</v>
      </c>
      <c r="E570" s="1">
        <f>IFERROR(__xludf.DUMMYFUNCTION("""COMPUTED_VALUE"""),5.18)</f>
        <v>5.18</v>
      </c>
      <c r="F570" s="1">
        <f>IFERROR(__xludf.DUMMYFUNCTION("""COMPUTED_VALUE"""),609395.0)</f>
        <v>609395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IFERROR(__xludf.DUMMYFUNCTION("""COMPUTED_VALUE"""),5.04)</f>
        <v>5.04</v>
      </c>
      <c r="C571" s="1">
        <f>IFERROR(__xludf.DUMMYFUNCTION("""COMPUTED_VALUE"""),5.18)</f>
        <v>5.18</v>
      </c>
      <c r="D571" s="1">
        <f>IFERROR(__xludf.DUMMYFUNCTION("""COMPUTED_VALUE"""),5.04)</f>
        <v>5.04</v>
      </c>
      <c r="E571" s="1">
        <f>IFERROR(__xludf.DUMMYFUNCTION("""COMPUTED_VALUE"""),5.18)</f>
        <v>5.18</v>
      </c>
      <c r="F571" s="1">
        <f>IFERROR(__xludf.DUMMYFUNCTION("""COMPUTED_VALUE"""),556050.0)</f>
        <v>556050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IFERROR(__xludf.DUMMYFUNCTION("""COMPUTED_VALUE"""),5.06)</f>
        <v>5.06</v>
      </c>
      <c r="C572" s="1">
        <f>IFERROR(__xludf.DUMMYFUNCTION("""COMPUTED_VALUE"""),5.1)</f>
        <v>5.1</v>
      </c>
      <c r="D572" s="1">
        <f>IFERROR(__xludf.DUMMYFUNCTION("""COMPUTED_VALUE"""),5.02)</f>
        <v>5.02</v>
      </c>
      <c r="E572" s="1">
        <f>IFERROR(__xludf.DUMMYFUNCTION("""COMPUTED_VALUE"""),5.05)</f>
        <v>5.05</v>
      </c>
      <c r="F572" s="1">
        <f>IFERROR(__xludf.DUMMYFUNCTION("""COMPUTED_VALUE"""),340537.0)</f>
        <v>340537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IFERROR(__xludf.DUMMYFUNCTION("""COMPUTED_VALUE"""),4.9)</f>
        <v>4.9</v>
      </c>
      <c r="C573" s="1">
        <f>IFERROR(__xludf.DUMMYFUNCTION("""COMPUTED_VALUE"""),4.94)</f>
        <v>4.94</v>
      </c>
      <c r="D573" s="1">
        <f>IFERROR(__xludf.DUMMYFUNCTION("""COMPUTED_VALUE"""),4.73)</f>
        <v>4.73</v>
      </c>
      <c r="E573" s="1">
        <f>IFERROR(__xludf.DUMMYFUNCTION("""COMPUTED_VALUE"""),4.75)</f>
        <v>4.75</v>
      </c>
      <c r="F573" s="1">
        <f>IFERROR(__xludf.DUMMYFUNCTION("""COMPUTED_VALUE"""),777327.0)</f>
        <v>777327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IFERROR(__xludf.DUMMYFUNCTION("""COMPUTED_VALUE"""),4.95)</f>
        <v>4.95</v>
      </c>
      <c r="C574" s="1">
        <f>IFERROR(__xludf.DUMMYFUNCTION("""COMPUTED_VALUE"""),4.98)</f>
        <v>4.98</v>
      </c>
      <c r="D574" s="1">
        <f>IFERROR(__xludf.DUMMYFUNCTION("""COMPUTED_VALUE"""),4.86)</f>
        <v>4.86</v>
      </c>
      <c r="E574" s="1">
        <f>IFERROR(__xludf.DUMMYFUNCTION("""COMPUTED_VALUE"""),4.88)</f>
        <v>4.88</v>
      </c>
      <c r="F574" s="1">
        <f>IFERROR(__xludf.DUMMYFUNCTION("""COMPUTED_VALUE"""),519254.0)</f>
        <v>519254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IFERROR(__xludf.DUMMYFUNCTION("""COMPUTED_VALUE"""),4.83)</f>
        <v>4.83</v>
      </c>
      <c r="C575" s="1">
        <f>IFERROR(__xludf.DUMMYFUNCTION("""COMPUTED_VALUE"""),4.97)</f>
        <v>4.97</v>
      </c>
      <c r="D575" s="1">
        <f>IFERROR(__xludf.DUMMYFUNCTION("""COMPUTED_VALUE"""),4.82)</f>
        <v>4.82</v>
      </c>
      <c r="E575" s="1">
        <f>IFERROR(__xludf.DUMMYFUNCTION("""COMPUTED_VALUE"""),4.95)</f>
        <v>4.95</v>
      </c>
      <c r="F575" s="1">
        <f>IFERROR(__xludf.DUMMYFUNCTION("""COMPUTED_VALUE"""),431261.0)</f>
        <v>431261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IFERROR(__xludf.DUMMYFUNCTION("""COMPUTED_VALUE"""),4.82)</f>
        <v>4.82</v>
      </c>
      <c r="C576" s="1">
        <f>IFERROR(__xludf.DUMMYFUNCTION("""COMPUTED_VALUE"""),4.82)</f>
        <v>4.82</v>
      </c>
      <c r="D576" s="1">
        <f>IFERROR(__xludf.DUMMYFUNCTION("""COMPUTED_VALUE"""),4.71)</f>
        <v>4.71</v>
      </c>
      <c r="E576" s="1">
        <f>IFERROR(__xludf.DUMMYFUNCTION("""COMPUTED_VALUE"""),4.73)</f>
        <v>4.73</v>
      </c>
      <c r="F576" s="1">
        <f>IFERROR(__xludf.DUMMYFUNCTION("""COMPUTED_VALUE"""),537788.0)</f>
        <v>537788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IFERROR(__xludf.DUMMYFUNCTION("""COMPUTED_VALUE"""),4.75)</f>
        <v>4.75</v>
      </c>
      <c r="C577" s="1">
        <f>IFERROR(__xludf.DUMMYFUNCTION("""COMPUTED_VALUE"""),4.75)</f>
        <v>4.75</v>
      </c>
      <c r="D577" s="1">
        <f>IFERROR(__xludf.DUMMYFUNCTION("""COMPUTED_VALUE"""),4.63)</f>
        <v>4.63</v>
      </c>
      <c r="E577" s="1">
        <f>IFERROR(__xludf.DUMMYFUNCTION("""COMPUTED_VALUE"""),4.7)</f>
        <v>4.7</v>
      </c>
      <c r="F577" s="1">
        <f>IFERROR(__xludf.DUMMYFUNCTION("""COMPUTED_VALUE"""),559949.0)</f>
        <v>559949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IFERROR(__xludf.DUMMYFUNCTION("""COMPUTED_VALUE"""),4.89)</f>
        <v>4.89</v>
      </c>
      <c r="C578" s="1">
        <f>IFERROR(__xludf.DUMMYFUNCTION("""COMPUTED_VALUE"""),4.94)</f>
        <v>4.94</v>
      </c>
      <c r="D578" s="1">
        <f>IFERROR(__xludf.DUMMYFUNCTION("""COMPUTED_VALUE"""),4.83)</f>
        <v>4.83</v>
      </c>
      <c r="E578" s="1">
        <f>IFERROR(__xludf.DUMMYFUNCTION("""COMPUTED_VALUE"""),4.92)</f>
        <v>4.92</v>
      </c>
      <c r="F578" s="1">
        <f>IFERROR(__xludf.DUMMYFUNCTION("""COMPUTED_VALUE"""),419448.0)</f>
        <v>419448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IFERROR(__xludf.DUMMYFUNCTION("""COMPUTED_VALUE"""),4.82)</f>
        <v>4.82</v>
      </c>
      <c r="C579" s="1">
        <f>IFERROR(__xludf.DUMMYFUNCTION("""COMPUTED_VALUE"""),4.88)</f>
        <v>4.88</v>
      </c>
      <c r="D579" s="1">
        <f>IFERROR(__xludf.DUMMYFUNCTION("""COMPUTED_VALUE"""),4.78)</f>
        <v>4.78</v>
      </c>
      <c r="E579" s="1">
        <f>IFERROR(__xludf.DUMMYFUNCTION("""COMPUTED_VALUE"""),4.79)</f>
        <v>4.79</v>
      </c>
      <c r="F579" s="1">
        <f>IFERROR(__xludf.DUMMYFUNCTION("""COMPUTED_VALUE"""),383707.0)</f>
        <v>383707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IFERROR(__xludf.DUMMYFUNCTION("""COMPUTED_VALUE"""),4.72)</f>
        <v>4.72</v>
      </c>
      <c r="C580" s="1">
        <f>IFERROR(__xludf.DUMMYFUNCTION("""COMPUTED_VALUE"""),4.79)</f>
        <v>4.79</v>
      </c>
      <c r="D580" s="1">
        <f>IFERROR(__xludf.DUMMYFUNCTION("""COMPUTED_VALUE"""),4.66)</f>
        <v>4.66</v>
      </c>
      <c r="E580" s="1">
        <f>IFERROR(__xludf.DUMMYFUNCTION("""COMPUTED_VALUE"""),4.7)</f>
        <v>4.7</v>
      </c>
      <c r="F580" s="1">
        <f>IFERROR(__xludf.DUMMYFUNCTION("""COMPUTED_VALUE"""),405687.0)</f>
        <v>405687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IFERROR(__xludf.DUMMYFUNCTION("""COMPUTED_VALUE"""),4.82)</f>
        <v>4.82</v>
      </c>
      <c r="C581" s="1">
        <f>IFERROR(__xludf.DUMMYFUNCTION("""COMPUTED_VALUE"""),4.85)</f>
        <v>4.85</v>
      </c>
      <c r="D581" s="1">
        <f>IFERROR(__xludf.DUMMYFUNCTION("""COMPUTED_VALUE"""),4.77)</f>
        <v>4.77</v>
      </c>
      <c r="E581" s="1">
        <f>IFERROR(__xludf.DUMMYFUNCTION("""COMPUTED_VALUE"""),4.79)</f>
        <v>4.79</v>
      </c>
      <c r="F581" s="1">
        <f>IFERROR(__xludf.DUMMYFUNCTION("""COMPUTED_VALUE"""),333682.0)</f>
        <v>333682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IFERROR(__xludf.DUMMYFUNCTION("""COMPUTED_VALUE"""),4.43)</f>
        <v>4.43</v>
      </c>
      <c r="C582" s="1">
        <f>IFERROR(__xludf.DUMMYFUNCTION("""COMPUTED_VALUE"""),4.53)</f>
        <v>4.53</v>
      </c>
      <c r="D582" s="1">
        <f>IFERROR(__xludf.DUMMYFUNCTION("""COMPUTED_VALUE"""),4.4)</f>
        <v>4.4</v>
      </c>
      <c r="E582" s="1">
        <f>IFERROR(__xludf.DUMMYFUNCTION("""COMPUTED_VALUE"""),4.53)</f>
        <v>4.53</v>
      </c>
      <c r="F582" s="1">
        <f>IFERROR(__xludf.DUMMYFUNCTION("""COMPUTED_VALUE"""),643629.0)</f>
        <v>643629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IFERROR(__xludf.DUMMYFUNCTION("""COMPUTED_VALUE"""),4.53)</f>
        <v>4.53</v>
      </c>
      <c r="C583" s="1">
        <f>IFERROR(__xludf.DUMMYFUNCTION("""COMPUTED_VALUE"""),4.68)</f>
        <v>4.68</v>
      </c>
      <c r="D583" s="1">
        <f>IFERROR(__xludf.DUMMYFUNCTION("""COMPUTED_VALUE"""),4.52)</f>
        <v>4.52</v>
      </c>
      <c r="E583" s="1">
        <f>IFERROR(__xludf.DUMMYFUNCTION("""COMPUTED_VALUE"""),4.63)</f>
        <v>4.63</v>
      </c>
      <c r="F583" s="1">
        <f>IFERROR(__xludf.DUMMYFUNCTION("""COMPUTED_VALUE"""),347522.0)</f>
        <v>347522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IFERROR(__xludf.DUMMYFUNCTION("""COMPUTED_VALUE"""),4.81)</f>
        <v>4.81</v>
      </c>
      <c r="C584" s="1">
        <f>IFERROR(__xludf.DUMMYFUNCTION("""COMPUTED_VALUE"""),4.84)</f>
        <v>4.84</v>
      </c>
      <c r="D584" s="1">
        <f>IFERROR(__xludf.DUMMYFUNCTION("""COMPUTED_VALUE"""),4.74)</f>
        <v>4.74</v>
      </c>
      <c r="E584" s="1">
        <f>IFERROR(__xludf.DUMMYFUNCTION("""COMPUTED_VALUE"""),4.78)</f>
        <v>4.78</v>
      </c>
      <c r="F584" s="1">
        <f>IFERROR(__xludf.DUMMYFUNCTION("""COMPUTED_VALUE"""),565476.0)</f>
        <v>565476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IFERROR(__xludf.DUMMYFUNCTION("""COMPUTED_VALUE"""),4.65)</f>
        <v>4.65</v>
      </c>
      <c r="C585" s="1">
        <f>IFERROR(__xludf.DUMMYFUNCTION("""COMPUTED_VALUE"""),4.79)</f>
        <v>4.79</v>
      </c>
      <c r="D585" s="1">
        <f>IFERROR(__xludf.DUMMYFUNCTION("""COMPUTED_VALUE"""),4.65)</f>
        <v>4.65</v>
      </c>
      <c r="E585" s="1">
        <f>IFERROR(__xludf.DUMMYFUNCTION("""COMPUTED_VALUE"""),4.75)</f>
        <v>4.75</v>
      </c>
      <c r="F585" s="1">
        <f>IFERROR(__xludf.DUMMYFUNCTION("""COMPUTED_VALUE"""),408092.0)</f>
        <v>408092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IFERROR(__xludf.DUMMYFUNCTION("""COMPUTED_VALUE"""),4.82)</f>
        <v>4.82</v>
      </c>
      <c r="C586" s="1">
        <f>IFERROR(__xludf.DUMMYFUNCTION("""COMPUTED_VALUE"""),4.82)</f>
        <v>4.82</v>
      </c>
      <c r="D586" s="1">
        <f>IFERROR(__xludf.DUMMYFUNCTION("""COMPUTED_VALUE"""),4.74)</f>
        <v>4.74</v>
      </c>
      <c r="E586" s="1">
        <f>IFERROR(__xludf.DUMMYFUNCTION("""COMPUTED_VALUE"""),4.79)</f>
        <v>4.79</v>
      </c>
      <c r="F586" s="1">
        <f>IFERROR(__xludf.DUMMYFUNCTION("""COMPUTED_VALUE"""),519694.0)</f>
        <v>519694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IFERROR(__xludf.DUMMYFUNCTION("""COMPUTED_VALUE"""),4.71)</f>
        <v>4.71</v>
      </c>
      <c r="C587" s="1">
        <f>IFERROR(__xludf.DUMMYFUNCTION("""COMPUTED_VALUE"""),4.71)</f>
        <v>4.71</v>
      </c>
      <c r="D587" s="1">
        <f>IFERROR(__xludf.DUMMYFUNCTION("""COMPUTED_VALUE"""),4.61)</f>
        <v>4.61</v>
      </c>
      <c r="E587" s="1">
        <f>IFERROR(__xludf.DUMMYFUNCTION("""COMPUTED_VALUE"""),4.69)</f>
        <v>4.69</v>
      </c>
      <c r="F587" s="1">
        <f>IFERROR(__xludf.DUMMYFUNCTION("""COMPUTED_VALUE"""),377440.0)</f>
        <v>377440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IFERROR(__xludf.DUMMYFUNCTION("""COMPUTED_VALUE"""),4.63)</f>
        <v>4.63</v>
      </c>
      <c r="C588" s="1">
        <f>IFERROR(__xludf.DUMMYFUNCTION("""COMPUTED_VALUE"""),4.72)</f>
        <v>4.72</v>
      </c>
      <c r="D588" s="1">
        <f>IFERROR(__xludf.DUMMYFUNCTION("""COMPUTED_VALUE"""),4.63)</f>
        <v>4.63</v>
      </c>
      <c r="E588" s="1">
        <f>IFERROR(__xludf.DUMMYFUNCTION("""COMPUTED_VALUE"""),4.66)</f>
        <v>4.66</v>
      </c>
      <c r="F588" s="1">
        <f>IFERROR(__xludf.DUMMYFUNCTION("""COMPUTED_VALUE"""),448034.0)</f>
        <v>448034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IFERROR(__xludf.DUMMYFUNCTION("""COMPUTED_VALUE"""),4.58)</f>
        <v>4.58</v>
      </c>
      <c r="C589" s="1">
        <f>IFERROR(__xludf.DUMMYFUNCTION("""COMPUTED_VALUE"""),4.62)</f>
        <v>4.62</v>
      </c>
      <c r="D589" s="1">
        <f>IFERROR(__xludf.DUMMYFUNCTION("""COMPUTED_VALUE"""),4.53)</f>
        <v>4.53</v>
      </c>
      <c r="E589" s="1">
        <f>IFERROR(__xludf.DUMMYFUNCTION("""COMPUTED_VALUE"""),4.59)</f>
        <v>4.59</v>
      </c>
      <c r="F589" s="1">
        <f>IFERROR(__xludf.DUMMYFUNCTION("""COMPUTED_VALUE"""),417889.0)</f>
        <v>417889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IFERROR(__xludf.DUMMYFUNCTION("""COMPUTED_VALUE"""),4.6)</f>
        <v>4.6</v>
      </c>
      <c r="C590" s="1">
        <f>IFERROR(__xludf.DUMMYFUNCTION("""COMPUTED_VALUE"""),4.63)</f>
        <v>4.63</v>
      </c>
      <c r="D590" s="1">
        <f>IFERROR(__xludf.DUMMYFUNCTION("""COMPUTED_VALUE"""),4.5)</f>
        <v>4.5</v>
      </c>
      <c r="E590" s="1">
        <f>IFERROR(__xludf.DUMMYFUNCTION("""COMPUTED_VALUE"""),4.54)</f>
        <v>4.54</v>
      </c>
      <c r="F590" s="1">
        <f>IFERROR(__xludf.DUMMYFUNCTION("""COMPUTED_VALUE"""),701746.0)</f>
        <v>701746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IFERROR(__xludf.DUMMYFUNCTION("""COMPUTED_VALUE"""),4.49)</f>
        <v>4.49</v>
      </c>
      <c r="C591" s="1">
        <f>IFERROR(__xludf.DUMMYFUNCTION("""COMPUTED_VALUE"""),4.51)</f>
        <v>4.51</v>
      </c>
      <c r="D591" s="1">
        <f>IFERROR(__xludf.DUMMYFUNCTION("""COMPUTED_VALUE"""),4.39)</f>
        <v>4.39</v>
      </c>
      <c r="E591" s="1">
        <f>IFERROR(__xludf.DUMMYFUNCTION("""COMPUTED_VALUE"""),4.4)</f>
        <v>4.4</v>
      </c>
      <c r="F591" s="1">
        <f>IFERROR(__xludf.DUMMYFUNCTION("""COMPUTED_VALUE"""),597707.0)</f>
        <v>597707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IFERROR(__xludf.DUMMYFUNCTION("""COMPUTED_VALUE"""),4.45)</f>
        <v>4.45</v>
      </c>
      <c r="C592" s="1">
        <f>IFERROR(__xludf.DUMMYFUNCTION("""COMPUTED_VALUE"""),4.54)</f>
        <v>4.54</v>
      </c>
      <c r="D592" s="1">
        <f>IFERROR(__xludf.DUMMYFUNCTION("""COMPUTED_VALUE"""),4.44)</f>
        <v>4.44</v>
      </c>
      <c r="E592" s="1">
        <f>IFERROR(__xludf.DUMMYFUNCTION("""COMPUTED_VALUE"""),4.51)</f>
        <v>4.51</v>
      </c>
      <c r="F592" s="1">
        <f>IFERROR(__xludf.DUMMYFUNCTION("""COMPUTED_VALUE"""),2459713.0)</f>
        <v>2459713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IFERROR(__xludf.DUMMYFUNCTION("""COMPUTED_VALUE"""),4.39)</f>
        <v>4.39</v>
      </c>
      <c r="C593" s="1">
        <f>IFERROR(__xludf.DUMMYFUNCTION("""COMPUTED_VALUE"""),4.41)</f>
        <v>4.41</v>
      </c>
      <c r="D593" s="1">
        <f>IFERROR(__xludf.DUMMYFUNCTION("""COMPUTED_VALUE"""),4.3)</f>
        <v>4.3</v>
      </c>
      <c r="E593" s="1">
        <f>IFERROR(__xludf.DUMMYFUNCTION("""COMPUTED_VALUE"""),4.39)</f>
        <v>4.39</v>
      </c>
      <c r="F593" s="1">
        <f>IFERROR(__xludf.DUMMYFUNCTION("""COMPUTED_VALUE"""),809987.0)</f>
        <v>809987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IFERROR(__xludf.DUMMYFUNCTION("""COMPUTED_VALUE"""),4.21)</f>
        <v>4.21</v>
      </c>
      <c r="C594" s="1">
        <f>IFERROR(__xludf.DUMMYFUNCTION("""COMPUTED_VALUE"""),4.34)</f>
        <v>4.34</v>
      </c>
      <c r="D594" s="1">
        <f>IFERROR(__xludf.DUMMYFUNCTION("""COMPUTED_VALUE"""),4.17)</f>
        <v>4.17</v>
      </c>
      <c r="E594" s="1">
        <f>IFERROR(__xludf.DUMMYFUNCTION("""COMPUTED_VALUE"""),4.29)</f>
        <v>4.29</v>
      </c>
      <c r="F594" s="1">
        <f>IFERROR(__xludf.DUMMYFUNCTION("""COMPUTED_VALUE"""),455339.0)</f>
        <v>455339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IFERROR(__xludf.DUMMYFUNCTION("""COMPUTED_VALUE"""),4.72)</f>
        <v>4.72</v>
      </c>
      <c r="C595" s="1">
        <f>IFERROR(__xludf.DUMMYFUNCTION("""COMPUTED_VALUE"""),4.77)</f>
        <v>4.77</v>
      </c>
      <c r="D595" s="1">
        <f>IFERROR(__xludf.DUMMYFUNCTION("""COMPUTED_VALUE"""),4.69)</f>
        <v>4.69</v>
      </c>
      <c r="E595" s="1">
        <f>IFERROR(__xludf.DUMMYFUNCTION("""COMPUTED_VALUE"""),4.69)</f>
        <v>4.69</v>
      </c>
      <c r="F595" s="1">
        <f>IFERROR(__xludf.DUMMYFUNCTION("""COMPUTED_VALUE"""),818447.0)</f>
        <v>818447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IFERROR(__xludf.DUMMYFUNCTION("""COMPUTED_VALUE"""),4.58)</f>
        <v>4.58</v>
      </c>
      <c r="C596" s="1">
        <f>IFERROR(__xludf.DUMMYFUNCTION("""COMPUTED_VALUE"""),4.7)</f>
        <v>4.7</v>
      </c>
      <c r="D596" s="1">
        <f>IFERROR(__xludf.DUMMYFUNCTION("""COMPUTED_VALUE"""),4.58)</f>
        <v>4.58</v>
      </c>
      <c r="E596" s="1">
        <f>IFERROR(__xludf.DUMMYFUNCTION("""COMPUTED_VALUE"""),4.59)</f>
        <v>4.59</v>
      </c>
      <c r="F596" s="1">
        <f>IFERROR(__xludf.DUMMYFUNCTION("""COMPUTED_VALUE"""),558394.0)</f>
        <v>558394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IFERROR(__xludf.DUMMYFUNCTION("""COMPUTED_VALUE"""),4.42)</f>
        <v>4.42</v>
      </c>
      <c r="C597" s="1">
        <f>IFERROR(__xludf.DUMMYFUNCTION("""COMPUTED_VALUE"""),4.5)</f>
        <v>4.5</v>
      </c>
      <c r="D597" s="1">
        <f>IFERROR(__xludf.DUMMYFUNCTION("""COMPUTED_VALUE"""),4.41)</f>
        <v>4.41</v>
      </c>
      <c r="E597" s="1">
        <f>IFERROR(__xludf.DUMMYFUNCTION("""COMPUTED_VALUE"""),4.45)</f>
        <v>4.45</v>
      </c>
      <c r="F597" s="1">
        <f>IFERROR(__xludf.DUMMYFUNCTION("""COMPUTED_VALUE"""),450015.0)</f>
        <v>450015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IFERROR(__xludf.DUMMYFUNCTION("""COMPUTED_VALUE"""),4.38)</f>
        <v>4.38</v>
      </c>
      <c r="C598" s="1">
        <f>IFERROR(__xludf.DUMMYFUNCTION("""COMPUTED_VALUE"""),4.42)</f>
        <v>4.42</v>
      </c>
      <c r="D598" s="1">
        <f>IFERROR(__xludf.DUMMYFUNCTION("""COMPUTED_VALUE"""),4.31)</f>
        <v>4.31</v>
      </c>
      <c r="E598" s="1">
        <f>IFERROR(__xludf.DUMMYFUNCTION("""COMPUTED_VALUE"""),4.33)</f>
        <v>4.33</v>
      </c>
      <c r="F598" s="1">
        <f>IFERROR(__xludf.DUMMYFUNCTION("""COMPUTED_VALUE"""),621448.0)</f>
        <v>621448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IFERROR(__xludf.DUMMYFUNCTION("""COMPUTED_VALUE"""),4.44)</f>
        <v>4.44</v>
      </c>
      <c r="C599" s="1">
        <f>IFERROR(__xludf.DUMMYFUNCTION("""COMPUTED_VALUE"""),4.47)</f>
        <v>4.47</v>
      </c>
      <c r="D599" s="1">
        <f>IFERROR(__xludf.DUMMYFUNCTION("""COMPUTED_VALUE"""),4.33)</f>
        <v>4.33</v>
      </c>
      <c r="E599" s="1">
        <f>IFERROR(__xludf.DUMMYFUNCTION("""COMPUTED_VALUE"""),4.33)</f>
        <v>4.33</v>
      </c>
      <c r="F599" s="1">
        <f>IFERROR(__xludf.DUMMYFUNCTION("""COMPUTED_VALUE"""),724627.0)</f>
        <v>724627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IFERROR(__xludf.DUMMYFUNCTION("""COMPUTED_VALUE"""),4.26)</f>
        <v>4.26</v>
      </c>
      <c r="C600" s="1">
        <f>IFERROR(__xludf.DUMMYFUNCTION("""COMPUTED_VALUE"""),4.3)</f>
        <v>4.3</v>
      </c>
      <c r="D600" s="1">
        <f>IFERROR(__xludf.DUMMYFUNCTION("""COMPUTED_VALUE"""),4.2)</f>
        <v>4.2</v>
      </c>
      <c r="E600" s="1">
        <f>IFERROR(__xludf.DUMMYFUNCTION("""COMPUTED_VALUE"""),4.2)</f>
        <v>4.2</v>
      </c>
      <c r="F600" s="1">
        <f>IFERROR(__xludf.DUMMYFUNCTION("""COMPUTED_VALUE"""),510102.0)</f>
        <v>510102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IFERROR(__xludf.DUMMYFUNCTION("""COMPUTED_VALUE"""),4.16)</f>
        <v>4.16</v>
      </c>
      <c r="C601" s="1">
        <f>IFERROR(__xludf.DUMMYFUNCTION("""COMPUTED_VALUE"""),4.18)</f>
        <v>4.18</v>
      </c>
      <c r="D601" s="1">
        <f>IFERROR(__xludf.DUMMYFUNCTION("""COMPUTED_VALUE"""),4.08)</f>
        <v>4.08</v>
      </c>
      <c r="E601" s="1">
        <f>IFERROR(__xludf.DUMMYFUNCTION("""COMPUTED_VALUE"""),4.12)</f>
        <v>4.12</v>
      </c>
      <c r="F601" s="1">
        <f>IFERROR(__xludf.DUMMYFUNCTION("""COMPUTED_VALUE"""),481291.0)</f>
        <v>481291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IFERROR(__xludf.DUMMYFUNCTION("""COMPUTED_VALUE"""),4.13)</f>
        <v>4.13</v>
      </c>
      <c r="C602" s="1">
        <f>IFERROR(__xludf.DUMMYFUNCTION("""COMPUTED_VALUE"""),4.26)</f>
        <v>4.26</v>
      </c>
      <c r="D602" s="1">
        <f>IFERROR(__xludf.DUMMYFUNCTION("""COMPUTED_VALUE"""),4.13)</f>
        <v>4.13</v>
      </c>
      <c r="E602" s="1">
        <f>IFERROR(__xludf.DUMMYFUNCTION("""COMPUTED_VALUE"""),4.24)</f>
        <v>4.24</v>
      </c>
      <c r="F602" s="1">
        <f>IFERROR(__xludf.DUMMYFUNCTION("""COMPUTED_VALUE"""),542026.0)</f>
        <v>542026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IFERROR(__xludf.DUMMYFUNCTION("""COMPUTED_VALUE"""),4.35)</f>
        <v>4.35</v>
      </c>
      <c r="C603" s="1">
        <f>IFERROR(__xludf.DUMMYFUNCTION("""COMPUTED_VALUE"""),4.45)</f>
        <v>4.45</v>
      </c>
      <c r="D603" s="1">
        <f>IFERROR(__xludf.DUMMYFUNCTION("""COMPUTED_VALUE"""),4.31)</f>
        <v>4.31</v>
      </c>
      <c r="E603" s="1">
        <f>IFERROR(__xludf.DUMMYFUNCTION("""COMPUTED_VALUE"""),4.35)</f>
        <v>4.35</v>
      </c>
      <c r="F603" s="1">
        <f>IFERROR(__xludf.DUMMYFUNCTION("""COMPUTED_VALUE"""),589440.0)</f>
        <v>589440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IFERROR(__xludf.DUMMYFUNCTION("""COMPUTED_VALUE"""),4.3)</f>
        <v>4.3</v>
      </c>
      <c r="C604" s="1">
        <f>IFERROR(__xludf.DUMMYFUNCTION("""COMPUTED_VALUE"""),4.36)</f>
        <v>4.36</v>
      </c>
      <c r="D604" s="1">
        <f>IFERROR(__xludf.DUMMYFUNCTION("""COMPUTED_VALUE"""),4.23)</f>
        <v>4.23</v>
      </c>
      <c r="E604" s="1">
        <f>IFERROR(__xludf.DUMMYFUNCTION("""COMPUTED_VALUE"""),4.35)</f>
        <v>4.35</v>
      </c>
      <c r="F604" s="1">
        <f>IFERROR(__xludf.DUMMYFUNCTION("""COMPUTED_VALUE"""),512619.0)</f>
        <v>512619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IFERROR(__xludf.DUMMYFUNCTION("""COMPUTED_VALUE"""),4.36)</f>
        <v>4.36</v>
      </c>
      <c r="C605" s="1">
        <f>IFERROR(__xludf.DUMMYFUNCTION("""COMPUTED_VALUE"""),4.38)</f>
        <v>4.38</v>
      </c>
      <c r="D605" s="1">
        <f>IFERROR(__xludf.DUMMYFUNCTION("""COMPUTED_VALUE"""),4.26)</f>
        <v>4.26</v>
      </c>
      <c r="E605" s="1">
        <f>IFERROR(__xludf.DUMMYFUNCTION("""COMPUTED_VALUE"""),4.31)</f>
        <v>4.31</v>
      </c>
      <c r="F605" s="1">
        <f>IFERROR(__xludf.DUMMYFUNCTION("""COMPUTED_VALUE"""),394076.0)</f>
        <v>394076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IFERROR(__xludf.DUMMYFUNCTION("""COMPUTED_VALUE"""),4.33)</f>
        <v>4.33</v>
      </c>
      <c r="C606" s="1">
        <f>IFERROR(__xludf.DUMMYFUNCTION("""COMPUTED_VALUE"""),4.38)</f>
        <v>4.38</v>
      </c>
      <c r="D606" s="1">
        <f>IFERROR(__xludf.DUMMYFUNCTION("""COMPUTED_VALUE"""),4.29)</f>
        <v>4.29</v>
      </c>
      <c r="E606" s="1">
        <f>IFERROR(__xludf.DUMMYFUNCTION("""COMPUTED_VALUE"""),4.3)</f>
        <v>4.3</v>
      </c>
      <c r="F606" s="1">
        <f>IFERROR(__xludf.DUMMYFUNCTION("""COMPUTED_VALUE"""),293026.0)</f>
        <v>293026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IFERROR(__xludf.DUMMYFUNCTION("""COMPUTED_VALUE"""),4.38)</f>
        <v>4.38</v>
      </c>
      <c r="C607" s="1">
        <f>IFERROR(__xludf.DUMMYFUNCTION("""COMPUTED_VALUE"""),4.39)</f>
        <v>4.39</v>
      </c>
      <c r="D607" s="1">
        <f>IFERROR(__xludf.DUMMYFUNCTION("""COMPUTED_VALUE"""),4.29)</f>
        <v>4.29</v>
      </c>
      <c r="E607" s="1">
        <f>IFERROR(__xludf.DUMMYFUNCTION("""COMPUTED_VALUE"""),4.37)</f>
        <v>4.37</v>
      </c>
      <c r="F607" s="1">
        <f>IFERROR(__xludf.DUMMYFUNCTION("""COMPUTED_VALUE"""),507653.0)</f>
        <v>507653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IFERROR(__xludf.DUMMYFUNCTION("""COMPUTED_VALUE"""),4.28)</f>
        <v>4.28</v>
      </c>
      <c r="C608" s="1">
        <f>IFERROR(__xludf.DUMMYFUNCTION("""COMPUTED_VALUE"""),4.3)</f>
        <v>4.3</v>
      </c>
      <c r="D608" s="1">
        <f>IFERROR(__xludf.DUMMYFUNCTION("""COMPUTED_VALUE"""),4.24)</f>
        <v>4.24</v>
      </c>
      <c r="E608" s="1">
        <f>IFERROR(__xludf.DUMMYFUNCTION("""COMPUTED_VALUE"""),4.27)</f>
        <v>4.27</v>
      </c>
      <c r="F608" s="1">
        <f>IFERROR(__xludf.DUMMYFUNCTION("""COMPUTED_VALUE"""),541680.0)</f>
        <v>541680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IFERROR(__xludf.DUMMYFUNCTION("""COMPUTED_VALUE"""),4.27)</f>
        <v>4.27</v>
      </c>
      <c r="C609" s="1">
        <f>IFERROR(__xludf.DUMMYFUNCTION("""COMPUTED_VALUE"""),4.28)</f>
        <v>4.28</v>
      </c>
      <c r="D609" s="1">
        <f>IFERROR(__xludf.DUMMYFUNCTION("""COMPUTED_VALUE"""),4.17)</f>
        <v>4.17</v>
      </c>
      <c r="E609" s="1">
        <f>IFERROR(__xludf.DUMMYFUNCTION("""COMPUTED_VALUE"""),4.24)</f>
        <v>4.24</v>
      </c>
      <c r="F609" s="1">
        <f>IFERROR(__xludf.DUMMYFUNCTION("""COMPUTED_VALUE"""),534972.0)</f>
        <v>534972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IFERROR(__xludf.DUMMYFUNCTION("""COMPUTED_VALUE"""),4.0)</f>
        <v>4</v>
      </c>
      <c r="C610" s="1">
        <f>IFERROR(__xludf.DUMMYFUNCTION("""COMPUTED_VALUE"""),4.02)</f>
        <v>4.02</v>
      </c>
      <c r="D610" s="1">
        <f>IFERROR(__xludf.DUMMYFUNCTION("""COMPUTED_VALUE"""),3.93)</f>
        <v>3.93</v>
      </c>
      <c r="E610" s="1">
        <f>IFERROR(__xludf.DUMMYFUNCTION("""COMPUTED_VALUE"""),3.96)</f>
        <v>3.96</v>
      </c>
      <c r="F610" s="1">
        <f>IFERROR(__xludf.DUMMYFUNCTION("""COMPUTED_VALUE"""),1023419.0)</f>
        <v>1023419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IFERROR(__xludf.DUMMYFUNCTION("""COMPUTED_VALUE"""),4.05)</f>
        <v>4.05</v>
      </c>
      <c r="C611" s="1">
        <f>IFERROR(__xludf.DUMMYFUNCTION("""COMPUTED_VALUE"""),4.08)</f>
        <v>4.08</v>
      </c>
      <c r="D611" s="1">
        <f>IFERROR(__xludf.DUMMYFUNCTION("""COMPUTED_VALUE"""),4.01)</f>
        <v>4.01</v>
      </c>
      <c r="E611" s="1">
        <f>IFERROR(__xludf.DUMMYFUNCTION("""COMPUTED_VALUE"""),4.05)</f>
        <v>4.05</v>
      </c>
      <c r="F611" s="1">
        <f>IFERROR(__xludf.DUMMYFUNCTION("""COMPUTED_VALUE"""),438502.0)</f>
        <v>438502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IFERROR(__xludf.DUMMYFUNCTION("""COMPUTED_VALUE"""),4.0)</f>
        <v>4</v>
      </c>
      <c r="C612" s="1">
        <f>IFERROR(__xludf.DUMMYFUNCTION("""COMPUTED_VALUE"""),4.09)</f>
        <v>4.09</v>
      </c>
      <c r="D612" s="1">
        <f>IFERROR(__xludf.DUMMYFUNCTION("""COMPUTED_VALUE"""),4.0)</f>
        <v>4</v>
      </c>
      <c r="E612" s="1">
        <f>IFERROR(__xludf.DUMMYFUNCTION("""COMPUTED_VALUE"""),4.07)</f>
        <v>4.07</v>
      </c>
      <c r="F612" s="1">
        <f>IFERROR(__xludf.DUMMYFUNCTION("""COMPUTED_VALUE"""),641838.0)</f>
        <v>641838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IFERROR(__xludf.DUMMYFUNCTION("""COMPUTED_VALUE"""),4.17)</f>
        <v>4.17</v>
      </c>
      <c r="C613" s="1">
        <f>IFERROR(__xludf.DUMMYFUNCTION("""COMPUTED_VALUE"""),4.29)</f>
        <v>4.29</v>
      </c>
      <c r="D613" s="1">
        <f>IFERROR(__xludf.DUMMYFUNCTION("""COMPUTED_VALUE"""),4.16)</f>
        <v>4.16</v>
      </c>
      <c r="E613" s="1">
        <f>IFERROR(__xludf.DUMMYFUNCTION("""COMPUTED_VALUE"""),4.29)</f>
        <v>4.29</v>
      </c>
      <c r="F613" s="1">
        <f>IFERROR(__xludf.DUMMYFUNCTION("""COMPUTED_VALUE"""),510978.0)</f>
        <v>510978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IFERROR(__xludf.DUMMYFUNCTION("""COMPUTED_VALUE"""),4.36)</f>
        <v>4.36</v>
      </c>
      <c r="C614" s="1">
        <f>IFERROR(__xludf.DUMMYFUNCTION("""COMPUTED_VALUE"""),4.36)</f>
        <v>4.36</v>
      </c>
      <c r="D614" s="1">
        <f>IFERROR(__xludf.DUMMYFUNCTION("""COMPUTED_VALUE"""),4.22)</f>
        <v>4.22</v>
      </c>
      <c r="E614" s="1">
        <f>IFERROR(__xludf.DUMMYFUNCTION("""COMPUTED_VALUE"""),4.22)</f>
        <v>4.22</v>
      </c>
      <c r="F614" s="1">
        <f>IFERROR(__xludf.DUMMYFUNCTION("""COMPUTED_VALUE"""),477657.0)</f>
        <v>477657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IFERROR(__xludf.DUMMYFUNCTION("""COMPUTED_VALUE"""),4.08)</f>
        <v>4.08</v>
      </c>
      <c r="C615" s="1">
        <f>IFERROR(__xludf.DUMMYFUNCTION("""COMPUTED_VALUE"""),4.21)</f>
        <v>4.21</v>
      </c>
      <c r="D615" s="1">
        <f>IFERROR(__xludf.DUMMYFUNCTION("""COMPUTED_VALUE"""),4.08)</f>
        <v>4.08</v>
      </c>
      <c r="E615" s="1">
        <f>IFERROR(__xludf.DUMMYFUNCTION("""COMPUTED_VALUE"""),4.21)</f>
        <v>4.21</v>
      </c>
      <c r="F615" s="1">
        <f>IFERROR(__xludf.DUMMYFUNCTION("""COMPUTED_VALUE"""),301251.0)</f>
        <v>301251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IFERROR(__xludf.DUMMYFUNCTION("""COMPUTED_VALUE"""),4.24)</f>
        <v>4.24</v>
      </c>
      <c r="C616" s="1">
        <f>IFERROR(__xludf.DUMMYFUNCTION("""COMPUTED_VALUE"""),4.25)</f>
        <v>4.25</v>
      </c>
      <c r="D616" s="1">
        <f>IFERROR(__xludf.DUMMYFUNCTION("""COMPUTED_VALUE"""),4.05)</f>
        <v>4.05</v>
      </c>
      <c r="E616" s="1">
        <f>IFERROR(__xludf.DUMMYFUNCTION("""COMPUTED_VALUE"""),4.06)</f>
        <v>4.06</v>
      </c>
      <c r="F616" s="1">
        <f>IFERROR(__xludf.DUMMYFUNCTION("""COMPUTED_VALUE"""),316114.0)</f>
        <v>316114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IFERROR(__xludf.DUMMYFUNCTION("""COMPUTED_VALUE"""),4.05)</f>
        <v>4.05</v>
      </c>
      <c r="C617" s="1">
        <f>IFERROR(__xludf.DUMMYFUNCTION("""COMPUTED_VALUE"""),4.08)</f>
        <v>4.08</v>
      </c>
      <c r="D617" s="1">
        <f>IFERROR(__xludf.DUMMYFUNCTION("""COMPUTED_VALUE"""),3.98)</f>
        <v>3.98</v>
      </c>
      <c r="E617" s="1">
        <f>IFERROR(__xludf.DUMMYFUNCTION("""COMPUTED_VALUE"""),4.06)</f>
        <v>4.06</v>
      </c>
      <c r="F617" s="1">
        <f>IFERROR(__xludf.DUMMYFUNCTION("""COMPUTED_VALUE"""),405011.0)</f>
        <v>405011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IFERROR(__xludf.DUMMYFUNCTION("""COMPUTED_VALUE"""),4.01)</f>
        <v>4.01</v>
      </c>
      <c r="C618" s="1">
        <f>IFERROR(__xludf.DUMMYFUNCTION("""COMPUTED_VALUE"""),4.11)</f>
        <v>4.11</v>
      </c>
      <c r="D618" s="1">
        <f>IFERROR(__xludf.DUMMYFUNCTION("""COMPUTED_VALUE"""),4.01)</f>
        <v>4.01</v>
      </c>
      <c r="E618" s="1">
        <f>IFERROR(__xludf.DUMMYFUNCTION("""COMPUTED_VALUE"""),4.03)</f>
        <v>4.03</v>
      </c>
      <c r="F618" s="1">
        <f>IFERROR(__xludf.DUMMYFUNCTION("""COMPUTED_VALUE"""),233329.0)</f>
        <v>233329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IFERROR(__xludf.DUMMYFUNCTION("""COMPUTED_VALUE"""),4.03)</f>
        <v>4.03</v>
      </c>
      <c r="C619" s="1">
        <f>IFERROR(__xludf.DUMMYFUNCTION("""COMPUTED_VALUE"""),4.13)</f>
        <v>4.13</v>
      </c>
      <c r="D619" s="1">
        <f>IFERROR(__xludf.DUMMYFUNCTION("""COMPUTED_VALUE"""),4.03)</f>
        <v>4.03</v>
      </c>
      <c r="E619" s="1">
        <f>IFERROR(__xludf.DUMMYFUNCTION("""COMPUTED_VALUE"""),4.09)</f>
        <v>4.09</v>
      </c>
      <c r="F619" s="1">
        <f>IFERROR(__xludf.DUMMYFUNCTION("""COMPUTED_VALUE"""),311880.0)</f>
        <v>311880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IFERROR(__xludf.DUMMYFUNCTION("""COMPUTED_VALUE"""),4.23)</f>
        <v>4.23</v>
      </c>
      <c r="C620" s="1">
        <f>IFERROR(__xludf.DUMMYFUNCTION("""COMPUTED_VALUE"""),4.34)</f>
        <v>4.34</v>
      </c>
      <c r="D620" s="1">
        <f>IFERROR(__xludf.DUMMYFUNCTION("""COMPUTED_VALUE"""),4.23)</f>
        <v>4.23</v>
      </c>
      <c r="E620" s="1">
        <f>IFERROR(__xludf.DUMMYFUNCTION("""COMPUTED_VALUE"""),4.34)</f>
        <v>4.34</v>
      </c>
      <c r="F620" s="1">
        <f>IFERROR(__xludf.DUMMYFUNCTION("""COMPUTED_VALUE"""),642889.0)</f>
        <v>642889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IFERROR(__xludf.DUMMYFUNCTION("""COMPUTED_VALUE"""),4.23)</f>
        <v>4.23</v>
      </c>
      <c r="C621" s="1">
        <f>IFERROR(__xludf.DUMMYFUNCTION("""COMPUTED_VALUE"""),4.29)</f>
        <v>4.29</v>
      </c>
      <c r="D621" s="1">
        <f>IFERROR(__xludf.DUMMYFUNCTION("""COMPUTED_VALUE"""),4.21)</f>
        <v>4.21</v>
      </c>
      <c r="E621" s="1">
        <f>IFERROR(__xludf.DUMMYFUNCTION("""COMPUTED_VALUE"""),4.25)</f>
        <v>4.25</v>
      </c>
      <c r="F621" s="1">
        <f>IFERROR(__xludf.DUMMYFUNCTION("""COMPUTED_VALUE"""),489126.0)</f>
        <v>489126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IFERROR(__xludf.DUMMYFUNCTION("""COMPUTED_VALUE"""),4.37)</f>
        <v>4.37</v>
      </c>
      <c r="C622" s="1">
        <f>IFERROR(__xludf.DUMMYFUNCTION("""COMPUTED_VALUE"""),4.5)</f>
        <v>4.5</v>
      </c>
      <c r="D622" s="1">
        <f>IFERROR(__xludf.DUMMYFUNCTION("""COMPUTED_VALUE"""),4.36)</f>
        <v>4.36</v>
      </c>
      <c r="E622" s="1">
        <f>IFERROR(__xludf.DUMMYFUNCTION("""COMPUTED_VALUE"""),4.46)</f>
        <v>4.46</v>
      </c>
      <c r="F622" s="1">
        <f>IFERROR(__xludf.DUMMYFUNCTION("""COMPUTED_VALUE"""),451845.0)</f>
        <v>451845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IFERROR(__xludf.DUMMYFUNCTION("""COMPUTED_VALUE"""),4.56)</f>
        <v>4.56</v>
      </c>
      <c r="C623" s="1">
        <f>IFERROR(__xludf.DUMMYFUNCTION("""COMPUTED_VALUE"""),4.6)</f>
        <v>4.6</v>
      </c>
      <c r="D623" s="1">
        <f>IFERROR(__xludf.DUMMYFUNCTION("""COMPUTED_VALUE"""),4.5)</f>
        <v>4.5</v>
      </c>
      <c r="E623" s="1">
        <f>IFERROR(__xludf.DUMMYFUNCTION("""COMPUTED_VALUE"""),4.56)</f>
        <v>4.56</v>
      </c>
      <c r="F623" s="1">
        <f>IFERROR(__xludf.DUMMYFUNCTION("""COMPUTED_VALUE"""),561690.0)</f>
        <v>561690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IFERROR(__xludf.DUMMYFUNCTION("""COMPUTED_VALUE"""),4.65)</f>
        <v>4.65</v>
      </c>
      <c r="C624" s="1">
        <f>IFERROR(__xludf.DUMMYFUNCTION("""COMPUTED_VALUE"""),4.68)</f>
        <v>4.68</v>
      </c>
      <c r="D624" s="1">
        <f>IFERROR(__xludf.DUMMYFUNCTION("""COMPUTED_VALUE"""),4.4)</f>
        <v>4.4</v>
      </c>
      <c r="E624" s="1">
        <f>IFERROR(__xludf.DUMMYFUNCTION("""COMPUTED_VALUE"""),4.43)</f>
        <v>4.43</v>
      </c>
      <c r="F624" s="1">
        <f>IFERROR(__xludf.DUMMYFUNCTION("""COMPUTED_VALUE"""),807498.0)</f>
        <v>807498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IFERROR(__xludf.DUMMYFUNCTION("""COMPUTED_VALUE"""),4.54)</f>
        <v>4.54</v>
      </c>
      <c r="C625" s="1">
        <f>IFERROR(__xludf.DUMMYFUNCTION("""COMPUTED_VALUE"""),4.55)</f>
        <v>4.55</v>
      </c>
      <c r="D625" s="1">
        <f>IFERROR(__xludf.DUMMYFUNCTION("""COMPUTED_VALUE"""),4.45)</f>
        <v>4.45</v>
      </c>
      <c r="E625" s="1">
        <f>IFERROR(__xludf.DUMMYFUNCTION("""COMPUTED_VALUE"""),4.51)</f>
        <v>4.51</v>
      </c>
      <c r="F625" s="1">
        <f>IFERROR(__xludf.DUMMYFUNCTION("""COMPUTED_VALUE"""),432036.0)</f>
        <v>432036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IFERROR(__xludf.DUMMYFUNCTION("""COMPUTED_VALUE"""),4.3)</f>
        <v>4.3</v>
      </c>
      <c r="C626" s="1">
        <f>IFERROR(__xludf.DUMMYFUNCTION("""COMPUTED_VALUE"""),4.3)</f>
        <v>4.3</v>
      </c>
      <c r="D626" s="1">
        <f>IFERROR(__xludf.DUMMYFUNCTION("""COMPUTED_VALUE"""),4.23)</f>
        <v>4.23</v>
      </c>
      <c r="E626" s="1">
        <f>IFERROR(__xludf.DUMMYFUNCTION("""COMPUTED_VALUE"""),4.25)</f>
        <v>4.25</v>
      </c>
      <c r="F626" s="1">
        <f>IFERROR(__xludf.DUMMYFUNCTION("""COMPUTED_VALUE"""),436437.0)</f>
        <v>436437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IFERROR(__xludf.DUMMYFUNCTION("""COMPUTED_VALUE"""),4.26)</f>
        <v>4.26</v>
      </c>
      <c r="C627" s="1">
        <f>IFERROR(__xludf.DUMMYFUNCTION("""COMPUTED_VALUE"""),4.28)</f>
        <v>4.28</v>
      </c>
      <c r="D627" s="1">
        <f>IFERROR(__xludf.DUMMYFUNCTION("""COMPUTED_VALUE"""),4.2)</f>
        <v>4.2</v>
      </c>
      <c r="E627" s="1">
        <f>IFERROR(__xludf.DUMMYFUNCTION("""COMPUTED_VALUE"""),4.27)</f>
        <v>4.27</v>
      </c>
      <c r="F627" s="1">
        <f>IFERROR(__xludf.DUMMYFUNCTION("""COMPUTED_VALUE"""),414543.0)</f>
        <v>414543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IFERROR(__xludf.DUMMYFUNCTION("""COMPUTED_VALUE"""),4.29)</f>
        <v>4.29</v>
      </c>
      <c r="C628" s="1">
        <f>IFERROR(__xludf.DUMMYFUNCTION("""COMPUTED_VALUE"""),4.37)</f>
        <v>4.37</v>
      </c>
      <c r="D628" s="1">
        <f>IFERROR(__xludf.DUMMYFUNCTION("""COMPUTED_VALUE"""),4.27)</f>
        <v>4.27</v>
      </c>
      <c r="E628" s="1">
        <f>IFERROR(__xludf.DUMMYFUNCTION("""COMPUTED_VALUE"""),4.36)</f>
        <v>4.36</v>
      </c>
      <c r="F628" s="1">
        <f>IFERROR(__xludf.DUMMYFUNCTION("""COMPUTED_VALUE"""),236653.0)</f>
        <v>236653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IFERROR(__xludf.DUMMYFUNCTION("""COMPUTED_VALUE"""),4.28)</f>
        <v>4.28</v>
      </c>
      <c r="C629" s="1">
        <f>IFERROR(__xludf.DUMMYFUNCTION("""COMPUTED_VALUE"""),4.37)</f>
        <v>4.37</v>
      </c>
      <c r="D629" s="1">
        <f>IFERROR(__xludf.DUMMYFUNCTION("""COMPUTED_VALUE"""),4.26)</f>
        <v>4.26</v>
      </c>
      <c r="E629" s="1">
        <f>IFERROR(__xludf.DUMMYFUNCTION("""COMPUTED_VALUE"""),4.36)</f>
        <v>4.36</v>
      </c>
      <c r="F629" s="1">
        <f>IFERROR(__xludf.DUMMYFUNCTION("""COMPUTED_VALUE"""),278015.0)</f>
        <v>278015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IFERROR(__xludf.DUMMYFUNCTION("""COMPUTED_VALUE"""),4.61)</f>
        <v>4.61</v>
      </c>
      <c r="C630" s="1">
        <f>IFERROR(__xludf.DUMMYFUNCTION("""COMPUTED_VALUE"""),4.65)</f>
        <v>4.65</v>
      </c>
      <c r="D630" s="1">
        <f>IFERROR(__xludf.DUMMYFUNCTION("""COMPUTED_VALUE"""),4.59)</f>
        <v>4.59</v>
      </c>
      <c r="E630" s="1">
        <f>IFERROR(__xludf.DUMMYFUNCTION("""COMPUTED_VALUE"""),4.62)</f>
        <v>4.62</v>
      </c>
      <c r="F630" s="1">
        <f>IFERROR(__xludf.DUMMYFUNCTION("""COMPUTED_VALUE"""),536138.0)</f>
        <v>536138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IFERROR(__xludf.DUMMYFUNCTION("""COMPUTED_VALUE"""),4.65)</f>
        <v>4.65</v>
      </c>
      <c r="C631" s="1">
        <f>IFERROR(__xludf.DUMMYFUNCTION("""COMPUTED_VALUE"""),4.68)</f>
        <v>4.68</v>
      </c>
      <c r="D631" s="1">
        <f>IFERROR(__xludf.DUMMYFUNCTION("""COMPUTED_VALUE"""),4.6)</f>
        <v>4.6</v>
      </c>
      <c r="E631" s="1">
        <f>IFERROR(__xludf.DUMMYFUNCTION("""COMPUTED_VALUE"""),4.68)</f>
        <v>4.68</v>
      </c>
      <c r="F631" s="1">
        <f>IFERROR(__xludf.DUMMYFUNCTION("""COMPUTED_VALUE"""),453199.0)</f>
        <v>453199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IFERROR(__xludf.DUMMYFUNCTION("""COMPUTED_VALUE"""),4.68)</f>
        <v>4.68</v>
      </c>
      <c r="C632" s="1">
        <f>IFERROR(__xludf.DUMMYFUNCTION("""COMPUTED_VALUE"""),4.75)</f>
        <v>4.75</v>
      </c>
      <c r="D632" s="1">
        <f>IFERROR(__xludf.DUMMYFUNCTION("""COMPUTED_VALUE"""),4.67)</f>
        <v>4.67</v>
      </c>
      <c r="E632" s="1">
        <f>IFERROR(__xludf.DUMMYFUNCTION("""COMPUTED_VALUE"""),4.75)</f>
        <v>4.75</v>
      </c>
      <c r="F632" s="1">
        <f>IFERROR(__xludf.DUMMYFUNCTION("""COMPUTED_VALUE"""),138423.0)</f>
        <v>138423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IFERROR(__xludf.DUMMYFUNCTION("""COMPUTED_VALUE"""),4.51)</f>
        <v>4.51</v>
      </c>
      <c r="C633" s="1">
        <f>IFERROR(__xludf.DUMMYFUNCTION("""COMPUTED_VALUE"""),4.51)</f>
        <v>4.51</v>
      </c>
      <c r="D633" s="1">
        <f>IFERROR(__xludf.DUMMYFUNCTION("""COMPUTED_VALUE"""),4.4)</f>
        <v>4.4</v>
      </c>
      <c r="E633" s="1">
        <f>IFERROR(__xludf.DUMMYFUNCTION("""COMPUTED_VALUE"""),4.47)</f>
        <v>4.47</v>
      </c>
      <c r="F633" s="1">
        <f>IFERROR(__xludf.DUMMYFUNCTION("""COMPUTED_VALUE"""),592960.0)</f>
        <v>592960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IFERROR(__xludf.DUMMYFUNCTION("""COMPUTED_VALUE"""),4.38)</f>
        <v>4.38</v>
      </c>
      <c r="C634" s="1">
        <f>IFERROR(__xludf.DUMMYFUNCTION("""COMPUTED_VALUE"""),4.41)</f>
        <v>4.41</v>
      </c>
      <c r="D634" s="1">
        <f>IFERROR(__xludf.DUMMYFUNCTION("""COMPUTED_VALUE"""),4.32)</f>
        <v>4.32</v>
      </c>
      <c r="E634" s="1">
        <f>IFERROR(__xludf.DUMMYFUNCTION("""COMPUTED_VALUE"""),4.36)</f>
        <v>4.36</v>
      </c>
      <c r="F634" s="1">
        <f>IFERROR(__xludf.DUMMYFUNCTION("""COMPUTED_VALUE"""),594559.0)</f>
        <v>594559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IFERROR(__xludf.DUMMYFUNCTION("""COMPUTED_VALUE"""),4.37)</f>
        <v>4.37</v>
      </c>
      <c r="C635" s="1">
        <f>IFERROR(__xludf.DUMMYFUNCTION("""COMPUTED_VALUE"""),4.39)</f>
        <v>4.39</v>
      </c>
      <c r="D635" s="1">
        <f>IFERROR(__xludf.DUMMYFUNCTION("""COMPUTED_VALUE"""),4.33)</f>
        <v>4.33</v>
      </c>
      <c r="E635" s="1">
        <f>IFERROR(__xludf.DUMMYFUNCTION("""COMPUTED_VALUE"""),4.37)</f>
        <v>4.37</v>
      </c>
      <c r="F635" s="1">
        <f>IFERROR(__xludf.DUMMYFUNCTION("""COMPUTED_VALUE"""),248571.0)</f>
        <v>248571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IFERROR(__xludf.DUMMYFUNCTION("""COMPUTED_VALUE"""),4.43)</f>
        <v>4.43</v>
      </c>
      <c r="C636" s="1">
        <f>IFERROR(__xludf.DUMMYFUNCTION("""COMPUTED_VALUE"""),4.47)</f>
        <v>4.47</v>
      </c>
      <c r="D636" s="1">
        <f>IFERROR(__xludf.DUMMYFUNCTION("""COMPUTED_VALUE"""),4.35)</f>
        <v>4.35</v>
      </c>
      <c r="E636" s="1">
        <f>IFERROR(__xludf.DUMMYFUNCTION("""COMPUTED_VALUE"""),4.35)</f>
        <v>4.35</v>
      </c>
      <c r="F636" s="1">
        <f>IFERROR(__xludf.DUMMYFUNCTION("""COMPUTED_VALUE"""),310763.0)</f>
        <v>310763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IFERROR(__xludf.DUMMYFUNCTION("""COMPUTED_VALUE"""),4.42)</f>
        <v>4.42</v>
      </c>
      <c r="C637" s="1">
        <f>IFERROR(__xludf.DUMMYFUNCTION("""COMPUTED_VALUE"""),4.47)</f>
        <v>4.47</v>
      </c>
      <c r="D637" s="1">
        <f>IFERROR(__xludf.DUMMYFUNCTION("""COMPUTED_VALUE"""),4.39)</f>
        <v>4.39</v>
      </c>
      <c r="E637" s="1">
        <f>IFERROR(__xludf.DUMMYFUNCTION("""COMPUTED_VALUE"""),4.43)</f>
        <v>4.43</v>
      </c>
      <c r="F637" s="1">
        <f>IFERROR(__xludf.DUMMYFUNCTION("""COMPUTED_VALUE"""),242590.0)</f>
        <v>242590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IFERROR(__xludf.DUMMYFUNCTION("""COMPUTED_VALUE"""),4.45)</f>
        <v>4.45</v>
      </c>
      <c r="C638" s="1">
        <f>IFERROR(__xludf.DUMMYFUNCTION("""COMPUTED_VALUE"""),4.5)</f>
        <v>4.5</v>
      </c>
      <c r="D638" s="1">
        <f>IFERROR(__xludf.DUMMYFUNCTION("""COMPUTED_VALUE"""),4.41)</f>
        <v>4.41</v>
      </c>
      <c r="E638" s="1">
        <f>IFERROR(__xludf.DUMMYFUNCTION("""COMPUTED_VALUE"""),4.47)</f>
        <v>4.47</v>
      </c>
      <c r="F638" s="1">
        <f>IFERROR(__xludf.DUMMYFUNCTION("""COMPUTED_VALUE"""),559382.0)</f>
        <v>559382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IFERROR(__xludf.DUMMYFUNCTION("""COMPUTED_VALUE"""),4.42)</f>
        <v>4.42</v>
      </c>
      <c r="C639" s="1">
        <f>IFERROR(__xludf.DUMMYFUNCTION("""COMPUTED_VALUE"""),4.52)</f>
        <v>4.52</v>
      </c>
      <c r="D639" s="1">
        <f>IFERROR(__xludf.DUMMYFUNCTION("""COMPUTED_VALUE"""),4.42)</f>
        <v>4.42</v>
      </c>
      <c r="E639" s="1">
        <f>IFERROR(__xludf.DUMMYFUNCTION("""COMPUTED_VALUE"""),4.51)</f>
        <v>4.51</v>
      </c>
      <c r="F639" s="1">
        <f>IFERROR(__xludf.DUMMYFUNCTION("""COMPUTED_VALUE"""),267852.0)</f>
        <v>267852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IFERROR(__xludf.DUMMYFUNCTION("""COMPUTED_VALUE"""),4.5)</f>
        <v>4.5</v>
      </c>
      <c r="C640" s="1">
        <f>IFERROR(__xludf.DUMMYFUNCTION("""COMPUTED_VALUE"""),4.56)</f>
        <v>4.56</v>
      </c>
      <c r="D640" s="1">
        <f>IFERROR(__xludf.DUMMYFUNCTION("""COMPUTED_VALUE"""),4.46)</f>
        <v>4.46</v>
      </c>
      <c r="E640" s="1">
        <f>IFERROR(__xludf.DUMMYFUNCTION("""COMPUTED_VALUE"""),4.52)</f>
        <v>4.52</v>
      </c>
      <c r="F640" s="1">
        <f>IFERROR(__xludf.DUMMYFUNCTION("""COMPUTED_VALUE"""),341707.0)</f>
        <v>341707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IFERROR(__xludf.DUMMYFUNCTION("""COMPUTED_VALUE"""),4.56)</f>
        <v>4.56</v>
      </c>
      <c r="C641" s="1">
        <f>IFERROR(__xludf.DUMMYFUNCTION("""COMPUTED_VALUE"""),4.57)</f>
        <v>4.57</v>
      </c>
      <c r="D641" s="1">
        <f>IFERROR(__xludf.DUMMYFUNCTION("""COMPUTED_VALUE"""),4.46)</f>
        <v>4.46</v>
      </c>
      <c r="E641" s="1">
        <f>IFERROR(__xludf.DUMMYFUNCTION("""COMPUTED_VALUE"""),4.55)</f>
        <v>4.55</v>
      </c>
      <c r="F641" s="1">
        <f>IFERROR(__xludf.DUMMYFUNCTION("""COMPUTED_VALUE"""),270570.0)</f>
        <v>270570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IFERROR(__xludf.DUMMYFUNCTION("""COMPUTED_VALUE"""),4.53)</f>
        <v>4.53</v>
      </c>
      <c r="C642" s="1">
        <f>IFERROR(__xludf.DUMMYFUNCTION("""COMPUTED_VALUE"""),4.59)</f>
        <v>4.59</v>
      </c>
      <c r="D642" s="1">
        <f>IFERROR(__xludf.DUMMYFUNCTION("""COMPUTED_VALUE"""),4.53)</f>
        <v>4.53</v>
      </c>
      <c r="E642" s="1">
        <f>IFERROR(__xludf.DUMMYFUNCTION("""COMPUTED_VALUE"""),4.57)</f>
        <v>4.57</v>
      </c>
      <c r="F642" s="1">
        <f>IFERROR(__xludf.DUMMYFUNCTION("""COMPUTED_VALUE"""),299138.0)</f>
        <v>299138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IFERROR(__xludf.DUMMYFUNCTION("""COMPUTED_VALUE"""),4.59)</f>
        <v>4.59</v>
      </c>
      <c r="C643" s="1">
        <f>IFERROR(__xludf.DUMMYFUNCTION("""COMPUTED_VALUE"""),4.63)</f>
        <v>4.63</v>
      </c>
      <c r="D643" s="1">
        <f>IFERROR(__xludf.DUMMYFUNCTION("""COMPUTED_VALUE"""),4.57)</f>
        <v>4.57</v>
      </c>
      <c r="E643" s="1">
        <f>IFERROR(__xludf.DUMMYFUNCTION("""COMPUTED_VALUE"""),4.61)</f>
        <v>4.61</v>
      </c>
      <c r="F643" s="1">
        <f>IFERROR(__xludf.DUMMYFUNCTION("""COMPUTED_VALUE"""),421492.0)</f>
        <v>421492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IFERROR(__xludf.DUMMYFUNCTION("""COMPUTED_VALUE"""),4.44)</f>
        <v>4.44</v>
      </c>
      <c r="C644" s="1">
        <f>IFERROR(__xludf.DUMMYFUNCTION("""COMPUTED_VALUE"""),4.47)</f>
        <v>4.47</v>
      </c>
      <c r="D644" s="1">
        <f>IFERROR(__xludf.DUMMYFUNCTION("""COMPUTED_VALUE"""),4.4)</f>
        <v>4.4</v>
      </c>
      <c r="E644" s="1">
        <f>IFERROR(__xludf.DUMMYFUNCTION("""COMPUTED_VALUE"""),4.43)</f>
        <v>4.43</v>
      </c>
      <c r="F644" s="1">
        <f>IFERROR(__xludf.DUMMYFUNCTION("""COMPUTED_VALUE"""),404359.0)</f>
        <v>404359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IFERROR(__xludf.DUMMYFUNCTION("""COMPUTED_VALUE"""),4.19)</f>
        <v>4.19</v>
      </c>
      <c r="C645" s="1">
        <f>IFERROR(__xludf.DUMMYFUNCTION("""COMPUTED_VALUE"""),4.23)</f>
        <v>4.23</v>
      </c>
      <c r="D645" s="1">
        <f>IFERROR(__xludf.DUMMYFUNCTION("""COMPUTED_VALUE"""),4.12)</f>
        <v>4.12</v>
      </c>
      <c r="E645" s="1">
        <f>IFERROR(__xludf.DUMMYFUNCTION("""COMPUTED_VALUE"""),4.22)</f>
        <v>4.22</v>
      </c>
      <c r="F645" s="1">
        <f>IFERROR(__xludf.DUMMYFUNCTION("""COMPUTED_VALUE"""),415254.0)</f>
        <v>415254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IFERROR(__xludf.DUMMYFUNCTION("""COMPUTED_VALUE"""),4.14)</f>
        <v>4.14</v>
      </c>
      <c r="C646" s="1">
        <f>IFERROR(__xludf.DUMMYFUNCTION("""COMPUTED_VALUE"""),4.14)</f>
        <v>4.14</v>
      </c>
      <c r="D646" s="1">
        <f>IFERROR(__xludf.DUMMYFUNCTION("""COMPUTED_VALUE"""),4.02)</f>
        <v>4.02</v>
      </c>
      <c r="E646" s="1">
        <f>IFERROR(__xludf.DUMMYFUNCTION("""COMPUTED_VALUE"""),4.09)</f>
        <v>4.09</v>
      </c>
      <c r="F646" s="1">
        <f>IFERROR(__xludf.DUMMYFUNCTION("""COMPUTED_VALUE"""),744929.0)</f>
        <v>744929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IFERROR(__xludf.DUMMYFUNCTION("""COMPUTED_VALUE"""),4.1)</f>
        <v>4.1</v>
      </c>
      <c r="C647" s="1">
        <f>IFERROR(__xludf.DUMMYFUNCTION("""COMPUTED_VALUE"""),4.12)</f>
        <v>4.12</v>
      </c>
      <c r="D647" s="1">
        <f>IFERROR(__xludf.DUMMYFUNCTION("""COMPUTED_VALUE"""),4.05)</f>
        <v>4.05</v>
      </c>
      <c r="E647" s="1">
        <f>IFERROR(__xludf.DUMMYFUNCTION("""COMPUTED_VALUE"""),4.06)</f>
        <v>4.06</v>
      </c>
      <c r="F647" s="1">
        <f>IFERROR(__xludf.DUMMYFUNCTION("""COMPUTED_VALUE"""),455438.0)</f>
        <v>455438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IFERROR(__xludf.DUMMYFUNCTION("""COMPUTED_VALUE"""),4.32)</f>
        <v>4.32</v>
      </c>
      <c r="C648" s="1">
        <f>IFERROR(__xludf.DUMMYFUNCTION("""COMPUTED_VALUE"""),4.35)</f>
        <v>4.35</v>
      </c>
      <c r="D648" s="1">
        <f>IFERROR(__xludf.DUMMYFUNCTION("""COMPUTED_VALUE"""),4.31)</f>
        <v>4.31</v>
      </c>
      <c r="E648" s="1">
        <f>IFERROR(__xludf.DUMMYFUNCTION("""COMPUTED_VALUE"""),4.32)</f>
        <v>4.32</v>
      </c>
      <c r="F648" s="1">
        <f>IFERROR(__xludf.DUMMYFUNCTION("""COMPUTED_VALUE"""),478446.0)</f>
        <v>478446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IFERROR(__xludf.DUMMYFUNCTION("""COMPUTED_VALUE"""),4.43)</f>
        <v>4.43</v>
      </c>
      <c r="C649" s="1">
        <f>IFERROR(__xludf.DUMMYFUNCTION("""COMPUTED_VALUE"""),4.56)</f>
        <v>4.56</v>
      </c>
      <c r="D649" s="1">
        <f>IFERROR(__xludf.DUMMYFUNCTION("""COMPUTED_VALUE"""),4.41)</f>
        <v>4.41</v>
      </c>
      <c r="E649" s="1">
        <f>IFERROR(__xludf.DUMMYFUNCTION("""COMPUTED_VALUE"""),4.53)</f>
        <v>4.53</v>
      </c>
      <c r="F649" s="1">
        <f>IFERROR(__xludf.DUMMYFUNCTION("""COMPUTED_VALUE"""),673347.0)</f>
        <v>673347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IFERROR(__xludf.DUMMYFUNCTION("""COMPUTED_VALUE"""),4.53)</f>
        <v>4.53</v>
      </c>
      <c r="C650" s="1">
        <f>IFERROR(__xludf.DUMMYFUNCTION("""COMPUTED_VALUE"""),4.59)</f>
        <v>4.59</v>
      </c>
      <c r="D650" s="1">
        <f>IFERROR(__xludf.DUMMYFUNCTION("""COMPUTED_VALUE"""),4.53)</f>
        <v>4.53</v>
      </c>
      <c r="E650" s="1">
        <f>IFERROR(__xludf.DUMMYFUNCTION("""COMPUTED_VALUE"""),4.56)</f>
        <v>4.56</v>
      </c>
      <c r="F650" s="1">
        <f>IFERROR(__xludf.DUMMYFUNCTION("""COMPUTED_VALUE"""),339685.0)</f>
        <v>339685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IFERROR(__xludf.DUMMYFUNCTION("""COMPUTED_VALUE"""),4.54)</f>
        <v>4.54</v>
      </c>
      <c r="C651" s="1">
        <f>IFERROR(__xludf.DUMMYFUNCTION("""COMPUTED_VALUE"""),4.59)</f>
        <v>4.59</v>
      </c>
      <c r="D651" s="1">
        <f>IFERROR(__xludf.DUMMYFUNCTION("""COMPUTED_VALUE"""),4.52)</f>
        <v>4.52</v>
      </c>
      <c r="E651" s="1">
        <f>IFERROR(__xludf.DUMMYFUNCTION("""COMPUTED_VALUE"""),4.55)</f>
        <v>4.55</v>
      </c>
      <c r="F651" s="1">
        <f>IFERROR(__xludf.DUMMYFUNCTION("""COMPUTED_VALUE"""),395856.0)</f>
        <v>395856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IFERROR(__xludf.DUMMYFUNCTION("""COMPUTED_VALUE"""),4.61)</f>
        <v>4.61</v>
      </c>
      <c r="C652" s="1">
        <f>IFERROR(__xludf.DUMMYFUNCTION("""COMPUTED_VALUE"""),4.63)</f>
        <v>4.63</v>
      </c>
      <c r="D652" s="1">
        <f>IFERROR(__xludf.DUMMYFUNCTION("""COMPUTED_VALUE"""),4.54)</f>
        <v>4.54</v>
      </c>
      <c r="E652" s="1">
        <f>IFERROR(__xludf.DUMMYFUNCTION("""COMPUTED_VALUE"""),4.55)</f>
        <v>4.55</v>
      </c>
      <c r="F652" s="1">
        <f>IFERROR(__xludf.DUMMYFUNCTION("""COMPUTED_VALUE"""),564180.0)</f>
        <v>564180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IFERROR(__xludf.DUMMYFUNCTION("""COMPUTED_VALUE"""),4.39)</f>
        <v>4.39</v>
      </c>
      <c r="C653" s="1">
        <f>IFERROR(__xludf.DUMMYFUNCTION("""COMPUTED_VALUE"""),4.43)</f>
        <v>4.43</v>
      </c>
      <c r="D653" s="1">
        <f>IFERROR(__xludf.DUMMYFUNCTION("""COMPUTED_VALUE"""),4.29)</f>
        <v>4.29</v>
      </c>
      <c r="E653" s="1">
        <f>IFERROR(__xludf.DUMMYFUNCTION("""COMPUTED_VALUE"""),4.35)</f>
        <v>4.35</v>
      </c>
      <c r="F653" s="1">
        <f>IFERROR(__xludf.DUMMYFUNCTION("""COMPUTED_VALUE"""),547455.0)</f>
        <v>547455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IFERROR(__xludf.DUMMYFUNCTION("""COMPUTED_VALUE"""),4.65)</f>
        <v>4.65</v>
      </c>
      <c r="C654" s="1">
        <f>IFERROR(__xludf.DUMMYFUNCTION("""COMPUTED_VALUE"""),4.79)</f>
        <v>4.79</v>
      </c>
      <c r="D654" s="1">
        <f>IFERROR(__xludf.DUMMYFUNCTION("""COMPUTED_VALUE"""),4.65)</f>
        <v>4.65</v>
      </c>
      <c r="E654" s="1">
        <f>IFERROR(__xludf.DUMMYFUNCTION("""COMPUTED_VALUE"""),4.76)</f>
        <v>4.76</v>
      </c>
      <c r="F654" s="1">
        <f>IFERROR(__xludf.DUMMYFUNCTION("""COMPUTED_VALUE"""),774891.0)</f>
        <v>774891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IFERROR(__xludf.DUMMYFUNCTION("""COMPUTED_VALUE"""),4.89)</f>
        <v>4.89</v>
      </c>
      <c r="C655" s="1">
        <f>IFERROR(__xludf.DUMMYFUNCTION("""COMPUTED_VALUE"""),4.93)</f>
        <v>4.93</v>
      </c>
      <c r="D655" s="1">
        <f>IFERROR(__xludf.DUMMYFUNCTION("""COMPUTED_VALUE"""),4.86)</f>
        <v>4.86</v>
      </c>
      <c r="E655" s="1">
        <f>IFERROR(__xludf.DUMMYFUNCTION("""COMPUTED_VALUE"""),4.86)</f>
        <v>4.86</v>
      </c>
      <c r="F655" s="1">
        <f>IFERROR(__xludf.DUMMYFUNCTION("""COMPUTED_VALUE"""),632538.0)</f>
        <v>632538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IFERROR(__xludf.DUMMYFUNCTION("""COMPUTED_VALUE"""),4.96)</f>
        <v>4.96</v>
      </c>
      <c r="C656" s="1">
        <f>IFERROR(__xludf.DUMMYFUNCTION("""COMPUTED_VALUE"""),4.99)</f>
        <v>4.99</v>
      </c>
      <c r="D656" s="1">
        <f>IFERROR(__xludf.DUMMYFUNCTION("""COMPUTED_VALUE"""),4.95)</f>
        <v>4.95</v>
      </c>
      <c r="E656" s="1">
        <f>IFERROR(__xludf.DUMMYFUNCTION("""COMPUTED_VALUE"""),4.97)</f>
        <v>4.97</v>
      </c>
      <c r="F656" s="1">
        <f>IFERROR(__xludf.DUMMYFUNCTION("""COMPUTED_VALUE"""),542853.0)</f>
        <v>542853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IFERROR(__xludf.DUMMYFUNCTION("""COMPUTED_VALUE"""),4.94)</f>
        <v>4.94</v>
      </c>
      <c r="C657" s="1">
        <f>IFERROR(__xludf.DUMMYFUNCTION("""COMPUTED_VALUE"""),4.99)</f>
        <v>4.99</v>
      </c>
      <c r="D657" s="1">
        <f>IFERROR(__xludf.DUMMYFUNCTION("""COMPUTED_VALUE"""),4.92)</f>
        <v>4.92</v>
      </c>
      <c r="E657" s="1">
        <f>IFERROR(__xludf.DUMMYFUNCTION("""COMPUTED_VALUE"""),4.96)</f>
        <v>4.96</v>
      </c>
      <c r="F657" s="1">
        <f>IFERROR(__xludf.DUMMYFUNCTION("""COMPUTED_VALUE"""),562754.0)</f>
        <v>562754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IFERROR(__xludf.DUMMYFUNCTION("""COMPUTED_VALUE"""),5.25)</f>
        <v>5.25</v>
      </c>
      <c r="C658" s="1">
        <f>IFERROR(__xludf.DUMMYFUNCTION("""COMPUTED_VALUE"""),5.28)</f>
        <v>5.28</v>
      </c>
      <c r="D658" s="1">
        <f>IFERROR(__xludf.DUMMYFUNCTION("""COMPUTED_VALUE"""),5.17)</f>
        <v>5.17</v>
      </c>
      <c r="E658" s="1">
        <f>IFERROR(__xludf.DUMMYFUNCTION("""COMPUTED_VALUE"""),5.19)</f>
        <v>5.19</v>
      </c>
      <c r="F658" s="1">
        <f>IFERROR(__xludf.DUMMYFUNCTION("""COMPUTED_VALUE"""),1026646.0)</f>
        <v>1026646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IFERROR(__xludf.DUMMYFUNCTION("""COMPUTED_VALUE"""),5.22)</f>
        <v>5.22</v>
      </c>
      <c r="C659" s="1">
        <f>IFERROR(__xludf.DUMMYFUNCTION("""COMPUTED_VALUE"""),5.28)</f>
        <v>5.28</v>
      </c>
      <c r="D659" s="1">
        <f>IFERROR(__xludf.DUMMYFUNCTION("""COMPUTED_VALUE"""),5.18)</f>
        <v>5.18</v>
      </c>
      <c r="E659" s="1">
        <f>IFERROR(__xludf.DUMMYFUNCTION("""COMPUTED_VALUE"""),5.28)</f>
        <v>5.28</v>
      </c>
      <c r="F659" s="1">
        <f>IFERROR(__xludf.DUMMYFUNCTION("""COMPUTED_VALUE"""),628996.0)</f>
        <v>628996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IFERROR(__xludf.DUMMYFUNCTION("""COMPUTED_VALUE"""),5.29)</f>
        <v>5.29</v>
      </c>
      <c r="C660" s="1">
        <f>IFERROR(__xludf.DUMMYFUNCTION("""COMPUTED_VALUE"""),5.32)</f>
        <v>5.32</v>
      </c>
      <c r="D660" s="1">
        <f>IFERROR(__xludf.DUMMYFUNCTION("""COMPUTED_VALUE"""),5.18)</f>
        <v>5.18</v>
      </c>
      <c r="E660" s="1">
        <f>IFERROR(__xludf.DUMMYFUNCTION("""COMPUTED_VALUE"""),5.23)</f>
        <v>5.23</v>
      </c>
      <c r="F660" s="1">
        <f>IFERROR(__xludf.DUMMYFUNCTION("""COMPUTED_VALUE"""),328119.0)</f>
        <v>328119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IFERROR(__xludf.DUMMYFUNCTION("""COMPUTED_VALUE"""),5.29)</f>
        <v>5.29</v>
      </c>
      <c r="C661" s="1">
        <f>IFERROR(__xludf.DUMMYFUNCTION("""COMPUTED_VALUE"""),5.32)</f>
        <v>5.32</v>
      </c>
      <c r="D661" s="1">
        <f>IFERROR(__xludf.DUMMYFUNCTION("""COMPUTED_VALUE"""),5.24)</f>
        <v>5.24</v>
      </c>
      <c r="E661" s="1">
        <f>IFERROR(__xludf.DUMMYFUNCTION("""COMPUTED_VALUE"""),5.26)</f>
        <v>5.26</v>
      </c>
      <c r="F661" s="1">
        <f>IFERROR(__xludf.DUMMYFUNCTION("""COMPUTED_VALUE"""),744694.0)</f>
        <v>744694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IFERROR(__xludf.DUMMYFUNCTION("""COMPUTED_VALUE"""),5.25)</f>
        <v>5.25</v>
      </c>
      <c r="C662" s="1">
        <f>IFERROR(__xludf.DUMMYFUNCTION("""COMPUTED_VALUE"""),5.31)</f>
        <v>5.31</v>
      </c>
      <c r="D662" s="1">
        <f>IFERROR(__xludf.DUMMYFUNCTION("""COMPUTED_VALUE"""),5.25)</f>
        <v>5.25</v>
      </c>
      <c r="E662" s="1">
        <f>IFERROR(__xludf.DUMMYFUNCTION("""COMPUTED_VALUE"""),5.28)</f>
        <v>5.28</v>
      </c>
      <c r="F662" s="1">
        <f>IFERROR(__xludf.DUMMYFUNCTION("""COMPUTED_VALUE"""),479462.0)</f>
        <v>479462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IFERROR(__xludf.DUMMYFUNCTION("""COMPUTED_VALUE"""),5.24)</f>
        <v>5.24</v>
      </c>
      <c r="C663" s="1">
        <f>IFERROR(__xludf.DUMMYFUNCTION("""COMPUTED_VALUE"""),5.33)</f>
        <v>5.33</v>
      </c>
      <c r="D663" s="1">
        <f>IFERROR(__xludf.DUMMYFUNCTION("""COMPUTED_VALUE"""),5.21)</f>
        <v>5.21</v>
      </c>
      <c r="E663" s="1">
        <f>IFERROR(__xludf.DUMMYFUNCTION("""COMPUTED_VALUE"""),5.32)</f>
        <v>5.32</v>
      </c>
      <c r="F663" s="1">
        <f>IFERROR(__xludf.DUMMYFUNCTION("""COMPUTED_VALUE"""),350027.0)</f>
        <v>350027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IFERROR(__xludf.DUMMYFUNCTION("""COMPUTED_VALUE"""),5.32)</f>
        <v>5.32</v>
      </c>
      <c r="C664" s="1">
        <f>IFERROR(__xludf.DUMMYFUNCTION("""COMPUTED_VALUE"""),5.32)</f>
        <v>5.32</v>
      </c>
      <c r="D664" s="1">
        <f>IFERROR(__xludf.DUMMYFUNCTION("""COMPUTED_VALUE"""),5.26)</f>
        <v>5.26</v>
      </c>
      <c r="E664" s="1">
        <f>IFERROR(__xludf.DUMMYFUNCTION("""COMPUTED_VALUE"""),5.29)</f>
        <v>5.29</v>
      </c>
      <c r="F664" s="1">
        <f>IFERROR(__xludf.DUMMYFUNCTION("""COMPUTED_VALUE"""),450318.0)</f>
        <v>450318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IFERROR(__xludf.DUMMYFUNCTION("""COMPUTED_VALUE"""),5.21)</f>
        <v>5.21</v>
      </c>
      <c r="C665" s="1">
        <f>IFERROR(__xludf.DUMMYFUNCTION("""COMPUTED_VALUE"""),5.22)</f>
        <v>5.22</v>
      </c>
      <c r="D665" s="1">
        <f>IFERROR(__xludf.DUMMYFUNCTION("""COMPUTED_VALUE"""),5.11)</f>
        <v>5.11</v>
      </c>
      <c r="E665" s="1">
        <f>IFERROR(__xludf.DUMMYFUNCTION("""COMPUTED_VALUE"""),5.17)</f>
        <v>5.17</v>
      </c>
      <c r="F665" s="1">
        <f>IFERROR(__xludf.DUMMYFUNCTION("""COMPUTED_VALUE"""),509577.0)</f>
        <v>509577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IFERROR(__xludf.DUMMYFUNCTION("""COMPUTED_VALUE"""),5.26)</f>
        <v>5.26</v>
      </c>
      <c r="C666" s="1">
        <f>IFERROR(__xludf.DUMMYFUNCTION("""COMPUTED_VALUE"""),5.33)</f>
        <v>5.33</v>
      </c>
      <c r="D666" s="1">
        <f>IFERROR(__xludf.DUMMYFUNCTION("""COMPUTED_VALUE"""),5.23)</f>
        <v>5.23</v>
      </c>
      <c r="E666" s="1">
        <f>IFERROR(__xludf.DUMMYFUNCTION("""COMPUTED_VALUE"""),5.25)</f>
        <v>5.25</v>
      </c>
      <c r="F666" s="1">
        <f>IFERROR(__xludf.DUMMYFUNCTION("""COMPUTED_VALUE"""),485930.0)</f>
        <v>485930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IFERROR(__xludf.DUMMYFUNCTION("""COMPUTED_VALUE"""),5.28)</f>
        <v>5.28</v>
      </c>
      <c r="C667" s="1">
        <f>IFERROR(__xludf.DUMMYFUNCTION("""COMPUTED_VALUE"""),5.37)</f>
        <v>5.37</v>
      </c>
      <c r="D667" s="1">
        <f>IFERROR(__xludf.DUMMYFUNCTION("""COMPUTED_VALUE"""),5.26)</f>
        <v>5.26</v>
      </c>
      <c r="E667" s="1">
        <f>IFERROR(__xludf.DUMMYFUNCTION("""COMPUTED_VALUE"""),5.34)</f>
        <v>5.34</v>
      </c>
      <c r="F667" s="1">
        <f>IFERROR(__xludf.DUMMYFUNCTION("""COMPUTED_VALUE"""),545658.0)</f>
        <v>545658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IFERROR(__xludf.DUMMYFUNCTION("""COMPUTED_VALUE"""),5.26)</f>
        <v>5.26</v>
      </c>
      <c r="C668" s="1">
        <f>IFERROR(__xludf.DUMMYFUNCTION("""COMPUTED_VALUE"""),5.3)</f>
        <v>5.3</v>
      </c>
      <c r="D668" s="1">
        <f>IFERROR(__xludf.DUMMYFUNCTION("""COMPUTED_VALUE"""),5.22)</f>
        <v>5.22</v>
      </c>
      <c r="E668" s="1">
        <f>IFERROR(__xludf.DUMMYFUNCTION("""COMPUTED_VALUE"""),5.25)</f>
        <v>5.25</v>
      </c>
      <c r="F668" s="1">
        <f>IFERROR(__xludf.DUMMYFUNCTION("""COMPUTED_VALUE"""),471193.0)</f>
        <v>471193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IFERROR(__xludf.DUMMYFUNCTION("""COMPUTED_VALUE"""),5.1)</f>
        <v>5.1</v>
      </c>
      <c r="C669" s="1">
        <f>IFERROR(__xludf.DUMMYFUNCTION("""COMPUTED_VALUE"""),5.19)</f>
        <v>5.19</v>
      </c>
      <c r="D669" s="1">
        <f>IFERROR(__xludf.DUMMYFUNCTION("""COMPUTED_VALUE"""),5.08)</f>
        <v>5.08</v>
      </c>
      <c r="E669" s="1">
        <f>IFERROR(__xludf.DUMMYFUNCTION("""COMPUTED_VALUE"""),5.14)</f>
        <v>5.14</v>
      </c>
      <c r="F669" s="1">
        <f>IFERROR(__xludf.DUMMYFUNCTION("""COMPUTED_VALUE"""),334213.0)</f>
        <v>334213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IFERROR(__xludf.DUMMYFUNCTION("""COMPUTED_VALUE"""),5.22)</f>
        <v>5.22</v>
      </c>
      <c r="C670" s="1">
        <f>IFERROR(__xludf.DUMMYFUNCTION("""COMPUTED_VALUE"""),5.24)</f>
        <v>5.24</v>
      </c>
      <c r="D670" s="1">
        <f>IFERROR(__xludf.DUMMYFUNCTION("""COMPUTED_VALUE"""),5.16)</f>
        <v>5.16</v>
      </c>
      <c r="E670" s="1">
        <f>IFERROR(__xludf.DUMMYFUNCTION("""COMPUTED_VALUE"""),5.17)</f>
        <v>5.17</v>
      </c>
      <c r="F670" s="1">
        <f>IFERROR(__xludf.DUMMYFUNCTION("""COMPUTED_VALUE"""),472018.0)</f>
        <v>472018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IFERROR(__xludf.DUMMYFUNCTION("""COMPUTED_VALUE"""),5.17)</f>
        <v>5.17</v>
      </c>
      <c r="C671" s="1">
        <f>IFERROR(__xludf.DUMMYFUNCTION("""COMPUTED_VALUE"""),5.23)</f>
        <v>5.23</v>
      </c>
      <c r="D671" s="1">
        <f>IFERROR(__xludf.DUMMYFUNCTION("""COMPUTED_VALUE"""),5.16)</f>
        <v>5.16</v>
      </c>
      <c r="E671" s="1">
        <f>IFERROR(__xludf.DUMMYFUNCTION("""COMPUTED_VALUE"""),5.21)</f>
        <v>5.21</v>
      </c>
      <c r="F671" s="1">
        <f>IFERROR(__xludf.DUMMYFUNCTION("""COMPUTED_VALUE"""),276772.0)</f>
        <v>276772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IFERROR(__xludf.DUMMYFUNCTION("""COMPUTED_VALUE"""),5.16)</f>
        <v>5.16</v>
      </c>
      <c r="C672" s="1">
        <f>IFERROR(__xludf.DUMMYFUNCTION("""COMPUTED_VALUE"""),5.19)</f>
        <v>5.19</v>
      </c>
      <c r="D672" s="1">
        <f>IFERROR(__xludf.DUMMYFUNCTION("""COMPUTED_VALUE"""),5.12)</f>
        <v>5.12</v>
      </c>
      <c r="E672" s="1">
        <f>IFERROR(__xludf.DUMMYFUNCTION("""COMPUTED_VALUE"""),5.17)</f>
        <v>5.17</v>
      </c>
      <c r="F672" s="1">
        <f>IFERROR(__xludf.DUMMYFUNCTION("""COMPUTED_VALUE"""),273334.0)</f>
        <v>273334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IFERROR(__xludf.DUMMYFUNCTION("""COMPUTED_VALUE"""),5.06)</f>
        <v>5.06</v>
      </c>
      <c r="C673" s="1">
        <f>IFERROR(__xludf.DUMMYFUNCTION("""COMPUTED_VALUE"""),5.06)</f>
        <v>5.06</v>
      </c>
      <c r="D673" s="1">
        <f>IFERROR(__xludf.DUMMYFUNCTION("""COMPUTED_VALUE"""),4.97)</f>
        <v>4.97</v>
      </c>
      <c r="E673" s="1">
        <f>IFERROR(__xludf.DUMMYFUNCTION("""COMPUTED_VALUE"""),5.01)</f>
        <v>5.01</v>
      </c>
      <c r="F673" s="1">
        <f>IFERROR(__xludf.DUMMYFUNCTION("""COMPUTED_VALUE"""),558370.0)</f>
        <v>558370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IFERROR(__xludf.DUMMYFUNCTION("""COMPUTED_VALUE"""),5.16)</f>
        <v>5.16</v>
      </c>
      <c r="C674" s="1">
        <f>IFERROR(__xludf.DUMMYFUNCTION("""COMPUTED_VALUE"""),5.19)</f>
        <v>5.19</v>
      </c>
      <c r="D674" s="1">
        <f>IFERROR(__xludf.DUMMYFUNCTION("""COMPUTED_VALUE"""),5.08)</f>
        <v>5.08</v>
      </c>
      <c r="E674" s="1">
        <f>IFERROR(__xludf.DUMMYFUNCTION("""COMPUTED_VALUE"""),5.12)</f>
        <v>5.12</v>
      </c>
      <c r="F674" s="1">
        <f>IFERROR(__xludf.DUMMYFUNCTION("""COMPUTED_VALUE"""),373013.0)</f>
        <v>373013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IFERROR(__xludf.DUMMYFUNCTION("""COMPUTED_VALUE"""),5.16)</f>
        <v>5.16</v>
      </c>
      <c r="C675" s="1">
        <f>IFERROR(__xludf.DUMMYFUNCTION("""COMPUTED_VALUE"""),5.16)</f>
        <v>5.16</v>
      </c>
      <c r="D675" s="1">
        <f>IFERROR(__xludf.DUMMYFUNCTION("""COMPUTED_VALUE"""),5.08)</f>
        <v>5.08</v>
      </c>
      <c r="E675" s="1">
        <f>IFERROR(__xludf.DUMMYFUNCTION("""COMPUTED_VALUE"""),5.12)</f>
        <v>5.12</v>
      </c>
      <c r="F675" s="1">
        <f>IFERROR(__xludf.DUMMYFUNCTION("""COMPUTED_VALUE"""),455724.0)</f>
        <v>455724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IFERROR(__xludf.DUMMYFUNCTION("""COMPUTED_VALUE"""),5.17)</f>
        <v>5.17</v>
      </c>
      <c r="C676" s="1">
        <f>IFERROR(__xludf.DUMMYFUNCTION("""COMPUTED_VALUE"""),5.2)</f>
        <v>5.2</v>
      </c>
      <c r="D676" s="1">
        <f>IFERROR(__xludf.DUMMYFUNCTION("""COMPUTED_VALUE"""),5.14)</f>
        <v>5.14</v>
      </c>
      <c r="E676" s="1">
        <f>IFERROR(__xludf.DUMMYFUNCTION("""COMPUTED_VALUE"""),5.15)</f>
        <v>5.15</v>
      </c>
      <c r="F676" s="1">
        <f>IFERROR(__xludf.DUMMYFUNCTION("""COMPUTED_VALUE"""),439376.0)</f>
        <v>439376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IFERROR(__xludf.DUMMYFUNCTION("""COMPUTED_VALUE"""),5.26)</f>
        <v>5.26</v>
      </c>
      <c r="C677" s="1">
        <f>IFERROR(__xludf.DUMMYFUNCTION("""COMPUTED_VALUE"""),5.41)</f>
        <v>5.41</v>
      </c>
      <c r="D677" s="1">
        <f>IFERROR(__xludf.DUMMYFUNCTION("""COMPUTED_VALUE"""),5.26)</f>
        <v>5.26</v>
      </c>
      <c r="E677" s="1">
        <f>IFERROR(__xludf.DUMMYFUNCTION("""COMPUTED_VALUE"""),5.4)</f>
        <v>5.4</v>
      </c>
      <c r="F677" s="1">
        <f>IFERROR(__xludf.DUMMYFUNCTION("""COMPUTED_VALUE"""),561320.0)</f>
        <v>561320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IFERROR(__xludf.DUMMYFUNCTION("""COMPUTED_VALUE"""),5.53)</f>
        <v>5.53</v>
      </c>
      <c r="C678" s="1">
        <f>IFERROR(__xludf.DUMMYFUNCTION("""COMPUTED_VALUE"""),5.55)</f>
        <v>5.55</v>
      </c>
      <c r="D678" s="1">
        <f>IFERROR(__xludf.DUMMYFUNCTION("""COMPUTED_VALUE"""),5.5)</f>
        <v>5.5</v>
      </c>
      <c r="E678" s="1">
        <f>IFERROR(__xludf.DUMMYFUNCTION("""COMPUTED_VALUE"""),5.52)</f>
        <v>5.52</v>
      </c>
      <c r="F678" s="1">
        <f>IFERROR(__xludf.DUMMYFUNCTION("""COMPUTED_VALUE"""),681935.0)</f>
        <v>681935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IFERROR(__xludf.DUMMYFUNCTION("""COMPUTED_VALUE"""),5.46)</f>
        <v>5.46</v>
      </c>
      <c r="C679" s="1">
        <f>IFERROR(__xludf.DUMMYFUNCTION("""COMPUTED_VALUE"""),5.49)</f>
        <v>5.49</v>
      </c>
      <c r="D679" s="1">
        <f>IFERROR(__xludf.DUMMYFUNCTION("""COMPUTED_VALUE"""),5.37)</f>
        <v>5.37</v>
      </c>
      <c r="E679" s="1">
        <f>IFERROR(__xludf.DUMMYFUNCTION("""COMPUTED_VALUE"""),5.38)</f>
        <v>5.38</v>
      </c>
      <c r="F679" s="1">
        <f>IFERROR(__xludf.DUMMYFUNCTION("""COMPUTED_VALUE"""),333586.0)</f>
        <v>333586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IFERROR(__xludf.DUMMYFUNCTION("""COMPUTED_VALUE"""),5.49)</f>
        <v>5.49</v>
      </c>
      <c r="C680" s="1">
        <f>IFERROR(__xludf.DUMMYFUNCTION("""COMPUTED_VALUE"""),5.57)</f>
        <v>5.57</v>
      </c>
      <c r="D680" s="1">
        <f>IFERROR(__xludf.DUMMYFUNCTION("""COMPUTED_VALUE"""),5.49)</f>
        <v>5.49</v>
      </c>
      <c r="E680" s="1">
        <f>IFERROR(__xludf.DUMMYFUNCTION("""COMPUTED_VALUE"""),5.54)</f>
        <v>5.54</v>
      </c>
      <c r="F680" s="1">
        <f>IFERROR(__xludf.DUMMYFUNCTION("""COMPUTED_VALUE"""),538531.0)</f>
        <v>538531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IFERROR(__xludf.DUMMYFUNCTION("""COMPUTED_VALUE"""),5.7)</f>
        <v>5.7</v>
      </c>
      <c r="C681" s="1">
        <f>IFERROR(__xludf.DUMMYFUNCTION("""COMPUTED_VALUE"""),5.71)</f>
        <v>5.71</v>
      </c>
      <c r="D681" s="1">
        <f>IFERROR(__xludf.DUMMYFUNCTION("""COMPUTED_VALUE"""),5.62)</f>
        <v>5.62</v>
      </c>
      <c r="E681" s="1">
        <f>IFERROR(__xludf.DUMMYFUNCTION("""COMPUTED_VALUE"""),5.62)</f>
        <v>5.62</v>
      </c>
      <c r="F681" s="1">
        <f>IFERROR(__xludf.DUMMYFUNCTION("""COMPUTED_VALUE"""),601033.0)</f>
        <v>601033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IFERROR(__xludf.DUMMYFUNCTION("""COMPUTED_VALUE"""),5.59)</f>
        <v>5.59</v>
      </c>
      <c r="C682" s="1">
        <f>IFERROR(__xludf.DUMMYFUNCTION("""COMPUTED_VALUE"""),5.79)</f>
        <v>5.79</v>
      </c>
      <c r="D682" s="1">
        <f>IFERROR(__xludf.DUMMYFUNCTION("""COMPUTED_VALUE"""),5.54)</f>
        <v>5.54</v>
      </c>
      <c r="E682" s="1">
        <f>IFERROR(__xludf.DUMMYFUNCTION("""COMPUTED_VALUE"""),5.77)</f>
        <v>5.77</v>
      </c>
      <c r="F682" s="1">
        <f>IFERROR(__xludf.DUMMYFUNCTION("""COMPUTED_VALUE"""),606749.0)</f>
        <v>606749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IFERROR(__xludf.DUMMYFUNCTION("""COMPUTED_VALUE"""),5.89)</f>
        <v>5.89</v>
      </c>
      <c r="C683" s="1">
        <f>IFERROR(__xludf.DUMMYFUNCTION("""COMPUTED_VALUE"""),5.96)</f>
        <v>5.96</v>
      </c>
      <c r="D683" s="1">
        <f>IFERROR(__xludf.DUMMYFUNCTION("""COMPUTED_VALUE"""),5.85)</f>
        <v>5.85</v>
      </c>
      <c r="E683" s="1">
        <f>IFERROR(__xludf.DUMMYFUNCTION("""COMPUTED_VALUE"""),5.87)</f>
        <v>5.87</v>
      </c>
      <c r="F683" s="1">
        <f>IFERROR(__xludf.DUMMYFUNCTION("""COMPUTED_VALUE"""),729800.0)</f>
        <v>729800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IFERROR(__xludf.DUMMYFUNCTION("""COMPUTED_VALUE"""),5.9)</f>
        <v>5.9</v>
      </c>
      <c r="C684" s="1">
        <f>IFERROR(__xludf.DUMMYFUNCTION("""COMPUTED_VALUE"""),5.93)</f>
        <v>5.93</v>
      </c>
      <c r="D684" s="1">
        <f>IFERROR(__xludf.DUMMYFUNCTION("""COMPUTED_VALUE"""),5.86)</f>
        <v>5.86</v>
      </c>
      <c r="E684" s="1">
        <f>IFERROR(__xludf.DUMMYFUNCTION("""COMPUTED_VALUE"""),5.88)</f>
        <v>5.88</v>
      </c>
      <c r="F684" s="1">
        <f>IFERROR(__xludf.DUMMYFUNCTION("""COMPUTED_VALUE"""),610342.0)</f>
        <v>610342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IFERROR(__xludf.DUMMYFUNCTION("""COMPUTED_VALUE"""),5.75)</f>
        <v>5.75</v>
      </c>
      <c r="C685" s="1">
        <f>IFERROR(__xludf.DUMMYFUNCTION("""COMPUTED_VALUE"""),5.77)</f>
        <v>5.77</v>
      </c>
      <c r="D685" s="1">
        <f>IFERROR(__xludf.DUMMYFUNCTION("""COMPUTED_VALUE"""),5.69)</f>
        <v>5.69</v>
      </c>
      <c r="E685" s="1">
        <f>IFERROR(__xludf.DUMMYFUNCTION("""COMPUTED_VALUE"""),5.71)</f>
        <v>5.71</v>
      </c>
      <c r="F685" s="1">
        <f>IFERROR(__xludf.DUMMYFUNCTION("""COMPUTED_VALUE"""),428407.0)</f>
        <v>428407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IFERROR(__xludf.DUMMYFUNCTION("""COMPUTED_VALUE"""),5.67)</f>
        <v>5.67</v>
      </c>
      <c r="C686" s="1">
        <f>IFERROR(__xludf.DUMMYFUNCTION("""COMPUTED_VALUE"""),5.7)</f>
        <v>5.7</v>
      </c>
      <c r="D686" s="1">
        <f>IFERROR(__xludf.DUMMYFUNCTION("""COMPUTED_VALUE"""),5.63)</f>
        <v>5.63</v>
      </c>
      <c r="E686" s="1">
        <f>IFERROR(__xludf.DUMMYFUNCTION("""COMPUTED_VALUE"""),5.68)</f>
        <v>5.68</v>
      </c>
      <c r="F686" s="1">
        <f>IFERROR(__xludf.DUMMYFUNCTION("""COMPUTED_VALUE"""),512401.0)</f>
        <v>512401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IFERROR(__xludf.DUMMYFUNCTION("""COMPUTED_VALUE"""),5.5)</f>
        <v>5.5</v>
      </c>
      <c r="C687" s="1">
        <f>IFERROR(__xludf.DUMMYFUNCTION("""COMPUTED_VALUE"""),5.56)</f>
        <v>5.56</v>
      </c>
      <c r="D687" s="1">
        <f>IFERROR(__xludf.DUMMYFUNCTION("""COMPUTED_VALUE"""),5.48)</f>
        <v>5.48</v>
      </c>
      <c r="E687" s="1">
        <f>IFERROR(__xludf.DUMMYFUNCTION("""COMPUTED_VALUE"""),5.55)</f>
        <v>5.55</v>
      </c>
      <c r="F687" s="1">
        <f>IFERROR(__xludf.DUMMYFUNCTION("""COMPUTED_VALUE"""),476058.0)</f>
        <v>476058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IFERROR(__xludf.DUMMYFUNCTION("""COMPUTED_VALUE"""),5.64)</f>
        <v>5.64</v>
      </c>
      <c r="C688" s="1">
        <f>IFERROR(__xludf.DUMMYFUNCTION("""COMPUTED_VALUE"""),5.65)</f>
        <v>5.65</v>
      </c>
      <c r="D688" s="1">
        <f>IFERROR(__xludf.DUMMYFUNCTION("""COMPUTED_VALUE"""),5.59)</f>
        <v>5.59</v>
      </c>
      <c r="E688" s="1">
        <f>IFERROR(__xludf.DUMMYFUNCTION("""COMPUTED_VALUE"""),5.59)</f>
        <v>5.59</v>
      </c>
      <c r="F688" s="1">
        <f>IFERROR(__xludf.DUMMYFUNCTION("""COMPUTED_VALUE"""),238199.0)</f>
        <v>238199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IFERROR(__xludf.DUMMYFUNCTION("""COMPUTED_VALUE"""),5.5)</f>
        <v>5.5</v>
      </c>
      <c r="C689" s="1">
        <f>IFERROR(__xludf.DUMMYFUNCTION("""COMPUTED_VALUE"""),5.54)</f>
        <v>5.54</v>
      </c>
      <c r="D689" s="1">
        <f>IFERROR(__xludf.DUMMYFUNCTION("""COMPUTED_VALUE"""),5.47)</f>
        <v>5.47</v>
      </c>
      <c r="E689" s="1">
        <f>IFERROR(__xludf.DUMMYFUNCTION("""COMPUTED_VALUE"""),5.52)</f>
        <v>5.52</v>
      </c>
      <c r="F689" s="1">
        <f>IFERROR(__xludf.DUMMYFUNCTION("""COMPUTED_VALUE"""),321180.0)</f>
        <v>321180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IFERROR(__xludf.DUMMYFUNCTION("""COMPUTED_VALUE"""),5.52)</f>
        <v>5.52</v>
      </c>
      <c r="C690" s="1">
        <f>IFERROR(__xludf.DUMMYFUNCTION("""COMPUTED_VALUE"""),5.59)</f>
        <v>5.59</v>
      </c>
      <c r="D690" s="1">
        <f>IFERROR(__xludf.DUMMYFUNCTION("""COMPUTED_VALUE"""),5.45)</f>
        <v>5.45</v>
      </c>
      <c r="E690" s="1">
        <f>IFERROR(__xludf.DUMMYFUNCTION("""COMPUTED_VALUE"""),5.46)</f>
        <v>5.46</v>
      </c>
      <c r="F690" s="1">
        <f>IFERROR(__xludf.DUMMYFUNCTION("""COMPUTED_VALUE"""),1207412.0)</f>
        <v>1207412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IFERROR(__xludf.DUMMYFUNCTION("""COMPUTED_VALUE"""),5.43)</f>
        <v>5.43</v>
      </c>
      <c r="C691" s="1">
        <f>IFERROR(__xludf.DUMMYFUNCTION("""COMPUTED_VALUE"""),5.43)</f>
        <v>5.43</v>
      </c>
      <c r="D691" s="1">
        <f>IFERROR(__xludf.DUMMYFUNCTION("""COMPUTED_VALUE"""),5.34)</f>
        <v>5.34</v>
      </c>
      <c r="E691" s="1">
        <f>IFERROR(__xludf.DUMMYFUNCTION("""COMPUTED_VALUE"""),5.34)</f>
        <v>5.34</v>
      </c>
      <c r="F691" s="1">
        <f>IFERROR(__xludf.DUMMYFUNCTION("""COMPUTED_VALUE"""),929857.0)</f>
        <v>929857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IFERROR(__xludf.DUMMYFUNCTION("""COMPUTED_VALUE"""),5.4)</f>
        <v>5.4</v>
      </c>
      <c r="C692" s="1">
        <f>IFERROR(__xludf.DUMMYFUNCTION("""COMPUTED_VALUE"""),5.48)</f>
        <v>5.48</v>
      </c>
      <c r="D692" s="1">
        <f>IFERROR(__xludf.DUMMYFUNCTION("""COMPUTED_VALUE"""),5.34)</f>
        <v>5.34</v>
      </c>
      <c r="E692" s="1">
        <f>IFERROR(__xludf.DUMMYFUNCTION("""COMPUTED_VALUE"""),5.46)</f>
        <v>5.46</v>
      </c>
      <c r="F692" s="1">
        <f>IFERROR(__xludf.DUMMYFUNCTION("""COMPUTED_VALUE"""),557228.0)</f>
        <v>557228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IFERROR(__xludf.DUMMYFUNCTION("""COMPUTED_VALUE"""),5.29)</f>
        <v>5.29</v>
      </c>
      <c r="C693" s="1">
        <f>IFERROR(__xludf.DUMMYFUNCTION("""COMPUTED_VALUE"""),5.3)</f>
        <v>5.3</v>
      </c>
      <c r="D693" s="1">
        <f>IFERROR(__xludf.DUMMYFUNCTION("""COMPUTED_VALUE"""),5.2)</f>
        <v>5.2</v>
      </c>
      <c r="E693" s="1">
        <f>IFERROR(__xludf.DUMMYFUNCTION("""COMPUTED_VALUE"""),5.21)</f>
        <v>5.21</v>
      </c>
      <c r="F693" s="1">
        <f>IFERROR(__xludf.DUMMYFUNCTION("""COMPUTED_VALUE"""),612969.0)</f>
        <v>612969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IFERROR(__xludf.DUMMYFUNCTION("""COMPUTED_VALUE"""),5.24)</f>
        <v>5.24</v>
      </c>
      <c r="C694" s="1">
        <f>IFERROR(__xludf.DUMMYFUNCTION("""COMPUTED_VALUE"""),5.34)</f>
        <v>5.34</v>
      </c>
      <c r="D694" s="1">
        <f>IFERROR(__xludf.DUMMYFUNCTION("""COMPUTED_VALUE"""),5.22)</f>
        <v>5.22</v>
      </c>
      <c r="E694" s="1">
        <f>IFERROR(__xludf.DUMMYFUNCTION("""COMPUTED_VALUE"""),5.23)</f>
        <v>5.23</v>
      </c>
      <c r="F694" s="1">
        <f>IFERROR(__xludf.DUMMYFUNCTION("""COMPUTED_VALUE"""),551397.0)</f>
        <v>551397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IFERROR(__xludf.DUMMYFUNCTION("""COMPUTED_VALUE"""),5.36)</f>
        <v>5.36</v>
      </c>
      <c r="C695" s="1">
        <f>IFERROR(__xludf.DUMMYFUNCTION("""COMPUTED_VALUE"""),5.38)</f>
        <v>5.38</v>
      </c>
      <c r="D695" s="1">
        <f>IFERROR(__xludf.DUMMYFUNCTION("""COMPUTED_VALUE"""),5.29)</f>
        <v>5.29</v>
      </c>
      <c r="E695" s="1">
        <f>IFERROR(__xludf.DUMMYFUNCTION("""COMPUTED_VALUE"""),5.31)</f>
        <v>5.31</v>
      </c>
      <c r="F695" s="1">
        <f>IFERROR(__xludf.DUMMYFUNCTION("""COMPUTED_VALUE"""),483130.0)</f>
        <v>483130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IFERROR(__xludf.DUMMYFUNCTION("""COMPUTED_VALUE"""),5.33)</f>
        <v>5.33</v>
      </c>
      <c r="C696" s="1">
        <f>IFERROR(__xludf.DUMMYFUNCTION("""COMPUTED_VALUE"""),5.33)</f>
        <v>5.33</v>
      </c>
      <c r="D696" s="1">
        <f>IFERROR(__xludf.DUMMYFUNCTION("""COMPUTED_VALUE"""),5.26)</f>
        <v>5.26</v>
      </c>
      <c r="E696" s="1">
        <f>IFERROR(__xludf.DUMMYFUNCTION("""COMPUTED_VALUE"""),5.3)</f>
        <v>5.3</v>
      </c>
      <c r="F696" s="1">
        <f>IFERROR(__xludf.DUMMYFUNCTION("""COMPUTED_VALUE"""),296717.0)</f>
        <v>296717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IFERROR(__xludf.DUMMYFUNCTION("""COMPUTED_VALUE"""),5.37)</f>
        <v>5.37</v>
      </c>
      <c r="C697" s="1">
        <f>IFERROR(__xludf.DUMMYFUNCTION("""COMPUTED_VALUE"""),5.42)</f>
        <v>5.42</v>
      </c>
      <c r="D697" s="1">
        <f>IFERROR(__xludf.DUMMYFUNCTION("""COMPUTED_VALUE"""),5.35)</f>
        <v>5.35</v>
      </c>
      <c r="E697" s="1">
        <f>IFERROR(__xludf.DUMMYFUNCTION("""COMPUTED_VALUE"""),5.42)</f>
        <v>5.42</v>
      </c>
      <c r="F697" s="1">
        <f>IFERROR(__xludf.DUMMYFUNCTION("""COMPUTED_VALUE"""),275021.0)</f>
        <v>275021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IFERROR(__xludf.DUMMYFUNCTION("""COMPUTED_VALUE"""),5.47)</f>
        <v>5.47</v>
      </c>
      <c r="C698" s="1">
        <f>IFERROR(__xludf.DUMMYFUNCTION("""COMPUTED_VALUE"""),5.52)</f>
        <v>5.52</v>
      </c>
      <c r="D698" s="1">
        <f>IFERROR(__xludf.DUMMYFUNCTION("""COMPUTED_VALUE"""),5.44)</f>
        <v>5.44</v>
      </c>
      <c r="E698" s="1">
        <f>IFERROR(__xludf.DUMMYFUNCTION("""COMPUTED_VALUE"""),5.45)</f>
        <v>5.45</v>
      </c>
      <c r="F698" s="1">
        <f>IFERROR(__xludf.DUMMYFUNCTION("""COMPUTED_VALUE"""),291753.0)</f>
        <v>291753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IFERROR(__xludf.DUMMYFUNCTION("""COMPUTED_VALUE"""),5.36)</f>
        <v>5.36</v>
      </c>
      <c r="C699" s="1">
        <f>IFERROR(__xludf.DUMMYFUNCTION("""COMPUTED_VALUE"""),5.38)</f>
        <v>5.38</v>
      </c>
      <c r="D699" s="1">
        <f>IFERROR(__xludf.DUMMYFUNCTION("""COMPUTED_VALUE"""),5.34)</f>
        <v>5.34</v>
      </c>
      <c r="E699" s="1">
        <f>IFERROR(__xludf.DUMMYFUNCTION("""COMPUTED_VALUE"""),5.36)</f>
        <v>5.36</v>
      </c>
      <c r="F699" s="1">
        <f>IFERROR(__xludf.DUMMYFUNCTION("""COMPUTED_VALUE"""),634743.0)</f>
        <v>634743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IFERROR(__xludf.DUMMYFUNCTION("""COMPUTED_VALUE"""),5.3)</f>
        <v>5.3</v>
      </c>
      <c r="C700" s="1">
        <f>IFERROR(__xludf.DUMMYFUNCTION("""COMPUTED_VALUE"""),5.34)</f>
        <v>5.34</v>
      </c>
      <c r="D700" s="1">
        <f>IFERROR(__xludf.DUMMYFUNCTION("""COMPUTED_VALUE"""),5.22)</f>
        <v>5.22</v>
      </c>
      <c r="E700" s="1">
        <f>IFERROR(__xludf.DUMMYFUNCTION("""COMPUTED_VALUE"""),5.23)</f>
        <v>5.23</v>
      </c>
      <c r="F700" s="1">
        <f>IFERROR(__xludf.DUMMYFUNCTION("""COMPUTED_VALUE"""),401672.0)</f>
        <v>401672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IFERROR(__xludf.DUMMYFUNCTION("""COMPUTED_VALUE"""),5.29)</f>
        <v>5.29</v>
      </c>
      <c r="C701" s="1">
        <f>IFERROR(__xludf.DUMMYFUNCTION("""COMPUTED_VALUE"""),5.3)</f>
        <v>5.3</v>
      </c>
      <c r="D701" s="1">
        <f>IFERROR(__xludf.DUMMYFUNCTION("""COMPUTED_VALUE"""),5.2)</f>
        <v>5.2</v>
      </c>
      <c r="E701" s="1">
        <f>IFERROR(__xludf.DUMMYFUNCTION("""COMPUTED_VALUE"""),5.22)</f>
        <v>5.22</v>
      </c>
      <c r="F701" s="1">
        <f>IFERROR(__xludf.DUMMYFUNCTION("""COMPUTED_VALUE"""),301549.0)</f>
        <v>301549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IFERROR(__xludf.DUMMYFUNCTION("""COMPUTED_VALUE"""),5.38)</f>
        <v>5.38</v>
      </c>
      <c r="C702" s="1">
        <f>IFERROR(__xludf.DUMMYFUNCTION("""COMPUTED_VALUE"""),5.42)</f>
        <v>5.42</v>
      </c>
      <c r="D702" s="1">
        <f>IFERROR(__xludf.DUMMYFUNCTION("""COMPUTED_VALUE"""),5.34)</f>
        <v>5.34</v>
      </c>
      <c r="E702" s="1">
        <f>IFERROR(__xludf.DUMMYFUNCTION("""COMPUTED_VALUE"""),5.34)</f>
        <v>5.34</v>
      </c>
      <c r="F702" s="1">
        <f>IFERROR(__xludf.DUMMYFUNCTION("""COMPUTED_VALUE"""),540066.0)</f>
        <v>540066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IFERROR(__xludf.DUMMYFUNCTION("""COMPUTED_VALUE"""),5.41)</f>
        <v>5.41</v>
      </c>
      <c r="C703" s="1">
        <f>IFERROR(__xludf.DUMMYFUNCTION("""COMPUTED_VALUE"""),5.43)</f>
        <v>5.43</v>
      </c>
      <c r="D703" s="1">
        <f>IFERROR(__xludf.DUMMYFUNCTION("""COMPUTED_VALUE"""),5.32)</f>
        <v>5.32</v>
      </c>
      <c r="E703" s="1">
        <f>IFERROR(__xludf.DUMMYFUNCTION("""COMPUTED_VALUE"""),5.35)</f>
        <v>5.35</v>
      </c>
      <c r="F703" s="1">
        <f>IFERROR(__xludf.DUMMYFUNCTION("""COMPUTED_VALUE"""),292890.0)</f>
        <v>292890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IFERROR(__xludf.DUMMYFUNCTION("""COMPUTED_VALUE"""),5.44)</f>
        <v>5.44</v>
      </c>
      <c r="C704" s="1">
        <f>IFERROR(__xludf.DUMMYFUNCTION("""COMPUTED_VALUE"""),5.45)</f>
        <v>5.45</v>
      </c>
      <c r="D704" s="1">
        <f>IFERROR(__xludf.DUMMYFUNCTION("""COMPUTED_VALUE"""),5.39)</f>
        <v>5.39</v>
      </c>
      <c r="E704" s="1">
        <f>IFERROR(__xludf.DUMMYFUNCTION("""COMPUTED_VALUE"""),5.44)</f>
        <v>5.44</v>
      </c>
      <c r="F704" s="1">
        <f>IFERROR(__xludf.DUMMYFUNCTION("""COMPUTED_VALUE"""),323701.0)</f>
        <v>323701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IFERROR(__xludf.DUMMYFUNCTION("""COMPUTED_VALUE"""),5.56)</f>
        <v>5.56</v>
      </c>
      <c r="C705" s="1">
        <f>IFERROR(__xludf.DUMMYFUNCTION("""COMPUTED_VALUE"""),5.62)</f>
        <v>5.62</v>
      </c>
      <c r="D705" s="1">
        <f>IFERROR(__xludf.DUMMYFUNCTION("""COMPUTED_VALUE"""),5.54)</f>
        <v>5.54</v>
      </c>
      <c r="E705" s="1">
        <f>IFERROR(__xludf.DUMMYFUNCTION("""COMPUTED_VALUE"""),5.61)</f>
        <v>5.61</v>
      </c>
      <c r="F705" s="1">
        <f>IFERROR(__xludf.DUMMYFUNCTION("""COMPUTED_VALUE"""),438283.0)</f>
        <v>438283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IFERROR(__xludf.DUMMYFUNCTION("""COMPUTED_VALUE"""),5.71)</f>
        <v>5.71</v>
      </c>
      <c r="C706" s="1">
        <f>IFERROR(__xludf.DUMMYFUNCTION("""COMPUTED_VALUE"""),5.76)</f>
        <v>5.76</v>
      </c>
      <c r="D706" s="1">
        <f>IFERROR(__xludf.DUMMYFUNCTION("""COMPUTED_VALUE"""),5.68)</f>
        <v>5.68</v>
      </c>
      <c r="E706" s="1">
        <f>IFERROR(__xludf.DUMMYFUNCTION("""COMPUTED_VALUE"""),5.74)</f>
        <v>5.74</v>
      </c>
      <c r="F706" s="1">
        <f>IFERROR(__xludf.DUMMYFUNCTION("""COMPUTED_VALUE"""),472808.0)</f>
        <v>472808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IFERROR(__xludf.DUMMYFUNCTION("""COMPUTED_VALUE"""),5.74)</f>
        <v>5.74</v>
      </c>
      <c r="C707" s="1">
        <f>IFERROR(__xludf.DUMMYFUNCTION("""COMPUTED_VALUE"""),5.79)</f>
        <v>5.79</v>
      </c>
      <c r="D707" s="1">
        <f>IFERROR(__xludf.DUMMYFUNCTION("""COMPUTED_VALUE"""),5.69)</f>
        <v>5.69</v>
      </c>
      <c r="E707" s="1">
        <f>IFERROR(__xludf.DUMMYFUNCTION("""COMPUTED_VALUE"""),5.72)</f>
        <v>5.72</v>
      </c>
      <c r="F707" s="1">
        <f>IFERROR(__xludf.DUMMYFUNCTION("""COMPUTED_VALUE"""),437312.0)</f>
        <v>437312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IFERROR(__xludf.DUMMYFUNCTION("""COMPUTED_VALUE"""),5.68)</f>
        <v>5.68</v>
      </c>
      <c r="C708" s="1">
        <f>IFERROR(__xludf.DUMMYFUNCTION("""COMPUTED_VALUE"""),5.69)</f>
        <v>5.69</v>
      </c>
      <c r="D708" s="1">
        <f>IFERROR(__xludf.DUMMYFUNCTION("""COMPUTED_VALUE"""),5.59)</f>
        <v>5.59</v>
      </c>
      <c r="E708" s="1">
        <f>IFERROR(__xludf.DUMMYFUNCTION("""COMPUTED_VALUE"""),5.61)</f>
        <v>5.61</v>
      </c>
      <c r="F708" s="1">
        <f>IFERROR(__xludf.DUMMYFUNCTION("""COMPUTED_VALUE"""),329219.0)</f>
        <v>329219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IFERROR(__xludf.DUMMYFUNCTION("""COMPUTED_VALUE"""),5.72)</f>
        <v>5.72</v>
      </c>
      <c r="C709" s="1">
        <f>IFERROR(__xludf.DUMMYFUNCTION("""COMPUTED_VALUE"""),5.74)</f>
        <v>5.74</v>
      </c>
      <c r="D709" s="1">
        <f>IFERROR(__xludf.DUMMYFUNCTION("""COMPUTED_VALUE"""),5.61)</f>
        <v>5.61</v>
      </c>
      <c r="E709" s="1">
        <f>IFERROR(__xludf.DUMMYFUNCTION("""COMPUTED_VALUE"""),5.68)</f>
        <v>5.68</v>
      </c>
      <c r="F709" s="1">
        <f>IFERROR(__xludf.DUMMYFUNCTION("""COMPUTED_VALUE"""),234175.0)</f>
        <v>234175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IFERROR(__xludf.DUMMYFUNCTION("""COMPUTED_VALUE"""),5.44)</f>
        <v>5.44</v>
      </c>
      <c r="C710" s="1">
        <f>IFERROR(__xludf.DUMMYFUNCTION("""COMPUTED_VALUE"""),5.49)</f>
        <v>5.49</v>
      </c>
      <c r="D710" s="1">
        <f>IFERROR(__xludf.DUMMYFUNCTION("""COMPUTED_VALUE"""),5.41)</f>
        <v>5.41</v>
      </c>
      <c r="E710" s="1">
        <f>IFERROR(__xludf.DUMMYFUNCTION("""COMPUTED_VALUE"""),5.45)</f>
        <v>5.45</v>
      </c>
      <c r="F710" s="1">
        <f>IFERROR(__xludf.DUMMYFUNCTION("""COMPUTED_VALUE"""),490641.0)</f>
        <v>490641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IFERROR(__xludf.DUMMYFUNCTION("""COMPUTED_VALUE"""),5.44)</f>
        <v>5.44</v>
      </c>
      <c r="C711" s="1">
        <f>IFERROR(__xludf.DUMMYFUNCTION("""COMPUTED_VALUE"""),5.46)</f>
        <v>5.46</v>
      </c>
      <c r="D711" s="1">
        <f>IFERROR(__xludf.DUMMYFUNCTION("""COMPUTED_VALUE"""),5.38)</f>
        <v>5.38</v>
      </c>
      <c r="E711" s="1">
        <f>IFERROR(__xludf.DUMMYFUNCTION("""COMPUTED_VALUE"""),5.38)</f>
        <v>5.38</v>
      </c>
      <c r="F711" s="1">
        <f>IFERROR(__xludf.DUMMYFUNCTION("""COMPUTED_VALUE"""),267673.0)</f>
        <v>267673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IFERROR(__xludf.DUMMYFUNCTION("""COMPUTED_VALUE"""),5.52)</f>
        <v>5.52</v>
      </c>
      <c r="C712" s="1">
        <f>IFERROR(__xludf.DUMMYFUNCTION("""COMPUTED_VALUE"""),5.54)</f>
        <v>5.54</v>
      </c>
      <c r="D712" s="1">
        <f>IFERROR(__xludf.DUMMYFUNCTION("""COMPUTED_VALUE"""),5.42)</f>
        <v>5.42</v>
      </c>
      <c r="E712" s="1">
        <f>IFERROR(__xludf.DUMMYFUNCTION("""COMPUTED_VALUE"""),5.45)</f>
        <v>5.45</v>
      </c>
      <c r="F712" s="1">
        <f>IFERROR(__xludf.DUMMYFUNCTION("""COMPUTED_VALUE"""),262927.0)</f>
        <v>262927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IFERROR(__xludf.DUMMYFUNCTION("""COMPUTED_VALUE"""),5.45)</f>
        <v>5.45</v>
      </c>
      <c r="C713" s="1">
        <f>IFERROR(__xludf.DUMMYFUNCTION("""COMPUTED_VALUE"""),5.48)</f>
        <v>5.48</v>
      </c>
      <c r="D713" s="1">
        <f>IFERROR(__xludf.DUMMYFUNCTION("""COMPUTED_VALUE"""),5.38)</f>
        <v>5.38</v>
      </c>
      <c r="E713" s="1">
        <f>IFERROR(__xludf.DUMMYFUNCTION("""COMPUTED_VALUE"""),5.43)</f>
        <v>5.43</v>
      </c>
      <c r="F713" s="1">
        <f>IFERROR(__xludf.DUMMYFUNCTION("""COMPUTED_VALUE"""),523978.0)</f>
        <v>523978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IFERROR(__xludf.DUMMYFUNCTION("""COMPUTED_VALUE"""),5.59)</f>
        <v>5.59</v>
      </c>
      <c r="C714" s="1">
        <f>IFERROR(__xludf.DUMMYFUNCTION("""COMPUTED_VALUE"""),5.6)</f>
        <v>5.6</v>
      </c>
      <c r="D714" s="1">
        <f>IFERROR(__xludf.DUMMYFUNCTION("""COMPUTED_VALUE"""),5.54)</f>
        <v>5.54</v>
      </c>
      <c r="E714" s="1">
        <f>IFERROR(__xludf.DUMMYFUNCTION("""COMPUTED_VALUE"""),5.58)</f>
        <v>5.58</v>
      </c>
      <c r="F714" s="1">
        <f>IFERROR(__xludf.DUMMYFUNCTION("""COMPUTED_VALUE"""),305982.0)</f>
        <v>305982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IFERROR(__xludf.DUMMYFUNCTION("""COMPUTED_VALUE"""),5.6)</f>
        <v>5.6</v>
      </c>
      <c r="C715" s="1">
        <f>IFERROR(__xludf.DUMMYFUNCTION("""COMPUTED_VALUE"""),5.67)</f>
        <v>5.67</v>
      </c>
      <c r="D715" s="1">
        <f>IFERROR(__xludf.DUMMYFUNCTION("""COMPUTED_VALUE"""),5.6)</f>
        <v>5.6</v>
      </c>
      <c r="E715" s="1">
        <f>IFERROR(__xludf.DUMMYFUNCTION("""COMPUTED_VALUE"""),5.65)</f>
        <v>5.65</v>
      </c>
      <c r="F715" s="1">
        <f>IFERROR(__xludf.DUMMYFUNCTION("""COMPUTED_VALUE"""),282886.0)</f>
        <v>282886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IFERROR(__xludf.DUMMYFUNCTION("""COMPUTED_VALUE"""),5.67)</f>
        <v>5.67</v>
      </c>
      <c r="C716" s="1">
        <f>IFERROR(__xludf.DUMMYFUNCTION("""COMPUTED_VALUE"""),5.68)</f>
        <v>5.68</v>
      </c>
      <c r="D716" s="1">
        <f>IFERROR(__xludf.DUMMYFUNCTION("""COMPUTED_VALUE"""),5.56)</f>
        <v>5.56</v>
      </c>
      <c r="E716" s="1">
        <f>IFERROR(__xludf.DUMMYFUNCTION("""COMPUTED_VALUE"""),5.56)</f>
        <v>5.56</v>
      </c>
      <c r="F716" s="1">
        <f>IFERROR(__xludf.DUMMYFUNCTION("""COMPUTED_VALUE"""),256199.0)</f>
        <v>256199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IFERROR(__xludf.DUMMYFUNCTION("""COMPUTED_VALUE"""),5.53)</f>
        <v>5.53</v>
      </c>
      <c r="C717" s="1">
        <f>IFERROR(__xludf.DUMMYFUNCTION("""COMPUTED_VALUE"""),5.6)</f>
        <v>5.6</v>
      </c>
      <c r="D717" s="1">
        <f>IFERROR(__xludf.DUMMYFUNCTION("""COMPUTED_VALUE"""),5.51)</f>
        <v>5.51</v>
      </c>
      <c r="E717" s="1">
        <f>IFERROR(__xludf.DUMMYFUNCTION("""COMPUTED_VALUE"""),5.59)</f>
        <v>5.59</v>
      </c>
      <c r="F717" s="1">
        <f>IFERROR(__xludf.DUMMYFUNCTION("""COMPUTED_VALUE"""),833411.0)</f>
        <v>833411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IFERROR(__xludf.DUMMYFUNCTION("""COMPUTED_VALUE"""),5.63)</f>
        <v>5.63</v>
      </c>
      <c r="C718" s="1">
        <f>IFERROR(__xludf.DUMMYFUNCTION("""COMPUTED_VALUE"""),5.68)</f>
        <v>5.68</v>
      </c>
      <c r="D718" s="1">
        <f>IFERROR(__xludf.DUMMYFUNCTION("""COMPUTED_VALUE"""),5.61)</f>
        <v>5.61</v>
      </c>
      <c r="E718" s="1">
        <f>IFERROR(__xludf.DUMMYFUNCTION("""COMPUTED_VALUE"""),5.65)</f>
        <v>5.65</v>
      </c>
      <c r="F718" s="1">
        <f>IFERROR(__xludf.DUMMYFUNCTION("""COMPUTED_VALUE"""),209224.0)</f>
        <v>209224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IFERROR(__xludf.DUMMYFUNCTION("""COMPUTED_VALUE"""),5.53)</f>
        <v>5.53</v>
      </c>
      <c r="C719" s="1">
        <f>IFERROR(__xludf.DUMMYFUNCTION("""COMPUTED_VALUE"""),5.55)</f>
        <v>5.55</v>
      </c>
      <c r="D719" s="1">
        <f>IFERROR(__xludf.DUMMYFUNCTION("""COMPUTED_VALUE"""),5.47)</f>
        <v>5.47</v>
      </c>
      <c r="E719" s="1">
        <f>IFERROR(__xludf.DUMMYFUNCTION("""COMPUTED_VALUE"""),5.52)</f>
        <v>5.52</v>
      </c>
      <c r="F719" s="1">
        <f>IFERROR(__xludf.DUMMYFUNCTION("""COMPUTED_VALUE"""),483796.0)</f>
        <v>483796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IFERROR(__xludf.DUMMYFUNCTION("""COMPUTED_VALUE"""),5.57)</f>
        <v>5.57</v>
      </c>
      <c r="C720" s="1">
        <f>IFERROR(__xludf.DUMMYFUNCTION("""COMPUTED_VALUE"""),5.66)</f>
        <v>5.66</v>
      </c>
      <c r="D720" s="1">
        <f>IFERROR(__xludf.DUMMYFUNCTION("""COMPUTED_VALUE"""),5.54)</f>
        <v>5.54</v>
      </c>
      <c r="E720" s="1">
        <f>IFERROR(__xludf.DUMMYFUNCTION("""COMPUTED_VALUE"""),5.55)</f>
        <v>5.55</v>
      </c>
      <c r="F720" s="1">
        <f>IFERROR(__xludf.DUMMYFUNCTION("""COMPUTED_VALUE"""),1180644.0)</f>
        <v>1180644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IFERROR(__xludf.DUMMYFUNCTION("""COMPUTED_VALUE"""),5.29)</f>
        <v>5.29</v>
      </c>
      <c r="C721" s="1">
        <f>IFERROR(__xludf.DUMMYFUNCTION("""COMPUTED_VALUE"""),5.43)</f>
        <v>5.43</v>
      </c>
      <c r="D721" s="1">
        <f>IFERROR(__xludf.DUMMYFUNCTION("""COMPUTED_VALUE"""),5.29)</f>
        <v>5.29</v>
      </c>
      <c r="E721" s="1">
        <f>IFERROR(__xludf.DUMMYFUNCTION("""COMPUTED_VALUE"""),5.35)</f>
        <v>5.35</v>
      </c>
      <c r="F721" s="1">
        <f>IFERROR(__xludf.DUMMYFUNCTION("""COMPUTED_VALUE"""),1070174.0)</f>
        <v>1070174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IFERROR(__xludf.DUMMYFUNCTION("""COMPUTED_VALUE"""),5.42)</f>
        <v>5.42</v>
      </c>
      <c r="C722" s="1">
        <f>IFERROR(__xludf.DUMMYFUNCTION("""COMPUTED_VALUE"""),5.44)</f>
        <v>5.44</v>
      </c>
      <c r="D722" s="1">
        <f>IFERROR(__xludf.DUMMYFUNCTION("""COMPUTED_VALUE"""),5.38)</f>
        <v>5.38</v>
      </c>
      <c r="E722" s="1">
        <f>IFERROR(__xludf.DUMMYFUNCTION("""COMPUTED_VALUE"""),5.41)</f>
        <v>5.41</v>
      </c>
      <c r="F722" s="1">
        <f>IFERROR(__xludf.DUMMYFUNCTION("""COMPUTED_VALUE"""),397682.0)</f>
        <v>397682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IFERROR(__xludf.DUMMYFUNCTION("""COMPUTED_VALUE"""),5.33)</f>
        <v>5.33</v>
      </c>
      <c r="C723" s="1">
        <f>IFERROR(__xludf.DUMMYFUNCTION("""COMPUTED_VALUE"""),5.43)</f>
        <v>5.43</v>
      </c>
      <c r="D723" s="1">
        <f>IFERROR(__xludf.DUMMYFUNCTION("""COMPUTED_VALUE"""),5.32)</f>
        <v>5.32</v>
      </c>
      <c r="E723" s="1">
        <f>IFERROR(__xludf.DUMMYFUNCTION("""COMPUTED_VALUE"""),5.34)</f>
        <v>5.34</v>
      </c>
      <c r="F723" s="1">
        <f>IFERROR(__xludf.DUMMYFUNCTION("""COMPUTED_VALUE"""),423835.0)</f>
        <v>423835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IFERROR(__xludf.DUMMYFUNCTION("""COMPUTED_VALUE"""),5.43)</f>
        <v>5.43</v>
      </c>
      <c r="C724" s="1">
        <f>IFERROR(__xludf.DUMMYFUNCTION("""COMPUTED_VALUE"""),5.55)</f>
        <v>5.55</v>
      </c>
      <c r="D724" s="1">
        <f>IFERROR(__xludf.DUMMYFUNCTION("""COMPUTED_VALUE"""),5.3)</f>
        <v>5.3</v>
      </c>
      <c r="E724" s="1">
        <f>IFERROR(__xludf.DUMMYFUNCTION("""COMPUTED_VALUE"""),5.32)</f>
        <v>5.32</v>
      </c>
      <c r="F724" s="1">
        <f>IFERROR(__xludf.DUMMYFUNCTION("""COMPUTED_VALUE"""),702033.0)</f>
        <v>702033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IFERROR(__xludf.DUMMYFUNCTION("""COMPUTED_VALUE"""),5.29)</f>
        <v>5.29</v>
      </c>
      <c r="C725" s="1">
        <f>IFERROR(__xludf.DUMMYFUNCTION("""COMPUTED_VALUE"""),5.35)</f>
        <v>5.35</v>
      </c>
      <c r="D725" s="1">
        <f>IFERROR(__xludf.DUMMYFUNCTION("""COMPUTED_VALUE"""),5.28)</f>
        <v>5.28</v>
      </c>
      <c r="E725" s="1">
        <f>IFERROR(__xludf.DUMMYFUNCTION("""COMPUTED_VALUE"""),5.32)</f>
        <v>5.32</v>
      </c>
      <c r="F725" s="1">
        <f>IFERROR(__xludf.DUMMYFUNCTION("""COMPUTED_VALUE"""),539559.0)</f>
        <v>539559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IFERROR(__xludf.DUMMYFUNCTION("""COMPUTED_VALUE"""),5.24)</f>
        <v>5.24</v>
      </c>
      <c r="C726" s="1">
        <f>IFERROR(__xludf.DUMMYFUNCTION("""COMPUTED_VALUE"""),5.24)</f>
        <v>5.24</v>
      </c>
      <c r="D726" s="1">
        <f>IFERROR(__xludf.DUMMYFUNCTION("""COMPUTED_VALUE"""),5.16)</f>
        <v>5.16</v>
      </c>
      <c r="E726" s="1">
        <f>IFERROR(__xludf.DUMMYFUNCTION("""COMPUTED_VALUE"""),5.22)</f>
        <v>5.22</v>
      </c>
      <c r="F726" s="1">
        <f>IFERROR(__xludf.DUMMYFUNCTION("""COMPUTED_VALUE"""),503250.0)</f>
        <v>503250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IFERROR(__xludf.DUMMYFUNCTION("""COMPUTED_VALUE"""),5.37)</f>
        <v>5.37</v>
      </c>
      <c r="C727" s="1">
        <f>IFERROR(__xludf.DUMMYFUNCTION("""COMPUTED_VALUE"""),5.42)</f>
        <v>5.42</v>
      </c>
      <c r="D727" s="1">
        <f>IFERROR(__xludf.DUMMYFUNCTION("""COMPUTED_VALUE"""),5.35)</f>
        <v>5.35</v>
      </c>
      <c r="E727" s="1">
        <f>IFERROR(__xludf.DUMMYFUNCTION("""COMPUTED_VALUE"""),5.4)</f>
        <v>5.4</v>
      </c>
      <c r="F727" s="1">
        <f>IFERROR(__xludf.DUMMYFUNCTION("""COMPUTED_VALUE"""),602758.0)</f>
        <v>602758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IFERROR(__xludf.DUMMYFUNCTION("""COMPUTED_VALUE"""),5.4)</f>
        <v>5.4</v>
      </c>
      <c r="C728" s="1">
        <f>IFERROR(__xludf.DUMMYFUNCTION("""COMPUTED_VALUE"""),5.44)</f>
        <v>5.44</v>
      </c>
      <c r="D728" s="1">
        <f>IFERROR(__xludf.DUMMYFUNCTION("""COMPUTED_VALUE"""),5.36)</f>
        <v>5.36</v>
      </c>
      <c r="E728" s="1">
        <f>IFERROR(__xludf.DUMMYFUNCTION("""COMPUTED_VALUE"""),5.44)</f>
        <v>5.44</v>
      </c>
      <c r="F728" s="1">
        <f>IFERROR(__xludf.DUMMYFUNCTION("""COMPUTED_VALUE"""),959354.0)</f>
        <v>959354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IFERROR(__xludf.DUMMYFUNCTION("""COMPUTED_VALUE"""),5.45)</f>
        <v>5.45</v>
      </c>
      <c r="C729" s="1">
        <f>IFERROR(__xludf.DUMMYFUNCTION("""COMPUTED_VALUE"""),5.47)</f>
        <v>5.47</v>
      </c>
      <c r="D729" s="1">
        <f>IFERROR(__xludf.DUMMYFUNCTION("""COMPUTED_VALUE"""),5.42)</f>
        <v>5.42</v>
      </c>
      <c r="E729" s="1">
        <f>IFERROR(__xludf.DUMMYFUNCTION("""COMPUTED_VALUE"""),5.47)</f>
        <v>5.47</v>
      </c>
      <c r="F729" s="1">
        <f>IFERROR(__xludf.DUMMYFUNCTION("""COMPUTED_VALUE"""),270772.0)</f>
        <v>270772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IFERROR(__xludf.DUMMYFUNCTION("""COMPUTED_VALUE"""),5.62)</f>
        <v>5.62</v>
      </c>
      <c r="C730" s="1">
        <f>IFERROR(__xludf.DUMMYFUNCTION("""COMPUTED_VALUE"""),5.7)</f>
        <v>5.7</v>
      </c>
      <c r="D730" s="1">
        <f>IFERROR(__xludf.DUMMYFUNCTION("""COMPUTED_VALUE"""),5.62)</f>
        <v>5.62</v>
      </c>
      <c r="E730" s="1">
        <f>IFERROR(__xludf.DUMMYFUNCTION("""COMPUTED_VALUE"""),5.7)</f>
        <v>5.7</v>
      </c>
      <c r="F730" s="1">
        <f>IFERROR(__xludf.DUMMYFUNCTION("""COMPUTED_VALUE"""),239105.0)</f>
        <v>239105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IFERROR(__xludf.DUMMYFUNCTION("""COMPUTED_VALUE"""),5.6)</f>
        <v>5.6</v>
      </c>
      <c r="C731" s="1">
        <f>IFERROR(__xludf.DUMMYFUNCTION("""COMPUTED_VALUE"""),5.64)</f>
        <v>5.64</v>
      </c>
      <c r="D731" s="1">
        <f>IFERROR(__xludf.DUMMYFUNCTION("""COMPUTED_VALUE"""),5.59)</f>
        <v>5.59</v>
      </c>
      <c r="E731" s="1">
        <f>IFERROR(__xludf.DUMMYFUNCTION("""COMPUTED_VALUE"""),5.64)</f>
        <v>5.64</v>
      </c>
      <c r="F731" s="1">
        <f>IFERROR(__xludf.DUMMYFUNCTION("""COMPUTED_VALUE"""),404671.0)</f>
        <v>404671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IFERROR(__xludf.DUMMYFUNCTION("""COMPUTED_VALUE"""),5.59)</f>
        <v>5.59</v>
      </c>
      <c r="C732" s="1">
        <f>IFERROR(__xludf.DUMMYFUNCTION("""COMPUTED_VALUE"""),5.63)</f>
        <v>5.63</v>
      </c>
      <c r="D732" s="1">
        <f>IFERROR(__xludf.DUMMYFUNCTION("""COMPUTED_VALUE"""),5.56)</f>
        <v>5.56</v>
      </c>
      <c r="E732" s="1">
        <f>IFERROR(__xludf.DUMMYFUNCTION("""COMPUTED_VALUE"""),5.57)</f>
        <v>5.57</v>
      </c>
      <c r="F732" s="1">
        <f>IFERROR(__xludf.DUMMYFUNCTION("""COMPUTED_VALUE"""),916503.0)</f>
        <v>916503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IFERROR(__xludf.DUMMYFUNCTION("""COMPUTED_VALUE"""),5.52)</f>
        <v>5.52</v>
      </c>
      <c r="C733" s="1">
        <f>IFERROR(__xludf.DUMMYFUNCTION("""COMPUTED_VALUE"""),5.67)</f>
        <v>5.67</v>
      </c>
      <c r="D733" s="1">
        <f>IFERROR(__xludf.DUMMYFUNCTION("""COMPUTED_VALUE"""),5.51)</f>
        <v>5.51</v>
      </c>
      <c r="E733" s="1">
        <f>IFERROR(__xludf.DUMMYFUNCTION("""COMPUTED_VALUE"""),5.66)</f>
        <v>5.66</v>
      </c>
      <c r="F733" s="1">
        <f>IFERROR(__xludf.DUMMYFUNCTION("""COMPUTED_VALUE"""),582707.0)</f>
        <v>582707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IFERROR(__xludf.DUMMYFUNCTION("""COMPUTED_VALUE"""),5.72)</f>
        <v>5.72</v>
      </c>
      <c r="C734" s="1">
        <f>IFERROR(__xludf.DUMMYFUNCTION("""COMPUTED_VALUE"""),5.76)</f>
        <v>5.76</v>
      </c>
      <c r="D734" s="1">
        <f>IFERROR(__xludf.DUMMYFUNCTION("""COMPUTED_VALUE"""),5.69)</f>
        <v>5.69</v>
      </c>
      <c r="E734" s="1">
        <f>IFERROR(__xludf.DUMMYFUNCTION("""COMPUTED_VALUE"""),5.73)</f>
        <v>5.73</v>
      </c>
      <c r="F734" s="1">
        <f>IFERROR(__xludf.DUMMYFUNCTION("""COMPUTED_VALUE"""),300185.0)</f>
        <v>300185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IFERROR(__xludf.DUMMYFUNCTION("""COMPUTED_VALUE"""),5.74)</f>
        <v>5.74</v>
      </c>
      <c r="C735" s="1">
        <f>IFERROR(__xludf.DUMMYFUNCTION("""COMPUTED_VALUE"""),5.78)</f>
        <v>5.78</v>
      </c>
      <c r="D735" s="1">
        <f>IFERROR(__xludf.DUMMYFUNCTION("""COMPUTED_VALUE"""),5.7)</f>
        <v>5.7</v>
      </c>
      <c r="E735" s="1">
        <f>IFERROR(__xludf.DUMMYFUNCTION("""COMPUTED_VALUE"""),5.74)</f>
        <v>5.74</v>
      </c>
      <c r="F735" s="1">
        <f>IFERROR(__xludf.DUMMYFUNCTION("""COMPUTED_VALUE"""),442487.0)</f>
        <v>442487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IFERROR(__xludf.DUMMYFUNCTION("""COMPUTED_VALUE"""),5.78)</f>
        <v>5.78</v>
      </c>
      <c r="C736" s="1">
        <f>IFERROR(__xludf.DUMMYFUNCTION("""COMPUTED_VALUE"""),5.79)</f>
        <v>5.79</v>
      </c>
      <c r="D736" s="1">
        <f>IFERROR(__xludf.DUMMYFUNCTION("""COMPUTED_VALUE"""),5.72)</f>
        <v>5.72</v>
      </c>
      <c r="E736" s="1">
        <f>IFERROR(__xludf.DUMMYFUNCTION("""COMPUTED_VALUE"""),5.74)</f>
        <v>5.74</v>
      </c>
      <c r="F736" s="1">
        <f>IFERROR(__xludf.DUMMYFUNCTION("""COMPUTED_VALUE"""),384890.0)</f>
        <v>384890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IFERROR(__xludf.DUMMYFUNCTION("""COMPUTED_VALUE"""),5.82)</f>
        <v>5.82</v>
      </c>
      <c r="C737" s="1">
        <f>IFERROR(__xludf.DUMMYFUNCTION("""COMPUTED_VALUE"""),5.85)</f>
        <v>5.85</v>
      </c>
      <c r="D737" s="1">
        <f>IFERROR(__xludf.DUMMYFUNCTION("""COMPUTED_VALUE"""),5.8)</f>
        <v>5.8</v>
      </c>
      <c r="E737" s="1">
        <f>IFERROR(__xludf.DUMMYFUNCTION("""COMPUTED_VALUE"""),5.83)</f>
        <v>5.83</v>
      </c>
      <c r="F737" s="1">
        <f>IFERROR(__xludf.DUMMYFUNCTION("""COMPUTED_VALUE"""),916500.0)</f>
        <v>916500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IFERROR(__xludf.DUMMYFUNCTION("""COMPUTED_VALUE"""),5.87)</f>
        <v>5.87</v>
      </c>
      <c r="C738" s="1">
        <f>IFERROR(__xludf.DUMMYFUNCTION("""COMPUTED_VALUE"""),5.87)</f>
        <v>5.87</v>
      </c>
      <c r="D738" s="1">
        <f>IFERROR(__xludf.DUMMYFUNCTION("""COMPUTED_VALUE"""),5.77)</f>
        <v>5.77</v>
      </c>
      <c r="E738" s="1">
        <f>IFERROR(__xludf.DUMMYFUNCTION("""COMPUTED_VALUE"""),5.82)</f>
        <v>5.82</v>
      </c>
      <c r="F738" s="1">
        <f>IFERROR(__xludf.DUMMYFUNCTION("""COMPUTED_VALUE"""),1006466.0)</f>
        <v>1006466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IFERROR(__xludf.DUMMYFUNCTION("""COMPUTED_VALUE"""),5.88)</f>
        <v>5.88</v>
      </c>
      <c r="C739" s="1">
        <f>IFERROR(__xludf.DUMMYFUNCTION("""COMPUTED_VALUE"""),5.93)</f>
        <v>5.93</v>
      </c>
      <c r="D739" s="1">
        <f>IFERROR(__xludf.DUMMYFUNCTION("""COMPUTED_VALUE"""),5.86)</f>
        <v>5.86</v>
      </c>
      <c r="E739" s="1">
        <f>IFERROR(__xludf.DUMMYFUNCTION("""COMPUTED_VALUE"""),5.92)</f>
        <v>5.92</v>
      </c>
      <c r="F739" s="1">
        <f>IFERROR(__xludf.DUMMYFUNCTION("""COMPUTED_VALUE"""),1070721.0)</f>
        <v>1070721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IFERROR(__xludf.DUMMYFUNCTION("""COMPUTED_VALUE"""),5.92)</f>
        <v>5.92</v>
      </c>
      <c r="C740" s="1">
        <f>IFERROR(__xludf.DUMMYFUNCTION("""COMPUTED_VALUE"""),5.94)</f>
        <v>5.94</v>
      </c>
      <c r="D740" s="1">
        <f>IFERROR(__xludf.DUMMYFUNCTION("""COMPUTED_VALUE"""),5.88)</f>
        <v>5.88</v>
      </c>
      <c r="E740" s="1">
        <f>IFERROR(__xludf.DUMMYFUNCTION("""COMPUTED_VALUE"""),5.93)</f>
        <v>5.93</v>
      </c>
      <c r="F740" s="1">
        <f>IFERROR(__xludf.DUMMYFUNCTION("""COMPUTED_VALUE"""),800617.0)</f>
        <v>800617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IFERROR(__xludf.DUMMYFUNCTION("""COMPUTED_VALUE"""),5.88)</f>
        <v>5.88</v>
      </c>
      <c r="C741" s="1">
        <f>IFERROR(__xludf.DUMMYFUNCTION("""COMPUTED_VALUE"""),5.9)</f>
        <v>5.9</v>
      </c>
      <c r="D741" s="1">
        <f>IFERROR(__xludf.DUMMYFUNCTION("""COMPUTED_VALUE"""),5.84)</f>
        <v>5.84</v>
      </c>
      <c r="E741" s="1">
        <f>IFERROR(__xludf.DUMMYFUNCTION("""COMPUTED_VALUE"""),5.9)</f>
        <v>5.9</v>
      </c>
      <c r="F741" s="1">
        <f>IFERROR(__xludf.DUMMYFUNCTION("""COMPUTED_VALUE"""),485603.0)</f>
        <v>485603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IFERROR(__xludf.DUMMYFUNCTION("""COMPUTED_VALUE"""),5.9)</f>
        <v>5.9</v>
      </c>
      <c r="C742" s="1">
        <f>IFERROR(__xludf.DUMMYFUNCTION("""COMPUTED_VALUE"""),5.97)</f>
        <v>5.97</v>
      </c>
      <c r="D742" s="1">
        <f>IFERROR(__xludf.DUMMYFUNCTION("""COMPUTED_VALUE"""),5.9)</f>
        <v>5.9</v>
      </c>
      <c r="E742" s="1">
        <f>IFERROR(__xludf.DUMMYFUNCTION("""COMPUTED_VALUE"""),5.95)</f>
        <v>5.95</v>
      </c>
      <c r="F742" s="1">
        <f>IFERROR(__xludf.DUMMYFUNCTION("""COMPUTED_VALUE"""),1063271.0)</f>
        <v>1063271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IFERROR(__xludf.DUMMYFUNCTION("""COMPUTED_VALUE"""),5.95)</f>
        <v>5.95</v>
      </c>
      <c r="C743" s="1">
        <f>IFERROR(__xludf.DUMMYFUNCTION("""COMPUTED_VALUE"""),6.06)</f>
        <v>6.06</v>
      </c>
      <c r="D743" s="1">
        <f>IFERROR(__xludf.DUMMYFUNCTION("""COMPUTED_VALUE"""),5.95)</f>
        <v>5.95</v>
      </c>
      <c r="E743" s="1">
        <f>IFERROR(__xludf.DUMMYFUNCTION("""COMPUTED_VALUE"""),6.0)</f>
        <v>6</v>
      </c>
      <c r="F743" s="1">
        <f>IFERROR(__xludf.DUMMYFUNCTION("""COMPUTED_VALUE"""),1298419.0)</f>
        <v>1298419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IFERROR(__xludf.DUMMYFUNCTION("""COMPUTED_VALUE"""),6.03)</f>
        <v>6.03</v>
      </c>
      <c r="C744" s="1">
        <f>IFERROR(__xludf.DUMMYFUNCTION("""COMPUTED_VALUE"""),6.09)</f>
        <v>6.09</v>
      </c>
      <c r="D744" s="1">
        <f>IFERROR(__xludf.DUMMYFUNCTION("""COMPUTED_VALUE"""),6.01)</f>
        <v>6.01</v>
      </c>
      <c r="E744" s="1">
        <f>IFERROR(__xludf.DUMMYFUNCTION("""COMPUTED_VALUE"""),6.04)</f>
        <v>6.04</v>
      </c>
      <c r="F744" s="1">
        <f>IFERROR(__xludf.DUMMYFUNCTION("""COMPUTED_VALUE"""),472365.0)</f>
        <v>472365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IFERROR(__xludf.DUMMYFUNCTION("""COMPUTED_VALUE"""),6.06)</f>
        <v>6.06</v>
      </c>
      <c r="C745" s="1">
        <f>IFERROR(__xludf.DUMMYFUNCTION("""COMPUTED_VALUE"""),6.1)</f>
        <v>6.1</v>
      </c>
      <c r="D745" s="1">
        <f>IFERROR(__xludf.DUMMYFUNCTION("""COMPUTED_VALUE"""),6.03)</f>
        <v>6.03</v>
      </c>
      <c r="E745" s="1">
        <f>IFERROR(__xludf.DUMMYFUNCTION("""COMPUTED_VALUE"""),6.06)</f>
        <v>6.06</v>
      </c>
      <c r="F745" s="1">
        <f>IFERROR(__xludf.DUMMYFUNCTION("""COMPUTED_VALUE"""),422719.0)</f>
        <v>422719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IFERROR(__xludf.DUMMYFUNCTION("""COMPUTED_VALUE"""),6.02)</f>
        <v>6.02</v>
      </c>
      <c r="C746" s="1">
        <f>IFERROR(__xludf.DUMMYFUNCTION("""COMPUTED_VALUE"""),6.1)</f>
        <v>6.1</v>
      </c>
      <c r="D746" s="1">
        <f>IFERROR(__xludf.DUMMYFUNCTION("""COMPUTED_VALUE"""),6.02)</f>
        <v>6.02</v>
      </c>
      <c r="E746" s="1">
        <f>IFERROR(__xludf.DUMMYFUNCTION("""COMPUTED_VALUE"""),6.08)</f>
        <v>6.08</v>
      </c>
      <c r="F746" s="1">
        <f>IFERROR(__xludf.DUMMYFUNCTION("""COMPUTED_VALUE"""),1018666.0)</f>
        <v>1018666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IFERROR(__xludf.DUMMYFUNCTION("""COMPUTED_VALUE"""),6.16)</f>
        <v>6.16</v>
      </c>
      <c r="C747" s="1">
        <f>IFERROR(__xludf.DUMMYFUNCTION("""COMPUTED_VALUE"""),6.26)</f>
        <v>6.26</v>
      </c>
      <c r="D747" s="1">
        <f>IFERROR(__xludf.DUMMYFUNCTION("""COMPUTED_VALUE"""),6.16)</f>
        <v>6.16</v>
      </c>
      <c r="E747" s="1">
        <f>IFERROR(__xludf.DUMMYFUNCTION("""COMPUTED_VALUE"""),6.24)</f>
        <v>6.24</v>
      </c>
      <c r="F747" s="1">
        <f>IFERROR(__xludf.DUMMYFUNCTION("""COMPUTED_VALUE"""),950061.0)</f>
        <v>950061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IFERROR(__xludf.DUMMYFUNCTION("""COMPUTED_VALUE"""),6.36)</f>
        <v>6.36</v>
      </c>
      <c r="C748" s="1">
        <f>IFERROR(__xludf.DUMMYFUNCTION("""COMPUTED_VALUE"""),6.39)</f>
        <v>6.39</v>
      </c>
      <c r="D748" s="1">
        <f>IFERROR(__xludf.DUMMYFUNCTION("""COMPUTED_VALUE"""),6.29)</f>
        <v>6.29</v>
      </c>
      <c r="E748" s="1">
        <f>IFERROR(__xludf.DUMMYFUNCTION("""COMPUTED_VALUE"""),6.31)</f>
        <v>6.31</v>
      </c>
      <c r="F748" s="1">
        <f>IFERROR(__xludf.DUMMYFUNCTION("""COMPUTED_VALUE"""),1038367.0)</f>
        <v>1038367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IFERROR(__xludf.DUMMYFUNCTION("""COMPUTED_VALUE"""),6.43)</f>
        <v>6.43</v>
      </c>
      <c r="C749" s="1">
        <f>IFERROR(__xludf.DUMMYFUNCTION("""COMPUTED_VALUE"""),6.49)</f>
        <v>6.49</v>
      </c>
      <c r="D749" s="1">
        <f>IFERROR(__xludf.DUMMYFUNCTION("""COMPUTED_VALUE"""),6.4)</f>
        <v>6.4</v>
      </c>
      <c r="E749" s="1">
        <f>IFERROR(__xludf.DUMMYFUNCTION("""COMPUTED_VALUE"""),6.47)</f>
        <v>6.47</v>
      </c>
      <c r="F749" s="1">
        <f>IFERROR(__xludf.DUMMYFUNCTION("""COMPUTED_VALUE"""),795253.0)</f>
        <v>795253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IFERROR(__xludf.DUMMYFUNCTION("""COMPUTED_VALUE"""),6.27)</f>
        <v>6.27</v>
      </c>
      <c r="C750" s="1">
        <f>IFERROR(__xludf.DUMMYFUNCTION("""COMPUTED_VALUE"""),6.35)</f>
        <v>6.35</v>
      </c>
      <c r="D750" s="1">
        <f>IFERROR(__xludf.DUMMYFUNCTION("""COMPUTED_VALUE"""),6.27)</f>
        <v>6.27</v>
      </c>
      <c r="E750" s="1">
        <f>IFERROR(__xludf.DUMMYFUNCTION("""COMPUTED_VALUE"""),6.35)</f>
        <v>6.35</v>
      </c>
      <c r="F750" s="1">
        <f>IFERROR(__xludf.DUMMYFUNCTION("""COMPUTED_VALUE"""),811480.0)</f>
        <v>811480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IFERROR(__xludf.DUMMYFUNCTION("""COMPUTED_VALUE"""),6.3)</f>
        <v>6.3</v>
      </c>
      <c r="C751" s="1">
        <f>IFERROR(__xludf.DUMMYFUNCTION("""COMPUTED_VALUE"""),6.38)</f>
        <v>6.38</v>
      </c>
      <c r="D751" s="1">
        <f>IFERROR(__xludf.DUMMYFUNCTION("""COMPUTED_VALUE"""),6.3)</f>
        <v>6.3</v>
      </c>
      <c r="E751" s="1">
        <f>IFERROR(__xludf.DUMMYFUNCTION("""COMPUTED_VALUE"""),6.3)</f>
        <v>6.3</v>
      </c>
      <c r="F751" s="1">
        <f>IFERROR(__xludf.DUMMYFUNCTION("""COMPUTED_VALUE"""),252528.0)</f>
        <v>252528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IFERROR(__xludf.DUMMYFUNCTION("""COMPUTED_VALUE"""),6.3)</f>
        <v>6.3</v>
      </c>
      <c r="C752" s="1">
        <f>IFERROR(__xludf.DUMMYFUNCTION("""COMPUTED_VALUE"""),6.36)</f>
        <v>6.36</v>
      </c>
      <c r="D752" s="1">
        <f>IFERROR(__xludf.DUMMYFUNCTION("""COMPUTED_VALUE"""),6.27)</f>
        <v>6.27</v>
      </c>
      <c r="E752" s="1">
        <f>IFERROR(__xludf.DUMMYFUNCTION("""COMPUTED_VALUE"""),6.3)</f>
        <v>6.3</v>
      </c>
      <c r="F752" s="1">
        <f>IFERROR(__xludf.DUMMYFUNCTION("""COMPUTED_VALUE"""),383020.0)</f>
        <v>383020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IFERROR(__xludf.DUMMYFUNCTION("""COMPUTED_VALUE"""),6.4)</f>
        <v>6.4</v>
      </c>
      <c r="C753" s="1">
        <f>IFERROR(__xludf.DUMMYFUNCTION("""COMPUTED_VALUE"""),6.42)</f>
        <v>6.42</v>
      </c>
      <c r="D753" s="1">
        <f>IFERROR(__xludf.DUMMYFUNCTION("""COMPUTED_VALUE"""),6.27)</f>
        <v>6.27</v>
      </c>
      <c r="E753" s="1">
        <f>IFERROR(__xludf.DUMMYFUNCTION("""COMPUTED_VALUE"""),6.35)</f>
        <v>6.35</v>
      </c>
      <c r="F753" s="1">
        <f>IFERROR(__xludf.DUMMYFUNCTION("""COMPUTED_VALUE"""),419906.0)</f>
        <v>419906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IFERROR(__xludf.DUMMYFUNCTION("""COMPUTED_VALUE"""),6.24)</f>
        <v>6.24</v>
      </c>
      <c r="C754" s="1">
        <f>IFERROR(__xludf.DUMMYFUNCTION("""COMPUTED_VALUE"""),6.28)</f>
        <v>6.28</v>
      </c>
      <c r="D754" s="1">
        <f>IFERROR(__xludf.DUMMYFUNCTION("""COMPUTED_VALUE"""),6.23)</f>
        <v>6.23</v>
      </c>
      <c r="E754" s="1">
        <f>IFERROR(__xludf.DUMMYFUNCTION("""COMPUTED_VALUE"""),6.24)</f>
        <v>6.24</v>
      </c>
      <c r="F754" s="1">
        <f>IFERROR(__xludf.DUMMYFUNCTION("""COMPUTED_VALUE"""),402065.0)</f>
        <v>402065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IFERROR(__xludf.DUMMYFUNCTION("""COMPUTED_VALUE"""),6.24)</f>
        <v>6.24</v>
      </c>
      <c r="C755" s="1">
        <f>IFERROR(__xludf.DUMMYFUNCTION("""COMPUTED_VALUE"""),6.45)</f>
        <v>6.45</v>
      </c>
      <c r="D755" s="1">
        <f>IFERROR(__xludf.DUMMYFUNCTION("""COMPUTED_VALUE"""),6.18)</f>
        <v>6.18</v>
      </c>
      <c r="E755" s="1">
        <f>IFERROR(__xludf.DUMMYFUNCTION("""COMPUTED_VALUE"""),6.44)</f>
        <v>6.44</v>
      </c>
      <c r="F755" s="1">
        <f>IFERROR(__xludf.DUMMYFUNCTION("""COMPUTED_VALUE"""),571588.0)</f>
        <v>571588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IFERROR(__xludf.DUMMYFUNCTION("""COMPUTED_VALUE"""),6.55)</f>
        <v>6.55</v>
      </c>
      <c r="C756" s="1">
        <f>IFERROR(__xludf.DUMMYFUNCTION("""COMPUTED_VALUE"""),6.55)</f>
        <v>6.55</v>
      </c>
      <c r="D756" s="1">
        <f>IFERROR(__xludf.DUMMYFUNCTION("""COMPUTED_VALUE"""),6.45)</f>
        <v>6.45</v>
      </c>
      <c r="E756" s="1">
        <f>IFERROR(__xludf.DUMMYFUNCTION("""COMPUTED_VALUE"""),6.51)</f>
        <v>6.51</v>
      </c>
      <c r="F756" s="1">
        <f>IFERROR(__xludf.DUMMYFUNCTION("""COMPUTED_VALUE"""),849577.0)</f>
        <v>849577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IFERROR(__xludf.DUMMYFUNCTION("""COMPUTED_VALUE"""),6.51)</f>
        <v>6.51</v>
      </c>
      <c r="C757" s="1">
        <f>IFERROR(__xludf.DUMMYFUNCTION("""COMPUTED_VALUE"""),6.54)</f>
        <v>6.54</v>
      </c>
      <c r="D757" s="1">
        <f>IFERROR(__xludf.DUMMYFUNCTION("""COMPUTED_VALUE"""),6.47)</f>
        <v>6.47</v>
      </c>
      <c r="E757" s="1">
        <f>IFERROR(__xludf.DUMMYFUNCTION("""COMPUTED_VALUE"""),6.49)</f>
        <v>6.49</v>
      </c>
      <c r="F757" s="1">
        <f>IFERROR(__xludf.DUMMYFUNCTION("""COMPUTED_VALUE"""),392149.0)</f>
        <v>392149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IFERROR(__xludf.DUMMYFUNCTION("""COMPUTED_VALUE"""),6.51)</f>
        <v>6.51</v>
      </c>
      <c r="C758" s="1">
        <f>IFERROR(__xludf.DUMMYFUNCTION("""COMPUTED_VALUE"""),6.66)</f>
        <v>6.66</v>
      </c>
      <c r="D758" s="1">
        <f>IFERROR(__xludf.DUMMYFUNCTION("""COMPUTED_VALUE"""),6.51)</f>
        <v>6.51</v>
      </c>
      <c r="E758" s="1">
        <f>IFERROR(__xludf.DUMMYFUNCTION("""COMPUTED_VALUE"""),6.64)</f>
        <v>6.64</v>
      </c>
      <c r="F758" s="1">
        <f>IFERROR(__xludf.DUMMYFUNCTION("""COMPUTED_VALUE"""),671826.0)</f>
        <v>671826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IFERROR(__xludf.DUMMYFUNCTION("""COMPUTED_VALUE"""),6.65)</f>
        <v>6.65</v>
      </c>
      <c r="C759" s="1">
        <f>IFERROR(__xludf.DUMMYFUNCTION("""COMPUTED_VALUE"""),6.68)</f>
        <v>6.68</v>
      </c>
      <c r="D759" s="1">
        <f>IFERROR(__xludf.DUMMYFUNCTION("""COMPUTED_VALUE"""),6.63)</f>
        <v>6.63</v>
      </c>
      <c r="E759" s="1">
        <f>IFERROR(__xludf.DUMMYFUNCTION("""COMPUTED_VALUE"""),6.67)</f>
        <v>6.67</v>
      </c>
      <c r="F759" s="1">
        <f>IFERROR(__xludf.DUMMYFUNCTION("""COMPUTED_VALUE"""),644343.0)</f>
        <v>644343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IFERROR(__xludf.DUMMYFUNCTION("""COMPUTED_VALUE"""),6.59)</f>
        <v>6.59</v>
      </c>
      <c r="C760" s="1">
        <f>IFERROR(__xludf.DUMMYFUNCTION("""COMPUTED_VALUE"""),6.62)</f>
        <v>6.62</v>
      </c>
      <c r="D760" s="1">
        <f>IFERROR(__xludf.DUMMYFUNCTION("""COMPUTED_VALUE"""),6.51)</f>
        <v>6.51</v>
      </c>
      <c r="E760" s="1">
        <f>IFERROR(__xludf.DUMMYFUNCTION("""COMPUTED_VALUE"""),6.56)</f>
        <v>6.56</v>
      </c>
      <c r="F760" s="1">
        <f>IFERROR(__xludf.DUMMYFUNCTION("""COMPUTED_VALUE"""),495913.0)</f>
        <v>495913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IFERROR(__xludf.DUMMYFUNCTION("""COMPUTED_VALUE"""),6.59)</f>
        <v>6.59</v>
      </c>
      <c r="C761" s="1">
        <f>IFERROR(__xludf.DUMMYFUNCTION("""COMPUTED_VALUE"""),6.64)</f>
        <v>6.64</v>
      </c>
      <c r="D761" s="1">
        <f>IFERROR(__xludf.DUMMYFUNCTION("""COMPUTED_VALUE"""),6.56)</f>
        <v>6.56</v>
      </c>
      <c r="E761" s="1">
        <f>IFERROR(__xludf.DUMMYFUNCTION("""COMPUTED_VALUE"""),6.58)</f>
        <v>6.58</v>
      </c>
      <c r="F761" s="1">
        <f>IFERROR(__xludf.DUMMYFUNCTION("""COMPUTED_VALUE"""),378141.0)</f>
        <v>378141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IFERROR(__xludf.DUMMYFUNCTION("""COMPUTED_VALUE"""),6.65)</f>
        <v>6.65</v>
      </c>
      <c r="C762" s="1">
        <f>IFERROR(__xludf.DUMMYFUNCTION("""COMPUTED_VALUE"""),6.68)</f>
        <v>6.68</v>
      </c>
      <c r="D762" s="1">
        <f>IFERROR(__xludf.DUMMYFUNCTION("""COMPUTED_VALUE"""),6.58)</f>
        <v>6.58</v>
      </c>
      <c r="E762" s="1">
        <f>IFERROR(__xludf.DUMMYFUNCTION("""COMPUTED_VALUE"""),6.67)</f>
        <v>6.67</v>
      </c>
      <c r="F762" s="1">
        <f>IFERROR(__xludf.DUMMYFUNCTION("""COMPUTED_VALUE"""),395161.0)</f>
        <v>395161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IFERROR(__xludf.DUMMYFUNCTION("""COMPUTED_VALUE"""),6.69)</f>
        <v>6.69</v>
      </c>
      <c r="C763" s="1">
        <f>IFERROR(__xludf.DUMMYFUNCTION("""COMPUTED_VALUE"""),6.73)</f>
        <v>6.73</v>
      </c>
      <c r="D763" s="1">
        <f>IFERROR(__xludf.DUMMYFUNCTION("""COMPUTED_VALUE"""),6.65)</f>
        <v>6.65</v>
      </c>
      <c r="E763" s="1">
        <f>IFERROR(__xludf.DUMMYFUNCTION("""COMPUTED_VALUE"""),6.71)</f>
        <v>6.71</v>
      </c>
      <c r="F763" s="1">
        <f>IFERROR(__xludf.DUMMYFUNCTION("""COMPUTED_VALUE"""),339407.0)</f>
        <v>339407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IFERROR(__xludf.DUMMYFUNCTION("""COMPUTED_VALUE"""),6.76)</f>
        <v>6.76</v>
      </c>
      <c r="C764" s="1">
        <f>IFERROR(__xludf.DUMMYFUNCTION("""COMPUTED_VALUE"""),6.77)</f>
        <v>6.77</v>
      </c>
      <c r="D764" s="1">
        <f>IFERROR(__xludf.DUMMYFUNCTION("""COMPUTED_VALUE"""),6.7)</f>
        <v>6.7</v>
      </c>
      <c r="E764" s="1">
        <f>IFERROR(__xludf.DUMMYFUNCTION("""COMPUTED_VALUE"""),6.76)</f>
        <v>6.76</v>
      </c>
      <c r="F764" s="1">
        <f>IFERROR(__xludf.DUMMYFUNCTION("""COMPUTED_VALUE"""),492585.0)</f>
        <v>492585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IFERROR(__xludf.DUMMYFUNCTION("""COMPUTED_VALUE"""),6.62)</f>
        <v>6.62</v>
      </c>
      <c r="C765" s="1">
        <f>IFERROR(__xludf.DUMMYFUNCTION("""COMPUTED_VALUE"""),6.7)</f>
        <v>6.7</v>
      </c>
      <c r="D765" s="1">
        <f>IFERROR(__xludf.DUMMYFUNCTION("""COMPUTED_VALUE"""),6.62)</f>
        <v>6.62</v>
      </c>
      <c r="E765" s="1">
        <f>IFERROR(__xludf.DUMMYFUNCTION("""COMPUTED_VALUE"""),6.69)</f>
        <v>6.69</v>
      </c>
      <c r="F765" s="1">
        <f>IFERROR(__xludf.DUMMYFUNCTION("""COMPUTED_VALUE"""),469325.0)</f>
        <v>469325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IFERROR(__xludf.DUMMYFUNCTION("""COMPUTED_VALUE"""),6.5)</f>
        <v>6.5</v>
      </c>
      <c r="C766" s="1">
        <f>IFERROR(__xludf.DUMMYFUNCTION("""COMPUTED_VALUE"""),6.58)</f>
        <v>6.58</v>
      </c>
      <c r="D766" s="1">
        <f>IFERROR(__xludf.DUMMYFUNCTION("""COMPUTED_VALUE"""),6.48)</f>
        <v>6.48</v>
      </c>
      <c r="E766" s="1">
        <f>IFERROR(__xludf.DUMMYFUNCTION("""COMPUTED_VALUE"""),6.54)</f>
        <v>6.54</v>
      </c>
      <c r="F766" s="1">
        <f>IFERROR(__xludf.DUMMYFUNCTION("""COMPUTED_VALUE"""),385475.0)</f>
        <v>385475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IFERROR(__xludf.DUMMYFUNCTION("""COMPUTED_VALUE"""),6.62)</f>
        <v>6.62</v>
      </c>
      <c r="C767" s="1">
        <f>IFERROR(__xludf.DUMMYFUNCTION("""COMPUTED_VALUE"""),6.65)</f>
        <v>6.65</v>
      </c>
      <c r="D767" s="1">
        <f>IFERROR(__xludf.DUMMYFUNCTION("""COMPUTED_VALUE"""),6.57)</f>
        <v>6.57</v>
      </c>
      <c r="E767" s="1">
        <f>IFERROR(__xludf.DUMMYFUNCTION("""COMPUTED_VALUE"""),6.63)</f>
        <v>6.63</v>
      </c>
      <c r="F767" s="1">
        <f>IFERROR(__xludf.DUMMYFUNCTION("""COMPUTED_VALUE"""),331503.0)</f>
        <v>331503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IFERROR(__xludf.DUMMYFUNCTION("""COMPUTED_VALUE"""),6.6)</f>
        <v>6.6</v>
      </c>
      <c r="C768" s="1">
        <f>IFERROR(__xludf.DUMMYFUNCTION("""COMPUTED_VALUE"""),6.66)</f>
        <v>6.66</v>
      </c>
      <c r="D768" s="1">
        <f>IFERROR(__xludf.DUMMYFUNCTION("""COMPUTED_VALUE"""),6.56)</f>
        <v>6.56</v>
      </c>
      <c r="E768" s="1">
        <f>IFERROR(__xludf.DUMMYFUNCTION("""COMPUTED_VALUE"""),6.65)</f>
        <v>6.65</v>
      </c>
      <c r="F768" s="1">
        <f>IFERROR(__xludf.DUMMYFUNCTION("""COMPUTED_VALUE"""),248923.0)</f>
        <v>248923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IFERROR(__xludf.DUMMYFUNCTION("""COMPUTED_VALUE"""),6.54)</f>
        <v>6.54</v>
      </c>
      <c r="C769" s="1">
        <f>IFERROR(__xludf.DUMMYFUNCTION("""COMPUTED_VALUE"""),6.62)</f>
        <v>6.62</v>
      </c>
      <c r="D769" s="1">
        <f>IFERROR(__xludf.DUMMYFUNCTION("""COMPUTED_VALUE"""),6.52)</f>
        <v>6.52</v>
      </c>
      <c r="E769" s="1">
        <f>IFERROR(__xludf.DUMMYFUNCTION("""COMPUTED_VALUE"""),6.61)</f>
        <v>6.61</v>
      </c>
      <c r="F769" s="1">
        <f>IFERROR(__xludf.DUMMYFUNCTION("""COMPUTED_VALUE"""),441659.0)</f>
        <v>441659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IFERROR(__xludf.DUMMYFUNCTION("""COMPUTED_VALUE"""),6.43)</f>
        <v>6.43</v>
      </c>
      <c r="C770" s="1">
        <f>IFERROR(__xludf.DUMMYFUNCTION("""COMPUTED_VALUE"""),6.46)</f>
        <v>6.46</v>
      </c>
      <c r="D770" s="1">
        <f>IFERROR(__xludf.DUMMYFUNCTION("""COMPUTED_VALUE"""),6.39)</f>
        <v>6.39</v>
      </c>
      <c r="E770" s="1">
        <f>IFERROR(__xludf.DUMMYFUNCTION("""COMPUTED_VALUE"""),6.46)</f>
        <v>6.46</v>
      </c>
      <c r="F770" s="1">
        <f>IFERROR(__xludf.DUMMYFUNCTION("""COMPUTED_VALUE"""),602149.0)</f>
        <v>602149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IFERROR(__xludf.DUMMYFUNCTION("""COMPUTED_VALUE"""),6.5)</f>
        <v>6.5</v>
      </c>
      <c r="C771" s="1">
        <f>IFERROR(__xludf.DUMMYFUNCTION("""COMPUTED_VALUE"""),6.55)</f>
        <v>6.55</v>
      </c>
      <c r="D771" s="1">
        <f>IFERROR(__xludf.DUMMYFUNCTION("""COMPUTED_VALUE"""),6.48)</f>
        <v>6.48</v>
      </c>
      <c r="E771" s="1">
        <f>IFERROR(__xludf.DUMMYFUNCTION("""COMPUTED_VALUE"""),6.54)</f>
        <v>6.54</v>
      </c>
      <c r="F771" s="1">
        <f>IFERROR(__xludf.DUMMYFUNCTION("""COMPUTED_VALUE"""),588836.0)</f>
        <v>588836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IFERROR(__xludf.DUMMYFUNCTION("""COMPUTED_VALUE"""),6.62)</f>
        <v>6.62</v>
      </c>
      <c r="C772" s="1">
        <f>IFERROR(__xludf.DUMMYFUNCTION("""COMPUTED_VALUE"""),6.66)</f>
        <v>6.66</v>
      </c>
      <c r="D772" s="1">
        <f>IFERROR(__xludf.DUMMYFUNCTION("""COMPUTED_VALUE"""),6.58)</f>
        <v>6.58</v>
      </c>
      <c r="E772" s="1">
        <f>IFERROR(__xludf.DUMMYFUNCTION("""COMPUTED_VALUE"""),6.66)</f>
        <v>6.66</v>
      </c>
      <c r="F772" s="1">
        <f>IFERROR(__xludf.DUMMYFUNCTION("""COMPUTED_VALUE"""),315060.0)</f>
        <v>315060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IFERROR(__xludf.DUMMYFUNCTION("""COMPUTED_VALUE"""),6.72)</f>
        <v>6.72</v>
      </c>
      <c r="C773" s="1">
        <f>IFERROR(__xludf.DUMMYFUNCTION("""COMPUTED_VALUE"""),6.72)</f>
        <v>6.72</v>
      </c>
      <c r="D773" s="1">
        <f>IFERROR(__xludf.DUMMYFUNCTION("""COMPUTED_VALUE"""),6.64)</f>
        <v>6.64</v>
      </c>
      <c r="E773" s="1">
        <f>IFERROR(__xludf.DUMMYFUNCTION("""COMPUTED_VALUE"""),6.7)</f>
        <v>6.7</v>
      </c>
      <c r="F773" s="1">
        <f>IFERROR(__xludf.DUMMYFUNCTION("""COMPUTED_VALUE"""),389786.0)</f>
        <v>389786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IFERROR(__xludf.DUMMYFUNCTION("""COMPUTED_VALUE"""),6.64)</f>
        <v>6.64</v>
      </c>
      <c r="C774" s="1">
        <f>IFERROR(__xludf.DUMMYFUNCTION("""COMPUTED_VALUE"""),6.68)</f>
        <v>6.68</v>
      </c>
      <c r="D774" s="1">
        <f>IFERROR(__xludf.DUMMYFUNCTION("""COMPUTED_VALUE"""),6.64)</f>
        <v>6.64</v>
      </c>
      <c r="E774" s="1">
        <f>IFERROR(__xludf.DUMMYFUNCTION("""COMPUTED_VALUE"""),6.67)</f>
        <v>6.67</v>
      </c>
      <c r="F774" s="1">
        <f>IFERROR(__xludf.DUMMYFUNCTION("""COMPUTED_VALUE"""),399920.0)</f>
        <v>399920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IFERROR(__xludf.DUMMYFUNCTION("""COMPUTED_VALUE"""),6.66)</f>
        <v>6.66</v>
      </c>
      <c r="C775" s="1">
        <f>IFERROR(__xludf.DUMMYFUNCTION("""COMPUTED_VALUE"""),6.7)</f>
        <v>6.7</v>
      </c>
      <c r="D775" s="1">
        <f>IFERROR(__xludf.DUMMYFUNCTION("""COMPUTED_VALUE"""),6.64)</f>
        <v>6.64</v>
      </c>
      <c r="E775" s="1">
        <f>IFERROR(__xludf.DUMMYFUNCTION("""COMPUTED_VALUE"""),6.66)</f>
        <v>6.66</v>
      </c>
      <c r="F775" s="1">
        <f>IFERROR(__xludf.DUMMYFUNCTION("""COMPUTED_VALUE"""),278352.0)</f>
        <v>278352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IFERROR(__xludf.DUMMYFUNCTION("""COMPUTED_VALUE"""),6.66)</f>
        <v>6.66</v>
      </c>
      <c r="C776" s="1">
        <f>IFERROR(__xludf.DUMMYFUNCTION("""COMPUTED_VALUE"""),6.71)</f>
        <v>6.71</v>
      </c>
      <c r="D776" s="1">
        <f>IFERROR(__xludf.DUMMYFUNCTION("""COMPUTED_VALUE"""),6.63)</f>
        <v>6.63</v>
      </c>
      <c r="E776" s="1">
        <f>IFERROR(__xludf.DUMMYFUNCTION("""COMPUTED_VALUE"""),6.63)</f>
        <v>6.63</v>
      </c>
      <c r="F776" s="1">
        <f>IFERROR(__xludf.DUMMYFUNCTION("""COMPUTED_VALUE"""),545825.0)</f>
        <v>545825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IFERROR(__xludf.DUMMYFUNCTION("""COMPUTED_VALUE"""),6.69)</f>
        <v>6.69</v>
      </c>
      <c r="C777" s="1">
        <f>IFERROR(__xludf.DUMMYFUNCTION("""COMPUTED_VALUE"""),6.73)</f>
        <v>6.73</v>
      </c>
      <c r="D777" s="1">
        <f>IFERROR(__xludf.DUMMYFUNCTION("""COMPUTED_VALUE"""),6.66)</f>
        <v>6.66</v>
      </c>
      <c r="E777" s="1">
        <f>IFERROR(__xludf.DUMMYFUNCTION("""COMPUTED_VALUE"""),6.72)</f>
        <v>6.72</v>
      </c>
      <c r="F777" s="1">
        <f>IFERROR(__xludf.DUMMYFUNCTION("""COMPUTED_VALUE"""),404651.0)</f>
        <v>404651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IFERROR(__xludf.DUMMYFUNCTION("""COMPUTED_VALUE"""),6.42)</f>
        <v>6.42</v>
      </c>
      <c r="C778" s="1">
        <f>IFERROR(__xludf.DUMMYFUNCTION("""COMPUTED_VALUE"""),6.42)</f>
        <v>6.42</v>
      </c>
      <c r="D778" s="1">
        <f>IFERROR(__xludf.DUMMYFUNCTION("""COMPUTED_VALUE"""),6.28)</f>
        <v>6.28</v>
      </c>
      <c r="E778" s="1">
        <f>IFERROR(__xludf.DUMMYFUNCTION("""COMPUTED_VALUE"""),6.3)</f>
        <v>6.3</v>
      </c>
      <c r="F778" s="1">
        <f>IFERROR(__xludf.DUMMYFUNCTION("""COMPUTED_VALUE"""),883012.0)</f>
        <v>883012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IFERROR(__xludf.DUMMYFUNCTION("""COMPUTED_VALUE"""),6.43)</f>
        <v>6.43</v>
      </c>
      <c r="C779" s="1">
        <f>IFERROR(__xludf.DUMMYFUNCTION("""COMPUTED_VALUE"""),6.5)</f>
        <v>6.5</v>
      </c>
      <c r="D779" s="1">
        <f>IFERROR(__xludf.DUMMYFUNCTION("""COMPUTED_VALUE"""),6.4)</f>
        <v>6.4</v>
      </c>
      <c r="E779" s="1">
        <f>IFERROR(__xludf.DUMMYFUNCTION("""COMPUTED_VALUE"""),6.47)</f>
        <v>6.47</v>
      </c>
      <c r="F779" s="1">
        <f>IFERROR(__xludf.DUMMYFUNCTION("""COMPUTED_VALUE"""),763814.0)</f>
        <v>763814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IFERROR(__xludf.DUMMYFUNCTION("""COMPUTED_VALUE"""),6.3)</f>
        <v>6.3</v>
      </c>
      <c r="C780" s="1">
        <f>IFERROR(__xludf.DUMMYFUNCTION("""COMPUTED_VALUE"""),6.37)</f>
        <v>6.37</v>
      </c>
      <c r="D780" s="1">
        <f>IFERROR(__xludf.DUMMYFUNCTION("""COMPUTED_VALUE"""),6.29)</f>
        <v>6.29</v>
      </c>
      <c r="E780" s="1">
        <f>IFERROR(__xludf.DUMMYFUNCTION("""COMPUTED_VALUE"""),6.36)</f>
        <v>6.36</v>
      </c>
      <c r="F780" s="1">
        <f>IFERROR(__xludf.DUMMYFUNCTION("""COMPUTED_VALUE"""),739632.0)</f>
        <v>739632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IFERROR(__xludf.DUMMYFUNCTION("""COMPUTED_VALUE"""),6.34)</f>
        <v>6.34</v>
      </c>
      <c r="C781" s="1">
        <f>IFERROR(__xludf.DUMMYFUNCTION("""COMPUTED_VALUE"""),6.36)</f>
        <v>6.36</v>
      </c>
      <c r="D781" s="1">
        <f>IFERROR(__xludf.DUMMYFUNCTION("""COMPUTED_VALUE"""),6.2)</f>
        <v>6.2</v>
      </c>
      <c r="E781" s="1">
        <f>IFERROR(__xludf.DUMMYFUNCTION("""COMPUTED_VALUE"""),6.24)</f>
        <v>6.24</v>
      </c>
      <c r="F781" s="1">
        <f>IFERROR(__xludf.DUMMYFUNCTION("""COMPUTED_VALUE"""),1646504.0)</f>
        <v>1646504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IFERROR(__xludf.DUMMYFUNCTION("""COMPUTED_VALUE"""),6.31)</f>
        <v>6.31</v>
      </c>
      <c r="C782" s="1">
        <f>IFERROR(__xludf.DUMMYFUNCTION("""COMPUTED_VALUE"""),6.35)</f>
        <v>6.35</v>
      </c>
      <c r="D782" s="1">
        <f>IFERROR(__xludf.DUMMYFUNCTION("""COMPUTED_VALUE"""),6.29)</f>
        <v>6.29</v>
      </c>
      <c r="E782" s="1">
        <f>IFERROR(__xludf.DUMMYFUNCTION("""COMPUTED_VALUE"""),6.32)</f>
        <v>6.32</v>
      </c>
      <c r="F782" s="1">
        <f>IFERROR(__xludf.DUMMYFUNCTION("""COMPUTED_VALUE"""),541157.0)</f>
        <v>541157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IFERROR(__xludf.DUMMYFUNCTION("""COMPUTED_VALUE"""),6.35)</f>
        <v>6.35</v>
      </c>
      <c r="C783" s="1">
        <f>IFERROR(__xludf.DUMMYFUNCTION("""COMPUTED_VALUE"""),6.4)</f>
        <v>6.4</v>
      </c>
      <c r="D783" s="1">
        <f>IFERROR(__xludf.DUMMYFUNCTION("""COMPUTED_VALUE"""),6.33)</f>
        <v>6.33</v>
      </c>
      <c r="E783" s="1">
        <f>IFERROR(__xludf.DUMMYFUNCTION("""COMPUTED_VALUE"""),6.37)</f>
        <v>6.37</v>
      </c>
      <c r="F783" s="1">
        <f>IFERROR(__xludf.DUMMYFUNCTION("""COMPUTED_VALUE"""),411950.0)</f>
        <v>411950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IFERROR(__xludf.DUMMYFUNCTION("""COMPUTED_VALUE"""),6.45)</f>
        <v>6.45</v>
      </c>
      <c r="C784" s="1">
        <f>IFERROR(__xludf.DUMMYFUNCTION("""COMPUTED_VALUE"""),6.56)</f>
        <v>6.56</v>
      </c>
      <c r="D784" s="1">
        <f>IFERROR(__xludf.DUMMYFUNCTION("""COMPUTED_VALUE"""),6.45)</f>
        <v>6.45</v>
      </c>
      <c r="E784" s="1">
        <f>IFERROR(__xludf.DUMMYFUNCTION("""COMPUTED_VALUE"""),6.52)</f>
        <v>6.52</v>
      </c>
      <c r="F784" s="1">
        <f>IFERROR(__xludf.DUMMYFUNCTION("""COMPUTED_VALUE"""),463810.0)</f>
        <v>463810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IFERROR(__xludf.DUMMYFUNCTION("""COMPUTED_VALUE"""),6.57)</f>
        <v>6.57</v>
      </c>
      <c r="C785" s="1">
        <f>IFERROR(__xludf.DUMMYFUNCTION("""COMPUTED_VALUE"""),6.61)</f>
        <v>6.61</v>
      </c>
      <c r="D785" s="1">
        <f>IFERROR(__xludf.DUMMYFUNCTION("""COMPUTED_VALUE"""),6.51)</f>
        <v>6.51</v>
      </c>
      <c r="E785" s="1">
        <f>IFERROR(__xludf.DUMMYFUNCTION("""COMPUTED_VALUE"""),6.52)</f>
        <v>6.52</v>
      </c>
      <c r="F785" s="1">
        <f>IFERROR(__xludf.DUMMYFUNCTION("""COMPUTED_VALUE"""),584177.0)</f>
        <v>584177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IFERROR(__xludf.DUMMYFUNCTION("""COMPUTED_VALUE"""),6.47)</f>
        <v>6.47</v>
      </c>
      <c r="C786" s="1">
        <f>IFERROR(__xludf.DUMMYFUNCTION("""COMPUTED_VALUE"""),6.58)</f>
        <v>6.58</v>
      </c>
      <c r="D786" s="1">
        <f>IFERROR(__xludf.DUMMYFUNCTION("""COMPUTED_VALUE"""),6.46)</f>
        <v>6.46</v>
      </c>
      <c r="E786" s="1">
        <f>IFERROR(__xludf.DUMMYFUNCTION("""COMPUTED_VALUE"""),6.57)</f>
        <v>6.57</v>
      </c>
      <c r="F786" s="1">
        <f>IFERROR(__xludf.DUMMYFUNCTION("""COMPUTED_VALUE"""),691049.0)</f>
        <v>691049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IFERROR(__xludf.DUMMYFUNCTION("""COMPUTED_VALUE"""),6.93)</f>
        <v>6.93</v>
      </c>
      <c r="C787" s="1">
        <f>IFERROR(__xludf.DUMMYFUNCTION("""COMPUTED_VALUE"""),6.95)</f>
        <v>6.95</v>
      </c>
      <c r="D787" s="1">
        <f>IFERROR(__xludf.DUMMYFUNCTION("""COMPUTED_VALUE"""),6.81)</f>
        <v>6.81</v>
      </c>
      <c r="E787" s="1">
        <f>IFERROR(__xludf.DUMMYFUNCTION("""COMPUTED_VALUE"""),6.83)</f>
        <v>6.83</v>
      </c>
      <c r="F787" s="1">
        <f>IFERROR(__xludf.DUMMYFUNCTION("""COMPUTED_VALUE"""),1547039.0)</f>
        <v>1547039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IFERROR(__xludf.DUMMYFUNCTION("""COMPUTED_VALUE"""),6.84)</f>
        <v>6.84</v>
      </c>
      <c r="C788" s="1">
        <f>IFERROR(__xludf.DUMMYFUNCTION("""COMPUTED_VALUE"""),6.86)</f>
        <v>6.86</v>
      </c>
      <c r="D788" s="1">
        <f>IFERROR(__xludf.DUMMYFUNCTION("""COMPUTED_VALUE"""),6.81)</f>
        <v>6.81</v>
      </c>
      <c r="E788" s="1">
        <f>IFERROR(__xludf.DUMMYFUNCTION("""COMPUTED_VALUE"""),6.85)</f>
        <v>6.85</v>
      </c>
      <c r="F788" s="1">
        <f>IFERROR(__xludf.DUMMYFUNCTION("""COMPUTED_VALUE"""),775988.0)</f>
        <v>775988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IFERROR(__xludf.DUMMYFUNCTION("""COMPUTED_VALUE"""),6.65)</f>
        <v>6.65</v>
      </c>
      <c r="C789" s="1">
        <f>IFERROR(__xludf.DUMMYFUNCTION("""COMPUTED_VALUE"""),6.67)</f>
        <v>6.67</v>
      </c>
      <c r="D789" s="1">
        <f>IFERROR(__xludf.DUMMYFUNCTION("""COMPUTED_VALUE"""),6.49)</f>
        <v>6.49</v>
      </c>
      <c r="E789" s="1">
        <f>IFERROR(__xludf.DUMMYFUNCTION("""COMPUTED_VALUE"""),6.49)</f>
        <v>6.49</v>
      </c>
      <c r="F789" s="1">
        <f>IFERROR(__xludf.DUMMYFUNCTION("""COMPUTED_VALUE"""),845045.0)</f>
        <v>845045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IFERROR(__xludf.DUMMYFUNCTION("""COMPUTED_VALUE"""),6.28)</f>
        <v>6.28</v>
      </c>
      <c r="C790" s="1">
        <f>IFERROR(__xludf.DUMMYFUNCTION("""COMPUTED_VALUE"""),6.32)</f>
        <v>6.32</v>
      </c>
      <c r="D790" s="1">
        <f>IFERROR(__xludf.DUMMYFUNCTION("""COMPUTED_VALUE"""),6.21)</f>
        <v>6.21</v>
      </c>
      <c r="E790" s="1">
        <f>IFERROR(__xludf.DUMMYFUNCTION("""COMPUTED_VALUE"""),6.24)</f>
        <v>6.24</v>
      </c>
      <c r="F790" s="1">
        <f>IFERROR(__xludf.DUMMYFUNCTION("""COMPUTED_VALUE"""),1564280.0)</f>
        <v>1564280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IFERROR(__xludf.DUMMYFUNCTION("""COMPUTED_VALUE"""),6.27)</f>
        <v>6.27</v>
      </c>
      <c r="C791" s="1">
        <f>IFERROR(__xludf.DUMMYFUNCTION("""COMPUTED_VALUE"""),6.32)</f>
        <v>6.32</v>
      </c>
      <c r="D791" s="1">
        <f>IFERROR(__xludf.DUMMYFUNCTION("""COMPUTED_VALUE"""),6.21)</f>
        <v>6.21</v>
      </c>
      <c r="E791" s="1">
        <f>IFERROR(__xludf.DUMMYFUNCTION("""COMPUTED_VALUE"""),6.31)</f>
        <v>6.31</v>
      </c>
      <c r="F791" s="1">
        <f>IFERROR(__xludf.DUMMYFUNCTION("""COMPUTED_VALUE"""),955970.0)</f>
        <v>955970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IFERROR(__xludf.DUMMYFUNCTION("""COMPUTED_VALUE"""),6.39)</f>
        <v>6.39</v>
      </c>
      <c r="C792" s="1">
        <f>IFERROR(__xludf.DUMMYFUNCTION("""COMPUTED_VALUE"""),6.4)</f>
        <v>6.4</v>
      </c>
      <c r="D792" s="1">
        <f>IFERROR(__xludf.DUMMYFUNCTION("""COMPUTED_VALUE"""),5.86)</f>
        <v>5.86</v>
      </c>
      <c r="E792" s="1">
        <f>IFERROR(__xludf.DUMMYFUNCTION("""COMPUTED_VALUE"""),5.88)</f>
        <v>5.88</v>
      </c>
      <c r="F792" s="1">
        <f>IFERROR(__xludf.DUMMYFUNCTION("""COMPUTED_VALUE"""),2037526.0)</f>
        <v>2037526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IFERROR(__xludf.DUMMYFUNCTION("""COMPUTED_VALUE"""),5.91)</f>
        <v>5.91</v>
      </c>
      <c r="C793" s="1">
        <f>IFERROR(__xludf.DUMMYFUNCTION("""COMPUTED_VALUE"""),5.94)</f>
        <v>5.94</v>
      </c>
      <c r="D793" s="1">
        <f>IFERROR(__xludf.DUMMYFUNCTION("""COMPUTED_VALUE"""),5.84)</f>
        <v>5.84</v>
      </c>
      <c r="E793" s="1">
        <f>IFERROR(__xludf.DUMMYFUNCTION("""COMPUTED_VALUE"""),5.93)</f>
        <v>5.93</v>
      </c>
      <c r="F793" s="1">
        <f>IFERROR(__xludf.DUMMYFUNCTION("""COMPUTED_VALUE"""),1185959.0)</f>
        <v>1185959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IFERROR(__xludf.DUMMYFUNCTION("""COMPUTED_VALUE"""),5.83)</f>
        <v>5.83</v>
      </c>
      <c r="C794" s="1">
        <f>IFERROR(__xludf.DUMMYFUNCTION("""COMPUTED_VALUE"""),5.99)</f>
        <v>5.99</v>
      </c>
      <c r="D794" s="1">
        <f>IFERROR(__xludf.DUMMYFUNCTION("""COMPUTED_VALUE"""),5.81)</f>
        <v>5.81</v>
      </c>
      <c r="E794" s="1">
        <f>IFERROR(__xludf.DUMMYFUNCTION("""COMPUTED_VALUE"""),5.98)</f>
        <v>5.98</v>
      </c>
      <c r="F794" s="1">
        <f>IFERROR(__xludf.DUMMYFUNCTION("""COMPUTED_VALUE"""),736412.0)</f>
        <v>736412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IFERROR(__xludf.DUMMYFUNCTION("""COMPUTED_VALUE"""),5.95)</f>
        <v>5.95</v>
      </c>
      <c r="C795" s="1">
        <f>IFERROR(__xludf.DUMMYFUNCTION("""COMPUTED_VALUE"""),6.01)</f>
        <v>6.01</v>
      </c>
      <c r="D795" s="1">
        <f>IFERROR(__xludf.DUMMYFUNCTION("""COMPUTED_VALUE"""),5.91)</f>
        <v>5.91</v>
      </c>
      <c r="E795" s="1">
        <f>IFERROR(__xludf.DUMMYFUNCTION("""COMPUTED_VALUE"""),5.92)</f>
        <v>5.92</v>
      </c>
      <c r="F795" s="1">
        <f>IFERROR(__xludf.DUMMYFUNCTION("""COMPUTED_VALUE"""),1381769.0)</f>
        <v>1381769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IFERROR(__xludf.DUMMYFUNCTION("""COMPUTED_VALUE"""),5.75)</f>
        <v>5.75</v>
      </c>
      <c r="C796" s="1">
        <f>IFERROR(__xludf.DUMMYFUNCTION("""COMPUTED_VALUE"""),5.86)</f>
        <v>5.86</v>
      </c>
      <c r="D796" s="1">
        <f>IFERROR(__xludf.DUMMYFUNCTION("""COMPUTED_VALUE"""),5.7)</f>
        <v>5.7</v>
      </c>
      <c r="E796" s="1">
        <f>IFERROR(__xludf.DUMMYFUNCTION("""COMPUTED_VALUE"""),5.84)</f>
        <v>5.84</v>
      </c>
      <c r="F796" s="1">
        <f>IFERROR(__xludf.DUMMYFUNCTION("""COMPUTED_VALUE"""),1041072.0)</f>
        <v>1041072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IFERROR(__xludf.DUMMYFUNCTION("""COMPUTED_VALUE"""),5.75)</f>
        <v>5.75</v>
      </c>
      <c r="C797" s="1">
        <f>IFERROR(__xludf.DUMMYFUNCTION("""COMPUTED_VALUE"""),5.82)</f>
        <v>5.82</v>
      </c>
      <c r="D797" s="1">
        <f>IFERROR(__xludf.DUMMYFUNCTION("""COMPUTED_VALUE"""),5.73)</f>
        <v>5.73</v>
      </c>
      <c r="E797" s="1">
        <f>IFERROR(__xludf.DUMMYFUNCTION("""COMPUTED_VALUE"""),5.81)</f>
        <v>5.81</v>
      </c>
      <c r="F797" s="1">
        <f>IFERROR(__xludf.DUMMYFUNCTION("""COMPUTED_VALUE"""),880179.0)</f>
        <v>880179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IFERROR(__xludf.DUMMYFUNCTION("""COMPUTED_VALUE"""),6.01)</f>
        <v>6.01</v>
      </c>
      <c r="C798" s="1">
        <f>IFERROR(__xludf.DUMMYFUNCTION("""COMPUTED_VALUE"""),6.04)</f>
        <v>6.04</v>
      </c>
      <c r="D798" s="1">
        <f>IFERROR(__xludf.DUMMYFUNCTION("""COMPUTED_VALUE"""),5.97)</f>
        <v>5.97</v>
      </c>
      <c r="E798" s="1">
        <f>IFERROR(__xludf.DUMMYFUNCTION("""COMPUTED_VALUE"""),5.98)</f>
        <v>5.98</v>
      </c>
      <c r="F798" s="1">
        <f>IFERROR(__xludf.DUMMYFUNCTION("""COMPUTED_VALUE"""),755822.0)</f>
        <v>755822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IFERROR(__xludf.DUMMYFUNCTION("""COMPUTED_VALUE"""),6.17)</f>
        <v>6.17</v>
      </c>
      <c r="C799" s="1">
        <f>IFERROR(__xludf.DUMMYFUNCTION("""COMPUTED_VALUE"""),6.18)</f>
        <v>6.18</v>
      </c>
      <c r="D799" s="1">
        <f>IFERROR(__xludf.DUMMYFUNCTION("""COMPUTED_VALUE"""),6.09)</f>
        <v>6.09</v>
      </c>
      <c r="E799" s="1">
        <f>IFERROR(__xludf.DUMMYFUNCTION("""COMPUTED_VALUE"""),6.13)</f>
        <v>6.13</v>
      </c>
      <c r="F799" s="1">
        <f>IFERROR(__xludf.DUMMYFUNCTION("""COMPUTED_VALUE"""),875782.0)</f>
        <v>875782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IFERROR(__xludf.DUMMYFUNCTION("""COMPUTED_VALUE"""),6.15)</f>
        <v>6.15</v>
      </c>
      <c r="C800" s="1">
        <f>IFERROR(__xludf.DUMMYFUNCTION("""COMPUTED_VALUE"""),6.2)</f>
        <v>6.2</v>
      </c>
      <c r="D800" s="1">
        <f>IFERROR(__xludf.DUMMYFUNCTION("""COMPUTED_VALUE"""),6.14)</f>
        <v>6.14</v>
      </c>
      <c r="E800" s="1">
        <f>IFERROR(__xludf.DUMMYFUNCTION("""COMPUTED_VALUE"""),6.19)</f>
        <v>6.19</v>
      </c>
      <c r="F800" s="1">
        <f>IFERROR(__xludf.DUMMYFUNCTION("""COMPUTED_VALUE"""),416614.0)</f>
        <v>416614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IFERROR(__xludf.DUMMYFUNCTION("""COMPUTED_VALUE"""),6.24)</f>
        <v>6.24</v>
      </c>
      <c r="C801" s="1">
        <f>IFERROR(__xludf.DUMMYFUNCTION("""COMPUTED_VALUE"""),6.28)</f>
        <v>6.28</v>
      </c>
      <c r="D801" s="1">
        <f>IFERROR(__xludf.DUMMYFUNCTION("""COMPUTED_VALUE"""),6.19)</f>
        <v>6.19</v>
      </c>
      <c r="E801" s="1">
        <f>IFERROR(__xludf.DUMMYFUNCTION("""COMPUTED_VALUE"""),6.26)</f>
        <v>6.26</v>
      </c>
      <c r="F801" s="1">
        <f>IFERROR(__xludf.DUMMYFUNCTION("""COMPUTED_VALUE"""),879694.0)</f>
        <v>879694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IFERROR(__xludf.DUMMYFUNCTION("""COMPUTED_VALUE"""),6.16)</f>
        <v>6.16</v>
      </c>
      <c r="C802" s="1">
        <f>IFERROR(__xludf.DUMMYFUNCTION("""COMPUTED_VALUE"""),6.24)</f>
        <v>6.24</v>
      </c>
      <c r="D802" s="1">
        <f>IFERROR(__xludf.DUMMYFUNCTION("""COMPUTED_VALUE"""),6.15)</f>
        <v>6.15</v>
      </c>
      <c r="E802" s="1">
        <f>IFERROR(__xludf.DUMMYFUNCTION("""COMPUTED_VALUE"""),6.24)</f>
        <v>6.24</v>
      </c>
      <c r="F802" s="1">
        <f>IFERROR(__xludf.DUMMYFUNCTION("""COMPUTED_VALUE"""),987010.0)</f>
        <v>987010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IFERROR(__xludf.DUMMYFUNCTION("""COMPUTED_VALUE"""),6.28)</f>
        <v>6.28</v>
      </c>
      <c r="C803" s="1">
        <f>IFERROR(__xludf.DUMMYFUNCTION("""COMPUTED_VALUE"""),6.3)</f>
        <v>6.3</v>
      </c>
      <c r="D803" s="1">
        <f>IFERROR(__xludf.DUMMYFUNCTION("""COMPUTED_VALUE"""),6.23)</f>
        <v>6.23</v>
      </c>
      <c r="E803" s="1">
        <f>IFERROR(__xludf.DUMMYFUNCTION("""COMPUTED_VALUE"""),6.26)</f>
        <v>6.26</v>
      </c>
      <c r="F803" s="1">
        <f>IFERROR(__xludf.DUMMYFUNCTION("""COMPUTED_VALUE"""),452395.0)</f>
        <v>452395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IFERROR(__xludf.DUMMYFUNCTION("""COMPUTED_VALUE"""),6.23)</f>
        <v>6.23</v>
      </c>
      <c r="C804" s="1">
        <f>IFERROR(__xludf.DUMMYFUNCTION("""COMPUTED_VALUE"""),6.31)</f>
        <v>6.31</v>
      </c>
      <c r="D804" s="1">
        <f>IFERROR(__xludf.DUMMYFUNCTION("""COMPUTED_VALUE"""),6.2)</f>
        <v>6.2</v>
      </c>
      <c r="E804" s="1">
        <f>IFERROR(__xludf.DUMMYFUNCTION("""COMPUTED_VALUE"""),6.3)</f>
        <v>6.3</v>
      </c>
      <c r="F804" s="1">
        <f>IFERROR(__xludf.DUMMYFUNCTION("""COMPUTED_VALUE"""),323108.0)</f>
        <v>323108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IFERROR(__xludf.DUMMYFUNCTION("""COMPUTED_VALUE"""),6.4)</f>
        <v>6.4</v>
      </c>
      <c r="C805" s="1">
        <f>IFERROR(__xludf.DUMMYFUNCTION("""COMPUTED_VALUE"""),6.53)</f>
        <v>6.53</v>
      </c>
      <c r="D805" s="1">
        <f>IFERROR(__xludf.DUMMYFUNCTION("""COMPUTED_VALUE"""),6.4)</f>
        <v>6.4</v>
      </c>
      <c r="E805" s="1">
        <f>IFERROR(__xludf.DUMMYFUNCTION("""COMPUTED_VALUE"""),6.49)</f>
        <v>6.49</v>
      </c>
      <c r="F805" s="1">
        <f>IFERROR(__xludf.DUMMYFUNCTION("""COMPUTED_VALUE"""),821360.0)</f>
        <v>821360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IFERROR(__xludf.DUMMYFUNCTION("""COMPUTED_VALUE"""),6.46)</f>
        <v>6.46</v>
      </c>
      <c r="C806" s="1">
        <f>IFERROR(__xludf.DUMMYFUNCTION("""COMPUTED_VALUE"""),6.47)</f>
        <v>6.47</v>
      </c>
      <c r="D806" s="1">
        <f>IFERROR(__xludf.DUMMYFUNCTION("""COMPUTED_VALUE"""),6.36)</f>
        <v>6.36</v>
      </c>
      <c r="E806" s="1">
        <f>IFERROR(__xludf.DUMMYFUNCTION("""COMPUTED_VALUE"""),6.38)</f>
        <v>6.38</v>
      </c>
      <c r="F806" s="1">
        <f>IFERROR(__xludf.DUMMYFUNCTION("""COMPUTED_VALUE"""),397588.0)</f>
        <v>397588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IFERROR(__xludf.DUMMYFUNCTION("""COMPUTED_VALUE"""),6.18)</f>
        <v>6.18</v>
      </c>
      <c r="C807" s="1">
        <f>IFERROR(__xludf.DUMMYFUNCTION("""COMPUTED_VALUE"""),6.31)</f>
        <v>6.31</v>
      </c>
      <c r="D807" s="1">
        <f>IFERROR(__xludf.DUMMYFUNCTION("""COMPUTED_VALUE"""),6.15)</f>
        <v>6.15</v>
      </c>
      <c r="E807" s="1">
        <f>IFERROR(__xludf.DUMMYFUNCTION("""COMPUTED_VALUE"""),6.21)</f>
        <v>6.21</v>
      </c>
      <c r="F807" s="1">
        <f>IFERROR(__xludf.DUMMYFUNCTION("""COMPUTED_VALUE"""),698499.0)</f>
        <v>698499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IFERROR(__xludf.DUMMYFUNCTION("""COMPUTED_VALUE"""),6.22)</f>
        <v>6.22</v>
      </c>
      <c r="C808" s="1">
        <f>IFERROR(__xludf.DUMMYFUNCTION("""COMPUTED_VALUE"""),6.24)</f>
        <v>6.24</v>
      </c>
      <c r="D808" s="1">
        <f>IFERROR(__xludf.DUMMYFUNCTION("""COMPUTED_VALUE"""),6.09)</f>
        <v>6.09</v>
      </c>
      <c r="E808" s="1">
        <f>IFERROR(__xludf.DUMMYFUNCTION("""COMPUTED_VALUE"""),6.16)</f>
        <v>6.16</v>
      </c>
      <c r="F808" s="1">
        <f>IFERROR(__xludf.DUMMYFUNCTION("""COMPUTED_VALUE"""),703342.0)</f>
        <v>703342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IFERROR(__xludf.DUMMYFUNCTION("""COMPUTED_VALUE"""),6.27)</f>
        <v>6.27</v>
      </c>
      <c r="C809" s="1">
        <f>IFERROR(__xludf.DUMMYFUNCTION("""COMPUTED_VALUE"""),6.28)</f>
        <v>6.28</v>
      </c>
      <c r="D809" s="1">
        <f>IFERROR(__xludf.DUMMYFUNCTION("""COMPUTED_VALUE"""),6.21)</f>
        <v>6.21</v>
      </c>
      <c r="E809" s="1">
        <f>IFERROR(__xludf.DUMMYFUNCTION("""COMPUTED_VALUE"""),6.25)</f>
        <v>6.25</v>
      </c>
      <c r="F809" s="1">
        <f>IFERROR(__xludf.DUMMYFUNCTION("""COMPUTED_VALUE"""),570328.0)</f>
        <v>570328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IFERROR(__xludf.DUMMYFUNCTION("""COMPUTED_VALUE"""),6.1)</f>
        <v>6.1</v>
      </c>
      <c r="C810" s="1">
        <f>IFERROR(__xludf.DUMMYFUNCTION("""COMPUTED_VALUE"""),6.2)</f>
        <v>6.2</v>
      </c>
      <c r="D810" s="1">
        <f>IFERROR(__xludf.DUMMYFUNCTION("""COMPUTED_VALUE"""),6.1)</f>
        <v>6.1</v>
      </c>
      <c r="E810" s="1">
        <f>IFERROR(__xludf.DUMMYFUNCTION("""COMPUTED_VALUE"""),6.12)</f>
        <v>6.12</v>
      </c>
      <c r="F810" s="1">
        <f>IFERROR(__xludf.DUMMYFUNCTION("""COMPUTED_VALUE"""),431469.0)</f>
        <v>431469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IFERROR(__xludf.DUMMYFUNCTION("""COMPUTED_VALUE"""),6.19)</f>
        <v>6.19</v>
      </c>
      <c r="C811" s="1">
        <f>IFERROR(__xludf.DUMMYFUNCTION("""COMPUTED_VALUE"""),6.21)</f>
        <v>6.21</v>
      </c>
      <c r="D811" s="1">
        <f>IFERROR(__xludf.DUMMYFUNCTION("""COMPUTED_VALUE"""),6.12)</f>
        <v>6.12</v>
      </c>
      <c r="E811" s="1">
        <f>IFERROR(__xludf.DUMMYFUNCTION("""COMPUTED_VALUE"""),6.15)</f>
        <v>6.15</v>
      </c>
      <c r="F811" s="1">
        <f>IFERROR(__xludf.DUMMYFUNCTION("""COMPUTED_VALUE"""),427142.0)</f>
        <v>427142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IFERROR(__xludf.DUMMYFUNCTION("""COMPUTED_VALUE"""),6.11)</f>
        <v>6.11</v>
      </c>
      <c r="C812" s="1">
        <f>IFERROR(__xludf.DUMMYFUNCTION("""COMPUTED_VALUE"""),6.12)</f>
        <v>6.12</v>
      </c>
      <c r="D812" s="1">
        <f>IFERROR(__xludf.DUMMYFUNCTION("""COMPUTED_VALUE"""),5.82)</f>
        <v>5.82</v>
      </c>
      <c r="E812" s="1">
        <f>IFERROR(__xludf.DUMMYFUNCTION("""COMPUTED_VALUE"""),5.89)</f>
        <v>5.89</v>
      </c>
      <c r="F812" s="1">
        <f>IFERROR(__xludf.DUMMYFUNCTION("""COMPUTED_VALUE"""),1517534.0)</f>
        <v>1517534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IFERROR(__xludf.DUMMYFUNCTION("""COMPUTED_VALUE"""),5.9)</f>
        <v>5.9</v>
      </c>
      <c r="C813" s="1">
        <f>IFERROR(__xludf.DUMMYFUNCTION("""COMPUTED_VALUE"""),6.15)</f>
        <v>6.15</v>
      </c>
      <c r="D813" s="1">
        <f>IFERROR(__xludf.DUMMYFUNCTION("""COMPUTED_VALUE"""),5.88)</f>
        <v>5.88</v>
      </c>
      <c r="E813" s="1">
        <f>IFERROR(__xludf.DUMMYFUNCTION("""COMPUTED_VALUE"""),6.13)</f>
        <v>6.13</v>
      </c>
      <c r="F813" s="1">
        <f>IFERROR(__xludf.DUMMYFUNCTION("""COMPUTED_VALUE"""),1502546.0)</f>
        <v>1502546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IFERROR(__xludf.DUMMYFUNCTION("""COMPUTED_VALUE"""),5.91)</f>
        <v>5.91</v>
      </c>
      <c r="C814" s="1">
        <f>IFERROR(__xludf.DUMMYFUNCTION("""COMPUTED_VALUE"""),6.02)</f>
        <v>6.02</v>
      </c>
      <c r="D814" s="1">
        <f>IFERROR(__xludf.DUMMYFUNCTION("""COMPUTED_VALUE"""),5.86)</f>
        <v>5.86</v>
      </c>
      <c r="E814" s="1">
        <f>IFERROR(__xludf.DUMMYFUNCTION("""COMPUTED_VALUE"""),5.98)</f>
        <v>5.98</v>
      </c>
      <c r="F814" s="1">
        <f>IFERROR(__xludf.DUMMYFUNCTION("""COMPUTED_VALUE"""),2262649.0)</f>
        <v>2262649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IFERROR(__xludf.DUMMYFUNCTION("""COMPUTED_VALUE"""),6.06)</f>
        <v>6.06</v>
      </c>
      <c r="C815" s="1">
        <f>IFERROR(__xludf.DUMMYFUNCTION("""COMPUTED_VALUE"""),6.11)</f>
        <v>6.11</v>
      </c>
      <c r="D815" s="1">
        <f>IFERROR(__xludf.DUMMYFUNCTION("""COMPUTED_VALUE"""),5.96)</f>
        <v>5.96</v>
      </c>
      <c r="E815" s="1">
        <f>IFERROR(__xludf.DUMMYFUNCTION("""COMPUTED_VALUE"""),6.01)</f>
        <v>6.01</v>
      </c>
      <c r="F815" s="1">
        <f>IFERROR(__xludf.DUMMYFUNCTION("""COMPUTED_VALUE"""),981265.0)</f>
        <v>981265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IFERROR(__xludf.DUMMYFUNCTION("""COMPUTED_VALUE"""),6.13)</f>
        <v>6.13</v>
      </c>
      <c r="C816" s="1">
        <f>IFERROR(__xludf.DUMMYFUNCTION("""COMPUTED_VALUE"""),6.14)</f>
        <v>6.14</v>
      </c>
      <c r="D816" s="1">
        <f>IFERROR(__xludf.DUMMYFUNCTION("""COMPUTED_VALUE"""),5.99)</f>
        <v>5.99</v>
      </c>
      <c r="E816" s="1">
        <f>IFERROR(__xludf.DUMMYFUNCTION("""COMPUTED_VALUE"""),6.01)</f>
        <v>6.01</v>
      </c>
      <c r="F816" s="1">
        <f>IFERROR(__xludf.DUMMYFUNCTION("""COMPUTED_VALUE"""),836883.0)</f>
        <v>836883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IFERROR(__xludf.DUMMYFUNCTION("""COMPUTED_VALUE"""),6.13)</f>
        <v>6.13</v>
      </c>
      <c r="C817" s="1">
        <f>IFERROR(__xludf.DUMMYFUNCTION("""COMPUTED_VALUE"""),6.22)</f>
        <v>6.22</v>
      </c>
      <c r="D817" s="1">
        <f>IFERROR(__xludf.DUMMYFUNCTION("""COMPUTED_VALUE"""),6.12)</f>
        <v>6.12</v>
      </c>
      <c r="E817" s="1">
        <f>IFERROR(__xludf.DUMMYFUNCTION("""COMPUTED_VALUE"""),6.18)</f>
        <v>6.18</v>
      </c>
      <c r="F817" s="1">
        <f>IFERROR(__xludf.DUMMYFUNCTION("""COMPUTED_VALUE"""),1281001.0)</f>
        <v>1281001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IFERROR(__xludf.DUMMYFUNCTION("""COMPUTED_VALUE"""),6.14)</f>
        <v>6.14</v>
      </c>
      <c r="C818" s="1">
        <f>IFERROR(__xludf.DUMMYFUNCTION("""COMPUTED_VALUE"""),6.17)</f>
        <v>6.17</v>
      </c>
      <c r="D818" s="1">
        <f>IFERROR(__xludf.DUMMYFUNCTION("""COMPUTED_VALUE"""),6.04)</f>
        <v>6.04</v>
      </c>
      <c r="E818" s="1">
        <f>IFERROR(__xludf.DUMMYFUNCTION("""COMPUTED_VALUE"""),6.08)</f>
        <v>6.08</v>
      </c>
      <c r="F818" s="1">
        <f>IFERROR(__xludf.DUMMYFUNCTION("""COMPUTED_VALUE"""),1129339.0)</f>
        <v>1129339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IFERROR(__xludf.DUMMYFUNCTION("""COMPUTED_VALUE"""),6.06)</f>
        <v>6.06</v>
      </c>
      <c r="C819" s="1">
        <f>IFERROR(__xludf.DUMMYFUNCTION("""COMPUTED_VALUE"""),6.13)</f>
        <v>6.13</v>
      </c>
      <c r="D819" s="1">
        <f>IFERROR(__xludf.DUMMYFUNCTION("""COMPUTED_VALUE"""),5.97)</f>
        <v>5.97</v>
      </c>
      <c r="E819" s="1">
        <f>IFERROR(__xludf.DUMMYFUNCTION("""COMPUTED_VALUE"""),6.05)</f>
        <v>6.05</v>
      </c>
      <c r="F819" s="1">
        <f>IFERROR(__xludf.DUMMYFUNCTION("""COMPUTED_VALUE"""),706688.0)</f>
        <v>706688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IFERROR(__xludf.DUMMYFUNCTION("""COMPUTED_VALUE"""),5.89)</f>
        <v>5.89</v>
      </c>
      <c r="C820" s="1">
        <f>IFERROR(__xludf.DUMMYFUNCTION("""COMPUTED_VALUE"""),5.98)</f>
        <v>5.98</v>
      </c>
      <c r="D820" s="1">
        <f>IFERROR(__xludf.DUMMYFUNCTION("""COMPUTED_VALUE"""),5.84)</f>
        <v>5.84</v>
      </c>
      <c r="E820" s="1">
        <f>IFERROR(__xludf.DUMMYFUNCTION("""COMPUTED_VALUE"""),5.97)</f>
        <v>5.97</v>
      </c>
      <c r="F820" s="1">
        <f>IFERROR(__xludf.DUMMYFUNCTION("""COMPUTED_VALUE"""),1863799.0)</f>
        <v>1863799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IFERROR(__xludf.DUMMYFUNCTION("""COMPUTED_VALUE"""),5.96)</f>
        <v>5.96</v>
      </c>
      <c r="C821" s="1">
        <f>IFERROR(__xludf.DUMMYFUNCTION("""COMPUTED_VALUE"""),6.0)</f>
        <v>6</v>
      </c>
      <c r="D821" s="1">
        <f>IFERROR(__xludf.DUMMYFUNCTION("""COMPUTED_VALUE"""),5.9)</f>
        <v>5.9</v>
      </c>
      <c r="E821" s="1">
        <f>IFERROR(__xludf.DUMMYFUNCTION("""COMPUTED_VALUE"""),5.99)</f>
        <v>5.99</v>
      </c>
      <c r="F821" s="1">
        <f>IFERROR(__xludf.DUMMYFUNCTION("""COMPUTED_VALUE"""),1118548.0)</f>
        <v>1118548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IFERROR(__xludf.DUMMYFUNCTION("""COMPUTED_VALUE"""),5.94)</f>
        <v>5.94</v>
      </c>
      <c r="C822" s="1">
        <f>IFERROR(__xludf.DUMMYFUNCTION("""COMPUTED_VALUE"""),6.05)</f>
        <v>6.05</v>
      </c>
      <c r="D822" s="1">
        <f>IFERROR(__xludf.DUMMYFUNCTION("""COMPUTED_VALUE"""),5.91)</f>
        <v>5.91</v>
      </c>
      <c r="E822" s="1">
        <f>IFERROR(__xludf.DUMMYFUNCTION("""COMPUTED_VALUE"""),6.01)</f>
        <v>6.01</v>
      </c>
      <c r="F822" s="1">
        <f>IFERROR(__xludf.DUMMYFUNCTION("""COMPUTED_VALUE"""),698129.0)</f>
        <v>698129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IFERROR(__xludf.DUMMYFUNCTION("""COMPUTED_VALUE"""),6.15)</f>
        <v>6.15</v>
      </c>
      <c r="C823" s="1">
        <f>IFERROR(__xludf.DUMMYFUNCTION("""COMPUTED_VALUE"""),6.25)</f>
        <v>6.25</v>
      </c>
      <c r="D823" s="1">
        <f>IFERROR(__xludf.DUMMYFUNCTION("""COMPUTED_VALUE"""),6.14)</f>
        <v>6.14</v>
      </c>
      <c r="E823" s="1">
        <f>IFERROR(__xludf.DUMMYFUNCTION("""COMPUTED_VALUE"""),6.23)</f>
        <v>6.23</v>
      </c>
      <c r="F823" s="1">
        <f>IFERROR(__xludf.DUMMYFUNCTION("""COMPUTED_VALUE"""),776631.0)</f>
        <v>776631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IFERROR(__xludf.DUMMYFUNCTION("""COMPUTED_VALUE"""),6.26)</f>
        <v>6.26</v>
      </c>
      <c r="C824" s="1">
        <f>IFERROR(__xludf.DUMMYFUNCTION("""COMPUTED_VALUE"""),6.31)</f>
        <v>6.31</v>
      </c>
      <c r="D824" s="1">
        <f>IFERROR(__xludf.DUMMYFUNCTION("""COMPUTED_VALUE"""),6.22)</f>
        <v>6.22</v>
      </c>
      <c r="E824" s="1">
        <f>IFERROR(__xludf.DUMMYFUNCTION("""COMPUTED_VALUE"""),6.26)</f>
        <v>6.26</v>
      </c>
      <c r="F824" s="1">
        <f>IFERROR(__xludf.DUMMYFUNCTION("""COMPUTED_VALUE"""),534947.0)</f>
        <v>534947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IFERROR(__xludf.DUMMYFUNCTION("""COMPUTED_VALUE"""),6.13)</f>
        <v>6.13</v>
      </c>
      <c r="C825" s="1">
        <f>IFERROR(__xludf.DUMMYFUNCTION("""COMPUTED_VALUE"""),6.15)</f>
        <v>6.15</v>
      </c>
      <c r="D825" s="1">
        <f>IFERROR(__xludf.DUMMYFUNCTION("""COMPUTED_VALUE"""),6.08)</f>
        <v>6.08</v>
      </c>
      <c r="E825" s="1">
        <f>IFERROR(__xludf.DUMMYFUNCTION("""COMPUTED_VALUE"""),6.13)</f>
        <v>6.13</v>
      </c>
      <c r="F825" s="1">
        <f>IFERROR(__xludf.DUMMYFUNCTION("""COMPUTED_VALUE"""),614990.0)</f>
        <v>614990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IFERROR(__xludf.DUMMYFUNCTION("""COMPUTED_VALUE"""),6.13)</f>
        <v>6.13</v>
      </c>
      <c r="C826" s="1">
        <f>IFERROR(__xludf.DUMMYFUNCTION("""COMPUTED_VALUE"""),6.13)</f>
        <v>6.13</v>
      </c>
      <c r="D826" s="1">
        <f>IFERROR(__xludf.DUMMYFUNCTION("""COMPUTED_VALUE"""),5.94)</f>
        <v>5.94</v>
      </c>
      <c r="E826" s="1">
        <f>IFERROR(__xludf.DUMMYFUNCTION("""COMPUTED_VALUE"""),5.94)</f>
        <v>5.94</v>
      </c>
      <c r="F826" s="1">
        <f>IFERROR(__xludf.DUMMYFUNCTION("""COMPUTED_VALUE"""),685838.0)</f>
        <v>685838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IFERROR(__xludf.DUMMYFUNCTION("""COMPUTED_VALUE"""),6.15)</f>
        <v>6.15</v>
      </c>
      <c r="C827" s="1">
        <f>IFERROR(__xludf.DUMMYFUNCTION("""COMPUTED_VALUE"""),6.18)</f>
        <v>6.18</v>
      </c>
      <c r="D827" s="1">
        <f>IFERROR(__xludf.DUMMYFUNCTION("""COMPUTED_VALUE"""),6.1)</f>
        <v>6.1</v>
      </c>
      <c r="E827" s="1">
        <f>IFERROR(__xludf.DUMMYFUNCTION("""COMPUTED_VALUE"""),6.18)</f>
        <v>6.18</v>
      </c>
      <c r="F827" s="1">
        <f>IFERROR(__xludf.DUMMYFUNCTION("""COMPUTED_VALUE"""),618270.0)</f>
        <v>618270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IFERROR(__xludf.DUMMYFUNCTION("""COMPUTED_VALUE"""),6.02)</f>
        <v>6.02</v>
      </c>
      <c r="C828" s="1">
        <f>IFERROR(__xludf.DUMMYFUNCTION("""COMPUTED_VALUE"""),6.02)</f>
        <v>6.02</v>
      </c>
      <c r="D828" s="1">
        <f>IFERROR(__xludf.DUMMYFUNCTION("""COMPUTED_VALUE"""),5.86)</f>
        <v>5.86</v>
      </c>
      <c r="E828" s="1">
        <f>IFERROR(__xludf.DUMMYFUNCTION("""COMPUTED_VALUE"""),5.9)</f>
        <v>5.9</v>
      </c>
      <c r="F828" s="1">
        <f>IFERROR(__xludf.DUMMYFUNCTION("""COMPUTED_VALUE"""),1239056.0)</f>
        <v>1239056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IFERROR(__xludf.DUMMYFUNCTION("""COMPUTED_VALUE"""),5.88)</f>
        <v>5.88</v>
      </c>
      <c r="C829" s="1">
        <f>IFERROR(__xludf.DUMMYFUNCTION("""COMPUTED_VALUE"""),5.89)</f>
        <v>5.89</v>
      </c>
      <c r="D829" s="1">
        <f>IFERROR(__xludf.DUMMYFUNCTION("""COMPUTED_VALUE"""),5.71)</f>
        <v>5.71</v>
      </c>
      <c r="E829" s="1">
        <f>IFERROR(__xludf.DUMMYFUNCTION("""COMPUTED_VALUE"""),5.76)</f>
        <v>5.76</v>
      </c>
      <c r="F829" s="1">
        <f>IFERROR(__xludf.DUMMYFUNCTION("""COMPUTED_VALUE"""),995685.0)</f>
        <v>995685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IFERROR(__xludf.DUMMYFUNCTION("""COMPUTED_VALUE"""),5.87)</f>
        <v>5.87</v>
      </c>
      <c r="C830" s="1">
        <f>IFERROR(__xludf.DUMMYFUNCTION("""COMPUTED_VALUE"""),5.92)</f>
        <v>5.92</v>
      </c>
      <c r="D830" s="1">
        <f>IFERROR(__xludf.DUMMYFUNCTION("""COMPUTED_VALUE"""),5.84)</f>
        <v>5.84</v>
      </c>
      <c r="E830" s="1">
        <f>IFERROR(__xludf.DUMMYFUNCTION("""COMPUTED_VALUE"""),5.9)</f>
        <v>5.9</v>
      </c>
      <c r="F830" s="1">
        <f>IFERROR(__xludf.DUMMYFUNCTION("""COMPUTED_VALUE"""),1035213.0)</f>
        <v>1035213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IFERROR(__xludf.DUMMYFUNCTION("""COMPUTED_VALUE"""),5.91)</f>
        <v>5.91</v>
      </c>
      <c r="C831" s="1">
        <f>IFERROR(__xludf.DUMMYFUNCTION("""COMPUTED_VALUE"""),5.94)</f>
        <v>5.94</v>
      </c>
      <c r="D831" s="1">
        <f>IFERROR(__xludf.DUMMYFUNCTION("""COMPUTED_VALUE"""),5.81)</f>
        <v>5.81</v>
      </c>
      <c r="E831" s="1">
        <f>IFERROR(__xludf.DUMMYFUNCTION("""COMPUTED_VALUE"""),5.92)</f>
        <v>5.92</v>
      </c>
      <c r="F831" s="1">
        <f>IFERROR(__xludf.DUMMYFUNCTION("""COMPUTED_VALUE"""),646459.0)</f>
        <v>646459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IFERROR(__xludf.DUMMYFUNCTION("""COMPUTED_VALUE"""),6.05)</f>
        <v>6.05</v>
      </c>
      <c r="C832" s="1">
        <f>IFERROR(__xludf.DUMMYFUNCTION("""COMPUTED_VALUE"""),6.19)</f>
        <v>6.19</v>
      </c>
      <c r="D832" s="1">
        <f>IFERROR(__xludf.DUMMYFUNCTION("""COMPUTED_VALUE"""),6.04)</f>
        <v>6.04</v>
      </c>
      <c r="E832" s="1">
        <f>IFERROR(__xludf.DUMMYFUNCTION("""COMPUTED_VALUE"""),6.19)</f>
        <v>6.19</v>
      </c>
      <c r="F832" s="1">
        <f>IFERROR(__xludf.DUMMYFUNCTION("""COMPUTED_VALUE"""),843496.0)</f>
        <v>843496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IFERROR(__xludf.DUMMYFUNCTION("""COMPUTED_VALUE"""),6.19)</f>
        <v>6.19</v>
      </c>
      <c r="C833" s="1">
        <f>IFERROR(__xludf.DUMMYFUNCTION("""COMPUTED_VALUE"""),6.29)</f>
        <v>6.29</v>
      </c>
      <c r="D833" s="1">
        <f>IFERROR(__xludf.DUMMYFUNCTION("""COMPUTED_VALUE"""),6.19)</f>
        <v>6.19</v>
      </c>
      <c r="E833" s="1">
        <f>IFERROR(__xludf.DUMMYFUNCTION("""COMPUTED_VALUE"""),6.27)</f>
        <v>6.27</v>
      </c>
      <c r="F833" s="1">
        <f>IFERROR(__xludf.DUMMYFUNCTION("""COMPUTED_VALUE"""),561537.0)</f>
        <v>561537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IFERROR(__xludf.DUMMYFUNCTION("""COMPUTED_VALUE"""),6.33)</f>
        <v>6.33</v>
      </c>
      <c r="C834" s="1">
        <f>IFERROR(__xludf.DUMMYFUNCTION("""COMPUTED_VALUE"""),6.43)</f>
        <v>6.43</v>
      </c>
      <c r="D834" s="1">
        <f>IFERROR(__xludf.DUMMYFUNCTION("""COMPUTED_VALUE"""),6.32)</f>
        <v>6.32</v>
      </c>
      <c r="E834" s="1">
        <f>IFERROR(__xludf.DUMMYFUNCTION("""COMPUTED_VALUE"""),6.35)</f>
        <v>6.35</v>
      </c>
      <c r="F834" s="1">
        <f>IFERROR(__xludf.DUMMYFUNCTION("""COMPUTED_VALUE"""),1035664.0)</f>
        <v>1035664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IFERROR(__xludf.DUMMYFUNCTION("""COMPUTED_VALUE"""),6.41)</f>
        <v>6.41</v>
      </c>
      <c r="C835" s="1">
        <f>IFERROR(__xludf.DUMMYFUNCTION("""COMPUTED_VALUE"""),6.46)</f>
        <v>6.46</v>
      </c>
      <c r="D835" s="1">
        <f>IFERROR(__xludf.DUMMYFUNCTION("""COMPUTED_VALUE"""),6.39)</f>
        <v>6.39</v>
      </c>
      <c r="E835" s="1">
        <f>IFERROR(__xludf.DUMMYFUNCTION("""COMPUTED_VALUE"""),6.45)</f>
        <v>6.45</v>
      </c>
      <c r="F835" s="1">
        <f>IFERROR(__xludf.DUMMYFUNCTION("""COMPUTED_VALUE"""),924803.0)</f>
        <v>924803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IFERROR(__xludf.DUMMYFUNCTION("""COMPUTED_VALUE"""),6.55)</f>
        <v>6.55</v>
      </c>
      <c r="C836" s="1">
        <f>IFERROR(__xludf.DUMMYFUNCTION("""COMPUTED_VALUE"""),6.59)</f>
        <v>6.59</v>
      </c>
      <c r="D836" s="1">
        <f>IFERROR(__xludf.DUMMYFUNCTION("""COMPUTED_VALUE"""),6.52)</f>
        <v>6.52</v>
      </c>
      <c r="E836" s="1">
        <f>IFERROR(__xludf.DUMMYFUNCTION("""COMPUTED_VALUE"""),6.58)</f>
        <v>6.58</v>
      </c>
      <c r="F836" s="1">
        <f>IFERROR(__xludf.DUMMYFUNCTION("""COMPUTED_VALUE"""),763241.0)</f>
        <v>763241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IFERROR(__xludf.DUMMYFUNCTION("""COMPUTED_VALUE"""),6.62)</f>
        <v>6.62</v>
      </c>
      <c r="C837" s="1">
        <f>IFERROR(__xludf.DUMMYFUNCTION("""COMPUTED_VALUE"""),6.76)</f>
        <v>6.76</v>
      </c>
      <c r="D837" s="1">
        <f>IFERROR(__xludf.DUMMYFUNCTION("""COMPUTED_VALUE"""),6.58)</f>
        <v>6.58</v>
      </c>
      <c r="E837" s="1">
        <f>IFERROR(__xludf.DUMMYFUNCTION("""COMPUTED_VALUE"""),6.76)</f>
        <v>6.76</v>
      </c>
      <c r="F837" s="1">
        <f>IFERROR(__xludf.DUMMYFUNCTION("""COMPUTED_VALUE"""),3388164.0)</f>
        <v>3388164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IFERROR(__xludf.DUMMYFUNCTION("""COMPUTED_VALUE"""),6.75)</f>
        <v>6.75</v>
      </c>
      <c r="C838" s="1">
        <f>IFERROR(__xludf.DUMMYFUNCTION("""COMPUTED_VALUE"""),6.76)</f>
        <v>6.76</v>
      </c>
      <c r="D838" s="1">
        <f>IFERROR(__xludf.DUMMYFUNCTION("""COMPUTED_VALUE"""),6.65)</f>
        <v>6.65</v>
      </c>
      <c r="E838" s="1">
        <f>IFERROR(__xludf.DUMMYFUNCTION("""COMPUTED_VALUE"""),6.68)</f>
        <v>6.68</v>
      </c>
      <c r="F838" s="1">
        <f>IFERROR(__xludf.DUMMYFUNCTION("""COMPUTED_VALUE"""),2212423.0)</f>
        <v>2212423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IFERROR(__xludf.DUMMYFUNCTION("""COMPUTED_VALUE"""),6.54)</f>
        <v>6.54</v>
      </c>
      <c r="C839" s="1">
        <f>IFERROR(__xludf.DUMMYFUNCTION("""COMPUTED_VALUE"""),6.66)</f>
        <v>6.66</v>
      </c>
      <c r="D839" s="1">
        <f>IFERROR(__xludf.DUMMYFUNCTION("""COMPUTED_VALUE"""),6.51)</f>
        <v>6.51</v>
      </c>
      <c r="E839" s="1">
        <f>IFERROR(__xludf.DUMMYFUNCTION("""COMPUTED_VALUE"""),6.64)</f>
        <v>6.64</v>
      </c>
      <c r="F839" s="1">
        <f>IFERROR(__xludf.DUMMYFUNCTION("""COMPUTED_VALUE"""),2245699.0)</f>
        <v>2245699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IFERROR(__xludf.DUMMYFUNCTION("""COMPUTED_VALUE"""),6.7)</f>
        <v>6.7</v>
      </c>
      <c r="C840" s="1">
        <f>IFERROR(__xludf.DUMMYFUNCTION("""COMPUTED_VALUE"""),6.8)</f>
        <v>6.8</v>
      </c>
      <c r="D840" s="1">
        <f>IFERROR(__xludf.DUMMYFUNCTION("""COMPUTED_VALUE"""),6.69)</f>
        <v>6.69</v>
      </c>
      <c r="E840" s="1">
        <f>IFERROR(__xludf.DUMMYFUNCTION("""COMPUTED_VALUE"""),6.79)</f>
        <v>6.79</v>
      </c>
      <c r="F840" s="1">
        <f>IFERROR(__xludf.DUMMYFUNCTION("""COMPUTED_VALUE"""),1065343.0)</f>
        <v>1065343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IFERROR(__xludf.DUMMYFUNCTION("""COMPUTED_VALUE"""),6.8)</f>
        <v>6.8</v>
      </c>
      <c r="C841" s="1">
        <f>IFERROR(__xludf.DUMMYFUNCTION("""COMPUTED_VALUE"""),6.85)</f>
        <v>6.85</v>
      </c>
      <c r="D841" s="1">
        <f>IFERROR(__xludf.DUMMYFUNCTION("""COMPUTED_VALUE"""),6.75)</f>
        <v>6.75</v>
      </c>
      <c r="E841" s="1">
        <f>IFERROR(__xludf.DUMMYFUNCTION("""COMPUTED_VALUE"""),6.84)</f>
        <v>6.84</v>
      </c>
      <c r="F841" s="1">
        <f>IFERROR(__xludf.DUMMYFUNCTION("""COMPUTED_VALUE"""),1155304.0)</f>
        <v>1155304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IFERROR(__xludf.DUMMYFUNCTION("""COMPUTED_VALUE"""),6.84)</f>
        <v>6.84</v>
      </c>
      <c r="C842" s="1">
        <f>IFERROR(__xludf.DUMMYFUNCTION("""COMPUTED_VALUE"""),6.87)</f>
        <v>6.87</v>
      </c>
      <c r="D842" s="1">
        <f>IFERROR(__xludf.DUMMYFUNCTION("""COMPUTED_VALUE"""),6.77)</f>
        <v>6.77</v>
      </c>
      <c r="E842" s="1">
        <f>IFERROR(__xludf.DUMMYFUNCTION("""COMPUTED_VALUE"""),6.84)</f>
        <v>6.84</v>
      </c>
      <c r="F842" s="1">
        <f>IFERROR(__xludf.DUMMYFUNCTION("""COMPUTED_VALUE"""),1081624.0)</f>
        <v>1081624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IFERROR(__xludf.DUMMYFUNCTION("""COMPUTED_VALUE"""),6.62)</f>
        <v>6.62</v>
      </c>
      <c r="C843" s="1">
        <f>IFERROR(__xludf.DUMMYFUNCTION("""COMPUTED_VALUE"""),6.65)</f>
        <v>6.65</v>
      </c>
      <c r="D843" s="1">
        <f>IFERROR(__xludf.DUMMYFUNCTION("""COMPUTED_VALUE"""),6.51)</f>
        <v>6.51</v>
      </c>
      <c r="E843" s="1">
        <f>IFERROR(__xludf.DUMMYFUNCTION("""COMPUTED_VALUE"""),6.62)</f>
        <v>6.62</v>
      </c>
      <c r="F843" s="1">
        <f>IFERROR(__xludf.DUMMYFUNCTION("""COMPUTED_VALUE"""),3493891.0)</f>
        <v>3493891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IFERROR(__xludf.DUMMYFUNCTION("""COMPUTED_VALUE"""),6.53)</f>
        <v>6.53</v>
      </c>
      <c r="C844" s="1">
        <f>IFERROR(__xludf.DUMMYFUNCTION("""COMPUTED_VALUE"""),6.63)</f>
        <v>6.63</v>
      </c>
      <c r="D844" s="1">
        <f>IFERROR(__xludf.DUMMYFUNCTION("""COMPUTED_VALUE"""),6.52)</f>
        <v>6.52</v>
      </c>
      <c r="E844" s="1">
        <f>IFERROR(__xludf.DUMMYFUNCTION("""COMPUTED_VALUE"""),6.58)</f>
        <v>6.58</v>
      </c>
      <c r="F844" s="1">
        <f>IFERROR(__xludf.DUMMYFUNCTION("""COMPUTED_VALUE"""),3520151.0)</f>
        <v>3520151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IFERROR(__xludf.DUMMYFUNCTION("""COMPUTED_VALUE"""),6.48)</f>
        <v>6.48</v>
      </c>
      <c r="C845" s="1">
        <f>IFERROR(__xludf.DUMMYFUNCTION("""COMPUTED_VALUE"""),6.56)</f>
        <v>6.56</v>
      </c>
      <c r="D845" s="1">
        <f>IFERROR(__xludf.DUMMYFUNCTION("""COMPUTED_VALUE"""),6.4)</f>
        <v>6.4</v>
      </c>
      <c r="E845" s="1">
        <f>IFERROR(__xludf.DUMMYFUNCTION("""COMPUTED_VALUE"""),6.52)</f>
        <v>6.52</v>
      </c>
      <c r="F845" s="1">
        <f>IFERROR(__xludf.DUMMYFUNCTION("""COMPUTED_VALUE"""),5585010.0)</f>
        <v>5585010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IFERROR(__xludf.DUMMYFUNCTION("""COMPUTED_VALUE"""),6.44)</f>
        <v>6.44</v>
      </c>
      <c r="C846" s="1">
        <f>IFERROR(__xludf.DUMMYFUNCTION("""COMPUTED_VALUE"""),6.48)</f>
        <v>6.48</v>
      </c>
      <c r="D846" s="1">
        <f>IFERROR(__xludf.DUMMYFUNCTION("""COMPUTED_VALUE"""),6.4)</f>
        <v>6.4</v>
      </c>
      <c r="E846" s="1">
        <f>IFERROR(__xludf.DUMMYFUNCTION("""COMPUTED_VALUE"""),6.48)</f>
        <v>6.48</v>
      </c>
      <c r="F846" s="1">
        <f>IFERROR(__xludf.DUMMYFUNCTION("""COMPUTED_VALUE"""),1239186.0)</f>
        <v>1239186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IFERROR(__xludf.DUMMYFUNCTION("""COMPUTED_VALUE"""),6.46)</f>
        <v>6.46</v>
      </c>
      <c r="C847" s="1">
        <f>IFERROR(__xludf.DUMMYFUNCTION("""COMPUTED_VALUE"""),6.54)</f>
        <v>6.54</v>
      </c>
      <c r="D847" s="1">
        <f>IFERROR(__xludf.DUMMYFUNCTION("""COMPUTED_VALUE"""),6.46)</f>
        <v>6.46</v>
      </c>
      <c r="E847" s="1">
        <f>IFERROR(__xludf.DUMMYFUNCTION("""COMPUTED_VALUE"""),6.53)</f>
        <v>6.53</v>
      </c>
      <c r="F847" s="1">
        <f>IFERROR(__xludf.DUMMYFUNCTION("""COMPUTED_VALUE"""),2824187.0)</f>
        <v>2824187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IFERROR(__xludf.DUMMYFUNCTION("""COMPUTED_VALUE"""),6.46)</f>
        <v>6.46</v>
      </c>
      <c r="C848" s="1">
        <f>IFERROR(__xludf.DUMMYFUNCTION("""COMPUTED_VALUE"""),6.52)</f>
        <v>6.52</v>
      </c>
      <c r="D848" s="1">
        <f>IFERROR(__xludf.DUMMYFUNCTION("""COMPUTED_VALUE"""),6.45)</f>
        <v>6.45</v>
      </c>
      <c r="E848" s="1">
        <f>IFERROR(__xludf.DUMMYFUNCTION("""COMPUTED_VALUE"""),6.5)</f>
        <v>6.5</v>
      </c>
      <c r="F848" s="1">
        <f>IFERROR(__xludf.DUMMYFUNCTION("""COMPUTED_VALUE"""),1522357.0)</f>
        <v>1522357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IFERROR(__xludf.DUMMYFUNCTION("""COMPUTED_VALUE"""),6.49)</f>
        <v>6.49</v>
      </c>
      <c r="C849" s="1">
        <f>IFERROR(__xludf.DUMMYFUNCTION("""COMPUTED_VALUE"""),6.51)</f>
        <v>6.51</v>
      </c>
      <c r="D849" s="1">
        <f>IFERROR(__xludf.DUMMYFUNCTION("""COMPUTED_VALUE"""),6.42)</f>
        <v>6.42</v>
      </c>
      <c r="E849" s="1">
        <f>IFERROR(__xludf.DUMMYFUNCTION("""COMPUTED_VALUE"""),6.47)</f>
        <v>6.47</v>
      </c>
      <c r="F849" s="1">
        <f>IFERROR(__xludf.DUMMYFUNCTION("""COMPUTED_VALUE"""),1384037.0)</f>
        <v>1384037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IFERROR(__xludf.DUMMYFUNCTION("""COMPUTED_VALUE"""),6.43)</f>
        <v>6.43</v>
      </c>
      <c r="C850" s="1">
        <f>IFERROR(__xludf.DUMMYFUNCTION("""COMPUTED_VALUE"""),6.51)</f>
        <v>6.51</v>
      </c>
      <c r="D850" s="1">
        <f>IFERROR(__xludf.DUMMYFUNCTION("""COMPUTED_VALUE"""),6.41)</f>
        <v>6.41</v>
      </c>
      <c r="E850" s="1">
        <f>IFERROR(__xludf.DUMMYFUNCTION("""COMPUTED_VALUE"""),6.5)</f>
        <v>6.5</v>
      </c>
      <c r="F850" s="1">
        <f>IFERROR(__xludf.DUMMYFUNCTION("""COMPUTED_VALUE"""),1824525.0)</f>
        <v>1824525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IFERROR(__xludf.DUMMYFUNCTION("""COMPUTED_VALUE"""),6.5)</f>
        <v>6.5</v>
      </c>
      <c r="C851" s="1">
        <f>IFERROR(__xludf.DUMMYFUNCTION("""COMPUTED_VALUE"""),6.57)</f>
        <v>6.57</v>
      </c>
      <c r="D851" s="1">
        <f>IFERROR(__xludf.DUMMYFUNCTION("""COMPUTED_VALUE"""),6.47)</f>
        <v>6.47</v>
      </c>
      <c r="E851" s="1">
        <f>IFERROR(__xludf.DUMMYFUNCTION("""COMPUTED_VALUE"""),6.56)</f>
        <v>6.56</v>
      </c>
      <c r="F851" s="1">
        <f>IFERROR(__xludf.DUMMYFUNCTION("""COMPUTED_VALUE"""),1278091.0)</f>
        <v>1278091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IFERROR(__xludf.DUMMYFUNCTION("""COMPUTED_VALUE"""),6.41)</f>
        <v>6.41</v>
      </c>
      <c r="C852" s="1">
        <f>IFERROR(__xludf.DUMMYFUNCTION("""COMPUTED_VALUE"""),6.46)</f>
        <v>6.46</v>
      </c>
      <c r="D852" s="1">
        <f>IFERROR(__xludf.DUMMYFUNCTION("""COMPUTED_VALUE"""),6.35)</f>
        <v>6.35</v>
      </c>
      <c r="E852" s="1">
        <f>IFERROR(__xludf.DUMMYFUNCTION("""COMPUTED_VALUE"""),6.41)</f>
        <v>6.41</v>
      </c>
      <c r="F852" s="1">
        <f>IFERROR(__xludf.DUMMYFUNCTION("""COMPUTED_VALUE"""),1020447.0)</f>
        <v>1020447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IFERROR(__xludf.DUMMYFUNCTION("""COMPUTED_VALUE"""),6.44)</f>
        <v>6.44</v>
      </c>
      <c r="C853" s="1">
        <f>IFERROR(__xludf.DUMMYFUNCTION("""COMPUTED_VALUE"""),6.56)</f>
        <v>6.56</v>
      </c>
      <c r="D853" s="1">
        <f>IFERROR(__xludf.DUMMYFUNCTION("""COMPUTED_VALUE"""),6.37)</f>
        <v>6.37</v>
      </c>
      <c r="E853" s="1">
        <f>IFERROR(__xludf.DUMMYFUNCTION("""COMPUTED_VALUE"""),6.42)</f>
        <v>6.42</v>
      </c>
      <c r="F853" s="1">
        <f>IFERROR(__xludf.DUMMYFUNCTION("""COMPUTED_VALUE"""),1553937.0)</f>
        <v>1553937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IFERROR(__xludf.DUMMYFUNCTION("""COMPUTED_VALUE"""),6.34)</f>
        <v>6.34</v>
      </c>
      <c r="C854" s="1">
        <f>IFERROR(__xludf.DUMMYFUNCTION("""COMPUTED_VALUE"""),6.5)</f>
        <v>6.5</v>
      </c>
      <c r="D854" s="1">
        <f>IFERROR(__xludf.DUMMYFUNCTION("""COMPUTED_VALUE"""),6.32)</f>
        <v>6.32</v>
      </c>
      <c r="E854" s="1">
        <f>IFERROR(__xludf.DUMMYFUNCTION("""COMPUTED_VALUE"""),6.45)</f>
        <v>6.45</v>
      </c>
      <c r="F854" s="1">
        <f>IFERROR(__xludf.DUMMYFUNCTION("""COMPUTED_VALUE"""),1257512.0)</f>
        <v>1257512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IFERROR(__xludf.DUMMYFUNCTION("""COMPUTED_VALUE"""),6.36)</f>
        <v>6.36</v>
      </c>
      <c r="C855" s="1">
        <f>IFERROR(__xludf.DUMMYFUNCTION("""COMPUTED_VALUE"""),6.43)</f>
        <v>6.43</v>
      </c>
      <c r="D855" s="1">
        <f>IFERROR(__xludf.DUMMYFUNCTION("""COMPUTED_VALUE"""),6.33)</f>
        <v>6.33</v>
      </c>
      <c r="E855" s="1">
        <f>IFERROR(__xludf.DUMMYFUNCTION("""COMPUTED_VALUE"""),6.42)</f>
        <v>6.42</v>
      </c>
      <c r="F855" s="1">
        <f>IFERROR(__xludf.DUMMYFUNCTION("""COMPUTED_VALUE"""),872921.0)</f>
        <v>872921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IFERROR(__xludf.DUMMYFUNCTION("""COMPUTED_VALUE"""),6.54)</f>
        <v>6.54</v>
      </c>
      <c r="C856" s="1">
        <f>IFERROR(__xludf.DUMMYFUNCTION("""COMPUTED_VALUE"""),6.62)</f>
        <v>6.62</v>
      </c>
      <c r="D856" s="1">
        <f>IFERROR(__xludf.DUMMYFUNCTION("""COMPUTED_VALUE"""),6.48)</f>
        <v>6.48</v>
      </c>
      <c r="E856" s="1">
        <f>IFERROR(__xludf.DUMMYFUNCTION("""COMPUTED_VALUE"""),6.52)</f>
        <v>6.52</v>
      </c>
      <c r="F856" s="1">
        <f>IFERROR(__xludf.DUMMYFUNCTION("""COMPUTED_VALUE"""),876620.0)</f>
        <v>876620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IFERROR(__xludf.DUMMYFUNCTION("""COMPUTED_VALUE"""),6.67)</f>
        <v>6.67</v>
      </c>
      <c r="C857" s="1">
        <f>IFERROR(__xludf.DUMMYFUNCTION("""COMPUTED_VALUE"""),6.76)</f>
        <v>6.76</v>
      </c>
      <c r="D857" s="1">
        <f>IFERROR(__xludf.DUMMYFUNCTION("""COMPUTED_VALUE"""),6.64)</f>
        <v>6.64</v>
      </c>
      <c r="E857" s="1">
        <f>IFERROR(__xludf.DUMMYFUNCTION("""COMPUTED_VALUE"""),6.73)</f>
        <v>6.73</v>
      </c>
      <c r="F857" s="1">
        <f>IFERROR(__xludf.DUMMYFUNCTION("""COMPUTED_VALUE"""),1507447.0)</f>
        <v>1507447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IFERROR(__xludf.DUMMYFUNCTION("""COMPUTED_VALUE"""),6.98)</f>
        <v>6.98</v>
      </c>
      <c r="C858" s="1">
        <f>IFERROR(__xludf.DUMMYFUNCTION("""COMPUTED_VALUE"""),7.1)</f>
        <v>7.1</v>
      </c>
      <c r="D858" s="1">
        <f>IFERROR(__xludf.DUMMYFUNCTION("""COMPUTED_VALUE"""),6.96)</f>
        <v>6.96</v>
      </c>
      <c r="E858" s="1">
        <f>IFERROR(__xludf.DUMMYFUNCTION("""COMPUTED_VALUE"""),7.08)</f>
        <v>7.08</v>
      </c>
      <c r="F858" s="1">
        <f>IFERROR(__xludf.DUMMYFUNCTION("""COMPUTED_VALUE"""),2367040.0)</f>
        <v>2367040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IFERROR(__xludf.DUMMYFUNCTION("""COMPUTED_VALUE"""),6.87)</f>
        <v>6.87</v>
      </c>
      <c r="C859" s="1">
        <f>IFERROR(__xludf.DUMMYFUNCTION("""COMPUTED_VALUE"""),6.92)</f>
        <v>6.92</v>
      </c>
      <c r="D859" s="1">
        <f>IFERROR(__xludf.DUMMYFUNCTION("""COMPUTED_VALUE"""),6.83)</f>
        <v>6.83</v>
      </c>
      <c r="E859" s="1">
        <f>IFERROR(__xludf.DUMMYFUNCTION("""COMPUTED_VALUE"""),6.87)</f>
        <v>6.87</v>
      </c>
      <c r="F859" s="1">
        <f>IFERROR(__xludf.DUMMYFUNCTION("""COMPUTED_VALUE"""),2850691.0)</f>
        <v>2850691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IFERROR(__xludf.DUMMYFUNCTION("""COMPUTED_VALUE"""),6.9)</f>
        <v>6.9</v>
      </c>
      <c r="C860" s="1">
        <f>IFERROR(__xludf.DUMMYFUNCTION("""COMPUTED_VALUE"""),6.99)</f>
        <v>6.99</v>
      </c>
      <c r="D860" s="1">
        <f>IFERROR(__xludf.DUMMYFUNCTION("""COMPUTED_VALUE"""),6.86)</f>
        <v>6.86</v>
      </c>
      <c r="E860" s="1">
        <f>IFERROR(__xludf.DUMMYFUNCTION("""COMPUTED_VALUE"""),6.99)</f>
        <v>6.99</v>
      </c>
      <c r="F860" s="1">
        <f>IFERROR(__xludf.DUMMYFUNCTION("""COMPUTED_VALUE"""),1614701.0)</f>
        <v>1614701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IFERROR(__xludf.DUMMYFUNCTION("""COMPUTED_VALUE"""),6.94)</f>
        <v>6.94</v>
      </c>
      <c r="C861" s="1">
        <f>IFERROR(__xludf.DUMMYFUNCTION("""COMPUTED_VALUE"""),6.99)</f>
        <v>6.99</v>
      </c>
      <c r="D861" s="1">
        <f>IFERROR(__xludf.DUMMYFUNCTION("""COMPUTED_VALUE"""),6.85)</f>
        <v>6.85</v>
      </c>
      <c r="E861" s="1">
        <f>IFERROR(__xludf.DUMMYFUNCTION("""COMPUTED_VALUE"""),6.9)</f>
        <v>6.9</v>
      </c>
      <c r="F861" s="1">
        <f>IFERROR(__xludf.DUMMYFUNCTION("""COMPUTED_VALUE"""),1215896.0)</f>
        <v>1215896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IFERROR(__xludf.DUMMYFUNCTION("""COMPUTED_VALUE"""),6.84)</f>
        <v>6.84</v>
      </c>
      <c r="C862" s="1">
        <f>IFERROR(__xludf.DUMMYFUNCTION("""COMPUTED_VALUE"""),6.85)</f>
        <v>6.85</v>
      </c>
      <c r="D862" s="1">
        <f>IFERROR(__xludf.DUMMYFUNCTION("""COMPUTED_VALUE"""),6.7)</f>
        <v>6.7</v>
      </c>
      <c r="E862" s="1">
        <f>IFERROR(__xludf.DUMMYFUNCTION("""COMPUTED_VALUE"""),6.7)</f>
        <v>6.7</v>
      </c>
      <c r="F862" s="1">
        <f>IFERROR(__xludf.DUMMYFUNCTION("""COMPUTED_VALUE"""),979587.0)</f>
        <v>979587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IFERROR(__xludf.DUMMYFUNCTION("""COMPUTED_VALUE"""),6.69)</f>
        <v>6.69</v>
      </c>
      <c r="C863" s="1">
        <f>IFERROR(__xludf.DUMMYFUNCTION("""COMPUTED_VALUE"""),6.73)</f>
        <v>6.73</v>
      </c>
      <c r="D863" s="1">
        <f>IFERROR(__xludf.DUMMYFUNCTION("""COMPUTED_VALUE"""),6.6)</f>
        <v>6.6</v>
      </c>
      <c r="E863" s="1">
        <f>IFERROR(__xludf.DUMMYFUNCTION("""COMPUTED_VALUE"""),6.72)</f>
        <v>6.72</v>
      </c>
      <c r="F863" s="1">
        <f>IFERROR(__xludf.DUMMYFUNCTION("""COMPUTED_VALUE"""),870698.0)</f>
        <v>870698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IFERROR(__xludf.DUMMYFUNCTION("""COMPUTED_VALUE"""),6.84)</f>
        <v>6.84</v>
      </c>
      <c r="C864" s="1">
        <f>IFERROR(__xludf.DUMMYFUNCTION("""COMPUTED_VALUE"""),6.89)</f>
        <v>6.89</v>
      </c>
      <c r="D864" s="1">
        <f>IFERROR(__xludf.DUMMYFUNCTION("""COMPUTED_VALUE"""),6.76)</f>
        <v>6.76</v>
      </c>
      <c r="E864" s="1">
        <f>IFERROR(__xludf.DUMMYFUNCTION("""COMPUTED_VALUE"""),6.89)</f>
        <v>6.89</v>
      </c>
      <c r="F864" s="1">
        <f>IFERROR(__xludf.DUMMYFUNCTION("""COMPUTED_VALUE"""),598486.0)</f>
        <v>598486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IFERROR(__xludf.DUMMYFUNCTION("""COMPUTED_VALUE"""),6.96)</f>
        <v>6.96</v>
      </c>
      <c r="C865" s="1">
        <f>IFERROR(__xludf.DUMMYFUNCTION("""COMPUTED_VALUE"""),6.97)</f>
        <v>6.97</v>
      </c>
      <c r="D865" s="1">
        <f>IFERROR(__xludf.DUMMYFUNCTION("""COMPUTED_VALUE"""),6.89)</f>
        <v>6.89</v>
      </c>
      <c r="E865" s="1">
        <f>IFERROR(__xludf.DUMMYFUNCTION("""COMPUTED_VALUE"""),6.94)</f>
        <v>6.94</v>
      </c>
      <c r="F865" s="1">
        <f>IFERROR(__xludf.DUMMYFUNCTION("""COMPUTED_VALUE"""),743789.0)</f>
        <v>743789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IFERROR(__xludf.DUMMYFUNCTION("""COMPUTED_VALUE"""),6.81)</f>
        <v>6.81</v>
      </c>
      <c r="C866" s="1">
        <f>IFERROR(__xludf.DUMMYFUNCTION("""COMPUTED_VALUE"""),6.88)</f>
        <v>6.88</v>
      </c>
      <c r="D866" s="1">
        <f>IFERROR(__xludf.DUMMYFUNCTION("""COMPUTED_VALUE"""),6.79)</f>
        <v>6.79</v>
      </c>
      <c r="E866" s="1">
        <f>IFERROR(__xludf.DUMMYFUNCTION("""COMPUTED_VALUE"""),6.81)</f>
        <v>6.81</v>
      </c>
      <c r="F866" s="1">
        <f>IFERROR(__xludf.DUMMYFUNCTION("""COMPUTED_VALUE"""),1275709.0)</f>
        <v>1275709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IFERROR(__xludf.DUMMYFUNCTION("""COMPUTED_VALUE"""),6.79)</f>
        <v>6.79</v>
      </c>
      <c r="C867" s="1">
        <f>IFERROR(__xludf.DUMMYFUNCTION("""COMPUTED_VALUE"""),6.79)</f>
        <v>6.79</v>
      </c>
      <c r="D867" s="1">
        <f>IFERROR(__xludf.DUMMYFUNCTION("""COMPUTED_VALUE"""),6.65)</f>
        <v>6.65</v>
      </c>
      <c r="E867" s="1">
        <f>IFERROR(__xludf.DUMMYFUNCTION("""COMPUTED_VALUE"""),6.66)</f>
        <v>6.66</v>
      </c>
      <c r="F867" s="1">
        <f>IFERROR(__xludf.DUMMYFUNCTION("""COMPUTED_VALUE"""),857095.0)</f>
        <v>857095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IFERROR(__xludf.DUMMYFUNCTION("""COMPUTED_VALUE"""),6.7)</f>
        <v>6.7</v>
      </c>
      <c r="C868" s="1">
        <f>IFERROR(__xludf.DUMMYFUNCTION("""COMPUTED_VALUE"""),6.8)</f>
        <v>6.8</v>
      </c>
      <c r="D868" s="1">
        <f>IFERROR(__xludf.DUMMYFUNCTION("""COMPUTED_VALUE"""),6.65)</f>
        <v>6.65</v>
      </c>
      <c r="E868" s="1">
        <f>IFERROR(__xludf.DUMMYFUNCTION("""COMPUTED_VALUE"""),6.78)</f>
        <v>6.78</v>
      </c>
      <c r="F868" s="1">
        <f>IFERROR(__xludf.DUMMYFUNCTION("""COMPUTED_VALUE"""),625510.0)</f>
        <v>625510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IFERROR(__xludf.DUMMYFUNCTION("""COMPUTED_VALUE"""),6.83)</f>
        <v>6.83</v>
      </c>
      <c r="C869" s="1">
        <f>IFERROR(__xludf.DUMMYFUNCTION("""COMPUTED_VALUE"""),6.88)</f>
        <v>6.88</v>
      </c>
      <c r="D869" s="1">
        <f>IFERROR(__xludf.DUMMYFUNCTION("""COMPUTED_VALUE"""),6.74)</f>
        <v>6.74</v>
      </c>
      <c r="E869" s="1">
        <f>IFERROR(__xludf.DUMMYFUNCTION("""COMPUTED_VALUE"""),6.78)</f>
        <v>6.78</v>
      </c>
      <c r="F869" s="1">
        <f>IFERROR(__xludf.DUMMYFUNCTION("""COMPUTED_VALUE"""),975890.0)</f>
        <v>975890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IFERROR(__xludf.DUMMYFUNCTION("""COMPUTED_VALUE"""),6.96)</f>
        <v>6.96</v>
      </c>
      <c r="C870" s="1">
        <f>IFERROR(__xludf.DUMMYFUNCTION("""COMPUTED_VALUE"""),6.99)</f>
        <v>6.99</v>
      </c>
      <c r="D870" s="1">
        <f>IFERROR(__xludf.DUMMYFUNCTION("""COMPUTED_VALUE"""),6.87)</f>
        <v>6.87</v>
      </c>
      <c r="E870" s="1">
        <f>IFERROR(__xludf.DUMMYFUNCTION("""COMPUTED_VALUE"""),6.93)</f>
        <v>6.93</v>
      </c>
      <c r="F870" s="1">
        <f>IFERROR(__xludf.DUMMYFUNCTION("""COMPUTED_VALUE"""),799319.0)</f>
        <v>799319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IFERROR(__xludf.DUMMYFUNCTION("""COMPUTED_VALUE"""),6.94)</f>
        <v>6.94</v>
      </c>
      <c r="C871" s="1">
        <f>IFERROR(__xludf.DUMMYFUNCTION("""COMPUTED_VALUE"""),7.09)</f>
        <v>7.09</v>
      </c>
      <c r="D871" s="1">
        <f>IFERROR(__xludf.DUMMYFUNCTION("""COMPUTED_VALUE"""),6.93)</f>
        <v>6.93</v>
      </c>
      <c r="E871" s="1">
        <f>IFERROR(__xludf.DUMMYFUNCTION("""COMPUTED_VALUE"""),7.04)</f>
        <v>7.04</v>
      </c>
      <c r="F871" s="1">
        <f>IFERROR(__xludf.DUMMYFUNCTION("""COMPUTED_VALUE"""),1138481.0)</f>
        <v>1138481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IFERROR(__xludf.DUMMYFUNCTION("""COMPUTED_VALUE"""),6.85)</f>
        <v>6.85</v>
      </c>
      <c r="C872" s="1">
        <f>IFERROR(__xludf.DUMMYFUNCTION("""COMPUTED_VALUE"""),6.88)</f>
        <v>6.88</v>
      </c>
      <c r="D872" s="1">
        <f>IFERROR(__xludf.DUMMYFUNCTION("""COMPUTED_VALUE"""),6.67)</f>
        <v>6.67</v>
      </c>
      <c r="E872" s="1">
        <f>IFERROR(__xludf.DUMMYFUNCTION("""COMPUTED_VALUE"""),6.67)</f>
        <v>6.67</v>
      </c>
      <c r="F872" s="1">
        <f>IFERROR(__xludf.DUMMYFUNCTION("""COMPUTED_VALUE"""),1399347.0)</f>
        <v>1399347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IFERROR(__xludf.DUMMYFUNCTION("""COMPUTED_VALUE"""),6.73)</f>
        <v>6.73</v>
      </c>
      <c r="C873" s="1">
        <f>IFERROR(__xludf.DUMMYFUNCTION("""COMPUTED_VALUE"""),6.81)</f>
        <v>6.81</v>
      </c>
      <c r="D873" s="1">
        <f>IFERROR(__xludf.DUMMYFUNCTION("""COMPUTED_VALUE"""),6.66)</f>
        <v>6.66</v>
      </c>
      <c r="E873" s="1">
        <f>IFERROR(__xludf.DUMMYFUNCTION("""COMPUTED_VALUE"""),6.7)</f>
        <v>6.7</v>
      </c>
      <c r="F873" s="1">
        <f>IFERROR(__xludf.DUMMYFUNCTION("""COMPUTED_VALUE"""),1314303.0)</f>
        <v>1314303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IFERROR(__xludf.DUMMYFUNCTION("""COMPUTED_VALUE"""),6.76)</f>
        <v>6.76</v>
      </c>
      <c r="C874" s="1">
        <f>IFERROR(__xludf.DUMMYFUNCTION("""COMPUTED_VALUE"""),6.79)</f>
        <v>6.79</v>
      </c>
      <c r="D874" s="1">
        <f>IFERROR(__xludf.DUMMYFUNCTION("""COMPUTED_VALUE"""),6.59)</f>
        <v>6.59</v>
      </c>
      <c r="E874" s="1">
        <f>IFERROR(__xludf.DUMMYFUNCTION("""COMPUTED_VALUE"""),6.69)</f>
        <v>6.69</v>
      </c>
      <c r="F874" s="1">
        <f>IFERROR(__xludf.DUMMYFUNCTION("""COMPUTED_VALUE"""),1182534.0)</f>
        <v>1182534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IFERROR(__xludf.DUMMYFUNCTION("""COMPUTED_VALUE"""),6.7)</f>
        <v>6.7</v>
      </c>
      <c r="C875" s="1">
        <f>IFERROR(__xludf.DUMMYFUNCTION("""COMPUTED_VALUE"""),6.78)</f>
        <v>6.78</v>
      </c>
      <c r="D875" s="1">
        <f>IFERROR(__xludf.DUMMYFUNCTION("""COMPUTED_VALUE"""),6.65)</f>
        <v>6.65</v>
      </c>
      <c r="E875" s="1">
        <f>IFERROR(__xludf.DUMMYFUNCTION("""COMPUTED_VALUE"""),6.73)</f>
        <v>6.73</v>
      </c>
      <c r="F875" s="1">
        <f>IFERROR(__xludf.DUMMYFUNCTION("""COMPUTED_VALUE"""),1304031.0)</f>
        <v>1304031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IFERROR(__xludf.DUMMYFUNCTION("""COMPUTED_VALUE"""),6.7)</f>
        <v>6.7</v>
      </c>
      <c r="C876" s="1">
        <f>IFERROR(__xludf.DUMMYFUNCTION("""COMPUTED_VALUE"""),6.73)</f>
        <v>6.73</v>
      </c>
      <c r="D876" s="1">
        <f>IFERROR(__xludf.DUMMYFUNCTION("""COMPUTED_VALUE"""),6.64)</f>
        <v>6.64</v>
      </c>
      <c r="E876" s="1">
        <f>IFERROR(__xludf.DUMMYFUNCTION("""COMPUTED_VALUE"""),6.71)</f>
        <v>6.71</v>
      </c>
      <c r="F876" s="1">
        <f>IFERROR(__xludf.DUMMYFUNCTION("""COMPUTED_VALUE"""),839571.0)</f>
        <v>839571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IFERROR(__xludf.DUMMYFUNCTION("""COMPUTED_VALUE"""),6.73)</f>
        <v>6.73</v>
      </c>
      <c r="C877" s="1">
        <f>IFERROR(__xludf.DUMMYFUNCTION("""COMPUTED_VALUE"""),6.75)</f>
        <v>6.75</v>
      </c>
      <c r="D877" s="1">
        <f>IFERROR(__xludf.DUMMYFUNCTION("""COMPUTED_VALUE"""),6.66)</f>
        <v>6.66</v>
      </c>
      <c r="E877" s="1">
        <f>IFERROR(__xludf.DUMMYFUNCTION("""COMPUTED_VALUE"""),6.72)</f>
        <v>6.72</v>
      </c>
      <c r="F877" s="1">
        <f>IFERROR(__xludf.DUMMYFUNCTION("""COMPUTED_VALUE"""),737471.0)</f>
        <v>737471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IFERROR(__xludf.DUMMYFUNCTION("""COMPUTED_VALUE"""),6.75)</f>
        <v>6.75</v>
      </c>
      <c r="C878" s="1">
        <f>IFERROR(__xludf.DUMMYFUNCTION("""COMPUTED_VALUE"""),6.8)</f>
        <v>6.8</v>
      </c>
      <c r="D878" s="1">
        <f>IFERROR(__xludf.DUMMYFUNCTION("""COMPUTED_VALUE"""),6.69)</f>
        <v>6.69</v>
      </c>
      <c r="E878" s="1">
        <f>IFERROR(__xludf.DUMMYFUNCTION("""COMPUTED_VALUE"""),6.71)</f>
        <v>6.71</v>
      </c>
      <c r="F878" s="1">
        <f>IFERROR(__xludf.DUMMYFUNCTION("""COMPUTED_VALUE"""),1409097.0)</f>
        <v>1409097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IFERROR(__xludf.DUMMYFUNCTION("""COMPUTED_VALUE"""),6.72)</f>
        <v>6.72</v>
      </c>
      <c r="C879" s="1">
        <f>IFERROR(__xludf.DUMMYFUNCTION("""COMPUTED_VALUE"""),6.78)</f>
        <v>6.78</v>
      </c>
      <c r="D879" s="1">
        <f>IFERROR(__xludf.DUMMYFUNCTION("""COMPUTED_VALUE"""),6.69)</f>
        <v>6.69</v>
      </c>
      <c r="E879" s="1">
        <f>IFERROR(__xludf.DUMMYFUNCTION("""COMPUTED_VALUE"""),6.76)</f>
        <v>6.76</v>
      </c>
      <c r="F879" s="1">
        <f>IFERROR(__xludf.DUMMYFUNCTION("""COMPUTED_VALUE"""),1717959.0)</f>
        <v>1717959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IFERROR(__xludf.DUMMYFUNCTION("""COMPUTED_VALUE"""),6.96)</f>
        <v>6.96</v>
      </c>
      <c r="C880" s="1">
        <f>IFERROR(__xludf.DUMMYFUNCTION("""COMPUTED_VALUE"""),6.99)</f>
        <v>6.99</v>
      </c>
      <c r="D880" s="1">
        <f>IFERROR(__xludf.DUMMYFUNCTION("""COMPUTED_VALUE"""),6.9)</f>
        <v>6.9</v>
      </c>
      <c r="E880" s="1">
        <f>IFERROR(__xludf.DUMMYFUNCTION("""COMPUTED_VALUE"""),6.93)</f>
        <v>6.93</v>
      </c>
      <c r="F880" s="1">
        <f>IFERROR(__xludf.DUMMYFUNCTION("""COMPUTED_VALUE"""),1002074.0)</f>
        <v>1002074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IFERROR(__xludf.DUMMYFUNCTION("""COMPUTED_VALUE"""),6.93)</f>
        <v>6.93</v>
      </c>
      <c r="C881" s="1">
        <f>IFERROR(__xludf.DUMMYFUNCTION("""COMPUTED_VALUE"""),7.0)</f>
        <v>7</v>
      </c>
      <c r="D881" s="1">
        <f>IFERROR(__xludf.DUMMYFUNCTION("""COMPUTED_VALUE"""),6.86)</f>
        <v>6.86</v>
      </c>
      <c r="E881" s="1">
        <f>IFERROR(__xludf.DUMMYFUNCTION("""COMPUTED_VALUE"""),6.9)</f>
        <v>6.9</v>
      </c>
      <c r="F881" s="1">
        <f>IFERROR(__xludf.DUMMYFUNCTION("""COMPUTED_VALUE"""),901884.0)</f>
        <v>901884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IFERROR(__xludf.DUMMYFUNCTION("""COMPUTED_VALUE"""),6.94)</f>
        <v>6.94</v>
      </c>
      <c r="C882" s="1">
        <f>IFERROR(__xludf.DUMMYFUNCTION("""COMPUTED_VALUE"""),7.04)</f>
        <v>7.04</v>
      </c>
      <c r="D882" s="1">
        <f>IFERROR(__xludf.DUMMYFUNCTION("""COMPUTED_VALUE"""),6.93)</f>
        <v>6.93</v>
      </c>
      <c r="E882" s="1">
        <f>IFERROR(__xludf.DUMMYFUNCTION("""COMPUTED_VALUE"""),7.01)</f>
        <v>7.01</v>
      </c>
      <c r="F882" s="1">
        <f>IFERROR(__xludf.DUMMYFUNCTION("""COMPUTED_VALUE"""),753364.0)</f>
        <v>753364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IFERROR(__xludf.DUMMYFUNCTION("""COMPUTED_VALUE"""),7.13)</f>
        <v>7.13</v>
      </c>
      <c r="C883" s="1">
        <f>IFERROR(__xludf.DUMMYFUNCTION("""COMPUTED_VALUE"""),7.2)</f>
        <v>7.2</v>
      </c>
      <c r="D883" s="1">
        <f>IFERROR(__xludf.DUMMYFUNCTION("""COMPUTED_VALUE"""),7.1)</f>
        <v>7.1</v>
      </c>
      <c r="E883" s="1">
        <f>IFERROR(__xludf.DUMMYFUNCTION("""COMPUTED_VALUE"""),7.2)</f>
        <v>7.2</v>
      </c>
      <c r="F883" s="1">
        <f>IFERROR(__xludf.DUMMYFUNCTION("""COMPUTED_VALUE"""),1088114.0)</f>
        <v>1088114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IFERROR(__xludf.DUMMYFUNCTION("""COMPUTED_VALUE"""),7.25)</f>
        <v>7.25</v>
      </c>
      <c r="C884" s="1">
        <f>IFERROR(__xludf.DUMMYFUNCTION("""COMPUTED_VALUE"""),7.3)</f>
        <v>7.3</v>
      </c>
      <c r="D884" s="1">
        <f>IFERROR(__xludf.DUMMYFUNCTION("""COMPUTED_VALUE"""),7.23)</f>
        <v>7.23</v>
      </c>
      <c r="E884" s="1">
        <f>IFERROR(__xludf.DUMMYFUNCTION("""COMPUTED_VALUE"""),7.26)</f>
        <v>7.26</v>
      </c>
      <c r="F884" s="1">
        <f>IFERROR(__xludf.DUMMYFUNCTION("""COMPUTED_VALUE"""),1421771.0)</f>
        <v>1421771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IFERROR(__xludf.DUMMYFUNCTION("""COMPUTED_VALUE"""),7.37)</f>
        <v>7.37</v>
      </c>
      <c r="C885" s="1">
        <f>IFERROR(__xludf.DUMMYFUNCTION("""COMPUTED_VALUE"""),7.39)</f>
        <v>7.39</v>
      </c>
      <c r="D885" s="1">
        <f>IFERROR(__xludf.DUMMYFUNCTION("""COMPUTED_VALUE"""),7.27)</f>
        <v>7.27</v>
      </c>
      <c r="E885" s="1">
        <f>IFERROR(__xludf.DUMMYFUNCTION("""COMPUTED_VALUE"""),7.3)</f>
        <v>7.3</v>
      </c>
      <c r="F885" s="1">
        <f>IFERROR(__xludf.DUMMYFUNCTION("""COMPUTED_VALUE"""),810328.0)</f>
        <v>810328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IFERROR(__xludf.DUMMYFUNCTION("""COMPUTED_VALUE"""),7.37)</f>
        <v>7.37</v>
      </c>
      <c r="C886" s="1">
        <f>IFERROR(__xludf.DUMMYFUNCTION("""COMPUTED_VALUE"""),7.47)</f>
        <v>7.47</v>
      </c>
      <c r="D886" s="1">
        <f>IFERROR(__xludf.DUMMYFUNCTION("""COMPUTED_VALUE"""),7.33)</f>
        <v>7.33</v>
      </c>
      <c r="E886" s="1">
        <f>IFERROR(__xludf.DUMMYFUNCTION("""COMPUTED_VALUE"""),7.42)</f>
        <v>7.42</v>
      </c>
      <c r="F886" s="1">
        <f>IFERROR(__xludf.DUMMYFUNCTION("""COMPUTED_VALUE"""),803830.0)</f>
        <v>803830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IFERROR(__xludf.DUMMYFUNCTION("""COMPUTED_VALUE"""),7.27)</f>
        <v>7.27</v>
      </c>
      <c r="C887" s="1">
        <f>IFERROR(__xludf.DUMMYFUNCTION("""COMPUTED_VALUE"""),7.27)</f>
        <v>7.27</v>
      </c>
      <c r="D887" s="1">
        <f>IFERROR(__xludf.DUMMYFUNCTION("""COMPUTED_VALUE"""),7.17)</f>
        <v>7.17</v>
      </c>
      <c r="E887" s="1">
        <f>IFERROR(__xludf.DUMMYFUNCTION("""COMPUTED_VALUE"""),7.26)</f>
        <v>7.26</v>
      </c>
      <c r="F887" s="1">
        <f>IFERROR(__xludf.DUMMYFUNCTION("""COMPUTED_VALUE"""),1216318.0)</f>
        <v>1216318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IFERROR(__xludf.DUMMYFUNCTION("""COMPUTED_VALUE"""),7.24)</f>
        <v>7.24</v>
      </c>
      <c r="C888" s="1">
        <f>IFERROR(__xludf.DUMMYFUNCTION("""COMPUTED_VALUE"""),7.31)</f>
        <v>7.31</v>
      </c>
      <c r="D888" s="1">
        <f>IFERROR(__xludf.DUMMYFUNCTION("""COMPUTED_VALUE"""),7.21)</f>
        <v>7.21</v>
      </c>
      <c r="E888" s="1">
        <f>IFERROR(__xludf.DUMMYFUNCTION("""COMPUTED_VALUE"""),7.31)</f>
        <v>7.31</v>
      </c>
      <c r="F888" s="1">
        <f>IFERROR(__xludf.DUMMYFUNCTION("""COMPUTED_VALUE"""),545932.0)</f>
        <v>545932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IFERROR(__xludf.DUMMYFUNCTION("""COMPUTED_VALUE"""),7.31)</f>
        <v>7.31</v>
      </c>
      <c r="C889" s="1">
        <f>IFERROR(__xludf.DUMMYFUNCTION("""COMPUTED_VALUE"""),7.39)</f>
        <v>7.39</v>
      </c>
      <c r="D889" s="1">
        <f>IFERROR(__xludf.DUMMYFUNCTION("""COMPUTED_VALUE"""),7.27)</f>
        <v>7.27</v>
      </c>
      <c r="E889" s="1">
        <f>IFERROR(__xludf.DUMMYFUNCTION("""COMPUTED_VALUE"""),7.36)</f>
        <v>7.36</v>
      </c>
      <c r="F889" s="1">
        <f>IFERROR(__xludf.DUMMYFUNCTION("""COMPUTED_VALUE"""),1040673.0)</f>
        <v>1040673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IFERROR(__xludf.DUMMYFUNCTION("""COMPUTED_VALUE"""),7.25)</f>
        <v>7.25</v>
      </c>
      <c r="C890" s="1">
        <f>IFERROR(__xludf.DUMMYFUNCTION("""COMPUTED_VALUE"""),7.32)</f>
        <v>7.32</v>
      </c>
      <c r="D890" s="1">
        <f>IFERROR(__xludf.DUMMYFUNCTION("""COMPUTED_VALUE"""),7.22)</f>
        <v>7.22</v>
      </c>
      <c r="E890" s="1">
        <f>IFERROR(__xludf.DUMMYFUNCTION("""COMPUTED_VALUE"""),7.3)</f>
        <v>7.3</v>
      </c>
      <c r="F890" s="1">
        <f>IFERROR(__xludf.DUMMYFUNCTION("""COMPUTED_VALUE"""),803198.0)</f>
        <v>803198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IFERROR(__xludf.DUMMYFUNCTION("""COMPUTED_VALUE"""),7.28)</f>
        <v>7.28</v>
      </c>
      <c r="C891" s="1">
        <f>IFERROR(__xludf.DUMMYFUNCTION("""COMPUTED_VALUE"""),7.34)</f>
        <v>7.34</v>
      </c>
      <c r="D891" s="1">
        <f>IFERROR(__xludf.DUMMYFUNCTION("""COMPUTED_VALUE"""),7.22)</f>
        <v>7.22</v>
      </c>
      <c r="E891" s="1">
        <f>IFERROR(__xludf.DUMMYFUNCTION("""COMPUTED_VALUE"""),7.27)</f>
        <v>7.27</v>
      </c>
      <c r="F891" s="1">
        <f>IFERROR(__xludf.DUMMYFUNCTION("""COMPUTED_VALUE"""),698523.0)</f>
        <v>698523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IFERROR(__xludf.DUMMYFUNCTION("""COMPUTED_VALUE"""),7.42)</f>
        <v>7.42</v>
      </c>
      <c r="C892" s="1">
        <f>IFERROR(__xludf.DUMMYFUNCTION("""COMPUTED_VALUE"""),7.53)</f>
        <v>7.53</v>
      </c>
      <c r="D892" s="1">
        <f>IFERROR(__xludf.DUMMYFUNCTION("""COMPUTED_VALUE"""),7.42)</f>
        <v>7.42</v>
      </c>
      <c r="E892" s="1">
        <f>IFERROR(__xludf.DUMMYFUNCTION("""COMPUTED_VALUE"""),7.52)</f>
        <v>7.52</v>
      </c>
      <c r="F892" s="1">
        <f>IFERROR(__xludf.DUMMYFUNCTION("""COMPUTED_VALUE"""),818931.0)</f>
        <v>818931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IFERROR(__xludf.DUMMYFUNCTION("""COMPUTED_VALUE"""),7.47)</f>
        <v>7.47</v>
      </c>
      <c r="C893" s="1">
        <f>IFERROR(__xludf.DUMMYFUNCTION("""COMPUTED_VALUE"""),7.54)</f>
        <v>7.54</v>
      </c>
      <c r="D893" s="1">
        <f>IFERROR(__xludf.DUMMYFUNCTION("""COMPUTED_VALUE"""),7.44)</f>
        <v>7.44</v>
      </c>
      <c r="E893" s="1">
        <f>IFERROR(__xludf.DUMMYFUNCTION("""COMPUTED_VALUE"""),7.5)</f>
        <v>7.5</v>
      </c>
      <c r="F893" s="1">
        <f>IFERROR(__xludf.DUMMYFUNCTION("""COMPUTED_VALUE"""),540805.0)</f>
        <v>540805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IFERROR(__xludf.DUMMYFUNCTION("""COMPUTED_VALUE"""),7.58)</f>
        <v>7.58</v>
      </c>
      <c r="C894" s="1">
        <f>IFERROR(__xludf.DUMMYFUNCTION("""COMPUTED_VALUE"""),7.62)</f>
        <v>7.62</v>
      </c>
      <c r="D894" s="1">
        <f>IFERROR(__xludf.DUMMYFUNCTION("""COMPUTED_VALUE"""),7.56)</f>
        <v>7.56</v>
      </c>
      <c r="E894" s="1">
        <f>IFERROR(__xludf.DUMMYFUNCTION("""COMPUTED_VALUE"""),7.62)</f>
        <v>7.62</v>
      </c>
      <c r="F894" s="1">
        <f>IFERROR(__xludf.DUMMYFUNCTION("""COMPUTED_VALUE"""),893970.0)</f>
        <v>893970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IFERROR(__xludf.DUMMYFUNCTION("""COMPUTED_VALUE"""),7.77)</f>
        <v>7.77</v>
      </c>
      <c r="C895" s="1">
        <f>IFERROR(__xludf.DUMMYFUNCTION("""COMPUTED_VALUE"""),7.78)</f>
        <v>7.78</v>
      </c>
      <c r="D895" s="1">
        <f>IFERROR(__xludf.DUMMYFUNCTION("""COMPUTED_VALUE"""),7.69)</f>
        <v>7.69</v>
      </c>
      <c r="E895" s="1">
        <f>IFERROR(__xludf.DUMMYFUNCTION("""COMPUTED_VALUE"""),7.74)</f>
        <v>7.74</v>
      </c>
      <c r="F895" s="1">
        <f>IFERROR(__xludf.DUMMYFUNCTION("""COMPUTED_VALUE"""),1432507.0)</f>
        <v>1432507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IFERROR(__xludf.DUMMYFUNCTION("""COMPUTED_VALUE"""),7.79)</f>
        <v>7.79</v>
      </c>
      <c r="C896" s="1">
        <f>IFERROR(__xludf.DUMMYFUNCTION("""COMPUTED_VALUE"""),7.81)</f>
        <v>7.81</v>
      </c>
      <c r="D896" s="1">
        <f>IFERROR(__xludf.DUMMYFUNCTION("""COMPUTED_VALUE"""),7.69)</f>
        <v>7.69</v>
      </c>
      <c r="E896" s="1">
        <f>IFERROR(__xludf.DUMMYFUNCTION("""COMPUTED_VALUE"""),7.72)</f>
        <v>7.72</v>
      </c>
      <c r="F896" s="1">
        <f>IFERROR(__xludf.DUMMYFUNCTION("""COMPUTED_VALUE"""),689764.0)</f>
        <v>689764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IFERROR(__xludf.DUMMYFUNCTION("""COMPUTED_VALUE"""),7.75)</f>
        <v>7.75</v>
      </c>
      <c r="C897" s="1">
        <f>IFERROR(__xludf.DUMMYFUNCTION("""COMPUTED_VALUE"""),7.84)</f>
        <v>7.84</v>
      </c>
      <c r="D897" s="1">
        <f>IFERROR(__xludf.DUMMYFUNCTION("""COMPUTED_VALUE"""),7.73)</f>
        <v>7.73</v>
      </c>
      <c r="E897" s="1">
        <f>IFERROR(__xludf.DUMMYFUNCTION("""COMPUTED_VALUE"""),7.84)</f>
        <v>7.84</v>
      </c>
      <c r="F897" s="1">
        <f>IFERROR(__xludf.DUMMYFUNCTION("""COMPUTED_VALUE"""),914596.0)</f>
        <v>914596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IFERROR(__xludf.DUMMYFUNCTION("""COMPUTED_VALUE"""),7.72)</f>
        <v>7.72</v>
      </c>
      <c r="C898" s="1">
        <f>IFERROR(__xludf.DUMMYFUNCTION("""COMPUTED_VALUE"""),7.82)</f>
        <v>7.82</v>
      </c>
      <c r="D898" s="1">
        <f>IFERROR(__xludf.DUMMYFUNCTION("""COMPUTED_VALUE"""),7.69)</f>
        <v>7.69</v>
      </c>
      <c r="E898" s="1">
        <f>IFERROR(__xludf.DUMMYFUNCTION("""COMPUTED_VALUE"""),7.79)</f>
        <v>7.79</v>
      </c>
      <c r="F898" s="1">
        <f>IFERROR(__xludf.DUMMYFUNCTION("""COMPUTED_VALUE"""),826649.0)</f>
        <v>826649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IFERROR(__xludf.DUMMYFUNCTION("""COMPUTED_VALUE"""),7.7)</f>
        <v>7.7</v>
      </c>
      <c r="C899" s="1">
        <f>IFERROR(__xludf.DUMMYFUNCTION("""COMPUTED_VALUE"""),7.72)</f>
        <v>7.72</v>
      </c>
      <c r="D899" s="1">
        <f>IFERROR(__xludf.DUMMYFUNCTION("""COMPUTED_VALUE"""),7.64)</f>
        <v>7.64</v>
      </c>
      <c r="E899" s="1">
        <f>IFERROR(__xludf.DUMMYFUNCTION("""COMPUTED_VALUE"""),7.68)</f>
        <v>7.68</v>
      </c>
      <c r="F899" s="1">
        <f>IFERROR(__xludf.DUMMYFUNCTION("""COMPUTED_VALUE"""),446756.0)</f>
        <v>446756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IFERROR(__xludf.DUMMYFUNCTION("""COMPUTED_VALUE"""),7.73)</f>
        <v>7.73</v>
      </c>
      <c r="C900" s="1">
        <f>IFERROR(__xludf.DUMMYFUNCTION("""COMPUTED_VALUE"""),7.76)</f>
        <v>7.76</v>
      </c>
      <c r="D900" s="1">
        <f>IFERROR(__xludf.DUMMYFUNCTION("""COMPUTED_VALUE"""),7.52)</f>
        <v>7.52</v>
      </c>
      <c r="E900" s="1">
        <f>IFERROR(__xludf.DUMMYFUNCTION("""COMPUTED_VALUE"""),7.56)</f>
        <v>7.56</v>
      </c>
      <c r="F900" s="1">
        <f>IFERROR(__xludf.DUMMYFUNCTION("""COMPUTED_VALUE"""),1747891.0)</f>
        <v>1747891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IFERROR(__xludf.DUMMYFUNCTION("""COMPUTED_VALUE"""),7.67)</f>
        <v>7.67</v>
      </c>
      <c r="C901" s="1">
        <f>IFERROR(__xludf.DUMMYFUNCTION("""COMPUTED_VALUE"""),7.81)</f>
        <v>7.81</v>
      </c>
      <c r="D901" s="1">
        <f>IFERROR(__xludf.DUMMYFUNCTION("""COMPUTED_VALUE"""),7.66)</f>
        <v>7.66</v>
      </c>
      <c r="E901" s="1">
        <f>IFERROR(__xludf.DUMMYFUNCTION("""COMPUTED_VALUE"""),7.73)</f>
        <v>7.73</v>
      </c>
      <c r="F901" s="1">
        <f>IFERROR(__xludf.DUMMYFUNCTION("""COMPUTED_VALUE"""),1213438.0)</f>
        <v>1213438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IFERROR(__xludf.DUMMYFUNCTION("""COMPUTED_VALUE"""),7.83)</f>
        <v>7.83</v>
      </c>
      <c r="C902" s="1">
        <f>IFERROR(__xludf.DUMMYFUNCTION("""COMPUTED_VALUE"""),7.93)</f>
        <v>7.93</v>
      </c>
      <c r="D902" s="1">
        <f>IFERROR(__xludf.DUMMYFUNCTION("""COMPUTED_VALUE"""),7.81)</f>
        <v>7.81</v>
      </c>
      <c r="E902" s="1">
        <f>IFERROR(__xludf.DUMMYFUNCTION("""COMPUTED_VALUE"""),7.9)</f>
        <v>7.9</v>
      </c>
      <c r="F902" s="1">
        <f>IFERROR(__xludf.DUMMYFUNCTION("""COMPUTED_VALUE"""),955203.0)</f>
        <v>955203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IFERROR(__xludf.DUMMYFUNCTION("""COMPUTED_VALUE"""),7.9)</f>
        <v>7.9</v>
      </c>
      <c r="C903" s="1">
        <f>IFERROR(__xludf.DUMMYFUNCTION("""COMPUTED_VALUE"""),7.96)</f>
        <v>7.96</v>
      </c>
      <c r="D903" s="1">
        <f>IFERROR(__xludf.DUMMYFUNCTION("""COMPUTED_VALUE"""),7.9)</f>
        <v>7.9</v>
      </c>
      <c r="E903" s="1">
        <f>IFERROR(__xludf.DUMMYFUNCTION("""COMPUTED_VALUE"""),7.95)</f>
        <v>7.95</v>
      </c>
      <c r="F903" s="1">
        <f>IFERROR(__xludf.DUMMYFUNCTION("""COMPUTED_VALUE"""),953424.0)</f>
        <v>953424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IFERROR(__xludf.DUMMYFUNCTION("""COMPUTED_VALUE"""),7.93)</f>
        <v>7.93</v>
      </c>
      <c r="C904" s="1">
        <f>IFERROR(__xludf.DUMMYFUNCTION("""COMPUTED_VALUE"""),7.98)</f>
        <v>7.98</v>
      </c>
      <c r="D904" s="1">
        <f>IFERROR(__xludf.DUMMYFUNCTION("""COMPUTED_VALUE"""),7.89)</f>
        <v>7.89</v>
      </c>
      <c r="E904" s="1">
        <f>IFERROR(__xludf.DUMMYFUNCTION("""COMPUTED_VALUE"""),7.94)</f>
        <v>7.94</v>
      </c>
      <c r="F904" s="1">
        <f>IFERROR(__xludf.DUMMYFUNCTION("""COMPUTED_VALUE"""),846100.0)</f>
        <v>846100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IFERROR(__xludf.DUMMYFUNCTION("""COMPUTED_VALUE"""),7.98)</f>
        <v>7.98</v>
      </c>
      <c r="C905" s="1">
        <f>IFERROR(__xludf.DUMMYFUNCTION("""COMPUTED_VALUE"""),8.0)</f>
        <v>8</v>
      </c>
      <c r="D905" s="1">
        <f>IFERROR(__xludf.DUMMYFUNCTION("""COMPUTED_VALUE"""),7.92)</f>
        <v>7.92</v>
      </c>
      <c r="E905" s="1">
        <f>IFERROR(__xludf.DUMMYFUNCTION("""COMPUTED_VALUE"""),7.96)</f>
        <v>7.96</v>
      </c>
      <c r="F905" s="1">
        <f>IFERROR(__xludf.DUMMYFUNCTION("""COMPUTED_VALUE"""),902397.0)</f>
        <v>902397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IFERROR(__xludf.DUMMYFUNCTION("""COMPUTED_VALUE"""),7.9)</f>
        <v>7.9</v>
      </c>
      <c r="C906" s="1">
        <f>IFERROR(__xludf.DUMMYFUNCTION("""COMPUTED_VALUE"""),7.94)</f>
        <v>7.94</v>
      </c>
      <c r="D906" s="1">
        <f>IFERROR(__xludf.DUMMYFUNCTION("""COMPUTED_VALUE"""),7.85)</f>
        <v>7.85</v>
      </c>
      <c r="E906" s="1">
        <f>IFERROR(__xludf.DUMMYFUNCTION("""COMPUTED_VALUE"""),7.92)</f>
        <v>7.92</v>
      </c>
      <c r="F906" s="1">
        <f>IFERROR(__xludf.DUMMYFUNCTION("""COMPUTED_VALUE"""),863233.0)</f>
        <v>863233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IFERROR(__xludf.DUMMYFUNCTION("""COMPUTED_VALUE"""),7.81)</f>
        <v>7.81</v>
      </c>
      <c r="C907" s="1">
        <f>IFERROR(__xludf.DUMMYFUNCTION("""COMPUTED_VALUE"""),7.82)</f>
        <v>7.82</v>
      </c>
      <c r="D907" s="1">
        <f>IFERROR(__xludf.DUMMYFUNCTION("""COMPUTED_VALUE"""),7.71)</f>
        <v>7.71</v>
      </c>
      <c r="E907" s="1">
        <f>IFERROR(__xludf.DUMMYFUNCTION("""COMPUTED_VALUE"""),7.72)</f>
        <v>7.72</v>
      </c>
      <c r="F907" s="1">
        <f>IFERROR(__xludf.DUMMYFUNCTION("""COMPUTED_VALUE"""),3104709.0)</f>
        <v>3104709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IFERROR(__xludf.DUMMYFUNCTION("""COMPUTED_VALUE"""),7.74)</f>
        <v>7.74</v>
      </c>
      <c r="C908" s="1">
        <f>IFERROR(__xludf.DUMMYFUNCTION("""COMPUTED_VALUE"""),7.8)</f>
        <v>7.8</v>
      </c>
      <c r="D908" s="1">
        <f>IFERROR(__xludf.DUMMYFUNCTION("""COMPUTED_VALUE"""),7.72)</f>
        <v>7.72</v>
      </c>
      <c r="E908" s="1">
        <f>IFERROR(__xludf.DUMMYFUNCTION("""COMPUTED_VALUE"""),7.75)</f>
        <v>7.75</v>
      </c>
      <c r="F908" s="1">
        <f>IFERROR(__xludf.DUMMYFUNCTION("""COMPUTED_VALUE"""),3229488.0)</f>
        <v>3229488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IFERROR(__xludf.DUMMYFUNCTION("""COMPUTED_VALUE"""),7.69)</f>
        <v>7.69</v>
      </c>
      <c r="C909" s="1">
        <f>IFERROR(__xludf.DUMMYFUNCTION("""COMPUTED_VALUE"""),7.74)</f>
        <v>7.74</v>
      </c>
      <c r="D909" s="1">
        <f>IFERROR(__xludf.DUMMYFUNCTION("""COMPUTED_VALUE"""),7.68)</f>
        <v>7.68</v>
      </c>
      <c r="E909" s="1">
        <f>IFERROR(__xludf.DUMMYFUNCTION("""COMPUTED_VALUE"""),7.7)</f>
        <v>7.7</v>
      </c>
      <c r="F909" s="1">
        <f>IFERROR(__xludf.DUMMYFUNCTION("""COMPUTED_VALUE"""),569192.0)</f>
        <v>569192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IFERROR(__xludf.DUMMYFUNCTION("""COMPUTED_VALUE"""),7.75)</f>
        <v>7.75</v>
      </c>
      <c r="C910" s="1">
        <f>IFERROR(__xludf.DUMMYFUNCTION("""COMPUTED_VALUE"""),7.8)</f>
        <v>7.8</v>
      </c>
      <c r="D910" s="1">
        <f>IFERROR(__xludf.DUMMYFUNCTION("""COMPUTED_VALUE"""),7.72)</f>
        <v>7.72</v>
      </c>
      <c r="E910" s="1">
        <f>IFERROR(__xludf.DUMMYFUNCTION("""COMPUTED_VALUE"""),7.79)</f>
        <v>7.79</v>
      </c>
      <c r="F910" s="1">
        <f>IFERROR(__xludf.DUMMYFUNCTION("""COMPUTED_VALUE"""),938581.0)</f>
        <v>938581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IFERROR(__xludf.DUMMYFUNCTION("""COMPUTED_VALUE"""),7.8)</f>
        <v>7.8</v>
      </c>
      <c r="C911" s="1">
        <f>IFERROR(__xludf.DUMMYFUNCTION("""COMPUTED_VALUE"""),7.88)</f>
        <v>7.88</v>
      </c>
      <c r="D911" s="1">
        <f>IFERROR(__xludf.DUMMYFUNCTION("""COMPUTED_VALUE"""),7.79)</f>
        <v>7.79</v>
      </c>
      <c r="E911" s="1">
        <f>IFERROR(__xludf.DUMMYFUNCTION("""COMPUTED_VALUE"""),7.85)</f>
        <v>7.85</v>
      </c>
      <c r="F911" s="1">
        <f>IFERROR(__xludf.DUMMYFUNCTION("""COMPUTED_VALUE"""),3446931.0)</f>
        <v>3446931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IFERROR(__xludf.DUMMYFUNCTION("""COMPUTED_VALUE"""),7.66)</f>
        <v>7.66</v>
      </c>
      <c r="C912" s="1">
        <f>IFERROR(__xludf.DUMMYFUNCTION("""COMPUTED_VALUE"""),7.71)</f>
        <v>7.71</v>
      </c>
      <c r="D912" s="1">
        <f>IFERROR(__xludf.DUMMYFUNCTION("""COMPUTED_VALUE"""),7.55)</f>
        <v>7.55</v>
      </c>
      <c r="E912" s="1">
        <f>IFERROR(__xludf.DUMMYFUNCTION("""COMPUTED_VALUE"""),7.66)</f>
        <v>7.66</v>
      </c>
      <c r="F912" s="1">
        <f>IFERROR(__xludf.DUMMYFUNCTION("""COMPUTED_VALUE"""),1255367.0)</f>
        <v>1255367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IFERROR(__xludf.DUMMYFUNCTION("""COMPUTED_VALUE"""),7.58)</f>
        <v>7.58</v>
      </c>
      <c r="C913" s="1">
        <f>IFERROR(__xludf.DUMMYFUNCTION("""COMPUTED_VALUE"""),7.7)</f>
        <v>7.7</v>
      </c>
      <c r="D913" s="1">
        <f>IFERROR(__xludf.DUMMYFUNCTION("""COMPUTED_VALUE"""),7.53)</f>
        <v>7.53</v>
      </c>
      <c r="E913" s="1">
        <f>IFERROR(__xludf.DUMMYFUNCTION("""COMPUTED_VALUE"""),7.65)</f>
        <v>7.65</v>
      </c>
      <c r="F913" s="1">
        <f>IFERROR(__xludf.DUMMYFUNCTION("""COMPUTED_VALUE"""),1381048.0)</f>
        <v>1381048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IFERROR(__xludf.DUMMYFUNCTION("""COMPUTED_VALUE"""),7.66)</f>
        <v>7.66</v>
      </c>
      <c r="C914" s="1">
        <f>IFERROR(__xludf.DUMMYFUNCTION("""COMPUTED_VALUE"""),7.71)</f>
        <v>7.71</v>
      </c>
      <c r="D914" s="1">
        <f>IFERROR(__xludf.DUMMYFUNCTION("""COMPUTED_VALUE"""),7.57)</f>
        <v>7.57</v>
      </c>
      <c r="E914" s="1">
        <f>IFERROR(__xludf.DUMMYFUNCTION("""COMPUTED_VALUE"""),7.58)</f>
        <v>7.58</v>
      </c>
      <c r="F914" s="1">
        <f>IFERROR(__xludf.DUMMYFUNCTION("""COMPUTED_VALUE"""),958874.0)</f>
        <v>958874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IFERROR(__xludf.DUMMYFUNCTION("""COMPUTED_VALUE"""),7.43)</f>
        <v>7.43</v>
      </c>
      <c r="C915" s="1">
        <f>IFERROR(__xludf.DUMMYFUNCTION("""COMPUTED_VALUE"""),7.45)</f>
        <v>7.45</v>
      </c>
      <c r="D915" s="1">
        <f>IFERROR(__xludf.DUMMYFUNCTION("""COMPUTED_VALUE"""),7.33)</f>
        <v>7.33</v>
      </c>
      <c r="E915" s="1">
        <f>IFERROR(__xludf.DUMMYFUNCTION("""COMPUTED_VALUE"""),7.4)</f>
        <v>7.4</v>
      </c>
      <c r="F915" s="1">
        <f>IFERROR(__xludf.DUMMYFUNCTION("""COMPUTED_VALUE"""),1121764.0)</f>
        <v>1121764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IFERROR(__xludf.DUMMYFUNCTION("""COMPUTED_VALUE"""),7.43)</f>
        <v>7.43</v>
      </c>
      <c r="C916" s="1">
        <f>IFERROR(__xludf.DUMMYFUNCTION("""COMPUTED_VALUE"""),7.49)</f>
        <v>7.49</v>
      </c>
      <c r="D916" s="1">
        <f>IFERROR(__xludf.DUMMYFUNCTION("""COMPUTED_VALUE"""),7.35)</f>
        <v>7.35</v>
      </c>
      <c r="E916" s="1">
        <f>IFERROR(__xludf.DUMMYFUNCTION("""COMPUTED_VALUE"""),7.39)</f>
        <v>7.39</v>
      </c>
      <c r="F916" s="1">
        <f>IFERROR(__xludf.DUMMYFUNCTION("""COMPUTED_VALUE"""),694316.0)</f>
        <v>694316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IFERROR(__xludf.DUMMYFUNCTION("""COMPUTED_VALUE"""),7.51)</f>
        <v>7.51</v>
      </c>
      <c r="C917" s="1">
        <f>IFERROR(__xludf.DUMMYFUNCTION("""COMPUTED_VALUE"""),7.57)</f>
        <v>7.57</v>
      </c>
      <c r="D917" s="1">
        <f>IFERROR(__xludf.DUMMYFUNCTION("""COMPUTED_VALUE"""),7.5)</f>
        <v>7.5</v>
      </c>
      <c r="E917" s="1">
        <f>IFERROR(__xludf.DUMMYFUNCTION("""COMPUTED_VALUE"""),7.56)</f>
        <v>7.56</v>
      </c>
      <c r="F917" s="1">
        <f>IFERROR(__xludf.DUMMYFUNCTION("""COMPUTED_VALUE"""),726616.0)</f>
        <v>726616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IFERROR(__xludf.DUMMYFUNCTION("""COMPUTED_VALUE"""),7.4)</f>
        <v>7.4</v>
      </c>
      <c r="C918" s="1">
        <f>IFERROR(__xludf.DUMMYFUNCTION("""COMPUTED_VALUE"""),7.49)</f>
        <v>7.49</v>
      </c>
      <c r="D918" s="1">
        <f>IFERROR(__xludf.DUMMYFUNCTION("""COMPUTED_VALUE"""),7.4)</f>
        <v>7.4</v>
      </c>
      <c r="E918" s="1">
        <f>IFERROR(__xludf.DUMMYFUNCTION("""COMPUTED_VALUE"""),7.49)</f>
        <v>7.49</v>
      </c>
      <c r="F918" s="1">
        <f>IFERROR(__xludf.DUMMYFUNCTION("""COMPUTED_VALUE"""),809990.0)</f>
        <v>809990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IFERROR(__xludf.DUMMYFUNCTION("""COMPUTED_VALUE"""),7.45)</f>
        <v>7.45</v>
      </c>
      <c r="C919" s="1">
        <f>IFERROR(__xludf.DUMMYFUNCTION("""COMPUTED_VALUE"""),7.47)</f>
        <v>7.47</v>
      </c>
      <c r="D919" s="1">
        <f>IFERROR(__xludf.DUMMYFUNCTION("""COMPUTED_VALUE"""),7.4)</f>
        <v>7.4</v>
      </c>
      <c r="E919" s="1">
        <f>IFERROR(__xludf.DUMMYFUNCTION("""COMPUTED_VALUE"""),7.4)</f>
        <v>7.4</v>
      </c>
      <c r="F919" s="1">
        <f>IFERROR(__xludf.DUMMYFUNCTION("""COMPUTED_VALUE"""),671625.0)</f>
        <v>671625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IFERROR(__xludf.DUMMYFUNCTION("""COMPUTED_VALUE"""),7.21)</f>
        <v>7.21</v>
      </c>
      <c r="C920" s="1">
        <f>IFERROR(__xludf.DUMMYFUNCTION("""COMPUTED_VALUE"""),7.25)</f>
        <v>7.25</v>
      </c>
      <c r="D920" s="1">
        <f>IFERROR(__xludf.DUMMYFUNCTION("""COMPUTED_VALUE"""),7.11)</f>
        <v>7.11</v>
      </c>
      <c r="E920" s="1">
        <f>IFERROR(__xludf.DUMMYFUNCTION("""COMPUTED_VALUE"""),7.12)</f>
        <v>7.12</v>
      </c>
      <c r="F920" s="1">
        <f>IFERROR(__xludf.DUMMYFUNCTION("""COMPUTED_VALUE"""),1543106.0)</f>
        <v>1543106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IFERROR(__xludf.DUMMYFUNCTION("""COMPUTED_VALUE"""),7.14)</f>
        <v>7.14</v>
      </c>
      <c r="C921" s="1">
        <f>IFERROR(__xludf.DUMMYFUNCTION("""COMPUTED_VALUE"""),7.27)</f>
        <v>7.27</v>
      </c>
      <c r="D921" s="1">
        <f>IFERROR(__xludf.DUMMYFUNCTION("""COMPUTED_VALUE"""),7.11)</f>
        <v>7.11</v>
      </c>
      <c r="E921" s="1">
        <f>IFERROR(__xludf.DUMMYFUNCTION("""COMPUTED_VALUE"""),7.24)</f>
        <v>7.24</v>
      </c>
      <c r="F921" s="1">
        <f>IFERROR(__xludf.DUMMYFUNCTION("""COMPUTED_VALUE"""),1103739.0)</f>
        <v>1103739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IFERROR(__xludf.DUMMYFUNCTION("""COMPUTED_VALUE"""),7.22)</f>
        <v>7.22</v>
      </c>
      <c r="C922" s="1">
        <f>IFERROR(__xludf.DUMMYFUNCTION("""COMPUTED_VALUE"""),7.3)</f>
        <v>7.3</v>
      </c>
      <c r="D922" s="1">
        <f>IFERROR(__xludf.DUMMYFUNCTION("""COMPUTED_VALUE"""),7.22)</f>
        <v>7.22</v>
      </c>
      <c r="E922" s="1">
        <f>IFERROR(__xludf.DUMMYFUNCTION("""COMPUTED_VALUE"""),7.23)</f>
        <v>7.23</v>
      </c>
      <c r="F922" s="1">
        <f>IFERROR(__xludf.DUMMYFUNCTION("""COMPUTED_VALUE"""),1231245.0)</f>
        <v>1231245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IFERROR(__xludf.DUMMYFUNCTION("""COMPUTED_VALUE"""),7.17)</f>
        <v>7.17</v>
      </c>
      <c r="C923" s="1">
        <f>IFERROR(__xludf.DUMMYFUNCTION("""COMPUTED_VALUE"""),7.17)</f>
        <v>7.17</v>
      </c>
      <c r="D923" s="1">
        <f>IFERROR(__xludf.DUMMYFUNCTION("""COMPUTED_VALUE"""),7.08)</f>
        <v>7.08</v>
      </c>
      <c r="E923" s="1">
        <f>IFERROR(__xludf.DUMMYFUNCTION("""COMPUTED_VALUE"""),7.1)</f>
        <v>7.1</v>
      </c>
      <c r="F923" s="1">
        <f>IFERROR(__xludf.DUMMYFUNCTION("""COMPUTED_VALUE"""),582940.0)</f>
        <v>582940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IFERROR(__xludf.DUMMYFUNCTION("""COMPUTED_VALUE"""),7.18)</f>
        <v>7.18</v>
      </c>
      <c r="C924" s="1">
        <f>IFERROR(__xludf.DUMMYFUNCTION("""COMPUTED_VALUE"""),7.26)</f>
        <v>7.26</v>
      </c>
      <c r="D924" s="1">
        <f>IFERROR(__xludf.DUMMYFUNCTION("""COMPUTED_VALUE"""),7.16)</f>
        <v>7.16</v>
      </c>
      <c r="E924" s="1">
        <f>IFERROR(__xludf.DUMMYFUNCTION("""COMPUTED_VALUE"""),7.21)</f>
        <v>7.21</v>
      </c>
      <c r="F924" s="1">
        <f>IFERROR(__xludf.DUMMYFUNCTION("""COMPUTED_VALUE"""),740253.0)</f>
        <v>740253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IFERROR(__xludf.DUMMYFUNCTION("""COMPUTED_VALUE"""),7.16)</f>
        <v>7.16</v>
      </c>
      <c r="C925" s="1">
        <f>IFERROR(__xludf.DUMMYFUNCTION("""COMPUTED_VALUE"""),7.3)</f>
        <v>7.3</v>
      </c>
      <c r="D925" s="1">
        <f>IFERROR(__xludf.DUMMYFUNCTION("""COMPUTED_VALUE"""),7.12)</f>
        <v>7.12</v>
      </c>
      <c r="E925" s="1">
        <f>IFERROR(__xludf.DUMMYFUNCTION("""COMPUTED_VALUE"""),7.29)</f>
        <v>7.29</v>
      </c>
      <c r="F925" s="1">
        <f>IFERROR(__xludf.DUMMYFUNCTION("""COMPUTED_VALUE"""),1009212.0)</f>
        <v>1009212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IFERROR(__xludf.DUMMYFUNCTION("""COMPUTED_VALUE"""),7.3)</f>
        <v>7.3</v>
      </c>
      <c r="C926" s="1">
        <f>IFERROR(__xludf.DUMMYFUNCTION("""COMPUTED_VALUE"""),7.35)</f>
        <v>7.35</v>
      </c>
      <c r="D926" s="1">
        <f>IFERROR(__xludf.DUMMYFUNCTION("""COMPUTED_VALUE"""),7.26)</f>
        <v>7.26</v>
      </c>
      <c r="E926" s="1">
        <f>IFERROR(__xludf.DUMMYFUNCTION("""COMPUTED_VALUE"""),7.35)</f>
        <v>7.35</v>
      </c>
      <c r="F926" s="1">
        <f>IFERROR(__xludf.DUMMYFUNCTION("""COMPUTED_VALUE"""),1088056.0)</f>
        <v>1088056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IFERROR(__xludf.DUMMYFUNCTION("""COMPUTED_VALUE"""),7.39)</f>
        <v>7.39</v>
      </c>
      <c r="C927" s="1">
        <f>IFERROR(__xludf.DUMMYFUNCTION("""COMPUTED_VALUE"""),7.41)</f>
        <v>7.41</v>
      </c>
      <c r="D927" s="1">
        <f>IFERROR(__xludf.DUMMYFUNCTION("""COMPUTED_VALUE"""),7.27)</f>
        <v>7.27</v>
      </c>
      <c r="E927" s="1">
        <f>IFERROR(__xludf.DUMMYFUNCTION("""COMPUTED_VALUE"""),7.33)</f>
        <v>7.33</v>
      </c>
      <c r="F927" s="1">
        <f>IFERROR(__xludf.DUMMYFUNCTION("""COMPUTED_VALUE"""),826808.0)</f>
        <v>826808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IFERROR(__xludf.DUMMYFUNCTION("""COMPUTED_VALUE"""),7.44)</f>
        <v>7.44</v>
      </c>
      <c r="C928" s="1">
        <f>IFERROR(__xludf.DUMMYFUNCTION("""COMPUTED_VALUE"""),7.51)</f>
        <v>7.51</v>
      </c>
      <c r="D928" s="1">
        <f>IFERROR(__xludf.DUMMYFUNCTION("""COMPUTED_VALUE"""),7.42)</f>
        <v>7.42</v>
      </c>
      <c r="E928" s="1">
        <f>IFERROR(__xludf.DUMMYFUNCTION("""COMPUTED_VALUE"""),7.5)</f>
        <v>7.5</v>
      </c>
      <c r="F928" s="1">
        <f>IFERROR(__xludf.DUMMYFUNCTION("""COMPUTED_VALUE"""),526377.0)</f>
        <v>526377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IFERROR(__xludf.DUMMYFUNCTION("""COMPUTED_VALUE"""),7.62)</f>
        <v>7.62</v>
      </c>
      <c r="C929" s="1">
        <f>IFERROR(__xludf.DUMMYFUNCTION("""COMPUTED_VALUE"""),7.67)</f>
        <v>7.67</v>
      </c>
      <c r="D929" s="1">
        <f>IFERROR(__xludf.DUMMYFUNCTION("""COMPUTED_VALUE"""),7.6)</f>
        <v>7.6</v>
      </c>
      <c r="E929" s="1">
        <f>IFERROR(__xludf.DUMMYFUNCTION("""COMPUTED_VALUE"""),7.64)</f>
        <v>7.64</v>
      </c>
      <c r="F929" s="1">
        <f>IFERROR(__xludf.DUMMYFUNCTION("""COMPUTED_VALUE"""),1675010.0)</f>
        <v>1675010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IFERROR(__xludf.DUMMYFUNCTION("""COMPUTED_VALUE"""),7.67)</f>
        <v>7.67</v>
      </c>
      <c r="C930" s="1">
        <f>IFERROR(__xludf.DUMMYFUNCTION("""COMPUTED_VALUE"""),7.76)</f>
        <v>7.76</v>
      </c>
      <c r="D930" s="1">
        <f>IFERROR(__xludf.DUMMYFUNCTION("""COMPUTED_VALUE"""),7.66)</f>
        <v>7.66</v>
      </c>
      <c r="E930" s="1">
        <f>IFERROR(__xludf.DUMMYFUNCTION("""COMPUTED_VALUE"""),7.76)</f>
        <v>7.76</v>
      </c>
      <c r="F930" s="1">
        <f>IFERROR(__xludf.DUMMYFUNCTION("""COMPUTED_VALUE"""),622745.0)</f>
        <v>622745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IFERROR(__xludf.DUMMYFUNCTION("""COMPUTED_VALUE"""),7.67)</f>
        <v>7.67</v>
      </c>
      <c r="C931" s="1">
        <f>IFERROR(__xludf.DUMMYFUNCTION("""COMPUTED_VALUE"""),7.69)</f>
        <v>7.69</v>
      </c>
      <c r="D931" s="1">
        <f>IFERROR(__xludf.DUMMYFUNCTION("""COMPUTED_VALUE"""),7.62)</f>
        <v>7.62</v>
      </c>
      <c r="E931" s="1">
        <f>IFERROR(__xludf.DUMMYFUNCTION("""COMPUTED_VALUE"""),7.64)</f>
        <v>7.64</v>
      </c>
      <c r="F931" s="1">
        <f>IFERROR(__xludf.DUMMYFUNCTION("""COMPUTED_VALUE"""),594951.0)</f>
        <v>594951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IFERROR(__xludf.DUMMYFUNCTION("""COMPUTED_VALUE"""),7.62)</f>
        <v>7.62</v>
      </c>
      <c r="C932" s="1">
        <f>IFERROR(__xludf.DUMMYFUNCTION("""COMPUTED_VALUE"""),7.66)</f>
        <v>7.66</v>
      </c>
      <c r="D932" s="1">
        <f>IFERROR(__xludf.DUMMYFUNCTION("""COMPUTED_VALUE"""),7.55)</f>
        <v>7.55</v>
      </c>
      <c r="E932" s="1">
        <f>IFERROR(__xludf.DUMMYFUNCTION("""COMPUTED_VALUE"""),7.64)</f>
        <v>7.64</v>
      </c>
      <c r="F932" s="1">
        <f>IFERROR(__xludf.DUMMYFUNCTION("""COMPUTED_VALUE"""),548981.0)</f>
        <v>548981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IFERROR(__xludf.DUMMYFUNCTION("""COMPUTED_VALUE"""),7.71)</f>
        <v>7.71</v>
      </c>
      <c r="C933" s="1">
        <f>IFERROR(__xludf.DUMMYFUNCTION("""COMPUTED_VALUE"""),7.72)</f>
        <v>7.72</v>
      </c>
      <c r="D933" s="1">
        <f>IFERROR(__xludf.DUMMYFUNCTION("""COMPUTED_VALUE"""),7.6)</f>
        <v>7.6</v>
      </c>
      <c r="E933" s="1">
        <f>IFERROR(__xludf.DUMMYFUNCTION("""COMPUTED_VALUE"""),7.69)</f>
        <v>7.69</v>
      </c>
      <c r="F933" s="1">
        <f>IFERROR(__xludf.DUMMYFUNCTION("""COMPUTED_VALUE"""),1023381.0)</f>
        <v>1023381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IFERROR(__xludf.DUMMYFUNCTION("""COMPUTED_VALUE"""),7.65)</f>
        <v>7.65</v>
      </c>
      <c r="C934" s="1">
        <f>IFERROR(__xludf.DUMMYFUNCTION("""COMPUTED_VALUE"""),7.7)</f>
        <v>7.7</v>
      </c>
      <c r="D934" s="1">
        <f>IFERROR(__xludf.DUMMYFUNCTION("""COMPUTED_VALUE"""),7.63)</f>
        <v>7.63</v>
      </c>
      <c r="E934" s="1">
        <f>IFERROR(__xludf.DUMMYFUNCTION("""COMPUTED_VALUE"""),7.7)</f>
        <v>7.7</v>
      </c>
      <c r="F934" s="1">
        <f>IFERROR(__xludf.DUMMYFUNCTION("""COMPUTED_VALUE"""),486209.0)</f>
        <v>486209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IFERROR(__xludf.DUMMYFUNCTION("""COMPUTED_VALUE"""),7.72)</f>
        <v>7.72</v>
      </c>
      <c r="C935" s="1">
        <f>IFERROR(__xludf.DUMMYFUNCTION("""COMPUTED_VALUE"""),7.93)</f>
        <v>7.93</v>
      </c>
      <c r="D935" s="1">
        <f>IFERROR(__xludf.DUMMYFUNCTION("""COMPUTED_VALUE"""),7.7)</f>
        <v>7.7</v>
      </c>
      <c r="E935" s="1">
        <f>IFERROR(__xludf.DUMMYFUNCTION("""COMPUTED_VALUE"""),7.88)</f>
        <v>7.88</v>
      </c>
      <c r="F935" s="1">
        <f>IFERROR(__xludf.DUMMYFUNCTION("""COMPUTED_VALUE"""),1757518.0)</f>
        <v>1757518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IFERROR(__xludf.DUMMYFUNCTION("""COMPUTED_VALUE"""),7.58)</f>
        <v>7.58</v>
      </c>
      <c r="C936" s="1">
        <f>IFERROR(__xludf.DUMMYFUNCTION("""COMPUTED_VALUE"""),7.59)</f>
        <v>7.59</v>
      </c>
      <c r="D936" s="1">
        <f>IFERROR(__xludf.DUMMYFUNCTION("""COMPUTED_VALUE"""),7.49)</f>
        <v>7.49</v>
      </c>
      <c r="E936" s="1">
        <f>IFERROR(__xludf.DUMMYFUNCTION("""COMPUTED_VALUE"""),7.49)</f>
        <v>7.49</v>
      </c>
      <c r="F936" s="1">
        <f>IFERROR(__xludf.DUMMYFUNCTION("""COMPUTED_VALUE"""),2475347.0)</f>
        <v>2475347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IFERROR(__xludf.DUMMYFUNCTION("""COMPUTED_VALUE"""),7.57)</f>
        <v>7.57</v>
      </c>
      <c r="C937" s="1">
        <f>IFERROR(__xludf.DUMMYFUNCTION("""COMPUTED_VALUE"""),7.6)</f>
        <v>7.6</v>
      </c>
      <c r="D937" s="1">
        <f>IFERROR(__xludf.DUMMYFUNCTION("""COMPUTED_VALUE"""),7.51)</f>
        <v>7.51</v>
      </c>
      <c r="E937" s="1">
        <f>IFERROR(__xludf.DUMMYFUNCTION("""COMPUTED_VALUE"""),7.52)</f>
        <v>7.52</v>
      </c>
      <c r="F937" s="1">
        <f>IFERROR(__xludf.DUMMYFUNCTION("""COMPUTED_VALUE"""),1085921.0)</f>
        <v>1085921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IFERROR(__xludf.DUMMYFUNCTION("""COMPUTED_VALUE"""),7.55)</f>
        <v>7.55</v>
      </c>
      <c r="C938" s="1">
        <f>IFERROR(__xludf.DUMMYFUNCTION("""COMPUTED_VALUE"""),7.56)</f>
        <v>7.56</v>
      </c>
      <c r="D938" s="1">
        <f>IFERROR(__xludf.DUMMYFUNCTION("""COMPUTED_VALUE"""),7.51)</f>
        <v>7.51</v>
      </c>
      <c r="E938" s="1">
        <f>IFERROR(__xludf.DUMMYFUNCTION("""COMPUTED_VALUE"""),7.53)</f>
        <v>7.53</v>
      </c>
      <c r="F938" s="1">
        <f>IFERROR(__xludf.DUMMYFUNCTION("""COMPUTED_VALUE"""),757833.0)</f>
        <v>757833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IFERROR(__xludf.DUMMYFUNCTION("""COMPUTED_VALUE"""),7.56)</f>
        <v>7.56</v>
      </c>
      <c r="C939" s="1">
        <f>IFERROR(__xludf.DUMMYFUNCTION("""COMPUTED_VALUE"""),7.58)</f>
        <v>7.58</v>
      </c>
      <c r="D939" s="1">
        <f>IFERROR(__xludf.DUMMYFUNCTION("""COMPUTED_VALUE"""),7.51)</f>
        <v>7.51</v>
      </c>
      <c r="E939" s="1">
        <f>IFERROR(__xludf.DUMMYFUNCTION("""COMPUTED_VALUE"""),7.51)</f>
        <v>7.51</v>
      </c>
      <c r="F939" s="1">
        <f>IFERROR(__xludf.DUMMYFUNCTION("""COMPUTED_VALUE"""),548662.0)</f>
        <v>548662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IFERROR(__xludf.DUMMYFUNCTION("""COMPUTED_VALUE"""),7.55)</f>
        <v>7.55</v>
      </c>
      <c r="C940" s="1">
        <f>IFERROR(__xludf.DUMMYFUNCTION("""COMPUTED_VALUE"""),7.61)</f>
        <v>7.61</v>
      </c>
      <c r="D940" s="1">
        <f>IFERROR(__xludf.DUMMYFUNCTION("""COMPUTED_VALUE"""),7.53)</f>
        <v>7.53</v>
      </c>
      <c r="E940" s="1">
        <f>IFERROR(__xludf.DUMMYFUNCTION("""COMPUTED_VALUE"""),7.54)</f>
        <v>7.54</v>
      </c>
      <c r="F940" s="1">
        <f>IFERROR(__xludf.DUMMYFUNCTION("""COMPUTED_VALUE"""),438289.0)</f>
        <v>438289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IFERROR(__xludf.DUMMYFUNCTION("""COMPUTED_VALUE"""),7.46)</f>
        <v>7.46</v>
      </c>
      <c r="C941" s="1">
        <f>IFERROR(__xludf.DUMMYFUNCTION("""COMPUTED_VALUE"""),7.5)</f>
        <v>7.5</v>
      </c>
      <c r="D941" s="1">
        <f>IFERROR(__xludf.DUMMYFUNCTION("""COMPUTED_VALUE"""),7.44)</f>
        <v>7.44</v>
      </c>
      <c r="E941" s="1">
        <f>IFERROR(__xludf.DUMMYFUNCTION("""COMPUTED_VALUE"""),7.46)</f>
        <v>7.46</v>
      </c>
      <c r="F941" s="1">
        <f>IFERROR(__xludf.DUMMYFUNCTION("""COMPUTED_VALUE"""),476354.0)</f>
        <v>476354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IFERROR(__xludf.DUMMYFUNCTION("""COMPUTED_VALUE"""),7.45)</f>
        <v>7.45</v>
      </c>
      <c r="C942" s="1">
        <f>IFERROR(__xludf.DUMMYFUNCTION("""COMPUTED_VALUE"""),7.5)</f>
        <v>7.5</v>
      </c>
      <c r="D942" s="1">
        <f>IFERROR(__xludf.DUMMYFUNCTION("""COMPUTED_VALUE"""),7.44)</f>
        <v>7.44</v>
      </c>
      <c r="E942" s="1">
        <f>IFERROR(__xludf.DUMMYFUNCTION("""COMPUTED_VALUE"""),7.47)</f>
        <v>7.47</v>
      </c>
      <c r="F942" s="1">
        <f>IFERROR(__xludf.DUMMYFUNCTION("""COMPUTED_VALUE"""),452664.0)</f>
        <v>452664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IFERROR(__xludf.DUMMYFUNCTION("""COMPUTED_VALUE"""),7.37)</f>
        <v>7.37</v>
      </c>
      <c r="C943" s="1">
        <f>IFERROR(__xludf.DUMMYFUNCTION("""COMPUTED_VALUE"""),7.44)</f>
        <v>7.44</v>
      </c>
      <c r="D943" s="1">
        <f>IFERROR(__xludf.DUMMYFUNCTION("""COMPUTED_VALUE"""),7.35)</f>
        <v>7.35</v>
      </c>
      <c r="E943" s="1">
        <f>IFERROR(__xludf.DUMMYFUNCTION("""COMPUTED_VALUE"""),7.4)</f>
        <v>7.4</v>
      </c>
      <c r="F943" s="1">
        <f>IFERROR(__xludf.DUMMYFUNCTION("""COMPUTED_VALUE"""),717302.0)</f>
        <v>717302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IFERROR(__xludf.DUMMYFUNCTION("""COMPUTED_VALUE"""),7.5)</f>
        <v>7.5</v>
      </c>
      <c r="C944" s="1">
        <f>IFERROR(__xludf.DUMMYFUNCTION("""COMPUTED_VALUE"""),7.62)</f>
        <v>7.62</v>
      </c>
      <c r="D944" s="1">
        <f>IFERROR(__xludf.DUMMYFUNCTION("""COMPUTED_VALUE"""),7.49)</f>
        <v>7.49</v>
      </c>
      <c r="E944" s="1">
        <f>IFERROR(__xludf.DUMMYFUNCTION("""COMPUTED_VALUE"""),7.62)</f>
        <v>7.62</v>
      </c>
      <c r="F944" s="1">
        <f>IFERROR(__xludf.DUMMYFUNCTION("""COMPUTED_VALUE"""),895059.0)</f>
        <v>895059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IFERROR(__xludf.DUMMYFUNCTION("""COMPUTED_VALUE"""),7.67)</f>
        <v>7.67</v>
      </c>
      <c r="C945" s="1">
        <f>IFERROR(__xludf.DUMMYFUNCTION("""COMPUTED_VALUE"""),7.69)</f>
        <v>7.69</v>
      </c>
      <c r="D945" s="1">
        <f>IFERROR(__xludf.DUMMYFUNCTION("""COMPUTED_VALUE"""),7.6)</f>
        <v>7.6</v>
      </c>
      <c r="E945" s="1">
        <f>IFERROR(__xludf.DUMMYFUNCTION("""COMPUTED_VALUE"""),7.68)</f>
        <v>7.68</v>
      </c>
      <c r="F945" s="1">
        <f>IFERROR(__xludf.DUMMYFUNCTION("""COMPUTED_VALUE"""),919007.0)</f>
        <v>919007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IFERROR(__xludf.DUMMYFUNCTION("""COMPUTED_VALUE"""),7.75)</f>
        <v>7.75</v>
      </c>
      <c r="C946" s="1">
        <f>IFERROR(__xludf.DUMMYFUNCTION("""COMPUTED_VALUE"""),7.77)</f>
        <v>7.77</v>
      </c>
      <c r="D946" s="1">
        <f>IFERROR(__xludf.DUMMYFUNCTION("""COMPUTED_VALUE"""),7.68)</f>
        <v>7.68</v>
      </c>
      <c r="E946" s="1">
        <f>IFERROR(__xludf.DUMMYFUNCTION("""COMPUTED_VALUE"""),7.71)</f>
        <v>7.71</v>
      </c>
      <c r="F946" s="1">
        <f>IFERROR(__xludf.DUMMYFUNCTION("""COMPUTED_VALUE"""),853730.0)</f>
        <v>853730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IFERROR(__xludf.DUMMYFUNCTION("""COMPUTED_VALUE"""),7.73)</f>
        <v>7.73</v>
      </c>
      <c r="C947" s="1">
        <f>IFERROR(__xludf.DUMMYFUNCTION("""COMPUTED_VALUE"""),7.76)</f>
        <v>7.76</v>
      </c>
      <c r="D947" s="1">
        <f>IFERROR(__xludf.DUMMYFUNCTION("""COMPUTED_VALUE"""),7.71)</f>
        <v>7.71</v>
      </c>
      <c r="E947" s="1">
        <f>IFERROR(__xludf.DUMMYFUNCTION("""COMPUTED_VALUE"""),7.72)</f>
        <v>7.72</v>
      </c>
      <c r="F947" s="1">
        <f>IFERROR(__xludf.DUMMYFUNCTION("""COMPUTED_VALUE"""),476410.0)</f>
        <v>476410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IFERROR(__xludf.DUMMYFUNCTION("""COMPUTED_VALUE"""),7.62)</f>
        <v>7.62</v>
      </c>
      <c r="C948" s="1">
        <f>IFERROR(__xludf.DUMMYFUNCTION("""COMPUTED_VALUE"""),7.67)</f>
        <v>7.67</v>
      </c>
      <c r="D948" s="1">
        <f>IFERROR(__xludf.DUMMYFUNCTION("""COMPUTED_VALUE"""),7.62)</f>
        <v>7.62</v>
      </c>
      <c r="E948" s="1">
        <f>IFERROR(__xludf.DUMMYFUNCTION("""COMPUTED_VALUE"""),7.64)</f>
        <v>7.64</v>
      </c>
      <c r="F948" s="1">
        <f>IFERROR(__xludf.DUMMYFUNCTION("""COMPUTED_VALUE"""),480450.0)</f>
        <v>480450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IFERROR(__xludf.DUMMYFUNCTION("""COMPUTED_VALUE"""),7.65)</f>
        <v>7.65</v>
      </c>
      <c r="C949" s="1">
        <f>IFERROR(__xludf.DUMMYFUNCTION("""COMPUTED_VALUE"""),7.67)</f>
        <v>7.67</v>
      </c>
      <c r="D949" s="1">
        <f>IFERROR(__xludf.DUMMYFUNCTION("""COMPUTED_VALUE"""),7.55)</f>
        <v>7.55</v>
      </c>
      <c r="E949" s="1">
        <f>IFERROR(__xludf.DUMMYFUNCTION("""COMPUTED_VALUE"""),7.55)</f>
        <v>7.55</v>
      </c>
      <c r="F949" s="1">
        <f>IFERROR(__xludf.DUMMYFUNCTION("""COMPUTED_VALUE"""),390412.0)</f>
        <v>390412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IFERROR(__xludf.DUMMYFUNCTION("""COMPUTED_VALUE"""),7.55)</f>
        <v>7.55</v>
      </c>
      <c r="C950" s="1">
        <f>IFERROR(__xludf.DUMMYFUNCTION("""COMPUTED_VALUE"""),7.55)</f>
        <v>7.55</v>
      </c>
      <c r="D950" s="1">
        <f>IFERROR(__xludf.DUMMYFUNCTION("""COMPUTED_VALUE"""),7.47)</f>
        <v>7.47</v>
      </c>
      <c r="E950" s="1">
        <f>IFERROR(__xludf.DUMMYFUNCTION("""COMPUTED_VALUE"""),7.53)</f>
        <v>7.53</v>
      </c>
      <c r="F950" s="1">
        <f>IFERROR(__xludf.DUMMYFUNCTION("""COMPUTED_VALUE"""),750042.0)</f>
        <v>750042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IFERROR(__xludf.DUMMYFUNCTION("""COMPUTED_VALUE"""),7.72)</f>
        <v>7.72</v>
      </c>
      <c r="C951" s="1">
        <f>IFERROR(__xludf.DUMMYFUNCTION("""COMPUTED_VALUE"""),7.76)</f>
        <v>7.76</v>
      </c>
      <c r="D951" s="1">
        <f>IFERROR(__xludf.DUMMYFUNCTION("""COMPUTED_VALUE"""),7.7)</f>
        <v>7.7</v>
      </c>
      <c r="E951" s="1">
        <f>IFERROR(__xludf.DUMMYFUNCTION("""COMPUTED_VALUE"""),7.73)</f>
        <v>7.73</v>
      </c>
      <c r="F951" s="1">
        <f>IFERROR(__xludf.DUMMYFUNCTION("""COMPUTED_VALUE"""),1292340.0)</f>
        <v>1292340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IFERROR(__xludf.DUMMYFUNCTION("""COMPUTED_VALUE"""),7.73)</f>
        <v>7.73</v>
      </c>
      <c r="C952" s="1">
        <f>IFERROR(__xludf.DUMMYFUNCTION("""COMPUTED_VALUE"""),7.78)</f>
        <v>7.78</v>
      </c>
      <c r="D952" s="1">
        <f>IFERROR(__xludf.DUMMYFUNCTION("""COMPUTED_VALUE"""),7.73)</f>
        <v>7.73</v>
      </c>
      <c r="E952" s="1">
        <f>IFERROR(__xludf.DUMMYFUNCTION("""COMPUTED_VALUE"""),7.78)</f>
        <v>7.78</v>
      </c>
      <c r="F952" s="1">
        <f>IFERROR(__xludf.DUMMYFUNCTION("""COMPUTED_VALUE"""),775075.0)</f>
        <v>775075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IFERROR(__xludf.DUMMYFUNCTION("""COMPUTED_VALUE"""),7.76)</f>
        <v>7.76</v>
      </c>
      <c r="C953" s="1">
        <f>IFERROR(__xludf.DUMMYFUNCTION("""COMPUTED_VALUE"""),7.86)</f>
        <v>7.86</v>
      </c>
      <c r="D953" s="1">
        <f>IFERROR(__xludf.DUMMYFUNCTION("""COMPUTED_VALUE"""),7.75)</f>
        <v>7.75</v>
      </c>
      <c r="E953" s="1">
        <f>IFERROR(__xludf.DUMMYFUNCTION("""COMPUTED_VALUE"""),7.86)</f>
        <v>7.86</v>
      </c>
      <c r="F953" s="1">
        <f>IFERROR(__xludf.DUMMYFUNCTION("""COMPUTED_VALUE"""),489401.0)</f>
        <v>489401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IFERROR(__xludf.DUMMYFUNCTION("""COMPUTED_VALUE"""),7.86)</f>
        <v>7.86</v>
      </c>
      <c r="C954" s="1">
        <f>IFERROR(__xludf.DUMMYFUNCTION("""COMPUTED_VALUE"""),7.88)</f>
        <v>7.88</v>
      </c>
      <c r="D954" s="1">
        <f>IFERROR(__xludf.DUMMYFUNCTION("""COMPUTED_VALUE"""),7.83)</f>
        <v>7.83</v>
      </c>
      <c r="E954" s="1">
        <f>IFERROR(__xludf.DUMMYFUNCTION("""COMPUTED_VALUE"""),7.84)</f>
        <v>7.84</v>
      </c>
      <c r="F954" s="1">
        <f>IFERROR(__xludf.DUMMYFUNCTION("""COMPUTED_VALUE"""),506672.0)</f>
        <v>506672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IFERROR(__xludf.DUMMYFUNCTION("""COMPUTED_VALUE"""),7.86)</f>
        <v>7.86</v>
      </c>
      <c r="C955" s="1">
        <f>IFERROR(__xludf.DUMMYFUNCTION("""COMPUTED_VALUE"""),7.97)</f>
        <v>7.97</v>
      </c>
      <c r="D955" s="1">
        <f>IFERROR(__xludf.DUMMYFUNCTION("""COMPUTED_VALUE"""),7.84)</f>
        <v>7.84</v>
      </c>
      <c r="E955" s="1">
        <f>IFERROR(__xludf.DUMMYFUNCTION("""COMPUTED_VALUE"""),7.94)</f>
        <v>7.94</v>
      </c>
      <c r="F955" s="1">
        <f>IFERROR(__xludf.DUMMYFUNCTION("""COMPUTED_VALUE"""),720471.0)</f>
        <v>720471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IFERROR(__xludf.DUMMYFUNCTION("""COMPUTED_VALUE"""),7.97)</f>
        <v>7.97</v>
      </c>
      <c r="C956" s="1">
        <f>IFERROR(__xludf.DUMMYFUNCTION("""COMPUTED_VALUE"""),8.1)</f>
        <v>8.1</v>
      </c>
      <c r="D956" s="1">
        <f>IFERROR(__xludf.DUMMYFUNCTION("""COMPUTED_VALUE"""),7.97)</f>
        <v>7.97</v>
      </c>
      <c r="E956" s="1">
        <f>IFERROR(__xludf.DUMMYFUNCTION("""COMPUTED_VALUE"""),8.08)</f>
        <v>8.08</v>
      </c>
      <c r="F956" s="1">
        <f>IFERROR(__xludf.DUMMYFUNCTION("""COMPUTED_VALUE"""),1149794.0)</f>
        <v>1149794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IFERROR(__xludf.DUMMYFUNCTION("""COMPUTED_VALUE"""),8.14)</f>
        <v>8.14</v>
      </c>
      <c r="C957" s="1">
        <f>IFERROR(__xludf.DUMMYFUNCTION("""COMPUTED_VALUE"""),8.21)</f>
        <v>8.21</v>
      </c>
      <c r="D957" s="1">
        <f>IFERROR(__xludf.DUMMYFUNCTION("""COMPUTED_VALUE"""),8.11)</f>
        <v>8.11</v>
      </c>
      <c r="E957" s="1">
        <f>IFERROR(__xludf.DUMMYFUNCTION("""COMPUTED_VALUE"""),8.2)</f>
        <v>8.2</v>
      </c>
      <c r="F957" s="1">
        <f>IFERROR(__xludf.DUMMYFUNCTION("""COMPUTED_VALUE"""),715544.0)</f>
        <v>715544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IFERROR(__xludf.DUMMYFUNCTION("""COMPUTED_VALUE"""),8.17)</f>
        <v>8.17</v>
      </c>
      <c r="C958" s="1">
        <f>IFERROR(__xludf.DUMMYFUNCTION("""COMPUTED_VALUE"""),8.17)</f>
        <v>8.17</v>
      </c>
      <c r="D958" s="1">
        <f>IFERROR(__xludf.DUMMYFUNCTION("""COMPUTED_VALUE"""),8.07)</f>
        <v>8.07</v>
      </c>
      <c r="E958" s="1">
        <f>IFERROR(__xludf.DUMMYFUNCTION("""COMPUTED_VALUE"""),8.09)</f>
        <v>8.09</v>
      </c>
      <c r="F958" s="1">
        <f>IFERROR(__xludf.DUMMYFUNCTION("""COMPUTED_VALUE"""),845471.0)</f>
        <v>845471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IFERROR(__xludf.DUMMYFUNCTION("""COMPUTED_VALUE"""),8.07)</f>
        <v>8.07</v>
      </c>
      <c r="C959" s="1">
        <f>IFERROR(__xludf.DUMMYFUNCTION("""COMPUTED_VALUE"""),8.15)</f>
        <v>8.15</v>
      </c>
      <c r="D959" s="1">
        <f>IFERROR(__xludf.DUMMYFUNCTION("""COMPUTED_VALUE"""),8.06)</f>
        <v>8.06</v>
      </c>
      <c r="E959" s="1">
        <f>IFERROR(__xludf.DUMMYFUNCTION("""COMPUTED_VALUE"""),8.09)</f>
        <v>8.09</v>
      </c>
      <c r="F959" s="1">
        <f>IFERROR(__xludf.DUMMYFUNCTION("""COMPUTED_VALUE"""),761228.0)</f>
        <v>761228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IFERROR(__xludf.DUMMYFUNCTION("""COMPUTED_VALUE"""),8.05)</f>
        <v>8.05</v>
      </c>
      <c r="C960" s="1">
        <f>IFERROR(__xludf.DUMMYFUNCTION("""COMPUTED_VALUE"""),8.08)</f>
        <v>8.08</v>
      </c>
      <c r="D960" s="1">
        <f>IFERROR(__xludf.DUMMYFUNCTION("""COMPUTED_VALUE"""),8.02)</f>
        <v>8.02</v>
      </c>
      <c r="E960" s="1">
        <f>IFERROR(__xludf.DUMMYFUNCTION("""COMPUTED_VALUE"""),8.05)</f>
        <v>8.05</v>
      </c>
      <c r="F960" s="1">
        <f>IFERROR(__xludf.DUMMYFUNCTION("""COMPUTED_VALUE"""),476380.0)</f>
        <v>476380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IFERROR(__xludf.DUMMYFUNCTION("""COMPUTED_VALUE"""),8.14)</f>
        <v>8.14</v>
      </c>
      <c r="C961" s="1">
        <f>IFERROR(__xludf.DUMMYFUNCTION("""COMPUTED_VALUE"""),8.15)</f>
        <v>8.15</v>
      </c>
      <c r="D961" s="1">
        <f>IFERROR(__xludf.DUMMYFUNCTION("""COMPUTED_VALUE"""),8.1)</f>
        <v>8.1</v>
      </c>
      <c r="E961" s="1">
        <f>IFERROR(__xludf.DUMMYFUNCTION("""COMPUTED_VALUE"""),8.13)</f>
        <v>8.13</v>
      </c>
      <c r="F961" s="1">
        <f>IFERROR(__xludf.DUMMYFUNCTION("""COMPUTED_VALUE"""),414231.0)</f>
        <v>414231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IFERROR(__xludf.DUMMYFUNCTION("""COMPUTED_VALUE"""),8.02)</f>
        <v>8.02</v>
      </c>
      <c r="C962" s="1">
        <f>IFERROR(__xludf.DUMMYFUNCTION("""COMPUTED_VALUE"""),8.02)</f>
        <v>8.02</v>
      </c>
      <c r="D962" s="1">
        <f>IFERROR(__xludf.DUMMYFUNCTION("""COMPUTED_VALUE"""),7.94)</f>
        <v>7.94</v>
      </c>
      <c r="E962" s="1">
        <f>IFERROR(__xludf.DUMMYFUNCTION("""COMPUTED_VALUE"""),7.97)</f>
        <v>7.97</v>
      </c>
      <c r="F962" s="1">
        <f>IFERROR(__xludf.DUMMYFUNCTION("""COMPUTED_VALUE"""),856192.0)</f>
        <v>856192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IFERROR(__xludf.DUMMYFUNCTION("""COMPUTED_VALUE"""),7.93)</f>
        <v>7.93</v>
      </c>
      <c r="C963" s="1">
        <f>IFERROR(__xludf.DUMMYFUNCTION("""COMPUTED_VALUE"""),7.94)</f>
        <v>7.94</v>
      </c>
      <c r="D963" s="1">
        <f>IFERROR(__xludf.DUMMYFUNCTION("""COMPUTED_VALUE"""),7.86)</f>
        <v>7.86</v>
      </c>
      <c r="E963" s="1">
        <f>IFERROR(__xludf.DUMMYFUNCTION("""COMPUTED_VALUE"""),7.88)</f>
        <v>7.88</v>
      </c>
      <c r="F963" s="1">
        <f>IFERROR(__xludf.DUMMYFUNCTION("""COMPUTED_VALUE"""),781370.0)</f>
        <v>781370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IFERROR(__xludf.DUMMYFUNCTION("""COMPUTED_VALUE"""),7.95)</f>
        <v>7.95</v>
      </c>
      <c r="C964" s="1">
        <f>IFERROR(__xludf.DUMMYFUNCTION("""COMPUTED_VALUE"""),7.98)</f>
        <v>7.98</v>
      </c>
      <c r="D964" s="1">
        <f>IFERROR(__xludf.DUMMYFUNCTION("""COMPUTED_VALUE"""),7.94)</f>
        <v>7.94</v>
      </c>
      <c r="E964" s="1">
        <f>IFERROR(__xludf.DUMMYFUNCTION("""COMPUTED_VALUE"""),7.96)</f>
        <v>7.96</v>
      </c>
      <c r="F964" s="1">
        <f>IFERROR(__xludf.DUMMYFUNCTION("""COMPUTED_VALUE"""),714118.0)</f>
        <v>714118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IFERROR(__xludf.DUMMYFUNCTION("""COMPUTED_VALUE"""),7.99)</f>
        <v>7.99</v>
      </c>
      <c r="C965" s="1">
        <f>IFERROR(__xludf.DUMMYFUNCTION("""COMPUTED_VALUE"""),8.01)</f>
        <v>8.01</v>
      </c>
      <c r="D965" s="1">
        <f>IFERROR(__xludf.DUMMYFUNCTION("""COMPUTED_VALUE"""),7.89)</f>
        <v>7.89</v>
      </c>
      <c r="E965" s="1">
        <f>IFERROR(__xludf.DUMMYFUNCTION("""COMPUTED_VALUE"""),7.93)</f>
        <v>7.93</v>
      </c>
      <c r="F965" s="1">
        <f>IFERROR(__xludf.DUMMYFUNCTION("""COMPUTED_VALUE"""),1048828.0)</f>
        <v>1048828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IFERROR(__xludf.DUMMYFUNCTION("""COMPUTED_VALUE"""),7.94)</f>
        <v>7.94</v>
      </c>
      <c r="C966" s="1">
        <f>IFERROR(__xludf.DUMMYFUNCTION("""COMPUTED_VALUE"""),8.0)</f>
        <v>8</v>
      </c>
      <c r="D966" s="1">
        <f>IFERROR(__xludf.DUMMYFUNCTION("""COMPUTED_VALUE"""),7.92)</f>
        <v>7.92</v>
      </c>
      <c r="E966" s="1">
        <f>IFERROR(__xludf.DUMMYFUNCTION("""COMPUTED_VALUE"""),7.96)</f>
        <v>7.96</v>
      </c>
      <c r="F966" s="1">
        <f>IFERROR(__xludf.DUMMYFUNCTION("""COMPUTED_VALUE"""),610726.0)</f>
        <v>610726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IFERROR(__xludf.DUMMYFUNCTION("""COMPUTED_VALUE"""),7.79)</f>
        <v>7.79</v>
      </c>
      <c r="C967" s="1">
        <f>IFERROR(__xludf.DUMMYFUNCTION("""COMPUTED_VALUE"""),7.87)</f>
        <v>7.87</v>
      </c>
      <c r="D967" s="1">
        <f>IFERROR(__xludf.DUMMYFUNCTION("""COMPUTED_VALUE"""),7.78)</f>
        <v>7.78</v>
      </c>
      <c r="E967" s="1">
        <f>IFERROR(__xludf.DUMMYFUNCTION("""COMPUTED_VALUE"""),7.86)</f>
        <v>7.86</v>
      </c>
      <c r="F967" s="1">
        <f>IFERROR(__xludf.DUMMYFUNCTION("""COMPUTED_VALUE"""),1045727.0)</f>
        <v>1045727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IFERROR(__xludf.DUMMYFUNCTION("""COMPUTED_VALUE"""),7.88)</f>
        <v>7.88</v>
      </c>
      <c r="C968" s="1">
        <f>IFERROR(__xludf.DUMMYFUNCTION("""COMPUTED_VALUE"""),7.88)</f>
        <v>7.88</v>
      </c>
      <c r="D968" s="1">
        <f>IFERROR(__xludf.DUMMYFUNCTION("""COMPUTED_VALUE"""),7.82)</f>
        <v>7.82</v>
      </c>
      <c r="E968" s="1">
        <f>IFERROR(__xludf.DUMMYFUNCTION("""COMPUTED_VALUE"""),7.88)</f>
        <v>7.88</v>
      </c>
      <c r="F968" s="1">
        <f>IFERROR(__xludf.DUMMYFUNCTION("""COMPUTED_VALUE"""),490351.0)</f>
        <v>490351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IFERROR(__xludf.DUMMYFUNCTION("""COMPUTED_VALUE"""),7.78)</f>
        <v>7.78</v>
      </c>
      <c r="C969" s="1">
        <f>IFERROR(__xludf.DUMMYFUNCTION("""COMPUTED_VALUE"""),7.79)</f>
        <v>7.79</v>
      </c>
      <c r="D969" s="1">
        <f>IFERROR(__xludf.DUMMYFUNCTION("""COMPUTED_VALUE"""),7.72)</f>
        <v>7.72</v>
      </c>
      <c r="E969" s="1">
        <f>IFERROR(__xludf.DUMMYFUNCTION("""COMPUTED_VALUE"""),7.72)</f>
        <v>7.72</v>
      </c>
      <c r="F969" s="1">
        <f>IFERROR(__xludf.DUMMYFUNCTION("""COMPUTED_VALUE"""),771780.0)</f>
        <v>771780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IFERROR(__xludf.DUMMYFUNCTION("""COMPUTED_VALUE"""),7.85)</f>
        <v>7.85</v>
      </c>
      <c r="C970" s="1">
        <f>IFERROR(__xludf.DUMMYFUNCTION("""COMPUTED_VALUE"""),7.92)</f>
        <v>7.92</v>
      </c>
      <c r="D970" s="1">
        <f>IFERROR(__xludf.DUMMYFUNCTION("""COMPUTED_VALUE"""),7.83)</f>
        <v>7.83</v>
      </c>
      <c r="E970" s="1">
        <f>IFERROR(__xludf.DUMMYFUNCTION("""COMPUTED_VALUE"""),7.92)</f>
        <v>7.92</v>
      </c>
      <c r="F970" s="1">
        <f>IFERROR(__xludf.DUMMYFUNCTION("""COMPUTED_VALUE"""),1168822.0)</f>
        <v>1168822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IFERROR(__xludf.DUMMYFUNCTION("""COMPUTED_VALUE"""),7.9)</f>
        <v>7.9</v>
      </c>
      <c r="C971" s="1">
        <f>IFERROR(__xludf.DUMMYFUNCTION("""COMPUTED_VALUE"""),7.96)</f>
        <v>7.96</v>
      </c>
      <c r="D971" s="1">
        <f>IFERROR(__xludf.DUMMYFUNCTION("""COMPUTED_VALUE"""),7.86)</f>
        <v>7.86</v>
      </c>
      <c r="E971" s="1">
        <f>IFERROR(__xludf.DUMMYFUNCTION("""COMPUTED_VALUE"""),7.86)</f>
        <v>7.86</v>
      </c>
      <c r="F971" s="1">
        <f>IFERROR(__xludf.DUMMYFUNCTION("""COMPUTED_VALUE"""),982816.0)</f>
        <v>982816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IFERROR(__xludf.DUMMYFUNCTION("""COMPUTED_VALUE"""),7.88)</f>
        <v>7.88</v>
      </c>
      <c r="C972" s="1">
        <f>IFERROR(__xludf.DUMMYFUNCTION("""COMPUTED_VALUE"""),8.14)</f>
        <v>8.14</v>
      </c>
      <c r="D972" s="1">
        <f>IFERROR(__xludf.DUMMYFUNCTION("""COMPUTED_VALUE"""),7.88)</f>
        <v>7.88</v>
      </c>
      <c r="E972" s="1">
        <f>IFERROR(__xludf.DUMMYFUNCTION("""COMPUTED_VALUE"""),8.14)</f>
        <v>8.14</v>
      </c>
      <c r="F972" s="1">
        <f>IFERROR(__xludf.DUMMYFUNCTION("""COMPUTED_VALUE"""),4517694.0)</f>
        <v>4517694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IFERROR(__xludf.DUMMYFUNCTION("""COMPUTED_VALUE"""),8.18)</f>
        <v>8.18</v>
      </c>
      <c r="C973" s="1">
        <f>IFERROR(__xludf.DUMMYFUNCTION("""COMPUTED_VALUE"""),8.2)</f>
        <v>8.2</v>
      </c>
      <c r="D973" s="1">
        <f>IFERROR(__xludf.DUMMYFUNCTION("""COMPUTED_VALUE"""),8.12)</f>
        <v>8.12</v>
      </c>
      <c r="E973" s="1">
        <f>IFERROR(__xludf.DUMMYFUNCTION("""COMPUTED_VALUE"""),8.18)</f>
        <v>8.18</v>
      </c>
      <c r="F973" s="1">
        <f>IFERROR(__xludf.DUMMYFUNCTION("""COMPUTED_VALUE"""),1180281.0)</f>
        <v>1180281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IFERROR(__xludf.DUMMYFUNCTION("""COMPUTED_VALUE"""),8.32)</f>
        <v>8.32</v>
      </c>
      <c r="C974" s="1">
        <f>IFERROR(__xludf.DUMMYFUNCTION("""COMPUTED_VALUE"""),8.37)</f>
        <v>8.37</v>
      </c>
      <c r="D974" s="1">
        <f>IFERROR(__xludf.DUMMYFUNCTION("""COMPUTED_VALUE"""),8.25)</f>
        <v>8.25</v>
      </c>
      <c r="E974" s="1">
        <f>IFERROR(__xludf.DUMMYFUNCTION("""COMPUTED_VALUE"""),8.29)</f>
        <v>8.29</v>
      </c>
      <c r="F974" s="1">
        <f>IFERROR(__xludf.DUMMYFUNCTION("""COMPUTED_VALUE"""),1023558.0)</f>
        <v>1023558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IFERROR(__xludf.DUMMYFUNCTION("""COMPUTED_VALUE"""),8.41)</f>
        <v>8.41</v>
      </c>
      <c r="C975" s="1">
        <f>IFERROR(__xludf.DUMMYFUNCTION("""COMPUTED_VALUE"""),8.56)</f>
        <v>8.56</v>
      </c>
      <c r="D975" s="1">
        <f>IFERROR(__xludf.DUMMYFUNCTION("""COMPUTED_VALUE"""),8.4)</f>
        <v>8.4</v>
      </c>
      <c r="E975" s="1">
        <f>IFERROR(__xludf.DUMMYFUNCTION("""COMPUTED_VALUE"""),8.54)</f>
        <v>8.54</v>
      </c>
      <c r="F975" s="1">
        <f>IFERROR(__xludf.DUMMYFUNCTION("""COMPUTED_VALUE"""),1237410.0)</f>
        <v>1237410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IFERROR(__xludf.DUMMYFUNCTION("""COMPUTED_VALUE"""),8.47)</f>
        <v>8.47</v>
      </c>
      <c r="C976" s="1">
        <f>IFERROR(__xludf.DUMMYFUNCTION("""COMPUTED_VALUE"""),8.52)</f>
        <v>8.52</v>
      </c>
      <c r="D976" s="1">
        <f>IFERROR(__xludf.DUMMYFUNCTION("""COMPUTED_VALUE"""),8.45)</f>
        <v>8.45</v>
      </c>
      <c r="E976" s="1">
        <f>IFERROR(__xludf.DUMMYFUNCTION("""COMPUTED_VALUE"""),8.5)</f>
        <v>8.5</v>
      </c>
      <c r="F976" s="1">
        <f>IFERROR(__xludf.DUMMYFUNCTION("""COMPUTED_VALUE"""),975415.0)</f>
        <v>975415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IFERROR(__xludf.DUMMYFUNCTION("""COMPUTED_VALUE"""),8.49)</f>
        <v>8.49</v>
      </c>
      <c r="C977" s="1">
        <f>IFERROR(__xludf.DUMMYFUNCTION("""COMPUTED_VALUE"""),8.54)</f>
        <v>8.54</v>
      </c>
      <c r="D977" s="1">
        <f>IFERROR(__xludf.DUMMYFUNCTION("""COMPUTED_VALUE"""),8.46)</f>
        <v>8.46</v>
      </c>
      <c r="E977" s="1">
        <f>IFERROR(__xludf.DUMMYFUNCTION("""COMPUTED_VALUE"""),8.53)</f>
        <v>8.53</v>
      </c>
      <c r="F977" s="1">
        <f>IFERROR(__xludf.DUMMYFUNCTION("""COMPUTED_VALUE"""),1476675.0)</f>
        <v>1476675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IFERROR(__xludf.DUMMYFUNCTION("""COMPUTED_VALUE"""),8.56)</f>
        <v>8.56</v>
      </c>
      <c r="C978" s="1">
        <f>IFERROR(__xludf.DUMMYFUNCTION("""COMPUTED_VALUE"""),8.6)</f>
        <v>8.6</v>
      </c>
      <c r="D978" s="1">
        <f>IFERROR(__xludf.DUMMYFUNCTION("""COMPUTED_VALUE"""),8.51)</f>
        <v>8.51</v>
      </c>
      <c r="E978" s="1">
        <f>IFERROR(__xludf.DUMMYFUNCTION("""COMPUTED_VALUE"""),8.51)</f>
        <v>8.51</v>
      </c>
      <c r="F978" s="1">
        <f>IFERROR(__xludf.DUMMYFUNCTION("""COMPUTED_VALUE"""),1068305.0)</f>
        <v>1068305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IFERROR(__xludf.DUMMYFUNCTION("""COMPUTED_VALUE"""),8.51)</f>
        <v>8.51</v>
      </c>
      <c r="C979" s="1">
        <f>IFERROR(__xludf.DUMMYFUNCTION("""COMPUTED_VALUE"""),8.56)</f>
        <v>8.56</v>
      </c>
      <c r="D979" s="1">
        <f>IFERROR(__xludf.DUMMYFUNCTION("""COMPUTED_VALUE"""),8.49)</f>
        <v>8.49</v>
      </c>
      <c r="E979" s="1">
        <f>IFERROR(__xludf.DUMMYFUNCTION("""COMPUTED_VALUE"""),8.51)</f>
        <v>8.51</v>
      </c>
      <c r="F979" s="1">
        <f>IFERROR(__xludf.DUMMYFUNCTION("""COMPUTED_VALUE"""),1809651.0)</f>
        <v>1809651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IFERROR(__xludf.DUMMYFUNCTION("""COMPUTED_VALUE"""),8.56)</f>
        <v>8.56</v>
      </c>
      <c r="C980" s="1">
        <f>IFERROR(__xludf.DUMMYFUNCTION("""COMPUTED_VALUE"""),8.58)</f>
        <v>8.58</v>
      </c>
      <c r="D980" s="1">
        <f>IFERROR(__xludf.DUMMYFUNCTION("""COMPUTED_VALUE"""),8.46)</f>
        <v>8.46</v>
      </c>
      <c r="E980" s="1">
        <f>IFERROR(__xludf.DUMMYFUNCTION("""COMPUTED_VALUE"""),8.49)</f>
        <v>8.49</v>
      </c>
      <c r="F980" s="1">
        <f>IFERROR(__xludf.DUMMYFUNCTION("""COMPUTED_VALUE"""),730501.0)</f>
        <v>730501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IFERROR(__xludf.DUMMYFUNCTION("""COMPUTED_VALUE"""),8.73)</f>
        <v>8.73</v>
      </c>
      <c r="C981" s="1">
        <f>IFERROR(__xludf.DUMMYFUNCTION("""COMPUTED_VALUE"""),8.77)</f>
        <v>8.77</v>
      </c>
      <c r="D981" s="1">
        <f>IFERROR(__xludf.DUMMYFUNCTION("""COMPUTED_VALUE"""),8.7)</f>
        <v>8.7</v>
      </c>
      <c r="E981" s="1">
        <f>IFERROR(__xludf.DUMMYFUNCTION("""COMPUTED_VALUE"""),8.75)</f>
        <v>8.75</v>
      </c>
      <c r="F981" s="1">
        <f>IFERROR(__xludf.DUMMYFUNCTION("""COMPUTED_VALUE"""),1307861.0)</f>
        <v>1307861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IFERROR(__xludf.DUMMYFUNCTION("""COMPUTED_VALUE"""),8.83)</f>
        <v>8.83</v>
      </c>
      <c r="C982" s="1">
        <f>IFERROR(__xludf.DUMMYFUNCTION("""COMPUTED_VALUE"""),8.85)</f>
        <v>8.85</v>
      </c>
      <c r="D982" s="1">
        <f>IFERROR(__xludf.DUMMYFUNCTION("""COMPUTED_VALUE"""),8.77)</f>
        <v>8.77</v>
      </c>
      <c r="E982" s="1">
        <f>IFERROR(__xludf.DUMMYFUNCTION("""COMPUTED_VALUE"""),8.85)</f>
        <v>8.85</v>
      </c>
      <c r="F982" s="1">
        <f>IFERROR(__xludf.DUMMYFUNCTION("""COMPUTED_VALUE"""),1176853.0)</f>
        <v>1176853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IFERROR(__xludf.DUMMYFUNCTION("""COMPUTED_VALUE"""),8.88)</f>
        <v>8.88</v>
      </c>
      <c r="C983" s="1">
        <f>IFERROR(__xludf.DUMMYFUNCTION("""COMPUTED_VALUE"""),8.9)</f>
        <v>8.9</v>
      </c>
      <c r="D983" s="1">
        <f>IFERROR(__xludf.DUMMYFUNCTION("""COMPUTED_VALUE"""),8.74)</f>
        <v>8.74</v>
      </c>
      <c r="E983" s="1">
        <f>IFERROR(__xludf.DUMMYFUNCTION("""COMPUTED_VALUE"""),8.75)</f>
        <v>8.75</v>
      </c>
      <c r="F983" s="1">
        <f>IFERROR(__xludf.DUMMYFUNCTION("""COMPUTED_VALUE"""),3618785.0)</f>
        <v>3618785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IFERROR(__xludf.DUMMYFUNCTION("""COMPUTED_VALUE"""),8.88)</f>
        <v>8.88</v>
      </c>
      <c r="C984" s="1">
        <f>IFERROR(__xludf.DUMMYFUNCTION("""COMPUTED_VALUE"""),8.9)</f>
        <v>8.9</v>
      </c>
      <c r="D984" s="1">
        <f>IFERROR(__xludf.DUMMYFUNCTION("""COMPUTED_VALUE"""),8.84)</f>
        <v>8.84</v>
      </c>
      <c r="E984" s="1">
        <f>IFERROR(__xludf.DUMMYFUNCTION("""COMPUTED_VALUE"""),8.86)</f>
        <v>8.86</v>
      </c>
      <c r="F984" s="1">
        <f>IFERROR(__xludf.DUMMYFUNCTION("""COMPUTED_VALUE"""),879656.0)</f>
        <v>879656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IFERROR(__xludf.DUMMYFUNCTION("""COMPUTED_VALUE"""),8.91)</f>
        <v>8.91</v>
      </c>
      <c r="C985" s="1">
        <f>IFERROR(__xludf.DUMMYFUNCTION("""COMPUTED_VALUE"""),8.93)</f>
        <v>8.93</v>
      </c>
      <c r="D985" s="1">
        <f>IFERROR(__xludf.DUMMYFUNCTION("""COMPUTED_VALUE"""),8.86)</f>
        <v>8.86</v>
      </c>
      <c r="E985" s="1">
        <f>IFERROR(__xludf.DUMMYFUNCTION("""COMPUTED_VALUE"""),8.89)</f>
        <v>8.89</v>
      </c>
      <c r="F985" s="1">
        <f>IFERROR(__xludf.DUMMYFUNCTION("""COMPUTED_VALUE"""),674836.0)</f>
        <v>674836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IFERROR(__xludf.DUMMYFUNCTION("""COMPUTED_VALUE"""),8.91)</f>
        <v>8.91</v>
      </c>
      <c r="C986" s="1">
        <f>IFERROR(__xludf.DUMMYFUNCTION("""COMPUTED_VALUE"""),8.94)</f>
        <v>8.94</v>
      </c>
      <c r="D986" s="1">
        <f>IFERROR(__xludf.DUMMYFUNCTION("""COMPUTED_VALUE"""),8.86)</f>
        <v>8.86</v>
      </c>
      <c r="E986" s="1">
        <f>IFERROR(__xludf.DUMMYFUNCTION("""COMPUTED_VALUE"""),8.88)</f>
        <v>8.88</v>
      </c>
      <c r="F986" s="1">
        <f>IFERROR(__xludf.DUMMYFUNCTION("""COMPUTED_VALUE"""),243377.0)</f>
        <v>243377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IFERROR(__xludf.DUMMYFUNCTION("""COMPUTED_VALUE"""),8.83)</f>
        <v>8.83</v>
      </c>
      <c r="C987" s="1">
        <f>IFERROR(__xludf.DUMMYFUNCTION("""COMPUTED_VALUE"""),8.9)</f>
        <v>8.9</v>
      </c>
      <c r="D987" s="1">
        <f>IFERROR(__xludf.DUMMYFUNCTION("""COMPUTED_VALUE"""),8.79)</f>
        <v>8.79</v>
      </c>
      <c r="E987" s="1">
        <f>IFERROR(__xludf.DUMMYFUNCTION("""COMPUTED_VALUE"""),8.8)</f>
        <v>8.8</v>
      </c>
      <c r="F987" s="1">
        <f>IFERROR(__xludf.DUMMYFUNCTION("""COMPUTED_VALUE"""),615600.0)</f>
        <v>615600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IFERROR(__xludf.DUMMYFUNCTION("""COMPUTED_VALUE"""),8.8)</f>
        <v>8.8</v>
      </c>
      <c r="C988" s="1">
        <f>IFERROR(__xludf.DUMMYFUNCTION("""COMPUTED_VALUE"""),8.84)</f>
        <v>8.84</v>
      </c>
      <c r="D988" s="1">
        <f>IFERROR(__xludf.DUMMYFUNCTION("""COMPUTED_VALUE"""),8.74)</f>
        <v>8.74</v>
      </c>
      <c r="E988" s="1">
        <f>IFERROR(__xludf.DUMMYFUNCTION("""COMPUTED_VALUE"""),8.76)</f>
        <v>8.76</v>
      </c>
      <c r="F988" s="1">
        <f>IFERROR(__xludf.DUMMYFUNCTION("""COMPUTED_VALUE"""),1016167.0)</f>
        <v>1016167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IFERROR(__xludf.DUMMYFUNCTION("""COMPUTED_VALUE"""),8.71)</f>
        <v>8.71</v>
      </c>
      <c r="C989" s="1">
        <f>IFERROR(__xludf.DUMMYFUNCTION("""COMPUTED_VALUE"""),8.83)</f>
        <v>8.83</v>
      </c>
      <c r="D989" s="1">
        <f>IFERROR(__xludf.DUMMYFUNCTION("""COMPUTED_VALUE"""),8.69)</f>
        <v>8.69</v>
      </c>
      <c r="E989" s="1">
        <f>IFERROR(__xludf.DUMMYFUNCTION("""COMPUTED_VALUE"""),8.81)</f>
        <v>8.81</v>
      </c>
      <c r="F989" s="1">
        <f>IFERROR(__xludf.DUMMYFUNCTION("""COMPUTED_VALUE"""),1158137.0)</f>
        <v>1158137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IFERROR(__xludf.DUMMYFUNCTION("""COMPUTED_VALUE"""),8.74)</f>
        <v>8.74</v>
      </c>
      <c r="C990" s="1">
        <f>IFERROR(__xludf.DUMMYFUNCTION("""COMPUTED_VALUE"""),8.74)</f>
        <v>8.74</v>
      </c>
      <c r="D990" s="1">
        <f>IFERROR(__xludf.DUMMYFUNCTION("""COMPUTED_VALUE"""),8.55)</f>
        <v>8.55</v>
      </c>
      <c r="E990" s="1">
        <f>IFERROR(__xludf.DUMMYFUNCTION("""COMPUTED_VALUE"""),8.57)</f>
        <v>8.57</v>
      </c>
      <c r="F990" s="1">
        <f>IFERROR(__xludf.DUMMYFUNCTION("""COMPUTED_VALUE"""),1457934.0)</f>
        <v>1457934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IFERROR(__xludf.DUMMYFUNCTION("""COMPUTED_VALUE"""),8.69)</f>
        <v>8.69</v>
      </c>
      <c r="C991" s="1">
        <f>IFERROR(__xludf.DUMMYFUNCTION("""COMPUTED_VALUE"""),8.72)</f>
        <v>8.72</v>
      </c>
      <c r="D991" s="1">
        <f>IFERROR(__xludf.DUMMYFUNCTION("""COMPUTED_VALUE"""),8.66)</f>
        <v>8.66</v>
      </c>
      <c r="E991" s="1">
        <f>IFERROR(__xludf.DUMMYFUNCTION("""COMPUTED_VALUE"""),8.72)</f>
        <v>8.72</v>
      </c>
      <c r="F991" s="1">
        <f>IFERROR(__xludf.DUMMYFUNCTION("""COMPUTED_VALUE"""),760225.0)</f>
        <v>760225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IFERROR(__xludf.DUMMYFUNCTION("""COMPUTED_VALUE"""),8.71)</f>
        <v>8.71</v>
      </c>
      <c r="C992" s="1">
        <f>IFERROR(__xludf.DUMMYFUNCTION("""COMPUTED_VALUE"""),8.82)</f>
        <v>8.82</v>
      </c>
      <c r="D992" s="1">
        <f>IFERROR(__xludf.DUMMYFUNCTION("""COMPUTED_VALUE"""),8.71)</f>
        <v>8.71</v>
      </c>
      <c r="E992" s="1">
        <f>IFERROR(__xludf.DUMMYFUNCTION("""COMPUTED_VALUE"""),8.79)</f>
        <v>8.79</v>
      </c>
      <c r="F992" s="1">
        <f>IFERROR(__xludf.DUMMYFUNCTION("""COMPUTED_VALUE"""),403205.0)</f>
        <v>403205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IFERROR(__xludf.DUMMYFUNCTION("""COMPUTED_VALUE"""),8.88)</f>
        <v>8.88</v>
      </c>
      <c r="C993" s="1">
        <f>IFERROR(__xludf.DUMMYFUNCTION("""COMPUTED_VALUE"""),8.91)</f>
        <v>8.91</v>
      </c>
      <c r="D993" s="1">
        <f>IFERROR(__xludf.DUMMYFUNCTION("""COMPUTED_VALUE"""),8.85)</f>
        <v>8.85</v>
      </c>
      <c r="E993" s="1">
        <f>IFERROR(__xludf.DUMMYFUNCTION("""COMPUTED_VALUE"""),8.87)</f>
        <v>8.87</v>
      </c>
      <c r="F993" s="1">
        <f>IFERROR(__xludf.DUMMYFUNCTION("""COMPUTED_VALUE"""),591392.0)</f>
        <v>591392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IFERROR(__xludf.DUMMYFUNCTION("""COMPUTED_VALUE"""),8.89)</f>
        <v>8.89</v>
      </c>
      <c r="C994" s="1">
        <f>IFERROR(__xludf.DUMMYFUNCTION("""COMPUTED_VALUE"""),8.91)</f>
        <v>8.91</v>
      </c>
      <c r="D994" s="1">
        <f>IFERROR(__xludf.DUMMYFUNCTION("""COMPUTED_VALUE"""),8.73)</f>
        <v>8.73</v>
      </c>
      <c r="E994" s="1">
        <f>IFERROR(__xludf.DUMMYFUNCTION("""COMPUTED_VALUE"""),8.75)</f>
        <v>8.75</v>
      </c>
      <c r="F994" s="1">
        <f>IFERROR(__xludf.DUMMYFUNCTION("""COMPUTED_VALUE"""),519473.0)</f>
        <v>519473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IFERROR(__xludf.DUMMYFUNCTION("""COMPUTED_VALUE"""),8.68)</f>
        <v>8.68</v>
      </c>
      <c r="C995" s="1">
        <f>IFERROR(__xludf.DUMMYFUNCTION("""COMPUTED_VALUE"""),8.69)</f>
        <v>8.69</v>
      </c>
      <c r="D995" s="1">
        <f>IFERROR(__xludf.DUMMYFUNCTION("""COMPUTED_VALUE"""),8.52)</f>
        <v>8.52</v>
      </c>
      <c r="E995" s="1">
        <f>IFERROR(__xludf.DUMMYFUNCTION("""COMPUTED_VALUE"""),8.58)</f>
        <v>8.58</v>
      </c>
      <c r="F995" s="1">
        <f>IFERROR(__xludf.DUMMYFUNCTION("""COMPUTED_VALUE"""),1395434.0)</f>
        <v>1395434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IFERROR(__xludf.DUMMYFUNCTION("""COMPUTED_VALUE"""),8.63)</f>
        <v>8.63</v>
      </c>
      <c r="C996" s="1">
        <f>IFERROR(__xludf.DUMMYFUNCTION("""COMPUTED_VALUE"""),8.67)</f>
        <v>8.67</v>
      </c>
      <c r="D996" s="1">
        <f>IFERROR(__xludf.DUMMYFUNCTION("""COMPUTED_VALUE"""),8.58)</f>
        <v>8.58</v>
      </c>
      <c r="E996" s="1">
        <f>IFERROR(__xludf.DUMMYFUNCTION("""COMPUTED_VALUE"""),8.61)</f>
        <v>8.61</v>
      </c>
      <c r="F996" s="1">
        <f>IFERROR(__xludf.DUMMYFUNCTION("""COMPUTED_VALUE"""),673090.0)</f>
        <v>673090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IFERROR(__xludf.DUMMYFUNCTION("""COMPUTED_VALUE"""),8.65)</f>
        <v>8.65</v>
      </c>
      <c r="C997" s="1">
        <f>IFERROR(__xludf.DUMMYFUNCTION("""COMPUTED_VALUE"""),8.72)</f>
        <v>8.72</v>
      </c>
      <c r="D997" s="1">
        <f>IFERROR(__xludf.DUMMYFUNCTION("""COMPUTED_VALUE"""),8.63)</f>
        <v>8.63</v>
      </c>
      <c r="E997" s="1">
        <f>IFERROR(__xludf.DUMMYFUNCTION("""COMPUTED_VALUE"""),8.64)</f>
        <v>8.64</v>
      </c>
      <c r="F997" s="1">
        <f>IFERROR(__xludf.DUMMYFUNCTION("""COMPUTED_VALUE"""),661520.0)</f>
        <v>661520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IFERROR(__xludf.DUMMYFUNCTION("""COMPUTED_VALUE"""),8.57)</f>
        <v>8.57</v>
      </c>
      <c r="C998" s="1">
        <f>IFERROR(__xludf.DUMMYFUNCTION("""COMPUTED_VALUE"""),8.58)</f>
        <v>8.58</v>
      </c>
      <c r="D998" s="1">
        <f>IFERROR(__xludf.DUMMYFUNCTION("""COMPUTED_VALUE"""),8.49)</f>
        <v>8.49</v>
      </c>
      <c r="E998" s="1">
        <f>IFERROR(__xludf.DUMMYFUNCTION("""COMPUTED_VALUE"""),8.52)</f>
        <v>8.52</v>
      </c>
      <c r="F998" s="1">
        <f>IFERROR(__xludf.DUMMYFUNCTION("""COMPUTED_VALUE"""),565501.0)</f>
        <v>565501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IFERROR(__xludf.DUMMYFUNCTION("""COMPUTED_VALUE"""),8.67)</f>
        <v>8.67</v>
      </c>
      <c r="C999" s="1">
        <f>IFERROR(__xludf.DUMMYFUNCTION("""COMPUTED_VALUE"""),8.77)</f>
        <v>8.77</v>
      </c>
      <c r="D999" s="1">
        <f>IFERROR(__xludf.DUMMYFUNCTION("""COMPUTED_VALUE"""),8.54)</f>
        <v>8.54</v>
      </c>
      <c r="E999" s="1">
        <f>IFERROR(__xludf.DUMMYFUNCTION("""COMPUTED_VALUE"""),8.76)</f>
        <v>8.76</v>
      </c>
      <c r="F999" s="1">
        <f>IFERROR(__xludf.DUMMYFUNCTION("""COMPUTED_VALUE"""),1944592.0)</f>
        <v>1944592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IFERROR(__xludf.DUMMYFUNCTION("""COMPUTED_VALUE"""),8.97)</f>
        <v>8.97</v>
      </c>
      <c r="C1000" s="1">
        <f>IFERROR(__xludf.DUMMYFUNCTION("""COMPUTED_VALUE"""),9.02)</f>
        <v>9.02</v>
      </c>
      <c r="D1000" s="1">
        <f>IFERROR(__xludf.DUMMYFUNCTION("""COMPUTED_VALUE"""),8.96)</f>
        <v>8.96</v>
      </c>
      <c r="E1000" s="1">
        <f>IFERROR(__xludf.DUMMYFUNCTION("""COMPUTED_VALUE"""),8.99)</f>
        <v>8.99</v>
      </c>
      <c r="F1000" s="1">
        <f>IFERROR(__xludf.DUMMYFUNCTION("""COMPUTED_VALUE"""),758917.0)</f>
        <v>758917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IFERROR(__xludf.DUMMYFUNCTION("""COMPUTED_VALUE"""),9.05)</f>
        <v>9.05</v>
      </c>
      <c r="C1001" s="1">
        <f>IFERROR(__xludf.DUMMYFUNCTION("""COMPUTED_VALUE"""),9.08)</f>
        <v>9.08</v>
      </c>
      <c r="D1001" s="1">
        <f>IFERROR(__xludf.DUMMYFUNCTION("""COMPUTED_VALUE"""),9.03)</f>
        <v>9.03</v>
      </c>
      <c r="E1001" s="1">
        <f>IFERROR(__xludf.DUMMYFUNCTION("""COMPUTED_VALUE"""),9.04)</f>
        <v>9.04</v>
      </c>
      <c r="F1001" s="1">
        <f>IFERROR(__xludf.DUMMYFUNCTION("""COMPUTED_VALUE"""),847160.0)</f>
        <v>847160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IFERROR(__xludf.DUMMYFUNCTION("""COMPUTED_VALUE"""),9.18)</f>
        <v>9.18</v>
      </c>
      <c r="C1002" s="1">
        <f>IFERROR(__xludf.DUMMYFUNCTION("""COMPUTED_VALUE"""),9.27)</f>
        <v>9.27</v>
      </c>
      <c r="D1002" s="1">
        <f>IFERROR(__xludf.DUMMYFUNCTION("""COMPUTED_VALUE"""),9.18)</f>
        <v>9.18</v>
      </c>
      <c r="E1002" s="1">
        <f>IFERROR(__xludf.DUMMYFUNCTION("""COMPUTED_VALUE"""),9.22)</f>
        <v>9.22</v>
      </c>
      <c r="F1002" s="1">
        <f>IFERROR(__xludf.DUMMYFUNCTION("""COMPUTED_VALUE"""),890914.0)</f>
        <v>890914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IFERROR(__xludf.DUMMYFUNCTION("""COMPUTED_VALUE"""),9.28)</f>
        <v>9.28</v>
      </c>
      <c r="C1003" s="1">
        <f>IFERROR(__xludf.DUMMYFUNCTION("""COMPUTED_VALUE"""),9.29)</f>
        <v>9.29</v>
      </c>
      <c r="D1003" s="1">
        <f>IFERROR(__xludf.DUMMYFUNCTION("""COMPUTED_VALUE"""),9.24)</f>
        <v>9.24</v>
      </c>
      <c r="E1003" s="1">
        <f>IFERROR(__xludf.DUMMYFUNCTION("""COMPUTED_VALUE"""),9.25)</f>
        <v>9.25</v>
      </c>
      <c r="F1003" s="1">
        <f>IFERROR(__xludf.DUMMYFUNCTION("""COMPUTED_VALUE"""),281617.0)</f>
        <v>281617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IFERROR(__xludf.DUMMYFUNCTION("""COMPUTED_VALUE"""),9.3)</f>
        <v>9.3</v>
      </c>
      <c r="C1004" s="1">
        <f>IFERROR(__xludf.DUMMYFUNCTION("""COMPUTED_VALUE"""),9.36)</f>
        <v>9.36</v>
      </c>
      <c r="D1004" s="1">
        <f>IFERROR(__xludf.DUMMYFUNCTION("""COMPUTED_VALUE"""),9.27)</f>
        <v>9.27</v>
      </c>
      <c r="E1004" s="1">
        <f>IFERROR(__xludf.DUMMYFUNCTION("""COMPUTED_VALUE"""),9.35)</f>
        <v>9.35</v>
      </c>
      <c r="F1004" s="1">
        <f>IFERROR(__xludf.DUMMYFUNCTION("""COMPUTED_VALUE"""),545999.0)</f>
        <v>545999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IFERROR(__xludf.DUMMYFUNCTION("""COMPUTED_VALUE"""),9.4)</f>
        <v>9.4</v>
      </c>
      <c r="C1005" s="1">
        <f>IFERROR(__xludf.DUMMYFUNCTION("""COMPUTED_VALUE"""),9.44)</f>
        <v>9.44</v>
      </c>
      <c r="D1005" s="1">
        <f>IFERROR(__xludf.DUMMYFUNCTION("""COMPUTED_VALUE"""),9.39)</f>
        <v>9.39</v>
      </c>
      <c r="E1005" s="1">
        <f>IFERROR(__xludf.DUMMYFUNCTION("""COMPUTED_VALUE"""),9.43)</f>
        <v>9.43</v>
      </c>
      <c r="F1005" s="1">
        <f>IFERROR(__xludf.DUMMYFUNCTION("""COMPUTED_VALUE"""),586139.0)</f>
        <v>586139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IFERROR(__xludf.DUMMYFUNCTION("""COMPUTED_VALUE"""),9.43)</f>
        <v>9.43</v>
      </c>
      <c r="C1006" s="1">
        <f>IFERROR(__xludf.DUMMYFUNCTION("""COMPUTED_VALUE"""),9.48)</f>
        <v>9.48</v>
      </c>
      <c r="D1006" s="1">
        <f>IFERROR(__xludf.DUMMYFUNCTION("""COMPUTED_VALUE"""),9.39)</f>
        <v>9.39</v>
      </c>
      <c r="E1006" s="1">
        <f>IFERROR(__xludf.DUMMYFUNCTION("""COMPUTED_VALUE"""),9.43)</f>
        <v>9.43</v>
      </c>
      <c r="F1006" s="1">
        <f>IFERROR(__xludf.DUMMYFUNCTION("""COMPUTED_VALUE"""),654526.0)</f>
        <v>654526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IFERROR(__xludf.DUMMYFUNCTION("""COMPUTED_VALUE"""),9.43)</f>
        <v>9.43</v>
      </c>
      <c r="C1007" s="1">
        <f>IFERROR(__xludf.DUMMYFUNCTION("""COMPUTED_VALUE"""),9.5)</f>
        <v>9.5</v>
      </c>
      <c r="D1007" s="1">
        <f>IFERROR(__xludf.DUMMYFUNCTION("""COMPUTED_VALUE"""),9.4)</f>
        <v>9.4</v>
      </c>
      <c r="E1007" s="1">
        <f>IFERROR(__xludf.DUMMYFUNCTION("""COMPUTED_VALUE"""),9.48)</f>
        <v>9.48</v>
      </c>
      <c r="F1007" s="1">
        <f>IFERROR(__xludf.DUMMYFUNCTION("""COMPUTED_VALUE"""),552384.0)</f>
        <v>552384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IFERROR(__xludf.DUMMYFUNCTION("""COMPUTED_VALUE"""),9.37)</f>
        <v>9.37</v>
      </c>
      <c r="C1008" s="1">
        <f>IFERROR(__xludf.DUMMYFUNCTION("""COMPUTED_VALUE"""),9.4)</f>
        <v>9.4</v>
      </c>
      <c r="D1008" s="1">
        <f>IFERROR(__xludf.DUMMYFUNCTION("""COMPUTED_VALUE"""),9.31)</f>
        <v>9.31</v>
      </c>
      <c r="E1008" s="1">
        <f>IFERROR(__xludf.DUMMYFUNCTION("""COMPUTED_VALUE"""),9.38)</f>
        <v>9.38</v>
      </c>
      <c r="F1008" s="1">
        <f>IFERROR(__xludf.DUMMYFUNCTION("""COMPUTED_VALUE"""),1089992.0)</f>
        <v>1089992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IFERROR(__xludf.DUMMYFUNCTION("""COMPUTED_VALUE"""),9.39)</f>
        <v>9.39</v>
      </c>
      <c r="C1009" s="1">
        <f>IFERROR(__xludf.DUMMYFUNCTION("""COMPUTED_VALUE"""),9.42)</f>
        <v>9.42</v>
      </c>
      <c r="D1009" s="1">
        <f>IFERROR(__xludf.DUMMYFUNCTION("""COMPUTED_VALUE"""),9.36)</f>
        <v>9.36</v>
      </c>
      <c r="E1009" s="1">
        <f>IFERROR(__xludf.DUMMYFUNCTION("""COMPUTED_VALUE"""),9.36)</f>
        <v>9.36</v>
      </c>
      <c r="F1009" s="1">
        <f>IFERROR(__xludf.DUMMYFUNCTION("""COMPUTED_VALUE"""),704627.0)</f>
        <v>704627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IFERROR(__xludf.DUMMYFUNCTION("""COMPUTED_VALUE"""),9.42)</f>
        <v>9.42</v>
      </c>
      <c r="C1010" s="1">
        <f>IFERROR(__xludf.DUMMYFUNCTION("""COMPUTED_VALUE"""),9.45)</f>
        <v>9.45</v>
      </c>
      <c r="D1010" s="1">
        <f>IFERROR(__xludf.DUMMYFUNCTION("""COMPUTED_VALUE"""),9.37)</f>
        <v>9.37</v>
      </c>
      <c r="E1010" s="1">
        <f>IFERROR(__xludf.DUMMYFUNCTION("""COMPUTED_VALUE"""),9.38)</f>
        <v>9.38</v>
      </c>
      <c r="F1010" s="1">
        <f>IFERROR(__xludf.DUMMYFUNCTION("""COMPUTED_VALUE"""),717667.0)</f>
        <v>717667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IFERROR(__xludf.DUMMYFUNCTION("""COMPUTED_VALUE"""),9.26)</f>
        <v>9.26</v>
      </c>
      <c r="C1011" s="1">
        <f>IFERROR(__xludf.DUMMYFUNCTION("""COMPUTED_VALUE"""),9.34)</f>
        <v>9.34</v>
      </c>
      <c r="D1011" s="1">
        <f>IFERROR(__xludf.DUMMYFUNCTION("""COMPUTED_VALUE"""),9.25)</f>
        <v>9.25</v>
      </c>
      <c r="E1011" s="1">
        <f>IFERROR(__xludf.DUMMYFUNCTION("""COMPUTED_VALUE"""),9.3)</f>
        <v>9.3</v>
      </c>
      <c r="F1011" s="1">
        <f>IFERROR(__xludf.DUMMYFUNCTION("""COMPUTED_VALUE"""),813357.0)</f>
        <v>813357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IFERROR(__xludf.DUMMYFUNCTION("""COMPUTED_VALUE"""),9.43)</f>
        <v>9.43</v>
      </c>
      <c r="C1012" s="1">
        <f>IFERROR(__xludf.DUMMYFUNCTION("""COMPUTED_VALUE"""),9.47)</f>
        <v>9.47</v>
      </c>
      <c r="D1012" s="1">
        <f>IFERROR(__xludf.DUMMYFUNCTION("""COMPUTED_VALUE"""),9.38)</f>
        <v>9.38</v>
      </c>
      <c r="E1012" s="1">
        <f>IFERROR(__xludf.DUMMYFUNCTION("""COMPUTED_VALUE"""),9.46)</f>
        <v>9.46</v>
      </c>
      <c r="F1012" s="1">
        <f>IFERROR(__xludf.DUMMYFUNCTION("""COMPUTED_VALUE"""),884273.0)</f>
        <v>884273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IFERROR(__xludf.DUMMYFUNCTION("""COMPUTED_VALUE"""),9.4)</f>
        <v>9.4</v>
      </c>
      <c r="C1013" s="1">
        <f>IFERROR(__xludf.DUMMYFUNCTION("""COMPUTED_VALUE"""),9.45)</f>
        <v>9.45</v>
      </c>
      <c r="D1013" s="1">
        <f>IFERROR(__xludf.DUMMYFUNCTION("""COMPUTED_VALUE"""),9.33)</f>
        <v>9.33</v>
      </c>
      <c r="E1013" s="1">
        <f>IFERROR(__xludf.DUMMYFUNCTION("""COMPUTED_VALUE"""),9.43)</f>
        <v>9.43</v>
      </c>
      <c r="F1013" s="1">
        <f>IFERROR(__xludf.DUMMYFUNCTION("""COMPUTED_VALUE"""),1139693.0)</f>
        <v>1139693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IFERROR(__xludf.DUMMYFUNCTION("""COMPUTED_VALUE"""),9.33)</f>
        <v>9.33</v>
      </c>
      <c r="C1014" s="1">
        <f>IFERROR(__xludf.DUMMYFUNCTION("""COMPUTED_VALUE"""),9.34)</f>
        <v>9.34</v>
      </c>
      <c r="D1014" s="1">
        <f>IFERROR(__xludf.DUMMYFUNCTION("""COMPUTED_VALUE"""),9.19)</f>
        <v>9.19</v>
      </c>
      <c r="E1014" s="1">
        <f>IFERROR(__xludf.DUMMYFUNCTION("""COMPUTED_VALUE"""),9.27)</f>
        <v>9.27</v>
      </c>
      <c r="F1014" s="1">
        <f>IFERROR(__xludf.DUMMYFUNCTION("""COMPUTED_VALUE"""),1172070.0)</f>
        <v>1172070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IFERROR(__xludf.DUMMYFUNCTION("""COMPUTED_VALUE"""),9.27)</f>
        <v>9.27</v>
      </c>
      <c r="C1015" s="1">
        <f>IFERROR(__xludf.DUMMYFUNCTION("""COMPUTED_VALUE"""),9.32)</f>
        <v>9.32</v>
      </c>
      <c r="D1015" s="1">
        <f>IFERROR(__xludf.DUMMYFUNCTION("""COMPUTED_VALUE"""),9.18)</f>
        <v>9.18</v>
      </c>
      <c r="E1015" s="1">
        <f>IFERROR(__xludf.DUMMYFUNCTION("""COMPUTED_VALUE"""),9.21)</f>
        <v>9.21</v>
      </c>
      <c r="F1015" s="1">
        <f>IFERROR(__xludf.DUMMYFUNCTION("""COMPUTED_VALUE"""),1038517.0)</f>
        <v>1038517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IFERROR(__xludf.DUMMYFUNCTION("""COMPUTED_VALUE"""),9.24)</f>
        <v>9.24</v>
      </c>
      <c r="C1016" s="1">
        <f>IFERROR(__xludf.DUMMYFUNCTION("""COMPUTED_VALUE"""),9.36)</f>
        <v>9.36</v>
      </c>
      <c r="D1016" s="1">
        <f>IFERROR(__xludf.DUMMYFUNCTION("""COMPUTED_VALUE"""),9.23)</f>
        <v>9.23</v>
      </c>
      <c r="E1016" s="1">
        <f>IFERROR(__xludf.DUMMYFUNCTION("""COMPUTED_VALUE"""),9.36)</f>
        <v>9.36</v>
      </c>
      <c r="F1016" s="1">
        <f>IFERROR(__xludf.DUMMYFUNCTION("""COMPUTED_VALUE"""),1093491.0)</f>
        <v>1093491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IFERROR(__xludf.DUMMYFUNCTION("""COMPUTED_VALUE"""),9.26)</f>
        <v>9.26</v>
      </c>
      <c r="C1017" s="1">
        <f>IFERROR(__xludf.DUMMYFUNCTION("""COMPUTED_VALUE"""),9.34)</f>
        <v>9.34</v>
      </c>
      <c r="D1017" s="1">
        <f>IFERROR(__xludf.DUMMYFUNCTION("""COMPUTED_VALUE"""),9.23)</f>
        <v>9.23</v>
      </c>
      <c r="E1017" s="1">
        <f>IFERROR(__xludf.DUMMYFUNCTION("""COMPUTED_VALUE"""),9.33)</f>
        <v>9.33</v>
      </c>
      <c r="F1017" s="1">
        <f>IFERROR(__xludf.DUMMYFUNCTION("""COMPUTED_VALUE"""),1637295.0)</f>
        <v>1637295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IFERROR(__xludf.DUMMYFUNCTION("""COMPUTED_VALUE"""),9.31)</f>
        <v>9.31</v>
      </c>
      <c r="C1018" s="1">
        <f>IFERROR(__xludf.DUMMYFUNCTION("""COMPUTED_VALUE"""),9.33)</f>
        <v>9.33</v>
      </c>
      <c r="D1018" s="1">
        <f>IFERROR(__xludf.DUMMYFUNCTION("""COMPUTED_VALUE"""),9.24)</f>
        <v>9.24</v>
      </c>
      <c r="E1018" s="1">
        <f>IFERROR(__xludf.DUMMYFUNCTION("""COMPUTED_VALUE"""),9.3)</f>
        <v>9.3</v>
      </c>
      <c r="F1018" s="1">
        <f>IFERROR(__xludf.DUMMYFUNCTION("""COMPUTED_VALUE"""),1300606.0)</f>
        <v>1300606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IFERROR(__xludf.DUMMYFUNCTION("""COMPUTED_VALUE"""),9.19)</f>
        <v>9.19</v>
      </c>
      <c r="C1019" s="1">
        <f>IFERROR(__xludf.DUMMYFUNCTION("""COMPUTED_VALUE"""),9.28)</f>
        <v>9.28</v>
      </c>
      <c r="D1019" s="1">
        <f>IFERROR(__xludf.DUMMYFUNCTION("""COMPUTED_VALUE"""),9.18)</f>
        <v>9.18</v>
      </c>
      <c r="E1019" s="1">
        <f>IFERROR(__xludf.DUMMYFUNCTION("""COMPUTED_VALUE"""),9.22)</f>
        <v>9.22</v>
      </c>
      <c r="F1019" s="1">
        <f>IFERROR(__xludf.DUMMYFUNCTION("""COMPUTED_VALUE"""),1209030.0)</f>
        <v>1209030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IFERROR(__xludf.DUMMYFUNCTION("""COMPUTED_VALUE"""),9.06)</f>
        <v>9.06</v>
      </c>
      <c r="C1020" s="1">
        <f>IFERROR(__xludf.DUMMYFUNCTION("""COMPUTED_VALUE"""),9.08)</f>
        <v>9.08</v>
      </c>
      <c r="D1020" s="1">
        <f>IFERROR(__xludf.DUMMYFUNCTION("""COMPUTED_VALUE"""),8.97)</f>
        <v>8.97</v>
      </c>
      <c r="E1020" s="1">
        <f>IFERROR(__xludf.DUMMYFUNCTION("""COMPUTED_VALUE"""),9.07)</f>
        <v>9.07</v>
      </c>
      <c r="F1020" s="1">
        <f>IFERROR(__xludf.DUMMYFUNCTION("""COMPUTED_VALUE"""),1062313.0)</f>
        <v>1062313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IFERROR(__xludf.DUMMYFUNCTION("""COMPUTED_VALUE"""),9.11)</f>
        <v>9.11</v>
      </c>
      <c r="C1021" s="1">
        <f>IFERROR(__xludf.DUMMYFUNCTION("""COMPUTED_VALUE"""),9.16)</f>
        <v>9.16</v>
      </c>
      <c r="D1021" s="1">
        <f>IFERROR(__xludf.DUMMYFUNCTION("""COMPUTED_VALUE"""),9.08)</f>
        <v>9.08</v>
      </c>
      <c r="E1021" s="1">
        <f>IFERROR(__xludf.DUMMYFUNCTION("""COMPUTED_VALUE"""),9.14)</f>
        <v>9.14</v>
      </c>
      <c r="F1021" s="1">
        <f>IFERROR(__xludf.DUMMYFUNCTION("""COMPUTED_VALUE"""),1667576.0)</f>
        <v>1667576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IFERROR(__xludf.DUMMYFUNCTION("""COMPUTED_VALUE"""),9.3)</f>
        <v>9.3</v>
      </c>
      <c r="C1022" s="1">
        <f>IFERROR(__xludf.DUMMYFUNCTION("""COMPUTED_VALUE"""),9.32)</f>
        <v>9.32</v>
      </c>
      <c r="D1022" s="1">
        <f>IFERROR(__xludf.DUMMYFUNCTION("""COMPUTED_VALUE"""),9.15)</f>
        <v>9.15</v>
      </c>
      <c r="E1022" s="1">
        <f>IFERROR(__xludf.DUMMYFUNCTION("""COMPUTED_VALUE"""),9.18)</f>
        <v>9.18</v>
      </c>
      <c r="F1022" s="1">
        <f>IFERROR(__xludf.DUMMYFUNCTION("""COMPUTED_VALUE"""),2705450.0)</f>
        <v>2705450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IFERROR(__xludf.DUMMYFUNCTION("""COMPUTED_VALUE"""),9.1)</f>
        <v>9.1</v>
      </c>
      <c r="C1023" s="1">
        <f>IFERROR(__xludf.DUMMYFUNCTION("""COMPUTED_VALUE"""),9.11)</f>
        <v>9.11</v>
      </c>
      <c r="D1023" s="1">
        <f>IFERROR(__xludf.DUMMYFUNCTION("""COMPUTED_VALUE"""),8.83)</f>
        <v>8.83</v>
      </c>
      <c r="E1023" s="1">
        <f>IFERROR(__xludf.DUMMYFUNCTION("""COMPUTED_VALUE"""),8.83)</f>
        <v>8.83</v>
      </c>
      <c r="F1023" s="1">
        <f>IFERROR(__xludf.DUMMYFUNCTION("""COMPUTED_VALUE"""),1297980.0)</f>
        <v>1297980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IFERROR(__xludf.DUMMYFUNCTION("""COMPUTED_VALUE"""),8.87)</f>
        <v>8.87</v>
      </c>
      <c r="C1024" s="1">
        <f>IFERROR(__xludf.DUMMYFUNCTION("""COMPUTED_VALUE"""),8.89)</f>
        <v>8.89</v>
      </c>
      <c r="D1024" s="1">
        <f>IFERROR(__xludf.DUMMYFUNCTION("""COMPUTED_VALUE"""),8.73)</f>
        <v>8.73</v>
      </c>
      <c r="E1024" s="1">
        <f>IFERROR(__xludf.DUMMYFUNCTION("""COMPUTED_VALUE"""),8.79)</f>
        <v>8.79</v>
      </c>
      <c r="F1024" s="1">
        <f>IFERROR(__xludf.DUMMYFUNCTION("""COMPUTED_VALUE"""),751244.0)</f>
        <v>751244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IFERROR(__xludf.DUMMYFUNCTION("""COMPUTED_VALUE"""),8.93)</f>
        <v>8.93</v>
      </c>
      <c r="C1025" s="1">
        <f>IFERROR(__xludf.DUMMYFUNCTION("""COMPUTED_VALUE"""),9.01)</f>
        <v>9.01</v>
      </c>
      <c r="D1025" s="1">
        <f>IFERROR(__xludf.DUMMYFUNCTION("""COMPUTED_VALUE"""),8.92)</f>
        <v>8.92</v>
      </c>
      <c r="E1025" s="1">
        <f>IFERROR(__xludf.DUMMYFUNCTION("""COMPUTED_VALUE"""),9.0)</f>
        <v>9</v>
      </c>
      <c r="F1025" s="1">
        <f>IFERROR(__xludf.DUMMYFUNCTION("""COMPUTED_VALUE"""),758032.0)</f>
        <v>758032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IFERROR(__xludf.DUMMYFUNCTION("""COMPUTED_VALUE"""),8.79)</f>
        <v>8.79</v>
      </c>
      <c r="C1026" s="1">
        <f>IFERROR(__xludf.DUMMYFUNCTION("""COMPUTED_VALUE"""),8.88)</f>
        <v>8.88</v>
      </c>
      <c r="D1026" s="1">
        <f>IFERROR(__xludf.DUMMYFUNCTION("""COMPUTED_VALUE"""),8.76)</f>
        <v>8.76</v>
      </c>
      <c r="E1026" s="1">
        <f>IFERROR(__xludf.DUMMYFUNCTION("""COMPUTED_VALUE"""),8.78)</f>
        <v>8.78</v>
      </c>
      <c r="F1026" s="1">
        <f>IFERROR(__xludf.DUMMYFUNCTION("""COMPUTED_VALUE"""),608689.0)</f>
        <v>608689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IFERROR(__xludf.DUMMYFUNCTION("""COMPUTED_VALUE"""),8.81)</f>
        <v>8.81</v>
      </c>
      <c r="C1027" s="1">
        <f>IFERROR(__xludf.DUMMYFUNCTION("""COMPUTED_VALUE"""),8.88)</f>
        <v>8.88</v>
      </c>
      <c r="D1027" s="1">
        <f>IFERROR(__xludf.DUMMYFUNCTION("""COMPUTED_VALUE"""),8.78)</f>
        <v>8.78</v>
      </c>
      <c r="E1027" s="1">
        <f>IFERROR(__xludf.DUMMYFUNCTION("""COMPUTED_VALUE"""),8.84)</f>
        <v>8.84</v>
      </c>
      <c r="F1027" s="1">
        <f>IFERROR(__xludf.DUMMYFUNCTION("""COMPUTED_VALUE"""),416632.0)</f>
        <v>416632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IFERROR(__xludf.DUMMYFUNCTION("""COMPUTED_VALUE"""),8.66)</f>
        <v>8.66</v>
      </c>
      <c r="C1028" s="1">
        <f>IFERROR(__xludf.DUMMYFUNCTION("""COMPUTED_VALUE"""),8.77)</f>
        <v>8.77</v>
      </c>
      <c r="D1028" s="1">
        <f>IFERROR(__xludf.DUMMYFUNCTION("""COMPUTED_VALUE"""),8.61)</f>
        <v>8.61</v>
      </c>
      <c r="E1028" s="1">
        <f>IFERROR(__xludf.DUMMYFUNCTION("""COMPUTED_VALUE"""),8.67)</f>
        <v>8.67</v>
      </c>
      <c r="F1028" s="1">
        <f>IFERROR(__xludf.DUMMYFUNCTION("""COMPUTED_VALUE"""),1023418.0)</f>
        <v>1023418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IFERROR(__xludf.DUMMYFUNCTION("""COMPUTED_VALUE"""),8.57)</f>
        <v>8.57</v>
      </c>
      <c r="C1029" s="1">
        <f>IFERROR(__xludf.DUMMYFUNCTION("""COMPUTED_VALUE"""),8.6)</f>
        <v>8.6</v>
      </c>
      <c r="D1029" s="1">
        <f>IFERROR(__xludf.DUMMYFUNCTION("""COMPUTED_VALUE"""),8.37)</f>
        <v>8.37</v>
      </c>
      <c r="E1029" s="1">
        <f>IFERROR(__xludf.DUMMYFUNCTION("""COMPUTED_VALUE"""),8.39)</f>
        <v>8.39</v>
      </c>
      <c r="F1029" s="1">
        <f>IFERROR(__xludf.DUMMYFUNCTION("""COMPUTED_VALUE"""),1049366.0)</f>
        <v>1049366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IFERROR(__xludf.DUMMYFUNCTION("""COMPUTED_VALUE"""),8.55)</f>
        <v>8.55</v>
      </c>
      <c r="C1030" s="1">
        <f>IFERROR(__xludf.DUMMYFUNCTION("""COMPUTED_VALUE"""),8.58)</f>
        <v>8.58</v>
      </c>
      <c r="D1030" s="1">
        <f>IFERROR(__xludf.DUMMYFUNCTION("""COMPUTED_VALUE"""),8.51)</f>
        <v>8.51</v>
      </c>
      <c r="E1030" s="1">
        <f>IFERROR(__xludf.DUMMYFUNCTION("""COMPUTED_VALUE"""),8.54)</f>
        <v>8.54</v>
      </c>
      <c r="F1030" s="1">
        <f>IFERROR(__xludf.DUMMYFUNCTION("""COMPUTED_VALUE"""),975870.0)</f>
        <v>975870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IFERROR(__xludf.DUMMYFUNCTION("""COMPUTED_VALUE"""),8.56)</f>
        <v>8.56</v>
      </c>
      <c r="C1031" s="1">
        <f>IFERROR(__xludf.DUMMYFUNCTION("""COMPUTED_VALUE"""),8.61)</f>
        <v>8.61</v>
      </c>
      <c r="D1031" s="1">
        <f>IFERROR(__xludf.DUMMYFUNCTION("""COMPUTED_VALUE"""),8.53)</f>
        <v>8.53</v>
      </c>
      <c r="E1031" s="1">
        <f>IFERROR(__xludf.DUMMYFUNCTION("""COMPUTED_VALUE"""),8.58)</f>
        <v>8.58</v>
      </c>
      <c r="F1031" s="1">
        <f>IFERROR(__xludf.DUMMYFUNCTION("""COMPUTED_VALUE"""),1027521.0)</f>
        <v>1027521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IFERROR(__xludf.DUMMYFUNCTION("""COMPUTED_VALUE"""),8.72)</f>
        <v>8.72</v>
      </c>
      <c r="C1032" s="1">
        <f>IFERROR(__xludf.DUMMYFUNCTION("""COMPUTED_VALUE"""),8.82)</f>
        <v>8.82</v>
      </c>
      <c r="D1032" s="1">
        <f>IFERROR(__xludf.DUMMYFUNCTION("""COMPUTED_VALUE"""),8.71)</f>
        <v>8.71</v>
      </c>
      <c r="E1032" s="1">
        <f>IFERROR(__xludf.DUMMYFUNCTION("""COMPUTED_VALUE"""),8.81)</f>
        <v>8.81</v>
      </c>
      <c r="F1032" s="1">
        <f>IFERROR(__xludf.DUMMYFUNCTION("""COMPUTED_VALUE"""),615949.0)</f>
        <v>615949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IFERROR(__xludf.DUMMYFUNCTION("""COMPUTED_VALUE"""),8.87)</f>
        <v>8.87</v>
      </c>
      <c r="C1033" s="1">
        <f>IFERROR(__xludf.DUMMYFUNCTION("""COMPUTED_VALUE"""),8.92)</f>
        <v>8.92</v>
      </c>
      <c r="D1033" s="1">
        <f>IFERROR(__xludf.DUMMYFUNCTION("""COMPUTED_VALUE"""),8.8)</f>
        <v>8.8</v>
      </c>
      <c r="E1033" s="1">
        <f>IFERROR(__xludf.DUMMYFUNCTION("""COMPUTED_VALUE"""),8.9)</f>
        <v>8.9</v>
      </c>
      <c r="F1033" s="1">
        <f>IFERROR(__xludf.DUMMYFUNCTION("""COMPUTED_VALUE"""),1016558.0)</f>
        <v>1016558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IFERROR(__xludf.DUMMYFUNCTION("""COMPUTED_VALUE"""),8.85)</f>
        <v>8.85</v>
      </c>
      <c r="C1034" s="1">
        <f>IFERROR(__xludf.DUMMYFUNCTION("""COMPUTED_VALUE"""),8.88)</f>
        <v>8.88</v>
      </c>
      <c r="D1034" s="1">
        <f>IFERROR(__xludf.DUMMYFUNCTION("""COMPUTED_VALUE"""),8.83)</f>
        <v>8.83</v>
      </c>
      <c r="E1034" s="1">
        <f>IFERROR(__xludf.DUMMYFUNCTION("""COMPUTED_VALUE"""),8.87)</f>
        <v>8.87</v>
      </c>
      <c r="F1034" s="1">
        <f>IFERROR(__xludf.DUMMYFUNCTION("""COMPUTED_VALUE"""),666665.0)</f>
        <v>666665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IFERROR(__xludf.DUMMYFUNCTION("""COMPUTED_VALUE"""),8.96)</f>
        <v>8.96</v>
      </c>
      <c r="C1035" s="1">
        <f>IFERROR(__xludf.DUMMYFUNCTION("""COMPUTED_VALUE"""),9.03)</f>
        <v>9.03</v>
      </c>
      <c r="D1035" s="1">
        <f>IFERROR(__xludf.DUMMYFUNCTION("""COMPUTED_VALUE"""),8.94)</f>
        <v>8.94</v>
      </c>
      <c r="E1035" s="1">
        <f>IFERROR(__xludf.DUMMYFUNCTION("""COMPUTED_VALUE"""),9.02)</f>
        <v>9.02</v>
      </c>
      <c r="F1035" s="1">
        <f>IFERROR(__xludf.DUMMYFUNCTION("""COMPUTED_VALUE"""),732667.0)</f>
        <v>732667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IFERROR(__xludf.DUMMYFUNCTION("""COMPUTED_VALUE"""),9.03)</f>
        <v>9.03</v>
      </c>
      <c r="C1036" s="1">
        <f>IFERROR(__xludf.DUMMYFUNCTION("""COMPUTED_VALUE"""),9.08)</f>
        <v>9.08</v>
      </c>
      <c r="D1036" s="1">
        <f>IFERROR(__xludf.DUMMYFUNCTION("""COMPUTED_VALUE"""),9.01)</f>
        <v>9.01</v>
      </c>
      <c r="E1036" s="1">
        <f>IFERROR(__xludf.DUMMYFUNCTION("""COMPUTED_VALUE"""),9.06)</f>
        <v>9.06</v>
      </c>
      <c r="F1036" s="1">
        <f>IFERROR(__xludf.DUMMYFUNCTION("""COMPUTED_VALUE"""),816111.0)</f>
        <v>816111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IFERROR(__xludf.DUMMYFUNCTION("""COMPUTED_VALUE"""),9.03)</f>
        <v>9.03</v>
      </c>
      <c r="C1037" s="1">
        <f>IFERROR(__xludf.DUMMYFUNCTION("""COMPUTED_VALUE"""),9.13)</f>
        <v>9.13</v>
      </c>
      <c r="D1037" s="1">
        <f>IFERROR(__xludf.DUMMYFUNCTION("""COMPUTED_VALUE"""),9.03)</f>
        <v>9.03</v>
      </c>
      <c r="E1037" s="1">
        <f>IFERROR(__xludf.DUMMYFUNCTION("""COMPUTED_VALUE"""),9.12)</f>
        <v>9.12</v>
      </c>
      <c r="F1037" s="1">
        <f>IFERROR(__xludf.DUMMYFUNCTION("""COMPUTED_VALUE"""),560236.0)</f>
        <v>560236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IFERROR(__xludf.DUMMYFUNCTION("""COMPUTED_VALUE"""),9.17)</f>
        <v>9.17</v>
      </c>
      <c r="C1038" s="1">
        <f>IFERROR(__xludf.DUMMYFUNCTION("""COMPUTED_VALUE"""),9.24)</f>
        <v>9.24</v>
      </c>
      <c r="D1038" s="1">
        <f>IFERROR(__xludf.DUMMYFUNCTION("""COMPUTED_VALUE"""),9.17)</f>
        <v>9.17</v>
      </c>
      <c r="E1038" s="1">
        <f>IFERROR(__xludf.DUMMYFUNCTION("""COMPUTED_VALUE"""),9.23)</f>
        <v>9.23</v>
      </c>
      <c r="F1038" s="1">
        <f>IFERROR(__xludf.DUMMYFUNCTION("""COMPUTED_VALUE"""),615957.0)</f>
        <v>615957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IFERROR(__xludf.DUMMYFUNCTION("""COMPUTED_VALUE"""),9.34)</f>
        <v>9.34</v>
      </c>
      <c r="C1039" s="1">
        <f>IFERROR(__xludf.DUMMYFUNCTION("""COMPUTED_VALUE"""),9.37)</f>
        <v>9.37</v>
      </c>
      <c r="D1039" s="1">
        <f>IFERROR(__xludf.DUMMYFUNCTION("""COMPUTED_VALUE"""),9.3)</f>
        <v>9.3</v>
      </c>
      <c r="E1039" s="1">
        <f>IFERROR(__xludf.DUMMYFUNCTION("""COMPUTED_VALUE"""),9.33)</f>
        <v>9.33</v>
      </c>
      <c r="F1039" s="1">
        <f>IFERROR(__xludf.DUMMYFUNCTION("""COMPUTED_VALUE"""),562938.0)</f>
        <v>562938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IFERROR(__xludf.DUMMYFUNCTION("""COMPUTED_VALUE"""),9.26)</f>
        <v>9.26</v>
      </c>
      <c r="C1040" s="1">
        <f>IFERROR(__xludf.DUMMYFUNCTION("""COMPUTED_VALUE"""),9.31)</f>
        <v>9.31</v>
      </c>
      <c r="D1040" s="1">
        <f>IFERROR(__xludf.DUMMYFUNCTION("""COMPUTED_VALUE"""),9.15)</f>
        <v>9.15</v>
      </c>
      <c r="E1040" s="1">
        <f>IFERROR(__xludf.DUMMYFUNCTION("""COMPUTED_VALUE"""),9.18)</f>
        <v>9.18</v>
      </c>
      <c r="F1040" s="1">
        <f>IFERROR(__xludf.DUMMYFUNCTION("""COMPUTED_VALUE"""),523748.0)</f>
        <v>523748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IFERROR(__xludf.DUMMYFUNCTION("""COMPUTED_VALUE"""),8.65)</f>
        <v>8.65</v>
      </c>
      <c r="C1041" s="1">
        <f>IFERROR(__xludf.DUMMYFUNCTION("""COMPUTED_VALUE"""),8.74)</f>
        <v>8.74</v>
      </c>
      <c r="D1041" s="1">
        <f>IFERROR(__xludf.DUMMYFUNCTION("""COMPUTED_VALUE"""),8.57)</f>
        <v>8.57</v>
      </c>
      <c r="E1041" s="1">
        <f>IFERROR(__xludf.DUMMYFUNCTION("""COMPUTED_VALUE"""),8.73)</f>
        <v>8.73</v>
      </c>
      <c r="F1041" s="1">
        <f>IFERROR(__xludf.DUMMYFUNCTION("""COMPUTED_VALUE"""),1486476.0)</f>
        <v>1486476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IFERROR(__xludf.DUMMYFUNCTION("""COMPUTED_VALUE"""),9.07)</f>
        <v>9.07</v>
      </c>
      <c r="C1042" s="1">
        <f>IFERROR(__xludf.DUMMYFUNCTION("""COMPUTED_VALUE"""),9.09)</f>
        <v>9.09</v>
      </c>
      <c r="D1042" s="1">
        <f>IFERROR(__xludf.DUMMYFUNCTION("""COMPUTED_VALUE"""),8.97)</f>
        <v>8.97</v>
      </c>
      <c r="E1042" s="1">
        <f>IFERROR(__xludf.DUMMYFUNCTION("""COMPUTED_VALUE"""),9.02)</f>
        <v>9.02</v>
      </c>
      <c r="F1042" s="1">
        <f>IFERROR(__xludf.DUMMYFUNCTION("""COMPUTED_VALUE"""),972625.0)</f>
        <v>972625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IFERROR(__xludf.DUMMYFUNCTION("""COMPUTED_VALUE"""),8.98)</f>
        <v>8.98</v>
      </c>
      <c r="C1043" s="1">
        <f>IFERROR(__xludf.DUMMYFUNCTION("""COMPUTED_VALUE"""),9.04)</f>
        <v>9.04</v>
      </c>
      <c r="D1043" s="1">
        <f>IFERROR(__xludf.DUMMYFUNCTION("""COMPUTED_VALUE"""),8.94)</f>
        <v>8.94</v>
      </c>
      <c r="E1043" s="1">
        <f>IFERROR(__xludf.DUMMYFUNCTION("""COMPUTED_VALUE"""),9.01)</f>
        <v>9.01</v>
      </c>
      <c r="F1043" s="1">
        <f>IFERROR(__xludf.DUMMYFUNCTION("""COMPUTED_VALUE"""),662109.0)</f>
        <v>662109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IFERROR(__xludf.DUMMYFUNCTION("""COMPUTED_VALUE"""),9.01)</f>
        <v>9.01</v>
      </c>
      <c r="C1044" s="1">
        <f>IFERROR(__xludf.DUMMYFUNCTION("""COMPUTED_VALUE"""),9.02)</f>
        <v>9.02</v>
      </c>
      <c r="D1044" s="1">
        <f>IFERROR(__xludf.DUMMYFUNCTION("""COMPUTED_VALUE"""),8.93)</f>
        <v>8.93</v>
      </c>
      <c r="E1044" s="1">
        <f>IFERROR(__xludf.DUMMYFUNCTION("""COMPUTED_VALUE"""),8.97)</f>
        <v>8.97</v>
      </c>
      <c r="F1044" s="1">
        <f>IFERROR(__xludf.DUMMYFUNCTION("""COMPUTED_VALUE"""),457684.0)</f>
        <v>457684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IFERROR(__xludf.DUMMYFUNCTION("""COMPUTED_VALUE"""),8.94)</f>
        <v>8.94</v>
      </c>
      <c r="C1045" s="1">
        <f>IFERROR(__xludf.DUMMYFUNCTION("""COMPUTED_VALUE"""),8.94)</f>
        <v>8.94</v>
      </c>
      <c r="D1045" s="1">
        <f>IFERROR(__xludf.DUMMYFUNCTION("""COMPUTED_VALUE"""),8.87)</f>
        <v>8.87</v>
      </c>
      <c r="E1045" s="1">
        <f>IFERROR(__xludf.DUMMYFUNCTION("""COMPUTED_VALUE"""),8.91)</f>
        <v>8.91</v>
      </c>
      <c r="F1045" s="1">
        <f>IFERROR(__xludf.DUMMYFUNCTION("""COMPUTED_VALUE"""),371731.0)</f>
        <v>371731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IFERROR(__xludf.DUMMYFUNCTION("""COMPUTED_VALUE"""),8.8)</f>
        <v>8.8</v>
      </c>
      <c r="C1046" s="1">
        <f>IFERROR(__xludf.DUMMYFUNCTION("""COMPUTED_VALUE"""),8.92)</f>
        <v>8.92</v>
      </c>
      <c r="D1046" s="1">
        <f>IFERROR(__xludf.DUMMYFUNCTION("""COMPUTED_VALUE"""),8.77)</f>
        <v>8.77</v>
      </c>
      <c r="E1046" s="1">
        <f>IFERROR(__xludf.DUMMYFUNCTION("""COMPUTED_VALUE"""),8.89)</f>
        <v>8.89</v>
      </c>
      <c r="F1046" s="1">
        <f>IFERROR(__xludf.DUMMYFUNCTION("""COMPUTED_VALUE"""),308222.0)</f>
        <v>308222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IFERROR(__xludf.DUMMYFUNCTION("""COMPUTED_VALUE"""),8.97)</f>
        <v>8.97</v>
      </c>
      <c r="C1047" s="1">
        <f>IFERROR(__xludf.DUMMYFUNCTION("""COMPUTED_VALUE"""),9.02)</f>
        <v>9.02</v>
      </c>
      <c r="D1047" s="1">
        <f>IFERROR(__xludf.DUMMYFUNCTION("""COMPUTED_VALUE"""),8.91)</f>
        <v>8.91</v>
      </c>
      <c r="E1047" s="1">
        <f>IFERROR(__xludf.DUMMYFUNCTION("""COMPUTED_VALUE"""),8.95)</f>
        <v>8.95</v>
      </c>
      <c r="F1047" s="1">
        <f>IFERROR(__xludf.DUMMYFUNCTION("""COMPUTED_VALUE"""),447288.0)</f>
        <v>447288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IFERROR(__xludf.DUMMYFUNCTION("""COMPUTED_VALUE"""),8.58)</f>
        <v>8.58</v>
      </c>
      <c r="C1048" s="1">
        <f>IFERROR(__xludf.DUMMYFUNCTION("""COMPUTED_VALUE"""),8.63)</f>
        <v>8.63</v>
      </c>
      <c r="D1048" s="1">
        <f>IFERROR(__xludf.DUMMYFUNCTION("""COMPUTED_VALUE"""),8.51)</f>
        <v>8.51</v>
      </c>
      <c r="E1048" s="1">
        <f>IFERROR(__xludf.DUMMYFUNCTION("""COMPUTED_VALUE"""),8.62)</f>
        <v>8.62</v>
      </c>
      <c r="F1048" s="1">
        <f>IFERROR(__xludf.DUMMYFUNCTION("""COMPUTED_VALUE"""),2534476.0)</f>
        <v>2534476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IFERROR(__xludf.DUMMYFUNCTION("""COMPUTED_VALUE"""),8.85)</f>
        <v>8.85</v>
      </c>
      <c r="C1049" s="1">
        <f>IFERROR(__xludf.DUMMYFUNCTION("""COMPUTED_VALUE"""),8.96)</f>
        <v>8.96</v>
      </c>
      <c r="D1049" s="1">
        <f>IFERROR(__xludf.DUMMYFUNCTION("""COMPUTED_VALUE"""),8.82)</f>
        <v>8.82</v>
      </c>
      <c r="E1049" s="1">
        <f>IFERROR(__xludf.DUMMYFUNCTION("""COMPUTED_VALUE"""),8.94)</f>
        <v>8.94</v>
      </c>
      <c r="F1049" s="1">
        <f>IFERROR(__xludf.DUMMYFUNCTION("""COMPUTED_VALUE"""),2571896.0)</f>
        <v>2571896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IFERROR(__xludf.DUMMYFUNCTION("""COMPUTED_VALUE"""),8.95)</f>
        <v>8.95</v>
      </c>
      <c r="C1050" s="1">
        <f>IFERROR(__xludf.DUMMYFUNCTION("""COMPUTED_VALUE"""),9.04)</f>
        <v>9.04</v>
      </c>
      <c r="D1050" s="1">
        <f>IFERROR(__xludf.DUMMYFUNCTION("""COMPUTED_VALUE"""),8.95)</f>
        <v>8.95</v>
      </c>
      <c r="E1050" s="1">
        <f>IFERROR(__xludf.DUMMYFUNCTION("""COMPUTED_VALUE"""),8.97)</f>
        <v>8.97</v>
      </c>
      <c r="F1050" s="1">
        <f>IFERROR(__xludf.DUMMYFUNCTION("""COMPUTED_VALUE"""),2314097.0)</f>
        <v>2314097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IFERROR(__xludf.DUMMYFUNCTION("""COMPUTED_VALUE"""),9.05)</f>
        <v>9.05</v>
      </c>
      <c r="C1051" s="1">
        <f>IFERROR(__xludf.DUMMYFUNCTION("""COMPUTED_VALUE"""),9.08)</f>
        <v>9.08</v>
      </c>
      <c r="D1051" s="1">
        <f>IFERROR(__xludf.DUMMYFUNCTION("""COMPUTED_VALUE"""),9.0)</f>
        <v>9</v>
      </c>
      <c r="E1051" s="1">
        <f>IFERROR(__xludf.DUMMYFUNCTION("""COMPUTED_VALUE"""),9.03)</f>
        <v>9.03</v>
      </c>
      <c r="F1051" s="1">
        <f>IFERROR(__xludf.DUMMYFUNCTION("""COMPUTED_VALUE"""),446689.0)</f>
        <v>446689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IFERROR(__xludf.DUMMYFUNCTION("""COMPUTED_VALUE"""),8.97)</f>
        <v>8.97</v>
      </c>
      <c r="C1052" s="1">
        <f>IFERROR(__xludf.DUMMYFUNCTION("""COMPUTED_VALUE"""),8.97)</f>
        <v>8.97</v>
      </c>
      <c r="D1052" s="1">
        <f>IFERROR(__xludf.DUMMYFUNCTION("""COMPUTED_VALUE"""),8.78)</f>
        <v>8.78</v>
      </c>
      <c r="E1052" s="1">
        <f>IFERROR(__xludf.DUMMYFUNCTION("""COMPUTED_VALUE"""),8.88)</f>
        <v>8.88</v>
      </c>
      <c r="F1052" s="1">
        <f>IFERROR(__xludf.DUMMYFUNCTION("""COMPUTED_VALUE"""),963182.0)</f>
        <v>963182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IFERROR(__xludf.DUMMYFUNCTION("""COMPUTED_VALUE"""),8.81)</f>
        <v>8.81</v>
      </c>
      <c r="C1053" s="1">
        <f>IFERROR(__xludf.DUMMYFUNCTION("""COMPUTED_VALUE"""),8.86)</f>
        <v>8.86</v>
      </c>
      <c r="D1053" s="1">
        <f>IFERROR(__xludf.DUMMYFUNCTION("""COMPUTED_VALUE"""),8.76)</f>
        <v>8.76</v>
      </c>
      <c r="E1053" s="1">
        <f>IFERROR(__xludf.DUMMYFUNCTION("""COMPUTED_VALUE"""),8.85)</f>
        <v>8.85</v>
      </c>
      <c r="F1053" s="1">
        <f>IFERROR(__xludf.DUMMYFUNCTION("""COMPUTED_VALUE"""),1398317.0)</f>
        <v>1398317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IFERROR(__xludf.DUMMYFUNCTION("""COMPUTED_VALUE"""),8.79)</f>
        <v>8.79</v>
      </c>
      <c r="C1054" s="1">
        <f>IFERROR(__xludf.DUMMYFUNCTION("""COMPUTED_VALUE"""),8.85)</f>
        <v>8.85</v>
      </c>
      <c r="D1054" s="1">
        <f>IFERROR(__xludf.DUMMYFUNCTION("""COMPUTED_VALUE"""),8.77)</f>
        <v>8.77</v>
      </c>
      <c r="E1054" s="1">
        <f>IFERROR(__xludf.DUMMYFUNCTION("""COMPUTED_VALUE"""),8.81)</f>
        <v>8.81</v>
      </c>
      <c r="F1054" s="1">
        <f>IFERROR(__xludf.DUMMYFUNCTION("""COMPUTED_VALUE"""),1825965.0)</f>
        <v>1825965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IFERROR(__xludf.DUMMYFUNCTION("""COMPUTED_VALUE"""),8.75)</f>
        <v>8.75</v>
      </c>
      <c r="C1055" s="1">
        <f>IFERROR(__xludf.DUMMYFUNCTION("""COMPUTED_VALUE"""),8.9)</f>
        <v>8.9</v>
      </c>
      <c r="D1055" s="1">
        <f>IFERROR(__xludf.DUMMYFUNCTION("""COMPUTED_VALUE"""),8.71)</f>
        <v>8.71</v>
      </c>
      <c r="E1055" s="1">
        <f>IFERROR(__xludf.DUMMYFUNCTION("""COMPUTED_VALUE"""),8.87)</f>
        <v>8.87</v>
      </c>
      <c r="F1055" s="1">
        <f>IFERROR(__xludf.DUMMYFUNCTION("""COMPUTED_VALUE"""),1744329.0)</f>
        <v>1744329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IFERROR(__xludf.DUMMYFUNCTION("""COMPUTED_VALUE"""),8.98)</f>
        <v>8.98</v>
      </c>
      <c r="C1056" s="1">
        <f>IFERROR(__xludf.DUMMYFUNCTION("""COMPUTED_VALUE"""),9.0)</f>
        <v>9</v>
      </c>
      <c r="D1056" s="1">
        <f>IFERROR(__xludf.DUMMYFUNCTION("""COMPUTED_VALUE"""),8.75)</f>
        <v>8.75</v>
      </c>
      <c r="E1056" s="1">
        <f>IFERROR(__xludf.DUMMYFUNCTION("""COMPUTED_VALUE"""),8.77)</f>
        <v>8.77</v>
      </c>
      <c r="F1056" s="1">
        <f>IFERROR(__xludf.DUMMYFUNCTION("""COMPUTED_VALUE"""),1081196.0)</f>
        <v>1081196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IFERROR(__xludf.DUMMYFUNCTION("""COMPUTED_VALUE"""),8.79)</f>
        <v>8.79</v>
      </c>
      <c r="C1057" s="1">
        <f>IFERROR(__xludf.DUMMYFUNCTION("""COMPUTED_VALUE"""),8.85)</f>
        <v>8.85</v>
      </c>
      <c r="D1057" s="1">
        <f>IFERROR(__xludf.DUMMYFUNCTION("""COMPUTED_VALUE"""),8.72)</f>
        <v>8.72</v>
      </c>
      <c r="E1057" s="1">
        <f>IFERROR(__xludf.DUMMYFUNCTION("""COMPUTED_VALUE"""),8.72)</f>
        <v>8.72</v>
      </c>
      <c r="F1057" s="1">
        <f>IFERROR(__xludf.DUMMYFUNCTION("""COMPUTED_VALUE"""),907073.0)</f>
        <v>907073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IFERROR(__xludf.DUMMYFUNCTION("""COMPUTED_VALUE"""),8.83)</f>
        <v>8.83</v>
      </c>
      <c r="C1058" s="1">
        <f>IFERROR(__xludf.DUMMYFUNCTION("""COMPUTED_VALUE"""),8.88)</f>
        <v>8.88</v>
      </c>
      <c r="D1058" s="1">
        <f>IFERROR(__xludf.DUMMYFUNCTION("""COMPUTED_VALUE"""),8.78)</f>
        <v>8.78</v>
      </c>
      <c r="E1058" s="1">
        <f>IFERROR(__xludf.DUMMYFUNCTION("""COMPUTED_VALUE"""),8.8)</f>
        <v>8.8</v>
      </c>
      <c r="F1058" s="1">
        <f>IFERROR(__xludf.DUMMYFUNCTION("""COMPUTED_VALUE"""),578588.0)</f>
        <v>578588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IFERROR(__xludf.DUMMYFUNCTION("""COMPUTED_VALUE"""),8.8)</f>
        <v>8.8</v>
      </c>
      <c r="C1059" s="1">
        <f>IFERROR(__xludf.DUMMYFUNCTION("""COMPUTED_VALUE"""),8.88)</f>
        <v>8.88</v>
      </c>
      <c r="D1059" s="1">
        <f>IFERROR(__xludf.DUMMYFUNCTION("""COMPUTED_VALUE"""),8.78)</f>
        <v>8.78</v>
      </c>
      <c r="E1059" s="1">
        <f>IFERROR(__xludf.DUMMYFUNCTION("""COMPUTED_VALUE"""),8.86)</f>
        <v>8.86</v>
      </c>
      <c r="F1059" s="1">
        <f>IFERROR(__xludf.DUMMYFUNCTION("""COMPUTED_VALUE"""),737966.0)</f>
        <v>737966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IFERROR(__xludf.DUMMYFUNCTION("""COMPUTED_VALUE"""),8.87)</f>
        <v>8.87</v>
      </c>
      <c r="C1060" s="1">
        <f>IFERROR(__xludf.DUMMYFUNCTION("""COMPUTED_VALUE"""),8.87)</f>
        <v>8.87</v>
      </c>
      <c r="D1060" s="1">
        <f>IFERROR(__xludf.DUMMYFUNCTION("""COMPUTED_VALUE"""),8.62)</f>
        <v>8.62</v>
      </c>
      <c r="E1060" s="1">
        <f>IFERROR(__xludf.DUMMYFUNCTION("""COMPUTED_VALUE"""),8.68)</f>
        <v>8.68</v>
      </c>
      <c r="F1060" s="1">
        <f>IFERROR(__xludf.DUMMYFUNCTION("""COMPUTED_VALUE"""),1024381.0)</f>
        <v>1024381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IFERROR(__xludf.DUMMYFUNCTION("""COMPUTED_VALUE"""),8.92)</f>
        <v>8.92</v>
      </c>
      <c r="C1061" s="1">
        <f>IFERROR(__xludf.DUMMYFUNCTION("""COMPUTED_VALUE"""),9.01)</f>
        <v>9.01</v>
      </c>
      <c r="D1061" s="1">
        <f>IFERROR(__xludf.DUMMYFUNCTION("""COMPUTED_VALUE"""),8.9)</f>
        <v>8.9</v>
      </c>
      <c r="E1061" s="1">
        <f>IFERROR(__xludf.DUMMYFUNCTION("""COMPUTED_VALUE"""),9.0)</f>
        <v>9</v>
      </c>
      <c r="F1061" s="1">
        <f>IFERROR(__xludf.DUMMYFUNCTION("""COMPUTED_VALUE"""),1212524.0)</f>
        <v>1212524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IFERROR(__xludf.DUMMYFUNCTION("""COMPUTED_VALUE"""),8.99)</f>
        <v>8.99</v>
      </c>
      <c r="C1062" s="1">
        <f>IFERROR(__xludf.DUMMYFUNCTION("""COMPUTED_VALUE"""),9.01)</f>
        <v>9.01</v>
      </c>
      <c r="D1062" s="1">
        <f>IFERROR(__xludf.DUMMYFUNCTION("""COMPUTED_VALUE"""),8.84)</f>
        <v>8.84</v>
      </c>
      <c r="E1062" s="1">
        <f>IFERROR(__xludf.DUMMYFUNCTION("""COMPUTED_VALUE"""),8.88)</f>
        <v>8.88</v>
      </c>
      <c r="F1062" s="1">
        <f>IFERROR(__xludf.DUMMYFUNCTION("""COMPUTED_VALUE"""),708593.0)</f>
        <v>708593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IFERROR(__xludf.DUMMYFUNCTION("""COMPUTED_VALUE"""),8.94)</f>
        <v>8.94</v>
      </c>
      <c r="C1063" s="1">
        <f>IFERROR(__xludf.DUMMYFUNCTION("""COMPUTED_VALUE"""),8.94)</f>
        <v>8.94</v>
      </c>
      <c r="D1063" s="1">
        <f>IFERROR(__xludf.DUMMYFUNCTION("""COMPUTED_VALUE"""),8.8)</f>
        <v>8.8</v>
      </c>
      <c r="E1063" s="1">
        <f>IFERROR(__xludf.DUMMYFUNCTION("""COMPUTED_VALUE"""),8.89)</f>
        <v>8.89</v>
      </c>
      <c r="F1063" s="1">
        <f>IFERROR(__xludf.DUMMYFUNCTION("""COMPUTED_VALUE"""),486293.0)</f>
        <v>486293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IFERROR(__xludf.DUMMYFUNCTION("""COMPUTED_VALUE"""),8.92)</f>
        <v>8.92</v>
      </c>
      <c r="C1064" s="1">
        <f>IFERROR(__xludf.DUMMYFUNCTION("""COMPUTED_VALUE"""),9.0)</f>
        <v>9</v>
      </c>
      <c r="D1064" s="1">
        <f>IFERROR(__xludf.DUMMYFUNCTION("""COMPUTED_VALUE"""),8.88)</f>
        <v>8.88</v>
      </c>
      <c r="E1064" s="1">
        <f>IFERROR(__xludf.DUMMYFUNCTION("""COMPUTED_VALUE"""),8.99)</f>
        <v>8.99</v>
      </c>
      <c r="F1064" s="1">
        <f>IFERROR(__xludf.DUMMYFUNCTION("""COMPUTED_VALUE"""),1005347.0)</f>
        <v>1005347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IFERROR(__xludf.DUMMYFUNCTION("""COMPUTED_VALUE"""),9.09)</f>
        <v>9.09</v>
      </c>
      <c r="C1065" s="1">
        <f>IFERROR(__xludf.DUMMYFUNCTION("""COMPUTED_VALUE"""),9.1)</f>
        <v>9.1</v>
      </c>
      <c r="D1065" s="1">
        <f>IFERROR(__xludf.DUMMYFUNCTION("""COMPUTED_VALUE"""),8.95)</f>
        <v>8.95</v>
      </c>
      <c r="E1065" s="1">
        <f>IFERROR(__xludf.DUMMYFUNCTION("""COMPUTED_VALUE"""),8.97)</f>
        <v>8.97</v>
      </c>
      <c r="F1065" s="1">
        <f>IFERROR(__xludf.DUMMYFUNCTION("""COMPUTED_VALUE"""),875397.0)</f>
        <v>875397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IFERROR(__xludf.DUMMYFUNCTION("""COMPUTED_VALUE"""),9.07)</f>
        <v>9.07</v>
      </c>
      <c r="C1066" s="1">
        <f>IFERROR(__xludf.DUMMYFUNCTION("""COMPUTED_VALUE"""),9.1)</f>
        <v>9.1</v>
      </c>
      <c r="D1066" s="1">
        <f>IFERROR(__xludf.DUMMYFUNCTION("""COMPUTED_VALUE"""),9.03)</f>
        <v>9.03</v>
      </c>
      <c r="E1066" s="1">
        <f>IFERROR(__xludf.DUMMYFUNCTION("""COMPUTED_VALUE"""),9.08)</f>
        <v>9.08</v>
      </c>
      <c r="F1066" s="1">
        <f>IFERROR(__xludf.DUMMYFUNCTION("""COMPUTED_VALUE"""),765551.0)</f>
        <v>765551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IFERROR(__xludf.DUMMYFUNCTION("""COMPUTED_VALUE"""),9.0)</f>
        <v>9</v>
      </c>
      <c r="C1067" s="1">
        <f>IFERROR(__xludf.DUMMYFUNCTION("""COMPUTED_VALUE"""),9.09)</f>
        <v>9.09</v>
      </c>
      <c r="D1067" s="1">
        <f>IFERROR(__xludf.DUMMYFUNCTION("""COMPUTED_VALUE"""),8.97)</f>
        <v>8.97</v>
      </c>
      <c r="E1067" s="1">
        <f>IFERROR(__xludf.DUMMYFUNCTION("""COMPUTED_VALUE"""),8.99)</f>
        <v>8.99</v>
      </c>
      <c r="F1067" s="1">
        <f>IFERROR(__xludf.DUMMYFUNCTION("""COMPUTED_VALUE"""),3324848.0)</f>
        <v>3324848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IFERROR(__xludf.DUMMYFUNCTION("""COMPUTED_VALUE"""),9.16)</f>
        <v>9.16</v>
      </c>
      <c r="C1068" s="1">
        <f>IFERROR(__xludf.DUMMYFUNCTION("""COMPUTED_VALUE"""),9.2)</f>
        <v>9.2</v>
      </c>
      <c r="D1068" s="1">
        <f>IFERROR(__xludf.DUMMYFUNCTION("""COMPUTED_VALUE"""),9.13)</f>
        <v>9.13</v>
      </c>
      <c r="E1068" s="1">
        <f>IFERROR(__xludf.DUMMYFUNCTION("""COMPUTED_VALUE"""),9.2)</f>
        <v>9.2</v>
      </c>
      <c r="F1068" s="1">
        <f>IFERROR(__xludf.DUMMYFUNCTION("""COMPUTED_VALUE"""),3090288.0)</f>
        <v>3090288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IFERROR(__xludf.DUMMYFUNCTION("""COMPUTED_VALUE"""),9.28)</f>
        <v>9.28</v>
      </c>
      <c r="C1069" s="1">
        <f>IFERROR(__xludf.DUMMYFUNCTION("""COMPUTED_VALUE"""),9.32)</f>
        <v>9.32</v>
      </c>
      <c r="D1069" s="1">
        <f>IFERROR(__xludf.DUMMYFUNCTION("""COMPUTED_VALUE"""),9.24)</f>
        <v>9.24</v>
      </c>
      <c r="E1069" s="1">
        <f>IFERROR(__xludf.DUMMYFUNCTION("""COMPUTED_VALUE"""),9.31)</f>
        <v>9.31</v>
      </c>
      <c r="F1069" s="1">
        <f>IFERROR(__xludf.DUMMYFUNCTION("""COMPUTED_VALUE"""),517534.0)</f>
        <v>517534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IFERROR(__xludf.DUMMYFUNCTION("""COMPUTED_VALUE"""),9.31)</f>
        <v>9.31</v>
      </c>
      <c r="C1070" s="1">
        <f>IFERROR(__xludf.DUMMYFUNCTION("""COMPUTED_VALUE"""),9.34)</f>
        <v>9.34</v>
      </c>
      <c r="D1070" s="1">
        <f>IFERROR(__xludf.DUMMYFUNCTION("""COMPUTED_VALUE"""),9.26)</f>
        <v>9.26</v>
      </c>
      <c r="E1070" s="1">
        <f>IFERROR(__xludf.DUMMYFUNCTION("""COMPUTED_VALUE"""),9.32)</f>
        <v>9.32</v>
      </c>
      <c r="F1070" s="1">
        <f>IFERROR(__xludf.DUMMYFUNCTION("""COMPUTED_VALUE"""),1063107.0)</f>
        <v>1063107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IFERROR(__xludf.DUMMYFUNCTION("""COMPUTED_VALUE"""),9.23)</f>
        <v>9.23</v>
      </c>
      <c r="C1071" s="1">
        <f>IFERROR(__xludf.DUMMYFUNCTION("""COMPUTED_VALUE"""),9.27)</f>
        <v>9.27</v>
      </c>
      <c r="D1071" s="1">
        <f>IFERROR(__xludf.DUMMYFUNCTION("""COMPUTED_VALUE"""),9.19)</f>
        <v>9.19</v>
      </c>
      <c r="E1071" s="1">
        <f>IFERROR(__xludf.DUMMYFUNCTION("""COMPUTED_VALUE"""),9.24)</f>
        <v>9.24</v>
      </c>
      <c r="F1071" s="1">
        <f>IFERROR(__xludf.DUMMYFUNCTION("""COMPUTED_VALUE"""),424216.0)</f>
        <v>424216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IFERROR(__xludf.DUMMYFUNCTION("""COMPUTED_VALUE"""),9.25)</f>
        <v>9.25</v>
      </c>
      <c r="C1072" s="1">
        <f>IFERROR(__xludf.DUMMYFUNCTION("""COMPUTED_VALUE"""),9.27)</f>
        <v>9.27</v>
      </c>
      <c r="D1072" s="1">
        <f>IFERROR(__xludf.DUMMYFUNCTION("""COMPUTED_VALUE"""),9.11)</f>
        <v>9.11</v>
      </c>
      <c r="E1072" s="1">
        <f>IFERROR(__xludf.DUMMYFUNCTION("""COMPUTED_VALUE"""),9.12)</f>
        <v>9.12</v>
      </c>
      <c r="F1072" s="1">
        <f>IFERROR(__xludf.DUMMYFUNCTION("""COMPUTED_VALUE"""),783722.0)</f>
        <v>783722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IFERROR(__xludf.DUMMYFUNCTION("""COMPUTED_VALUE"""),9.11)</f>
        <v>9.11</v>
      </c>
      <c r="C1073" s="1">
        <f>IFERROR(__xludf.DUMMYFUNCTION("""COMPUTED_VALUE"""),9.11)</f>
        <v>9.11</v>
      </c>
      <c r="D1073" s="1">
        <f>IFERROR(__xludf.DUMMYFUNCTION("""COMPUTED_VALUE"""),8.99)</f>
        <v>8.99</v>
      </c>
      <c r="E1073" s="1">
        <f>IFERROR(__xludf.DUMMYFUNCTION("""COMPUTED_VALUE"""),9.02)</f>
        <v>9.02</v>
      </c>
      <c r="F1073" s="1">
        <f>IFERROR(__xludf.DUMMYFUNCTION("""COMPUTED_VALUE"""),1652748.0)</f>
        <v>1652748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IFERROR(__xludf.DUMMYFUNCTION("""COMPUTED_VALUE"""),8.99)</f>
        <v>8.99</v>
      </c>
      <c r="C1074" s="1">
        <f>IFERROR(__xludf.DUMMYFUNCTION("""COMPUTED_VALUE"""),9.04)</f>
        <v>9.04</v>
      </c>
      <c r="D1074" s="1">
        <f>IFERROR(__xludf.DUMMYFUNCTION("""COMPUTED_VALUE"""),8.96)</f>
        <v>8.96</v>
      </c>
      <c r="E1074" s="1">
        <f>IFERROR(__xludf.DUMMYFUNCTION("""COMPUTED_VALUE"""),8.99)</f>
        <v>8.99</v>
      </c>
      <c r="F1074" s="1">
        <f>IFERROR(__xludf.DUMMYFUNCTION("""COMPUTED_VALUE"""),551127.0)</f>
        <v>551127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IFERROR(__xludf.DUMMYFUNCTION("""COMPUTED_VALUE"""),9.05)</f>
        <v>9.05</v>
      </c>
      <c r="C1075" s="1">
        <f>IFERROR(__xludf.DUMMYFUNCTION("""COMPUTED_VALUE"""),9.12)</f>
        <v>9.12</v>
      </c>
      <c r="D1075" s="1">
        <f>IFERROR(__xludf.DUMMYFUNCTION("""COMPUTED_VALUE"""),9.01)</f>
        <v>9.01</v>
      </c>
      <c r="E1075" s="1">
        <f>IFERROR(__xludf.DUMMYFUNCTION("""COMPUTED_VALUE"""),9.1)</f>
        <v>9.1</v>
      </c>
      <c r="F1075" s="1">
        <f>IFERROR(__xludf.DUMMYFUNCTION("""COMPUTED_VALUE"""),572436.0)</f>
        <v>572436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IFERROR(__xludf.DUMMYFUNCTION("""COMPUTED_VALUE"""),9.04)</f>
        <v>9.04</v>
      </c>
      <c r="C1076" s="1">
        <f>IFERROR(__xludf.DUMMYFUNCTION("""COMPUTED_VALUE"""),9.09)</f>
        <v>9.09</v>
      </c>
      <c r="D1076" s="1">
        <f>IFERROR(__xludf.DUMMYFUNCTION("""COMPUTED_VALUE"""),8.87)</f>
        <v>8.87</v>
      </c>
      <c r="E1076" s="1">
        <f>IFERROR(__xludf.DUMMYFUNCTION("""COMPUTED_VALUE"""),8.87)</f>
        <v>8.87</v>
      </c>
      <c r="F1076" s="1">
        <f>IFERROR(__xludf.DUMMYFUNCTION("""COMPUTED_VALUE"""),806874.0)</f>
        <v>806874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IFERROR(__xludf.DUMMYFUNCTION("""COMPUTED_VALUE"""),8.75)</f>
        <v>8.75</v>
      </c>
      <c r="C1077" s="1">
        <f>IFERROR(__xludf.DUMMYFUNCTION("""COMPUTED_VALUE"""),8.83)</f>
        <v>8.83</v>
      </c>
      <c r="D1077" s="1">
        <f>IFERROR(__xludf.DUMMYFUNCTION("""COMPUTED_VALUE"""),8.69)</f>
        <v>8.69</v>
      </c>
      <c r="E1077" s="1">
        <f>IFERROR(__xludf.DUMMYFUNCTION("""COMPUTED_VALUE"""),8.7)</f>
        <v>8.7</v>
      </c>
      <c r="F1077" s="1">
        <f>IFERROR(__xludf.DUMMYFUNCTION("""COMPUTED_VALUE"""),826437.0)</f>
        <v>826437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IFERROR(__xludf.DUMMYFUNCTION("""COMPUTED_VALUE"""),8.66)</f>
        <v>8.66</v>
      </c>
      <c r="C1078" s="1">
        <f>IFERROR(__xludf.DUMMYFUNCTION("""COMPUTED_VALUE"""),8.69)</f>
        <v>8.69</v>
      </c>
      <c r="D1078" s="1">
        <f>IFERROR(__xludf.DUMMYFUNCTION("""COMPUTED_VALUE"""),8.58)</f>
        <v>8.58</v>
      </c>
      <c r="E1078" s="1">
        <f>IFERROR(__xludf.DUMMYFUNCTION("""COMPUTED_VALUE"""),8.65)</f>
        <v>8.65</v>
      </c>
      <c r="F1078" s="1">
        <f>IFERROR(__xludf.DUMMYFUNCTION("""COMPUTED_VALUE"""),1063442.0)</f>
        <v>1063442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IFERROR(__xludf.DUMMYFUNCTION("""COMPUTED_VALUE"""),8.61)</f>
        <v>8.61</v>
      </c>
      <c r="C1079" s="1">
        <f>IFERROR(__xludf.DUMMYFUNCTION("""COMPUTED_VALUE"""),8.63)</f>
        <v>8.63</v>
      </c>
      <c r="D1079" s="1">
        <f>IFERROR(__xludf.DUMMYFUNCTION("""COMPUTED_VALUE"""),8.43)</f>
        <v>8.43</v>
      </c>
      <c r="E1079" s="1">
        <f>IFERROR(__xludf.DUMMYFUNCTION("""COMPUTED_VALUE"""),8.56)</f>
        <v>8.56</v>
      </c>
      <c r="F1079" s="1">
        <f>IFERROR(__xludf.DUMMYFUNCTION("""COMPUTED_VALUE"""),819516.0)</f>
        <v>819516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IFERROR(__xludf.DUMMYFUNCTION("""COMPUTED_VALUE"""),8.62)</f>
        <v>8.62</v>
      </c>
      <c r="C1080" s="1">
        <f>IFERROR(__xludf.DUMMYFUNCTION("""COMPUTED_VALUE"""),8.71)</f>
        <v>8.71</v>
      </c>
      <c r="D1080" s="1">
        <f>IFERROR(__xludf.DUMMYFUNCTION("""COMPUTED_VALUE"""),8.6)</f>
        <v>8.6</v>
      </c>
      <c r="E1080" s="1">
        <f>IFERROR(__xludf.DUMMYFUNCTION("""COMPUTED_VALUE"""),8.71)</f>
        <v>8.71</v>
      </c>
      <c r="F1080" s="1">
        <f>IFERROR(__xludf.DUMMYFUNCTION("""COMPUTED_VALUE"""),545361.0)</f>
        <v>545361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IFERROR(__xludf.DUMMYFUNCTION("""COMPUTED_VALUE"""),8.72)</f>
        <v>8.72</v>
      </c>
      <c r="C1081" s="1">
        <f>IFERROR(__xludf.DUMMYFUNCTION("""COMPUTED_VALUE"""),8.86)</f>
        <v>8.86</v>
      </c>
      <c r="D1081" s="1">
        <f>IFERROR(__xludf.DUMMYFUNCTION("""COMPUTED_VALUE"""),8.72)</f>
        <v>8.72</v>
      </c>
      <c r="E1081" s="1">
        <f>IFERROR(__xludf.DUMMYFUNCTION("""COMPUTED_VALUE"""),8.82)</f>
        <v>8.82</v>
      </c>
      <c r="F1081" s="1">
        <f>IFERROR(__xludf.DUMMYFUNCTION("""COMPUTED_VALUE"""),462675.0)</f>
        <v>462675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IFERROR(__xludf.DUMMYFUNCTION("""COMPUTED_VALUE"""),8.84)</f>
        <v>8.84</v>
      </c>
      <c r="C1082" s="1">
        <f>IFERROR(__xludf.DUMMYFUNCTION("""COMPUTED_VALUE"""),8.86)</f>
        <v>8.86</v>
      </c>
      <c r="D1082" s="1">
        <f>IFERROR(__xludf.DUMMYFUNCTION("""COMPUTED_VALUE"""),8.77)</f>
        <v>8.77</v>
      </c>
      <c r="E1082" s="1">
        <f>IFERROR(__xludf.DUMMYFUNCTION("""COMPUTED_VALUE"""),8.8)</f>
        <v>8.8</v>
      </c>
      <c r="F1082" s="1">
        <f>IFERROR(__xludf.DUMMYFUNCTION("""COMPUTED_VALUE"""),296141.0)</f>
        <v>296141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IFERROR(__xludf.DUMMYFUNCTION("""COMPUTED_VALUE"""),8.88)</f>
        <v>8.88</v>
      </c>
      <c r="C1083" s="1">
        <f>IFERROR(__xludf.DUMMYFUNCTION("""COMPUTED_VALUE"""),8.95)</f>
        <v>8.95</v>
      </c>
      <c r="D1083" s="1">
        <f>IFERROR(__xludf.DUMMYFUNCTION("""COMPUTED_VALUE"""),8.85)</f>
        <v>8.85</v>
      </c>
      <c r="E1083" s="1">
        <f>IFERROR(__xludf.DUMMYFUNCTION("""COMPUTED_VALUE"""),8.95)</f>
        <v>8.95</v>
      </c>
      <c r="F1083" s="1">
        <f>IFERROR(__xludf.DUMMYFUNCTION("""COMPUTED_VALUE"""),2620964.0)</f>
        <v>2620964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IFERROR(__xludf.DUMMYFUNCTION("""COMPUTED_VALUE"""),8.95)</f>
        <v>8.95</v>
      </c>
      <c r="C1084" s="1">
        <f>IFERROR(__xludf.DUMMYFUNCTION("""COMPUTED_VALUE"""),8.97)</f>
        <v>8.97</v>
      </c>
      <c r="D1084" s="1">
        <f>IFERROR(__xludf.DUMMYFUNCTION("""COMPUTED_VALUE"""),8.88)</f>
        <v>8.88</v>
      </c>
      <c r="E1084" s="1">
        <f>IFERROR(__xludf.DUMMYFUNCTION("""COMPUTED_VALUE"""),8.97)</f>
        <v>8.97</v>
      </c>
      <c r="F1084" s="1">
        <f>IFERROR(__xludf.DUMMYFUNCTION("""COMPUTED_VALUE"""),1466594.0)</f>
        <v>1466594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IFERROR(__xludf.DUMMYFUNCTION("""COMPUTED_VALUE"""),8.93)</f>
        <v>8.93</v>
      </c>
      <c r="C1085" s="1">
        <f>IFERROR(__xludf.DUMMYFUNCTION("""COMPUTED_VALUE"""),8.97)</f>
        <v>8.97</v>
      </c>
      <c r="D1085" s="1">
        <f>IFERROR(__xludf.DUMMYFUNCTION("""COMPUTED_VALUE"""),8.8)</f>
        <v>8.8</v>
      </c>
      <c r="E1085" s="1">
        <f>IFERROR(__xludf.DUMMYFUNCTION("""COMPUTED_VALUE"""),8.97)</f>
        <v>8.97</v>
      </c>
      <c r="F1085" s="1">
        <f>IFERROR(__xludf.DUMMYFUNCTION("""COMPUTED_VALUE"""),1848186.0)</f>
        <v>1848186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IFERROR(__xludf.DUMMYFUNCTION("""COMPUTED_VALUE"""),8.85)</f>
        <v>8.85</v>
      </c>
      <c r="C1086" s="1">
        <f>IFERROR(__xludf.DUMMYFUNCTION("""COMPUTED_VALUE"""),8.93)</f>
        <v>8.93</v>
      </c>
      <c r="D1086" s="1">
        <f>IFERROR(__xludf.DUMMYFUNCTION("""COMPUTED_VALUE"""),8.81)</f>
        <v>8.81</v>
      </c>
      <c r="E1086" s="1">
        <f>IFERROR(__xludf.DUMMYFUNCTION("""COMPUTED_VALUE"""),8.92)</f>
        <v>8.92</v>
      </c>
      <c r="F1086" s="1">
        <f>IFERROR(__xludf.DUMMYFUNCTION("""COMPUTED_VALUE"""),1719851.0)</f>
        <v>1719851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IFERROR(__xludf.DUMMYFUNCTION("""COMPUTED_VALUE"""),8.87)</f>
        <v>8.87</v>
      </c>
      <c r="C1087" s="1">
        <f>IFERROR(__xludf.DUMMYFUNCTION("""COMPUTED_VALUE"""),8.93)</f>
        <v>8.93</v>
      </c>
      <c r="D1087" s="1">
        <f>IFERROR(__xludf.DUMMYFUNCTION("""COMPUTED_VALUE"""),8.81)</f>
        <v>8.81</v>
      </c>
      <c r="E1087" s="1">
        <f>IFERROR(__xludf.DUMMYFUNCTION("""COMPUTED_VALUE"""),8.88)</f>
        <v>8.88</v>
      </c>
      <c r="F1087" s="1">
        <f>IFERROR(__xludf.DUMMYFUNCTION("""COMPUTED_VALUE"""),1801711.0)</f>
        <v>1801711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IFERROR(__xludf.DUMMYFUNCTION("""COMPUTED_VALUE"""),8.97)</f>
        <v>8.97</v>
      </c>
      <c r="C1088" s="1">
        <f>IFERROR(__xludf.DUMMYFUNCTION("""COMPUTED_VALUE"""),9.1)</f>
        <v>9.1</v>
      </c>
      <c r="D1088" s="1">
        <f>IFERROR(__xludf.DUMMYFUNCTION("""COMPUTED_VALUE"""),8.97)</f>
        <v>8.97</v>
      </c>
      <c r="E1088" s="1">
        <f>IFERROR(__xludf.DUMMYFUNCTION("""COMPUTED_VALUE"""),9.1)</f>
        <v>9.1</v>
      </c>
      <c r="F1088" s="1">
        <f>IFERROR(__xludf.DUMMYFUNCTION("""COMPUTED_VALUE"""),2942636.0)</f>
        <v>2942636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IFERROR(__xludf.DUMMYFUNCTION("""COMPUTED_VALUE"""),8.97)</f>
        <v>8.97</v>
      </c>
      <c r="C1089" s="1">
        <f>IFERROR(__xludf.DUMMYFUNCTION("""COMPUTED_VALUE"""),9.24)</f>
        <v>9.24</v>
      </c>
      <c r="D1089" s="1">
        <f>IFERROR(__xludf.DUMMYFUNCTION("""COMPUTED_VALUE"""),8.97)</f>
        <v>8.97</v>
      </c>
      <c r="E1089" s="1">
        <f>IFERROR(__xludf.DUMMYFUNCTION("""COMPUTED_VALUE"""),9.22)</f>
        <v>9.22</v>
      </c>
      <c r="F1089" s="1">
        <f>IFERROR(__xludf.DUMMYFUNCTION("""COMPUTED_VALUE"""),1741190.0)</f>
        <v>1741190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IFERROR(__xludf.DUMMYFUNCTION("""COMPUTED_VALUE"""),9.2)</f>
        <v>9.2</v>
      </c>
      <c r="C1090" s="1">
        <f>IFERROR(__xludf.DUMMYFUNCTION("""COMPUTED_VALUE"""),9.26)</f>
        <v>9.26</v>
      </c>
      <c r="D1090" s="1">
        <f>IFERROR(__xludf.DUMMYFUNCTION("""COMPUTED_VALUE"""),9.12)</f>
        <v>9.12</v>
      </c>
      <c r="E1090" s="1">
        <f>IFERROR(__xludf.DUMMYFUNCTION("""COMPUTED_VALUE"""),9.14)</f>
        <v>9.14</v>
      </c>
      <c r="F1090" s="1">
        <f>IFERROR(__xludf.DUMMYFUNCTION("""COMPUTED_VALUE"""),1688351.0)</f>
        <v>1688351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IFERROR(__xludf.DUMMYFUNCTION("""COMPUTED_VALUE"""),9.14)</f>
        <v>9.14</v>
      </c>
      <c r="C1091" s="1">
        <f>IFERROR(__xludf.DUMMYFUNCTION("""COMPUTED_VALUE"""),9.19)</f>
        <v>9.19</v>
      </c>
      <c r="D1091" s="1">
        <f>IFERROR(__xludf.DUMMYFUNCTION("""COMPUTED_VALUE"""),9.12)</f>
        <v>9.12</v>
      </c>
      <c r="E1091" s="1">
        <f>IFERROR(__xludf.DUMMYFUNCTION("""COMPUTED_VALUE"""),9.16)</f>
        <v>9.16</v>
      </c>
      <c r="F1091" s="1">
        <f>IFERROR(__xludf.DUMMYFUNCTION("""COMPUTED_VALUE"""),790533.0)</f>
        <v>790533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IFERROR(__xludf.DUMMYFUNCTION("""COMPUTED_VALUE"""),8.97)</f>
        <v>8.97</v>
      </c>
      <c r="C1092" s="1">
        <f>IFERROR(__xludf.DUMMYFUNCTION("""COMPUTED_VALUE"""),9.11)</f>
        <v>9.11</v>
      </c>
      <c r="D1092" s="1">
        <f>IFERROR(__xludf.DUMMYFUNCTION("""COMPUTED_VALUE"""),8.94)</f>
        <v>8.94</v>
      </c>
      <c r="E1092" s="1">
        <f>IFERROR(__xludf.DUMMYFUNCTION("""COMPUTED_VALUE"""),9.09)</f>
        <v>9.09</v>
      </c>
      <c r="F1092" s="1">
        <f>IFERROR(__xludf.DUMMYFUNCTION("""COMPUTED_VALUE"""),1286221.0)</f>
        <v>1286221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IFERROR(__xludf.DUMMYFUNCTION("""COMPUTED_VALUE"""),9.03)</f>
        <v>9.03</v>
      </c>
      <c r="C1093" s="1">
        <f>IFERROR(__xludf.DUMMYFUNCTION("""COMPUTED_VALUE"""),9.13)</f>
        <v>9.13</v>
      </c>
      <c r="D1093" s="1">
        <f>IFERROR(__xludf.DUMMYFUNCTION("""COMPUTED_VALUE"""),9.0)</f>
        <v>9</v>
      </c>
      <c r="E1093" s="1">
        <f>IFERROR(__xludf.DUMMYFUNCTION("""COMPUTED_VALUE"""),9.04)</f>
        <v>9.04</v>
      </c>
      <c r="F1093" s="1">
        <f>IFERROR(__xludf.DUMMYFUNCTION("""COMPUTED_VALUE"""),847389.0)</f>
        <v>847389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IFERROR(__xludf.DUMMYFUNCTION("""COMPUTED_VALUE"""),8.99)</f>
        <v>8.99</v>
      </c>
      <c r="C1094" s="1">
        <f>IFERROR(__xludf.DUMMYFUNCTION("""COMPUTED_VALUE"""),9.01)</f>
        <v>9.01</v>
      </c>
      <c r="D1094" s="1">
        <f>IFERROR(__xludf.DUMMYFUNCTION("""COMPUTED_VALUE"""),8.92)</f>
        <v>8.92</v>
      </c>
      <c r="E1094" s="1">
        <f>IFERROR(__xludf.DUMMYFUNCTION("""COMPUTED_VALUE"""),8.99)</f>
        <v>8.99</v>
      </c>
      <c r="F1094" s="1">
        <f>IFERROR(__xludf.DUMMYFUNCTION("""COMPUTED_VALUE"""),838626.0)</f>
        <v>838626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IFERROR(__xludf.DUMMYFUNCTION("""COMPUTED_VALUE"""),9.0)</f>
        <v>9</v>
      </c>
      <c r="C1095" s="1">
        <f>IFERROR(__xludf.DUMMYFUNCTION("""COMPUTED_VALUE"""),9.1)</f>
        <v>9.1</v>
      </c>
      <c r="D1095" s="1">
        <f>IFERROR(__xludf.DUMMYFUNCTION("""COMPUTED_VALUE"""),8.98)</f>
        <v>8.98</v>
      </c>
      <c r="E1095" s="1">
        <f>IFERROR(__xludf.DUMMYFUNCTION("""COMPUTED_VALUE"""),9.02)</f>
        <v>9.02</v>
      </c>
      <c r="F1095" s="1">
        <f>IFERROR(__xludf.DUMMYFUNCTION("""COMPUTED_VALUE"""),2198305.0)</f>
        <v>2198305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IFERROR(__xludf.DUMMYFUNCTION("""COMPUTED_VALUE"""),8.93)</f>
        <v>8.93</v>
      </c>
      <c r="C1096" s="1">
        <f>IFERROR(__xludf.DUMMYFUNCTION("""COMPUTED_VALUE"""),8.96)</f>
        <v>8.96</v>
      </c>
      <c r="D1096" s="1">
        <f>IFERROR(__xludf.DUMMYFUNCTION("""COMPUTED_VALUE"""),8.88)</f>
        <v>8.88</v>
      </c>
      <c r="E1096" s="1">
        <f>IFERROR(__xludf.DUMMYFUNCTION("""COMPUTED_VALUE"""),8.92)</f>
        <v>8.92</v>
      </c>
      <c r="F1096" s="1">
        <f>IFERROR(__xludf.DUMMYFUNCTION("""COMPUTED_VALUE"""),696179.0)</f>
        <v>696179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IFERROR(__xludf.DUMMYFUNCTION("""COMPUTED_VALUE"""),8.96)</f>
        <v>8.96</v>
      </c>
      <c r="C1097" s="1">
        <f>IFERROR(__xludf.DUMMYFUNCTION("""COMPUTED_VALUE"""),8.99)</f>
        <v>8.99</v>
      </c>
      <c r="D1097" s="1">
        <f>IFERROR(__xludf.DUMMYFUNCTION("""COMPUTED_VALUE"""),8.94)</f>
        <v>8.94</v>
      </c>
      <c r="E1097" s="1">
        <f>IFERROR(__xludf.DUMMYFUNCTION("""COMPUTED_VALUE"""),8.98)</f>
        <v>8.98</v>
      </c>
      <c r="F1097" s="1">
        <f>IFERROR(__xludf.DUMMYFUNCTION("""COMPUTED_VALUE"""),480198.0)</f>
        <v>480198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IFERROR(__xludf.DUMMYFUNCTION("""COMPUTED_VALUE"""),8.97)</f>
        <v>8.97</v>
      </c>
      <c r="C1098" s="1">
        <f>IFERROR(__xludf.DUMMYFUNCTION("""COMPUTED_VALUE"""),8.97)</f>
        <v>8.97</v>
      </c>
      <c r="D1098" s="1">
        <f>IFERROR(__xludf.DUMMYFUNCTION("""COMPUTED_VALUE"""),8.89)</f>
        <v>8.89</v>
      </c>
      <c r="E1098" s="1">
        <f>IFERROR(__xludf.DUMMYFUNCTION("""COMPUTED_VALUE"""),8.9)</f>
        <v>8.9</v>
      </c>
      <c r="F1098" s="1">
        <f>IFERROR(__xludf.DUMMYFUNCTION("""COMPUTED_VALUE"""),949372.0)</f>
        <v>949372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IFERROR(__xludf.DUMMYFUNCTION("""COMPUTED_VALUE"""),8.86)</f>
        <v>8.86</v>
      </c>
      <c r="C1099" s="1">
        <f>IFERROR(__xludf.DUMMYFUNCTION("""COMPUTED_VALUE"""),8.88)</f>
        <v>8.88</v>
      </c>
      <c r="D1099" s="1">
        <f>IFERROR(__xludf.DUMMYFUNCTION("""COMPUTED_VALUE"""),8.7)</f>
        <v>8.7</v>
      </c>
      <c r="E1099" s="1">
        <f>IFERROR(__xludf.DUMMYFUNCTION("""COMPUTED_VALUE"""),8.7)</f>
        <v>8.7</v>
      </c>
      <c r="F1099" s="1">
        <f>IFERROR(__xludf.DUMMYFUNCTION("""COMPUTED_VALUE"""),1324090.0)</f>
        <v>1324090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IFERROR(__xludf.DUMMYFUNCTION("""COMPUTED_VALUE"""),8.65)</f>
        <v>8.65</v>
      </c>
      <c r="C1100" s="1">
        <f>IFERROR(__xludf.DUMMYFUNCTION("""COMPUTED_VALUE"""),8.66)</f>
        <v>8.66</v>
      </c>
      <c r="D1100" s="1">
        <f>IFERROR(__xludf.DUMMYFUNCTION("""COMPUTED_VALUE"""),8.5)</f>
        <v>8.5</v>
      </c>
      <c r="E1100" s="1">
        <f>IFERROR(__xludf.DUMMYFUNCTION("""COMPUTED_VALUE"""),8.65)</f>
        <v>8.65</v>
      </c>
      <c r="F1100" s="1">
        <f>IFERROR(__xludf.DUMMYFUNCTION("""COMPUTED_VALUE"""),1355777.0)</f>
        <v>1355777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IFERROR(__xludf.DUMMYFUNCTION("""COMPUTED_VALUE"""),8.49)</f>
        <v>8.49</v>
      </c>
      <c r="C1101" s="1">
        <f>IFERROR(__xludf.DUMMYFUNCTION("""COMPUTED_VALUE"""),8.5)</f>
        <v>8.5</v>
      </c>
      <c r="D1101" s="1">
        <f>IFERROR(__xludf.DUMMYFUNCTION("""COMPUTED_VALUE"""),8.38)</f>
        <v>8.38</v>
      </c>
      <c r="E1101" s="1">
        <f>IFERROR(__xludf.DUMMYFUNCTION("""COMPUTED_VALUE"""),8.44)</f>
        <v>8.44</v>
      </c>
      <c r="F1101" s="1">
        <f>IFERROR(__xludf.DUMMYFUNCTION("""COMPUTED_VALUE"""),1613921.0)</f>
        <v>1613921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IFERROR(__xludf.DUMMYFUNCTION("""COMPUTED_VALUE"""),8.42)</f>
        <v>8.42</v>
      </c>
      <c r="C1102" s="1">
        <f>IFERROR(__xludf.DUMMYFUNCTION("""COMPUTED_VALUE"""),8.57)</f>
        <v>8.57</v>
      </c>
      <c r="D1102" s="1">
        <f>IFERROR(__xludf.DUMMYFUNCTION("""COMPUTED_VALUE"""),8.42)</f>
        <v>8.42</v>
      </c>
      <c r="E1102" s="1">
        <f>IFERROR(__xludf.DUMMYFUNCTION("""COMPUTED_VALUE"""),8.55)</f>
        <v>8.55</v>
      </c>
      <c r="F1102" s="1">
        <f>IFERROR(__xludf.DUMMYFUNCTION("""COMPUTED_VALUE"""),1860653.0)</f>
        <v>1860653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IFERROR(__xludf.DUMMYFUNCTION("""COMPUTED_VALUE"""),8.66)</f>
        <v>8.66</v>
      </c>
      <c r="C1103" s="1">
        <f>IFERROR(__xludf.DUMMYFUNCTION("""COMPUTED_VALUE"""),8.68)</f>
        <v>8.68</v>
      </c>
      <c r="D1103" s="1">
        <f>IFERROR(__xludf.DUMMYFUNCTION("""COMPUTED_VALUE"""),8.59)</f>
        <v>8.59</v>
      </c>
      <c r="E1103" s="1">
        <f>IFERROR(__xludf.DUMMYFUNCTION("""COMPUTED_VALUE"""),8.61)</f>
        <v>8.61</v>
      </c>
      <c r="F1103" s="1">
        <f>IFERROR(__xludf.DUMMYFUNCTION("""COMPUTED_VALUE"""),1785285.0)</f>
        <v>1785285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IFERROR(__xludf.DUMMYFUNCTION("""COMPUTED_VALUE"""),8.66)</f>
        <v>8.66</v>
      </c>
      <c r="C1104" s="1">
        <f>IFERROR(__xludf.DUMMYFUNCTION("""COMPUTED_VALUE"""),8.78)</f>
        <v>8.78</v>
      </c>
      <c r="D1104" s="1">
        <f>IFERROR(__xludf.DUMMYFUNCTION("""COMPUTED_VALUE"""),8.65)</f>
        <v>8.65</v>
      </c>
      <c r="E1104" s="1">
        <f>IFERROR(__xludf.DUMMYFUNCTION("""COMPUTED_VALUE"""),8.77)</f>
        <v>8.77</v>
      </c>
      <c r="F1104" s="1">
        <f>IFERROR(__xludf.DUMMYFUNCTION("""COMPUTED_VALUE"""),1487515.0)</f>
        <v>1487515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IFERROR(__xludf.DUMMYFUNCTION("""COMPUTED_VALUE"""),8.52)</f>
        <v>8.52</v>
      </c>
      <c r="C1105" s="1">
        <f>IFERROR(__xludf.DUMMYFUNCTION("""COMPUTED_VALUE"""),8.58)</f>
        <v>8.58</v>
      </c>
      <c r="D1105" s="1">
        <f>IFERROR(__xludf.DUMMYFUNCTION("""COMPUTED_VALUE"""),8.5)</f>
        <v>8.5</v>
      </c>
      <c r="E1105" s="1">
        <f>IFERROR(__xludf.DUMMYFUNCTION("""COMPUTED_VALUE"""),8.57)</f>
        <v>8.57</v>
      </c>
      <c r="F1105" s="1">
        <f>IFERROR(__xludf.DUMMYFUNCTION("""COMPUTED_VALUE"""),1172852.0)</f>
        <v>1172852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IFERROR(__xludf.DUMMYFUNCTION("""COMPUTED_VALUE"""),8.57)</f>
        <v>8.57</v>
      </c>
      <c r="C1106" s="1">
        <f>IFERROR(__xludf.DUMMYFUNCTION("""COMPUTED_VALUE"""),8.64)</f>
        <v>8.64</v>
      </c>
      <c r="D1106" s="1">
        <f>IFERROR(__xludf.DUMMYFUNCTION("""COMPUTED_VALUE"""),8.55)</f>
        <v>8.55</v>
      </c>
      <c r="E1106" s="1">
        <f>IFERROR(__xludf.DUMMYFUNCTION("""COMPUTED_VALUE"""),8.63)</f>
        <v>8.63</v>
      </c>
      <c r="F1106" s="1">
        <f>IFERROR(__xludf.DUMMYFUNCTION("""COMPUTED_VALUE"""),1028677.0)</f>
        <v>1028677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IFERROR(__xludf.DUMMYFUNCTION("""COMPUTED_VALUE"""),8.7)</f>
        <v>8.7</v>
      </c>
      <c r="C1107" s="1">
        <f>IFERROR(__xludf.DUMMYFUNCTION("""COMPUTED_VALUE"""),8.71)</f>
        <v>8.71</v>
      </c>
      <c r="D1107" s="1">
        <f>IFERROR(__xludf.DUMMYFUNCTION("""COMPUTED_VALUE"""),8.66)</f>
        <v>8.66</v>
      </c>
      <c r="E1107" s="1">
        <f>IFERROR(__xludf.DUMMYFUNCTION("""COMPUTED_VALUE"""),8.69)</f>
        <v>8.69</v>
      </c>
      <c r="F1107" s="1">
        <f>IFERROR(__xludf.DUMMYFUNCTION("""COMPUTED_VALUE"""),1085534.0)</f>
        <v>1085534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IFERROR(__xludf.DUMMYFUNCTION("""COMPUTED_VALUE"""),8.71)</f>
        <v>8.71</v>
      </c>
      <c r="C1108" s="1">
        <f>IFERROR(__xludf.DUMMYFUNCTION("""COMPUTED_VALUE"""),8.74)</f>
        <v>8.74</v>
      </c>
      <c r="D1108" s="1">
        <f>IFERROR(__xludf.DUMMYFUNCTION("""COMPUTED_VALUE"""),8.7)</f>
        <v>8.7</v>
      </c>
      <c r="E1108" s="1">
        <f>IFERROR(__xludf.DUMMYFUNCTION("""COMPUTED_VALUE"""),8.71)</f>
        <v>8.71</v>
      </c>
      <c r="F1108" s="1">
        <f>IFERROR(__xludf.DUMMYFUNCTION("""COMPUTED_VALUE"""),760009.0)</f>
        <v>760009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IFERROR(__xludf.DUMMYFUNCTION("""COMPUTED_VALUE"""),8.71)</f>
        <v>8.71</v>
      </c>
      <c r="C1109" s="1">
        <f>IFERROR(__xludf.DUMMYFUNCTION("""COMPUTED_VALUE"""),8.74)</f>
        <v>8.74</v>
      </c>
      <c r="D1109" s="1">
        <f>IFERROR(__xludf.DUMMYFUNCTION("""COMPUTED_VALUE"""),8.68)</f>
        <v>8.68</v>
      </c>
      <c r="E1109" s="1">
        <f>IFERROR(__xludf.DUMMYFUNCTION("""COMPUTED_VALUE"""),8.73)</f>
        <v>8.73</v>
      </c>
      <c r="F1109" s="1">
        <f>IFERROR(__xludf.DUMMYFUNCTION("""COMPUTED_VALUE"""),523683.0)</f>
        <v>523683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IFERROR(__xludf.DUMMYFUNCTION("""COMPUTED_VALUE"""),8.71)</f>
        <v>8.71</v>
      </c>
      <c r="C1110" s="1">
        <f>IFERROR(__xludf.DUMMYFUNCTION("""COMPUTED_VALUE"""),8.76)</f>
        <v>8.76</v>
      </c>
      <c r="D1110" s="1">
        <f>IFERROR(__xludf.DUMMYFUNCTION("""COMPUTED_VALUE"""),8.68)</f>
        <v>8.68</v>
      </c>
      <c r="E1110" s="1">
        <f>IFERROR(__xludf.DUMMYFUNCTION("""COMPUTED_VALUE"""),8.71)</f>
        <v>8.71</v>
      </c>
      <c r="F1110" s="1">
        <f>IFERROR(__xludf.DUMMYFUNCTION("""COMPUTED_VALUE"""),1517484.0)</f>
        <v>1517484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IFERROR(__xludf.DUMMYFUNCTION("""COMPUTED_VALUE"""),8.75)</f>
        <v>8.75</v>
      </c>
      <c r="C1111" s="1">
        <f>IFERROR(__xludf.DUMMYFUNCTION("""COMPUTED_VALUE"""),8.76)</f>
        <v>8.76</v>
      </c>
      <c r="D1111" s="1">
        <f>IFERROR(__xludf.DUMMYFUNCTION("""COMPUTED_VALUE"""),8.7)</f>
        <v>8.7</v>
      </c>
      <c r="E1111" s="1">
        <f>IFERROR(__xludf.DUMMYFUNCTION("""COMPUTED_VALUE"""),8.73)</f>
        <v>8.73</v>
      </c>
      <c r="F1111" s="1">
        <f>IFERROR(__xludf.DUMMYFUNCTION("""COMPUTED_VALUE"""),903381.0)</f>
        <v>903381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IFERROR(__xludf.DUMMYFUNCTION("""COMPUTED_VALUE"""),8.73)</f>
        <v>8.73</v>
      </c>
      <c r="C1112" s="1">
        <f>IFERROR(__xludf.DUMMYFUNCTION("""COMPUTED_VALUE"""),8.76)</f>
        <v>8.76</v>
      </c>
      <c r="D1112" s="1">
        <f>IFERROR(__xludf.DUMMYFUNCTION("""COMPUTED_VALUE"""),8.71)</f>
        <v>8.71</v>
      </c>
      <c r="E1112" s="1">
        <f>IFERROR(__xludf.DUMMYFUNCTION("""COMPUTED_VALUE"""),8.75)</f>
        <v>8.75</v>
      </c>
      <c r="F1112" s="1">
        <f>IFERROR(__xludf.DUMMYFUNCTION("""COMPUTED_VALUE"""),587621.0)</f>
        <v>587621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IFERROR(__xludf.DUMMYFUNCTION("""COMPUTED_VALUE"""),8.76)</f>
        <v>8.76</v>
      </c>
      <c r="C1113" s="1">
        <f>IFERROR(__xludf.DUMMYFUNCTION("""COMPUTED_VALUE"""),8.89)</f>
        <v>8.89</v>
      </c>
      <c r="D1113" s="1">
        <f>IFERROR(__xludf.DUMMYFUNCTION("""COMPUTED_VALUE"""),8.75)</f>
        <v>8.75</v>
      </c>
      <c r="E1113" s="1">
        <f>IFERROR(__xludf.DUMMYFUNCTION("""COMPUTED_VALUE"""),8.89)</f>
        <v>8.89</v>
      </c>
      <c r="F1113" s="1">
        <f>IFERROR(__xludf.DUMMYFUNCTION("""COMPUTED_VALUE"""),825115.0)</f>
        <v>825115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IFERROR(__xludf.DUMMYFUNCTION("""COMPUTED_VALUE"""),8.92)</f>
        <v>8.92</v>
      </c>
      <c r="C1114" s="1">
        <f>IFERROR(__xludf.DUMMYFUNCTION("""COMPUTED_VALUE"""),8.98)</f>
        <v>8.98</v>
      </c>
      <c r="D1114" s="1">
        <f>IFERROR(__xludf.DUMMYFUNCTION("""COMPUTED_VALUE"""),8.88)</f>
        <v>8.88</v>
      </c>
      <c r="E1114" s="1">
        <f>IFERROR(__xludf.DUMMYFUNCTION("""COMPUTED_VALUE"""),8.97)</f>
        <v>8.97</v>
      </c>
      <c r="F1114" s="1">
        <f>IFERROR(__xludf.DUMMYFUNCTION("""COMPUTED_VALUE"""),896257.0)</f>
        <v>896257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IFERROR(__xludf.DUMMYFUNCTION("""COMPUTED_VALUE"""),8.97)</f>
        <v>8.97</v>
      </c>
      <c r="C1115" s="1">
        <f>IFERROR(__xludf.DUMMYFUNCTION("""COMPUTED_VALUE"""),9.01)</f>
        <v>9.01</v>
      </c>
      <c r="D1115" s="1">
        <f>IFERROR(__xludf.DUMMYFUNCTION("""COMPUTED_VALUE"""),8.93)</f>
        <v>8.93</v>
      </c>
      <c r="E1115" s="1">
        <f>IFERROR(__xludf.DUMMYFUNCTION("""COMPUTED_VALUE"""),9.01)</f>
        <v>9.01</v>
      </c>
      <c r="F1115" s="1">
        <f>IFERROR(__xludf.DUMMYFUNCTION("""COMPUTED_VALUE"""),719668.0)</f>
        <v>719668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IFERROR(__xludf.DUMMYFUNCTION("""COMPUTED_VALUE"""),8.95)</f>
        <v>8.95</v>
      </c>
      <c r="C1116" s="1">
        <f>IFERROR(__xludf.DUMMYFUNCTION("""COMPUTED_VALUE"""),9.0)</f>
        <v>9</v>
      </c>
      <c r="D1116" s="1">
        <f>IFERROR(__xludf.DUMMYFUNCTION("""COMPUTED_VALUE"""),8.93)</f>
        <v>8.93</v>
      </c>
      <c r="E1116" s="1">
        <f>IFERROR(__xludf.DUMMYFUNCTION("""COMPUTED_VALUE"""),8.97)</f>
        <v>8.97</v>
      </c>
      <c r="F1116" s="1">
        <f>IFERROR(__xludf.DUMMYFUNCTION("""COMPUTED_VALUE"""),590718.0)</f>
        <v>590718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IFERROR(__xludf.DUMMYFUNCTION("""COMPUTED_VALUE"""),8.89)</f>
        <v>8.89</v>
      </c>
      <c r="C1117" s="1">
        <f>IFERROR(__xludf.DUMMYFUNCTION("""COMPUTED_VALUE"""),8.94)</f>
        <v>8.94</v>
      </c>
      <c r="D1117" s="1">
        <f>IFERROR(__xludf.DUMMYFUNCTION("""COMPUTED_VALUE"""),8.86)</f>
        <v>8.86</v>
      </c>
      <c r="E1117" s="1">
        <f>IFERROR(__xludf.DUMMYFUNCTION("""COMPUTED_VALUE"""),8.92)</f>
        <v>8.92</v>
      </c>
      <c r="F1117" s="1">
        <f>IFERROR(__xludf.DUMMYFUNCTION("""COMPUTED_VALUE"""),587182.0)</f>
        <v>587182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IFERROR(__xludf.DUMMYFUNCTION("""COMPUTED_VALUE"""),8.87)</f>
        <v>8.87</v>
      </c>
      <c r="C1118" s="1">
        <f>IFERROR(__xludf.DUMMYFUNCTION("""COMPUTED_VALUE"""),8.9)</f>
        <v>8.9</v>
      </c>
      <c r="D1118" s="1">
        <f>IFERROR(__xludf.DUMMYFUNCTION("""COMPUTED_VALUE"""),8.83)</f>
        <v>8.83</v>
      </c>
      <c r="E1118" s="1">
        <f>IFERROR(__xludf.DUMMYFUNCTION("""COMPUTED_VALUE"""),8.87)</f>
        <v>8.87</v>
      </c>
      <c r="F1118" s="1">
        <f>IFERROR(__xludf.DUMMYFUNCTION("""COMPUTED_VALUE"""),520546.0)</f>
        <v>520546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IFERROR(__xludf.DUMMYFUNCTION("""COMPUTED_VALUE"""),8.8)</f>
        <v>8.8</v>
      </c>
      <c r="C1119" s="1">
        <f>IFERROR(__xludf.DUMMYFUNCTION("""COMPUTED_VALUE"""),8.82)</f>
        <v>8.82</v>
      </c>
      <c r="D1119" s="1">
        <f>IFERROR(__xludf.DUMMYFUNCTION("""COMPUTED_VALUE"""),8.73)</f>
        <v>8.73</v>
      </c>
      <c r="E1119" s="1">
        <f>IFERROR(__xludf.DUMMYFUNCTION("""COMPUTED_VALUE"""),8.73)</f>
        <v>8.73</v>
      </c>
      <c r="F1119" s="1">
        <f>IFERROR(__xludf.DUMMYFUNCTION("""COMPUTED_VALUE"""),856023.0)</f>
        <v>856023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IFERROR(__xludf.DUMMYFUNCTION("""COMPUTED_VALUE"""),8.71)</f>
        <v>8.71</v>
      </c>
      <c r="C1120" s="1">
        <f>IFERROR(__xludf.DUMMYFUNCTION("""COMPUTED_VALUE"""),8.74)</f>
        <v>8.74</v>
      </c>
      <c r="D1120" s="1">
        <f>IFERROR(__xludf.DUMMYFUNCTION("""COMPUTED_VALUE"""),8.68)</f>
        <v>8.68</v>
      </c>
      <c r="E1120" s="1">
        <f>IFERROR(__xludf.DUMMYFUNCTION("""COMPUTED_VALUE"""),8.72)</f>
        <v>8.72</v>
      </c>
      <c r="F1120" s="1">
        <f>IFERROR(__xludf.DUMMYFUNCTION("""COMPUTED_VALUE"""),1276175.0)</f>
        <v>1276175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IFERROR(__xludf.DUMMYFUNCTION("""COMPUTED_VALUE"""),8.67)</f>
        <v>8.67</v>
      </c>
      <c r="C1121" s="1">
        <f>IFERROR(__xludf.DUMMYFUNCTION("""COMPUTED_VALUE"""),8.73)</f>
        <v>8.73</v>
      </c>
      <c r="D1121" s="1">
        <f>IFERROR(__xludf.DUMMYFUNCTION("""COMPUTED_VALUE"""),8.66)</f>
        <v>8.66</v>
      </c>
      <c r="E1121" s="1">
        <f>IFERROR(__xludf.DUMMYFUNCTION("""COMPUTED_VALUE"""),8.69)</f>
        <v>8.69</v>
      </c>
      <c r="F1121" s="1">
        <f>IFERROR(__xludf.DUMMYFUNCTION("""COMPUTED_VALUE"""),601611.0)</f>
        <v>601611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IFERROR(__xludf.DUMMYFUNCTION("""COMPUTED_VALUE"""),8.68)</f>
        <v>8.68</v>
      </c>
      <c r="C1122" s="1">
        <f>IFERROR(__xludf.DUMMYFUNCTION("""COMPUTED_VALUE"""),8.81)</f>
        <v>8.81</v>
      </c>
      <c r="D1122" s="1">
        <f>IFERROR(__xludf.DUMMYFUNCTION("""COMPUTED_VALUE"""),8.66)</f>
        <v>8.66</v>
      </c>
      <c r="E1122" s="1">
        <f>IFERROR(__xludf.DUMMYFUNCTION("""COMPUTED_VALUE"""),8.79)</f>
        <v>8.79</v>
      </c>
      <c r="F1122" s="1">
        <f>IFERROR(__xludf.DUMMYFUNCTION("""COMPUTED_VALUE"""),527762.0)</f>
        <v>527762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IFERROR(__xludf.DUMMYFUNCTION("""COMPUTED_VALUE"""),9.03)</f>
        <v>9.03</v>
      </c>
      <c r="C1123" s="1">
        <f>IFERROR(__xludf.DUMMYFUNCTION("""COMPUTED_VALUE"""),9.08)</f>
        <v>9.08</v>
      </c>
      <c r="D1123" s="1">
        <f>IFERROR(__xludf.DUMMYFUNCTION("""COMPUTED_VALUE"""),8.97)</f>
        <v>8.97</v>
      </c>
      <c r="E1123" s="1">
        <f>IFERROR(__xludf.DUMMYFUNCTION("""COMPUTED_VALUE"""),9.07)</f>
        <v>9.07</v>
      </c>
      <c r="F1123" s="1">
        <f>IFERROR(__xludf.DUMMYFUNCTION("""COMPUTED_VALUE"""),2502274.0)</f>
        <v>2502274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IFERROR(__xludf.DUMMYFUNCTION("""COMPUTED_VALUE"""),9.04)</f>
        <v>9.04</v>
      </c>
      <c r="C1124" s="1">
        <f>IFERROR(__xludf.DUMMYFUNCTION("""COMPUTED_VALUE"""),9.07)</f>
        <v>9.07</v>
      </c>
      <c r="D1124" s="1">
        <f>IFERROR(__xludf.DUMMYFUNCTION("""COMPUTED_VALUE"""),8.98)</f>
        <v>8.98</v>
      </c>
      <c r="E1124" s="1">
        <f>IFERROR(__xludf.DUMMYFUNCTION("""COMPUTED_VALUE"""),8.99)</f>
        <v>8.99</v>
      </c>
      <c r="F1124" s="1">
        <f>IFERROR(__xludf.DUMMYFUNCTION("""COMPUTED_VALUE"""),550876.0)</f>
        <v>550876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IFERROR(__xludf.DUMMYFUNCTION("""COMPUTED_VALUE"""),8.99)</f>
        <v>8.99</v>
      </c>
      <c r="C1125" s="1">
        <f>IFERROR(__xludf.DUMMYFUNCTION("""COMPUTED_VALUE"""),9.03)</f>
        <v>9.03</v>
      </c>
      <c r="D1125" s="1">
        <f>IFERROR(__xludf.DUMMYFUNCTION("""COMPUTED_VALUE"""),8.93)</f>
        <v>8.93</v>
      </c>
      <c r="E1125" s="1">
        <f>IFERROR(__xludf.DUMMYFUNCTION("""COMPUTED_VALUE"""),8.97)</f>
        <v>8.97</v>
      </c>
      <c r="F1125" s="1">
        <f>IFERROR(__xludf.DUMMYFUNCTION("""COMPUTED_VALUE"""),789354.0)</f>
        <v>789354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IFERROR(__xludf.DUMMYFUNCTION("""COMPUTED_VALUE"""),8.88)</f>
        <v>8.88</v>
      </c>
      <c r="C1126" s="1">
        <f>IFERROR(__xludf.DUMMYFUNCTION("""COMPUTED_VALUE"""),8.88)</f>
        <v>8.88</v>
      </c>
      <c r="D1126" s="1">
        <f>IFERROR(__xludf.DUMMYFUNCTION("""COMPUTED_VALUE"""),8.84)</f>
        <v>8.84</v>
      </c>
      <c r="E1126" s="1">
        <f>IFERROR(__xludf.DUMMYFUNCTION("""COMPUTED_VALUE"""),8.87)</f>
        <v>8.87</v>
      </c>
      <c r="F1126" s="1">
        <f>IFERROR(__xludf.DUMMYFUNCTION("""COMPUTED_VALUE"""),359651.0)</f>
        <v>359651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IFERROR(__xludf.DUMMYFUNCTION("""COMPUTED_VALUE"""),8.88)</f>
        <v>8.88</v>
      </c>
      <c r="C1127" s="1">
        <f>IFERROR(__xludf.DUMMYFUNCTION("""COMPUTED_VALUE"""),8.91)</f>
        <v>8.91</v>
      </c>
      <c r="D1127" s="1">
        <f>IFERROR(__xludf.DUMMYFUNCTION("""COMPUTED_VALUE"""),8.81)</f>
        <v>8.81</v>
      </c>
      <c r="E1127" s="1">
        <f>IFERROR(__xludf.DUMMYFUNCTION("""COMPUTED_VALUE"""),8.81)</f>
        <v>8.81</v>
      </c>
      <c r="F1127" s="1">
        <f>IFERROR(__xludf.DUMMYFUNCTION("""COMPUTED_VALUE"""),748797.0)</f>
        <v>748797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IFERROR(__xludf.DUMMYFUNCTION("""COMPUTED_VALUE"""),8.74)</f>
        <v>8.74</v>
      </c>
      <c r="C1128" s="1">
        <f>IFERROR(__xludf.DUMMYFUNCTION("""COMPUTED_VALUE"""),8.84)</f>
        <v>8.84</v>
      </c>
      <c r="D1128" s="1">
        <f>IFERROR(__xludf.DUMMYFUNCTION("""COMPUTED_VALUE"""),8.71)</f>
        <v>8.71</v>
      </c>
      <c r="E1128" s="1">
        <f>IFERROR(__xludf.DUMMYFUNCTION("""COMPUTED_VALUE"""),8.8)</f>
        <v>8.8</v>
      </c>
      <c r="F1128" s="1">
        <f>IFERROR(__xludf.DUMMYFUNCTION("""COMPUTED_VALUE"""),644233.0)</f>
        <v>644233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IFERROR(__xludf.DUMMYFUNCTION("""COMPUTED_VALUE"""),8.7)</f>
        <v>8.7</v>
      </c>
      <c r="C1129" s="1">
        <f>IFERROR(__xludf.DUMMYFUNCTION("""COMPUTED_VALUE"""),8.75)</f>
        <v>8.75</v>
      </c>
      <c r="D1129" s="1">
        <f>IFERROR(__xludf.DUMMYFUNCTION("""COMPUTED_VALUE"""),8.63)</f>
        <v>8.63</v>
      </c>
      <c r="E1129" s="1">
        <f>IFERROR(__xludf.DUMMYFUNCTION("""COMPUTED_VALUE"""),8.73)</f>
        <v>8.73</v>
      </c>
      <c r="F1129" s="1">
        <f>IFERROR(__xludf.DUMMYFUNCTION("""COMPUTED_VALUE"""),935040.0)</f>
        <v>935040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IFERROR(__xludf.DUMMYFUNCTION("""COMPUTED_VALUE"""),8.7)</f>
        <v>8.7</v>
      </c>
      <c r="C1130" s="1">
        <f>IFERROR(__xludf.DUMMYFUNCTION("""COMPUTED_VALUE"""),8.72)</f>
        <v>8.72</v>
      </c>
      <c r="D1130" s="1">
        <f>IFERROR(__xludf.DUMMYFUNCTION("""COMPUTED_VALUE"""),8.67)</f>
        <v>8.67</v>
      </c>
      <c r="E1130" s="1">
        <f>IFERROR(__xludf.DUMMYFUNCTION("""COMPUTED_VALUE"""),8.71)</f>
        <v>8.71</v>
      </c>
      <c r="F1130" s="1">
        <f>IFERROR(__xludf.DUMMYFUNCTION("""COMPUTED_VALUE"""),488273.0)</f>
        <v>488273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IFERROR(__xludf.DUMMYFUNCTION("""COMPUTED_VALUE"""),8.71)</f>
        <v>8.71</v>
      </c>
      <c r="C1131" s="1">
        <f>IFERROR(__xludf.DUMMYFUNCTION("""COMPUTED_VALUE"""),8.78)</f>
        <v>8.78</v>
      </c>
      <c r="D1131" s="1">
        <f>IFERROR(__xludf.DUMMYFUNCTION("""COMPUTED_VALUE"""),8.7)</f>
        <v>8.7</v>
      </c>
      <c r="E1131" s="1">
        <f>IFERROR(__xludf.DUMMYFUNCTION("""COMPUTED_VALUE"""),8.77)</f>
        <v>8.77</v>
      </c>
      <c r="F1131" s="1">
        <f>IFERROR(__xludf.DUMMYFUNCTION("""COMPUTED_VALUE"""),1042472.0)</f>
        <v>1042472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IFERROR(__xludf.DUMMYFUNCTION("""COMPUTED_VALUE"""),8.79)</f>
        <v>8.79</v>
      </c>
      <c r="C1132" s="1">
        <f>IFERROR(__xludf.DUMMYFUNCTION("""COMPUTED_VALUE"""),8.85)</f>
        <v>8.85</v>
      </c>
      <c r="D1132" s="1">
        <f>IFERROR(__xludf.DUMMYFUNCTION("""COMPUTED_VALUE"""),8.78)</f>
        <v>8.78</v>
      </c>
      <c r="E1132" s="1">
        <f>IFERROR(__xludf.DUMMYFUNCTION("""COMPUTED_VALUE"""),8.82)</f>
        <v>8.82</v>
      </c>
      <c r="F1132" s="1">
        <f>IFERROR(__xludf.DUMMYFUNCTION("""COMPUTED_VALUE"""),992520.0)</f>
        <v>992520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IFERROR(__xludf.DUMMYFUNCTION("""COMPUTED_VALUE"""),8.81)</f>
        <v>8.81</v>
      </c>
      <c r="C1133" s="1">
        <f>IFERROR(__xludf.DUMMYFUNCTION("""COMPUTED_VALUE"""),8.84)</f>
        <v>8.84</v>
      </c>
      <c r="D1133" s="1">
        <f>IFERROR(__xludf.DUMMYFUNCTION("""COMPUTED_VALUE"""),8.77)</f>
        <v>8.77</v>
      </c>
      <c r="E1133" s="1">
        <f>IFERROR(__xludf.DUMMYFUNCTION("""COMPUTED_VALUE"""),8.77)</f>
        <v>8.77</v>
      </c>
      <c r="F1133" s="1">
        <f>IFERROR(__xludf.DUMMYFUNCTION("""COMPUTED_VALUE"""),1001890.0)</f>
        <v>1001890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IFERROR(__xludf.DUMMYFUNCTION("""COMPUTED_VALUE"""),8.92)</f>
        <v>8.92</v>
      </c>
      <c r="C1134" s="1">
        <f>IFERROR(__xludf.DUMMYFUNCTION("""COMPUTED_VALUE"""),9.05)</f>
        <v>9.05</v>
      </c>
      <c r="D1134" s="1">
        <f>IFERROR(__xludf.DUMMYFUNCTION("""COMPUTED_VALUE"""),8.92)</f>
        <v>8.92</v>
      </c>
      <c r="E1134" s="1">
        <f>IFERROR(__xludf.DUMMYFUNCTION("""COMPUTED_VALUE"""),9.02)</f>
        <v>9.02</v>
      </c>
      <c r="F1134" s="1">
        <f>IFERROR(__xludf.DUMMYFUNCTION("""COMPUTED_VALUE"""),830940.0)</f>
        <v>830940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IFERROR(__xludf.DUMMYFUNCTION("""COMPUTED_VALUE"""),8.86)</f>
        <v>8.86</v>
      </c>
      <c r="C1135" s="1">
        <f>IFERROR(__xludf.DUMMYFUNCTION("""COMPUTED_VALUE"""),8.9)</f>
        <v>8.9</v>
      </c>
      <c r="D1135" s="1">
        <f>IFERROR(__xludf.DUMMYFUNCTION("""COMPUTED_VALUE"""),8.82)</f>
        <v>8.82</v>
      </c>
      <c r="E1135" s="1">
        <f>IFERROR(__xludf.DUMMYFUNCTION("""COMPUTED_VALUE"""),8.89)</f>
        <v>8.89</v>
      </c>
      <c r="F1135" s="1">
        <f>IFERROR(__xludf.DUMMYFUNCTION("""COMPUTED_VALUE"""),1176258.0)</f>
        <v>1176258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IFERROR(__xludf.DUMMYFUNCTION("""COMPUTED_VALUE"""),8.81)</f>
        <v>8.81</v>
      </c>
      <c r="C1136" s="1">
        <f>IFERROR(__xludf.DUMMYFUNCTION("""COMPUTED_VALUE"""),8.81)</f>
        <v>8.81</v>
      </c>
      <c r="D1136" s="1">
        <f>IFERROR(__xludf.DUMMYFUNCTION("""COMPUTED_VALUE"""),8.72)</f>
        <v>8.72</v>
      </c>
      <c r="E1136" s="1">
        <f>IFERROR(__xludf.DUMMYFUNCTION("""COMPUTED_VALUE"""),8.76)</f>
        <v>8.76</v>
      </c>
      <c r="F1136" s="1">
        <f>IFERROR(__xludf.DUMMYFUNCTION("""COMPUTED_VALUE"""),1086403.0)</f>
        <v>1086403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IFERROR(__xludf.DUMMYFUNCTION("""COMPUTED_VALUE"""),8.76)</f>
        <v>8.76</v>
      </c>
      <c r="C1137" s="1">
        <f>IFERROR(__xludf.DUMMYFUNCTION("""COMPUTED_VALUE"""),8.81)</f>
        <v>8.81</v>
      </c>
      <c r="D1137" s="1">
        <f>IFERROR(__xludf.DUMMYFUNCTION("""COMPUTED_VALUE"""),8.74)</f>
        <v>8.74</v>
      </c>
      <c r="E1137" s="1">
        <f>IFERROR(__xludf.DUMMYFUNCTION("""COMPUTED_VALUE"""),8.8)</f>
        <v>8.8</v>
      </c>
      <c r="F1137" s="1">
        <f>IFERROR(__xludf.DUMMYFUNCTION("""COMPUTED_VALUE"""),468866.0)</f>
        <v>468866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IFERROR(__xludf.DUMMYFUNCTION("""COMPUTED_VALUE"""),8.65)</f>
        <v>8.65</v>
      </c>
      <c r="C1138" s="1">
        <f>IFERROR(__xludf.DUMMYFUNCTION("""COMPUTED_VALUE"""),8.74)</f>
        <v>8.74</v>
      </c>
      <c r="D1138" s="1">
        <f>IFERROR(__xludf.DUMMYFUNCTION("""COMPUTED_VALUE"""),8.6)</f>
        <v>8.6</v>
      </c>
      <c r="E1138" s="1">
        <f>IFERROR(__xludf.DUMMYFUNCTION("""COMPUTED_VALUE"""),8.72)</f>
        <v>8.72</v>
      </c>
      <c r="F1138" s="1">
        <f>IFERROR(__xludf.DUMMYFUNCTION("""COMPUTED_VALUE"""),571431.0)</f>
        <v>571431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IFERROR(__xludf.DUMMYFUNCTION("""COMPUTED_VALUE"""),8.6)</f>
        <v>8.6</v>
      </c>
      <c r="C1139" s="1">
        <f>IFERROR(__xludf.DUMMYFUNCTION("""COMPUTED_VALUE"""),8.69)</f>
        <v>8.69</v>
      </c>
      <c r="D1139" s="1">
        <f>IFERROR(__xludf.DUMMYFUNCTION("""COMPUTED_VALUE"""),8.58)</f>
        <v>8.58</v>
      </c>
      <c r="E1139" s="1">
        <f>IFERROR(__xludf.DUMMYFUNCTION("""COMPUTED_VALUE"""),8.67)</f>
        <v>8.67</v>
      </c>
      <c r="F1139" s="1">
        <f>IFERROR(__xludf.DUMMYFUNCTION("""COMPUTED_VALUE"""),559157.0)</f>
        <v>559157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IFERROR(__xludf.DUMMYFUNCTION("""COMPUTED_VALUE"""),8.72)</f>
        <v>8.72</v>
      </c>
      <c r="C1140" s="1">
        <f>IFERROR(__xludf.DUMMYFUNCTION("""COMPUTED_VALUE"""),8.77)</f>
        <v>8.77</v>
      </c>
      <c r="D1140" s="1">
        <f>IFERROR(__xludf.DUMMYFUNCTION("""COMPUTED_VALUE"""),8.7)</f>
        <v>8.7</v>
      </c>
      <c r="E1140" s="1">
        <f>IFERROR(__xludf.DUMMYFUNCTION("""COMPUTED_VALUE"""),8.73)</f>
        <v>8.73</v>
      </c>
      <c r="F1140" s="1">
        <f>IFERROR(__xludf.DUMMYFUNCTION("""COMPUTED_VALUE"""),521283.0)</f>
        <v>521283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IFERROR(__xludf.DUMMYFUNCTION("""COMPUTED_VALUE"""),8.66)</f>
        <v>8.66</v>
      </c>
      <c r="C1141" s="1">
        <f>IFERROR(__xludf.DUMMYFUNCTION("""COMPUTED_VALUE"""),8.71)</f>
        <v>8.71</v>
      </c>
      <c r="D1141" s="1">
        <f>IFERROR(__xludf.DUMMYFUNCTION("""COMPUTED_VALUE"""),8.58)</f>
        <v>8.58</v>
      </c>
      <c r="E1141" s="1">
        <f>IFERROR(__xludf.DUMMYFUNCTION("""COMPUTED_VALUE"""),8.65)</f>
        <v>8.65</v>
      </c>
      <c r="F1141" s="1">
        <f>IFERROR(__xludf.DUMMYFUNCTION("""COMPUTED_VALUE"""),794931.0)</f>
        <v>794931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IFERROR(__xludf.DUMMYFUNCTION("""COMPUTED_VALUE"""),8.75)</f>
        <v>8.75</v>
      </c>
      <c r="C1142" s="1">
        <f>IFERROR(__xludf.DUMMYFUNCTION("""COMPUTED_VALUE"""),8.75)</f>
        <v>8.75</v>
      </c>
      <c r="D1142" s="1">
        <f>IFERROR(__xludf.DUMMYFUNCTION("""COMPUTED_VALUE"""),8.71)</f>
        <v>8.71</v>
      </c>
      <c r="E1142" s="1">
        <f>IFERROR(__xludf.DUMMYFUNCTION("""COMPUTED_VALUE"""),8.72)</f>
        <v>8.72</v>
      </c>
      <c r="F1142" s="1">
        <f>IFERROR(__xludf.DUMMYFUNCTION("""COMPUTED_VALUE"""),556861.0)</f>
        <v>556861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IFERROR(__xludf.DUMMYFUNCTION("""COMPUTED_VALUE"""),8.6)</f>
        <v>8.6</v>
      </c>
      <c r="C1143" s="1">
        <f>IFERROR(__xludf.DUMMYFUNCTION("""COMPUTED_VALUE"""),8.67)</f>
        <v>8.67</v>
      </c>
      <c r="D1143" s="1">
        <f>IFERROR(__xludf.DUMMYFUNCTION("""COMPUTED_VALUE"""),8.48)</f>
        <v>8.48</v>
      </c>
      <c r="E1143" s="1">
        <f>IFERROR(__xludf.DUMMYFUNCTION("""COMPUTED_VALUE"""),8.49)</f>
        <v>8.49</v>
      </c>
      <c r="F1143" s="1">
        <f>IFERROR(__xludf.DUMMYFUNCTION("""COMPUTED_VALUE"""),894905.0)</f>
        <v>894905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IFERROR(__xludf.DUMMYFUNCTION("""COMPUTED_VALUE"""),8.52)</f>
        <v>8.52</v>
      </c>
      <c r="C1144" s="1">
        <f>IFERROR(__xludf.DUMMYFUNCTION("""COMPUTED_VALUE"""),8.58)</f>
        <v>8.58</v>
      </c>
      <c r="D1144" s="1">
        <f>IFERROR(__xludf.DUMMYFUNCTION("""COMPUTED_VALUE"""),8.5)</f>
        <v>8.5</v>
      </c>
      <c r="E1144" s="1">
        <f>IFERROR(__xludf.DUMMYFUNCTION("""COMPUTED_VALUE"""),8.57)</f>
        <v>8.57</v>
      </c>
      <c r="F1144" s="1">
        <f>IFERROR(__xludf.DUMMYFUNCTION("""COMPUTED_VALUE"""),503659.0)</f>
        <v>503659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IFERROR(__xludf.DUMMYFUNCTION("""COMPUTED_VALUE"""),8.48)</f>
        <v>8.48</v>
      </c>
      <c r="C1145" s="1">
        <f>IFERROR(__xludf.DUMMYFUNCTION("""COMPUTED_VALUE"""),8.48)</f>
        <v>8.48</v>
      </c>
      <c r="D1145" s="1">
        <f>IFERROR(__xludf.DUMMYFUNCTION("""COMPUTED_VALUE"""),8.44)</f>
        <v>8.44</v>
      </c>
      <c r="E1145" s="1">
        <f>IFERROR(__xludf.DUMMYFUNCTION("""COMPUTED_VALUE"""),8.44)</f>
        <v>8.44</v>
      </c>
      <c r="F1145" s="1">
        <f>IFERROR(__xludf.DUMMYFUNCTION("""COMPUTED_VALUE"""),628418.0)</f>
        <v>628418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IFERROR(__xludf.DUMMYFUNCTION("""COMPUTED_VALUE"""),8.37)</f>
        <v>8.37</v>
      </c>
      <c r="C1146" s="1">
        <f>IFERROR(__xludf.DUMMYFUNCTION("""COMPUTED_VALUE"""),8.39)</f>
        <v>8.39</v>
      </c>
      <c r="D1146" s="1">
        <f>IFERROR(__xludf.DUMMYFUNCTION("""COMPUTED_VALUE"""),8.34)</f>
        <v>8.34</v>
      </c>
      <c r="E1146" s="1">
        <f>IFERROR(__xludf.DUMMYFUNCTION("""COMPUTED_VALUE"""),8.37)</f>
        <v>8.37</v>
      </c>
      <c r="F1146" s="1">
        <f>IFERROR(__xludf.DUMMYFUNCTION("""COMPUTED_VALUE"""),916292.0)</f>
        <v>916292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IFERROR(__xludf.DUMMYFUNCTION("""COMPUTED_VALUE"""),8.35)</f>
        <v>8.35</v>
      </c>
      <c r="C1147" s="1">
        <f>IFERROR(__xludf.DUMMYFUNCTION("""COMPUTED_VALUE"""),8.36)</f>
        <v>8.36</v>
      </c>
      <c r="D1147" s="1">
        <f>IFERROR(__xludf.DUMMYFUNCTION("""COMPUTED_VALUE"""),8.29)</f>
        <v>8.29</v>
      </c>
      <c r="E1147" s="1">
        <f>IFERROR(__xludf.DUMMYFUNCTION("""COMPUTED_VALUE"""),8.3)</f>
        <v>8.3</v>
      </c>
      <c r="F1147" s="1">
        <f>IFERROR(__xludf.DUMMYFUNCTION("""COMPUTED_VALUE"""),646120.0)</f>
        <v>646120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IFERROR(__xludf.DUMMYFUNCTION("""COMPUTED_VALUE"""),8.42)</f>
        <v>8.42</v>
      </c>
      <c r="C1148" s="1">
        <f>IFERROR(__xludf.DUMMYFUNCTION("""COMPUTED_VALUE"""),8.46)</f>
        <v>8.46</v>
      </c>
      <c r="D1148" s="1">
        <f>IFERROR(__xludf.DUMMYFUNCTION("""COMPUTED_VALUE"""),8.4)</f>
        <v>8.4</v>
      </c>
      <c r="E1148" s="1">
        <f>IFERROR(__xludf.DUMMYFUNCTION("""COMPUTED_VALUE"""),8.42)</f>
        <v>8.42</v>
      </c>
      <c r="F1148" s="1">
        <f>IFERROR(__xludf.DUMMYFUNCTION("""COMPUTED_VALUE"""),759940.0)</f>
        <v>759940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IFERROR(__xludf.DUMMYFUNCTION("""COMPUTED_VALUE"""),8.43)</f>
        <v>8.43</v>
      </c>
      <c r="C1149" s="1">
        <f>IFERROR(__xludf.DUMMYFUNCTION("""COMPUTED_VALUE"""),8.44)</f>
        <v>8.44</v>
      </c>
      <c r="D1149" s="1">
        <f>IFERROR(__xludf.DUMMYFUNCTION("""COMPUTED_VALUE"""),8.35)</f>
        <v>8.35</v>
      </c>
      <c r="E1149" s="1">
        <f>IFERROR(__xludf.DUMMYFUNCTION("""COMPUTED_VALUE"""),8.37)</f>
        <v>8.37</v>
      </c>
      <c r="F1149" s="1">
        <f>IFERROR(__xludf.DUMMYFUNCTION("""COMPUTED_VALUE"""),751165.0)</f>
        <v>751165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IFERROR(__xludf.DUMMYFUNCTION("""COMPUTED_VALUE"""),8.36)</f>
        <v>8.36</v>
      </c>
      <c r="C1150" s="1">
        <f>IFERROR(__xludf.DUMMYFUNCTION("""COMPUTED_VALUE"""),8.38)</f>
        <v>8.38</v>
      </c>
      <c r="D1150" s="1">
        <f>IFERROR(__xludf.DUMMYFUNCTION("""COMPUTED_VALUE"""),8.3)</f>
        <v>8.3</v>
      </c>
      <c r="E1150" s="1">
        <f>IFERROR(__xludf.DUMMYFUNCTION("""COMPUTED_VALUE"""),8.35)</f>
        <v>8.35</v>
      </c>
      <c r="F1150" s="1">
        <f>IFERROR(__xludf.DUMMYFUNCTION("""COMPUTED_VALUE"""),1453714.0)</f>
        <v>1453714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IFERROR(__xludf.DUMMYFUNCTION("""COMPUTED_VALUE"""),8.32)</f>
        <v>8.32</v>
      </c>
      <c r="C1151" s="1">
        <f>IFERROR(__xludf.DUMMYFUNCTION("""COMPUTED_VALUE"""),8.33)</f>
        <v>8.33</v>
      </c>
      <c r="D1151" s="1">
        <f>IFERROR(__xludf.DUMMYFUNCTION("""COMPUTED_VALUE"""),8.27)</f>
        <v>8.27</v>
      </c>
      <c r="E1151" s="1">
        <f>IFERROR(__xludf.DUMMYFUNCTION("""COMPUTED_VALUE"""),8.28)</f>
        <v>8.28</v>
      </c>
      <c r="F1151" s="1">
        <f>IFERROR(__xludf.DUMMYFUNCTION("""COMPUTED_VALUE"""),853229.0)</f>
        <v>853229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IFERROR(__xludf.DUMMYFUNCTION("""COMPUTED_VALUE"""),8.37)</f>
        <v>8.37</v>
      </c>
      <c r="C1152" s="1">
        <f>IFERROR(__xludf.DUMMYFUNCTION("""COMPUTED_VALUE"""),8.38)</f>
        <v>8.38</v>
      </c>
      <c r="D1152" s="1">
        <f>IFERROR(__xludf.DUMMYFUNCTION("""COMPUTED_VALUE"""),8.28)</f>
        <v>8.28</v>
      </c>
      <c r="E1152" s="1">
        <f>IFERROR(__xludf.DUMMYFUNCTION("""COMPUTED_VALUE"""),8.34)</f>
        <v>8.34</v>
      </c>
      <c r="F1152" s="1">
        <f>IFERROR(__xludf.DUMMYFUNCTION("""COMPUTED_VALUE"""),1106149.0)</f>
        <v>1106149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IFERROR(__xludf.DUMMYFUNCTION("""COMPUTED_VALUE"""),8.24)</f>
        <v>8.24</v>
      </c>
      <c r="C1153" s="1">
        <f>IFERROR(__xludf.DUMMYFUNCTION("""COMPUTED_VALUE"""),8.28)</f>
        <v>8.28</v>
      </c>
      <c r="D1153" s="1">
        <f>IFERROR(__xludf.DUMMYFUNCTION("""COMPUTED_VALUE"""),8.1)</f>
        <v>8.1</v>
      </c>
      <c r="E1153" s="1">
        <f>IFERROR(__xludf.DUMMYFUNCTION("""COMPUTED_VALUE"""),8.12)</f>
        <v>8.12</v>
      </c>
      <c r="F1153" s="1">
        <f>IFERROR(__xludf.DUMMYFUNCTION("""COMPUTED_VALUE"""),1195611.0)</f>
        <v>1195611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IFERROR(__xludf.DUMMYFUNCTION("""COMPUTED_VALUE"""),8.2)</f>
        <v>8.2</v>
      </c>
      <c r="C1154" s="1">
        <f>IFERROR(__xludf.DUMMYFUNCTION("""COMPUTED_VALUE"""),8.24)</f>
        <v>8.24</v>
      </c>
      <c r="D1154" s="1">
        <f>IFERROR(__xludf.DUMMYFUNCTION("""COMPUTED_VALUE"""),8.13)</f>
        <v>8.13</v>
      </c>
      <c r="E1154" s="1">
        <f>IFERROR(__xludf.DUMMYFUNCTION("""COMPUTED_VALUE"""),8.17)</f>
        <v>8.17</v>
      </c>
      <c r="F1154" s="1">
        <f>IFERROR(__xludf.DUMMYFUNCTION("""COMPUTED_VALUE"""),1324668.0)</f>
        <v>1324668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IFERROR(__xludf.DUMMYFUNCTION("""COMPUTED_VALUE"""),8.14)</f>
        <v>8.14</v>
      </c>
      <c r="C1155" s="1">
        <f>IFERROR(__xludf.DUMMYFUNCTION("""COMPUTED_VALUE"""),8.15)</f>
        <v>8.15</v>
      </c>
      <c r="D1155" s="1">
        <f>IFERROR(__xludf.DUMMYFUNCTION("""COMPUTED_VALUE"""),8.04)</f>
        <v>8.04</v>
      </c>
      <c r="E1155" s="1">
        <f>IFERROR(__xludf.DUMMYFUNCTION("""COMPUTED_VALUE"""),8.13)</f>
        <v>8.13</v>
      </c>
      <c r="F1155" s="1">
        <f>IFERROR(__xludf.DUMMYFUNCTION("""COMPUTED_VALUE"""),691959.0)</f>
        <v>691959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IFERROR(__xludf.DUMMYFUNCTION("""COMPUTED_VALUE"""),8.16)</f>
        <v>8.16</v>
      </c>
      <c r="C1156" s="1">
        <f>IFERROR(__xludf.DUMMYFUNCTION("""COMPUTED_VALUE"""),8.17)</f>
        <v>8.17</v>
      </c>
      <c r="D1156" s="1">
        <f>IFERROR(__xludf.DUMMYFUNCTION("""COMPUTED_VALUE"""),7.99)</f>
        <v>7.99</v>
      </c>
      <c r="E1156" s="1">
        <f>IFERROR(__xludf.DUMMYFUNCTION("""COMPUTED_VALUE"""),8.02)</f>
        <v>8.02</v>
      </c>
      <c r="F1156" s="1">
        <f>IFERROR(__xludf.DUMMYFUNCTION("""COMPUTED_VALUE"""),1224071.0)</f>
        <v>1224071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IFERROR(__xludf.DUMMYFUNCTION("""COMPUTED_VALUE"""),7.97)</f>
        <v>7.97</v>
      </c>
      <c r="C1157" s="1">
        <f>IFERROR(__xludf.DUMMYFUNCTION("""COMPUTED_VALUE"""),8.02)</f>
        <v>8.02</v>
      </c>
      <c r="D1157" s="1">
        <f>IFERROR(__xludf.DUMMYFUNCTION("""COMPUTED_VALUE"""),7.95)</f>
        <v>7.95</v>
      </c>
      <c r="E1157" s="1">
        <f>IFERROR(__xludf.DUMMYFUNCTION("""COMPUTED_VALUE"""),7.99)</f>
        <v>7.99</v>
      </c>
      <c r="F1157" s="1">
        <f>IFERROR(__xludf.DUMMYFUNCTION("""COMPUTED_VALUE"""),1874517.0)</f>
        <v>1874517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IFERROR(__xludf.DUMMYFUNCTION("""COMPUTED_VALUE"""),7.95)</f>
        <v>7.95</v>
      </c>
      <c r="C1158" s="1">
        <f>IFERROR(__xludf.DUMMYFUNCTION("""COMPUTED_VALUE"""),7.97)</f>
        <v>7.97</v>
      </c>
      <c r="D1158" s="1">
        <f>IFERROR(__xludf.DUMMYFUNCTION("""COMPUTED_VALUE"""),7.79)</f>
        <v>7.79</v>
      </c>
      <c r="E1158" s="1">
        <f>IFERROR(__xludf.DUMMYFUNCTION("""COMPUTED_VALUE"""),7.8)</f>
        <v>7.8</v>
      </c>
      <c r="F1158" s="1">
        <f>IFERROR(__xludf.DUMMYFUNCTION("""COMPUTED_VALUE"""),903308.0)</f>
        <v>903308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IFERROR(__xludf.DUMMYFUNCTION("""COMPUTED_VALUE"""),7.81)</f>
        <v>7.81</v>
      </c>
      <c r="C1159" s="1">
        <f>IFERROR(__xludf.DUMMYFUNCTION("""COMPUTED_VALUE"""),7.89)</f>
        <v>7.89</v>
      </c>
      <c r="D1159" s="1">
        <f>IFERROR(__xludf.DUMMYFUNCTION("""COMPUTED_VALUE"""),7.77)</f>
        <v>7.77</v>
      </c>
      <c r="E1159" s="1">
        <f>IFERROR(__xludf.DUMMYFUNCTION("""COMPUTED_VALUE"""),7.88)</f>
        <v>7.88</v>
      </c>
      <c r="F1159" s="1">
        <f>IFERROR(__xludf.DUMMYFUNCTION("""COMPUTED_VALUE"""),611906.0)</f>
        <v>611906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IFERROR(__xludf.DUMMYFUNCTION("""COMPUTED_VALUE"""),7.93)</f>
        <v>7.93</v>
      </c>
      <c r="C1160" s="1">
        <f>IFERROR(__xludf.DUMMYFUNCTION("""COMPUTED_VALUE"""),8.0)</f>
        <v>8</v>
      </c>
      <c r="D1160" s="1">
        <f>IFERROR(__xludf.DUMMYFUNCTION("""COMPUTED_VALUE"""),7.92)</f>
        <v>7.92</v>
      </c>
      <c r="E1160" s="1">
        <f>IFERROR(__xludf.DUMMYFUNCTION("""COMPUTED_VALUE"""),7.95)</f>
        <v>7.95</v>
      </c>
      <c r="F1160" s="1">
        <f>IFERROR(__xludf.DUMMYFUNCTION("""COMPUTED_VALUE"""),575971.0)</f>
        <v>575971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IFERROR(__xludf.DUMMYFUNCTION("""COMPUTED_VALUE"""),7.95)</f>
        <v>7.95</v>
      </c>
      <c r="C1161" s="1">
        <f>IFERROR(__xludf.DUMMYFUNCTION("""COMPUTED_VALUE"""),7.99)</f>
        <v>7.99</v>
      </c>
      <c r="D1161" s="1">
        <f>IFERROR(__xludf.DUMMYFUNCTION("""COMPUTED_VALUE"""),7.93)</f>
        <v>7.93</v>
      </c>
      <c r="E1161" s="1">
        <f>IFERROR(__xludf.DUMMYFUNCTION("""COMPUTED_VALUE"""),7.95)</f>
        <v>7.95</v>
      </c>
      <c r="F1161" s="1">
        <f>IFERROR(__xludf.DUMMYFUNCTION("""COMPUTED_VALUE"""),333789.0)</f>
        <v>333789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IFERROR(__xludf.DUMMYFUNCTION("""COMPUTED_VALUE"""),7.96)</f>
        <v>7.96</v>
      </c>
      <c r="C1162" s="1">
        <f>IFERROR(__xludf.DUMMYFUNCTION("""COMPUTED_VALUE"""),8.01)</f>
        <v>8.01</v>
      </c>
      <c r="D1162" s="1">
        <f>IFERROR(__xludf.DUMMYFUNCTION("""COMPUTED_VALUE"""),7.94)</f>
        <v>7.94</v>
      </c>
      <c r="E1162" s="1">
        <f>IFERROR(__xludf.DUMMYFUNCTION("""COMPUTED_VALUE"""),7.96)</f>
        <v>7.96</v>
      </c>
      <c r="F1162" s="1">
        <f>IFERROR(__xludf.DUMMYFUNCTION("""COMPUTED_VALUE"""),492633.0)</f>
        <v>492633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IFERROR(__xludf.DUMMYFUNCTION("""COMPUTED_VALUE"""),7.81)</f>
        <v>7.81</v>
      </c>
      <c r="C1163" s="1">
        <f>IFERROR(__xludf.DUMMYFUNCTION("""COMPUTED_VALUE"""),7.83)</f>
        <v>7.83</v>
      </c>
      <c r="D1163" s="1">
        <f>IFERROR(__xludf.DUMMYFUNCTION("""COMPUTED_VALUE"""),7.71)</f>
        <v>7.71</v>
      </c>
      <c r="E1163" s="1">
        <f>IFERROR(__xludf.DUMMYFUNCTION("""COMPUTED_VALUE"""),7.74)</f>
        <v>7.74</v>
      </c>
      <c r="F1163" s="1">
        <f>IFERROR(__xludf.DUMMYFUNCTION("""COMPUTED_VALUE"""),1303894.0)</f>
        <v>1303894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IFERROR(__xludf.DUMMYFUNCTION("""COMPUTED_VALUE"""),7.84)</f>
        <v>7.84</v>
      </c>
      <c r="C1164" s="1">
        <f>IFERROR(__xludf.DUMMYFUNCTION("""COMPUTED_VALUE"""),7.89)</f>
        <v>7.89</v>
      </c>
      <c r="D1164" s="1">
        <f>IFERROR(__xludf.DUMMYFUNCTION("""COMPUTED_VALUE"""),7.74)</f>
        <v>7.74</v>
      </c>
      <c r="E1164" s="1">
        <f>IFERROR(__xludf.DUMMYFUNCTION("""COMPUTED_VALUE"""),7.83)</f>
        <v>7.83</v>
      </c>
      <c r="F1164" s="1">
        <f>IFERROR(__xludf.DUMMYFUNCTION("""COMPUTED_VALUE"""),980234.0)</f>
        <v>980234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IFERROR(__xludf.DUMMYFUNCTION("""COMPUTED_VALUE"""),7.79)</f>
        <v>7.79</v>
      </c>
      <c r="C1165" s="1">
        <f>IFERROR(__xludf.DUMMYFUNCTION("""COMPUTED_VALUE"""),7.82)</f>
        <v>7.82</v>
      </c>
      <c r="D1165" s="1">
        <f>IFERROR(__xludf.DUMMYFUNCTION("""COMPUTED_VALUE"""),7.76)</f>
        <v>7.76</v>
      </c>
      <c r="E1165" s="1">
        <f>IFERROR(__xludf.DUMMYFUNCTION("""COMPUTED_VALUE"""),7.81)</f>
        <v>7.81</v>
      </c>
      <c r="F1165" s="1">
        <f>IFERROR(__xludf.DUMMYFUNCTION("""COMPUTED_VALUE"""),1193855.0)</f>
        <v>1193855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IFERROR(__xludf.DUMMYFUNCTION("""COMPUTED_VALUE"""),7.82)</f>
        <v>7.82</v>
      </c>
      <c r="C1166" s="1">
        <f>IFERROR(__xludf.DUMMYFUNCTION("""COMPUTED_VALUE"""),7.85)</f>
        <v>7.85</v>
      </c>
      <c r="D1166" s="1">
        <f>IFERROR(__xludf.DUMMYFUNCTION("""COMPUTED_VALUE"""),7.79)</f>
        <v>7.79</v>
      </c>
      <c r="E1166" s="1">
        <f>IFERROR(__xludf.DUMMYFUNCTION("""COMPUTED_VALUE"""),7.84)</f>
        <v>7.84</v>
      </c>
      <c r="F1166" s="1">
        <f>IFERROR(__xludf.DUMMYFUNCTION("""COMPUTED_VALUE"""),1307515.0)</f>
        <v>1307515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IFERROR(__xludf.DUMMYFUNCTION("""COMPUTED_VALUE"""),7.8)</f>
        <v>7.8</v>
      </c>
      <c r="C1167" s="1">
        <f>IFERROR(__xludf.DUMMYFUNCTION("""COMPUTED_VALUE"""),7.83)</f>
        <v>7.83</v>
      </c>
      <c r="D1167" s="1">
        <f>IFERROR(__xludf.DUMMYFUNCTION("""COMPUTED_VALUE"""),7.78)</f>
        <v>7.78</v>
      </c>
      <c r="E1167" s="1">
        <f>IFERROR(__xludf.DUMMYFUNCTION("""COMPUTED_VALUE"""),7.81)</f>
        <v>7.81</v>
      </c>
      <c r="F1167" s="1">
        <f>IFERROR(__xludf.DUMMYFUNCTION("""COMPUTED_VALUE"""),1050099.0)</f>
        <v>1050099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IFERROR(__xludf.DUMMYFUNCTION("""COMPUTED_VALUE"""),7.62)</f>
        <v>7.62</v>
      </c>
      <c r="C1168" s="1">
        <f>IFERROR(__xludf.DUMMYFUNCTION("""COMPUTED_VALUE"""),7.74)</f>
        <v>7.74</v>
      </c>
      <c r="D1168" s="1">
        <f>IFERROR(__xludf.DUMMYFUNCTION("""COMPUTED_VALUE"""),7.6)</f>
        <v>7.6</v>
      </c>
      <c r="E1168" s="1">
        <f>IFERROR(__xludf.DUMMYFUNCTION("""COMPUTED_VALUE"""),7.72)</f>
        <v>7.72</v>
      </c>
      <c r="F1168" s="1">
        <f>IFERROR(__xludf.DUMMYFUNCTION("""COMPUTED_VALUE"""),1016096.0)</f>
        <v>1016096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IFERROR(__xludf.DUMMYFUNCTION("""COMPUTED_VALUE"""),7.7)</f>
        <v>7.7</v>
      </c>
      <c r="C1169" s="1">
        <f>IFERROR(__xludf.DUMMYFUNCTION("""COMPUTED_VALUE"""),7.72)</f>
        <v>7.72</v>
      </c>
      <c r="D1169" s="1">
        <f>IFERROR(__xludf.DUMMYFUNCTION("""COMPUTED_VALUE"""),7.65)</f>
        <v>7.65</v>
      </c>
      <c r="E1169" s="1">
        <f>IFERROR(__xludf.DUMMYFUNCTION("""COMPUTED_VALUE"""),7.68)</f>
        <v>7.68</v>
      </c>
      <c r="F1169" s="1">
        <f>IFERROR(__xludf.DUMMYFUNCTION("""COMPUTED_VALUE"""),725509.0)</f>
        <v>725509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IFERROR(__xludf.DUMMYFUNCTION("""COMPUTED_VALUE"""),7.73)</f>
        <v>7.73</v>
      </c>
      <c r="C1170" s="1">
        <f>IFERROR(__xludf.DUMMYFUNCTION("""COMPUTED_VALUE"""),7.74)</f>
        <v>7.74</v>
      </c>
      <c r="D1170" s="1">
        <f>IFERROR(__xludf.DUMMYFUNCTION("""COMPUTED_VALUE"""),7.68)</f>
        <v>7.68</v>
      </c>
      <c r="E1170" s="1">
        <f>IFERROR(__xludf.DUMMYFUNCTION("""COMPUTED_VALUE"""),7.73)</f>
        <v>7.73</v>
      </c>
      <c r="F1170" s="1">
        <f>IFERROR(__xludf.DUMMYFUNCTION("""COMPUTED_VALUE"""),1145474.0)</f>
        <v>1145474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IFERROR(__xludf.DUMMYFUNCTION("""COMPUTED_VALUE"""),7.88)</f>
        <v>7.88</v>
      </c>
      <c r="C1171" s="1">
        <f>IFERROR(__xludf.DUMMYFUNCTION("""COMPUTED_VALUE"""),7.97)</f>
        <v>7.97</v>
      </c>
      <c r="D1171" s="1">
        <f>IFERROR(__xludf.DUMMYFUNCTION("""COMPUTED_VALUE"""),7.85)</f>
        <v>7.85</v>
      </c>
      <c r="E1171" s="1">
        <f>IFERROR(__xludf.DUMMYFUNCTION("""COMPUTED_VALUE"""),7.91)</f>
        <v>7.91</v>
      </c>
      <c r="F1171" s="1">
        <f>IFERROR(__xludf.DUMMYFUNCTION("""COMPUTED_VALUE"""),1272668.0)</f>
        <v>1272668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IFERROR(__xludf.DUMMYFUNCTION("""COMPUTED_VALUE"""),7.98)</f>
        <v>7.98</v>
      </c>
      <c r="C1172" s="1">
        <f>IFERROR(__xludf.DUMMYFUNCTION("""COMPUTED_VALUE"""),8.0)</f>
        <v>8</v>
      </c>
      <c r="D1172" s="1">
        <f>IFERROR(__xludf.DUMMYFUNCTION("""COMPUTED_VALUE"""),7.95)</f>
        <v>7.95</v>
      </c>
      <c r="E1172" s="1">
        <f>IFERROR(__xludf.DUMMYFUNCTION("""COMPUTED_VALUE"""),8.0)</f>
        <v>8</v>
      </c>
      <c r="F1172" s="1">
        <f>IFERROR(__xludf.DUMMYFUNCTION("""COMPUTED_VALUE"""),874222.0)</f>
        <v>874222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IFERROR(__xludf.DUMMYFUNCTION("""COMPUTED_VALUE"""),7.89)</f>
        <v>7.89</v>
      </c>
      <c r="C1173" s="1">
        <f>IFERROR(__xludf.DUMMYFUNCTION("""COMPUTED_VALUE"""),7.94)</f>
        <v>7.94</v>
      </c>
      <c r="D1173" s="1">
        <f>IFERROR(__xludf.DUMMYFUNCTION("""COMPUTED_VALUE"""),7.87)</f>
        <v>7.87</v>
      </c>
      <c r="E1173" s="1">
        <f>IFERROR(__xludf.DUMMYFUNCTION("""COMPUTED_VALUE"""),7.93)</f>
        <v>7.93</v>
      </c>
      <c r="F1173" s="1">
        <f>IFERROR(__xludf.DUMMYFUNCTION("""COMPUTED_VALUE"""),739287.0)</f>
        <v>739287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IFERROR(__xludf.DUMMYFUNCTION("""COMPUTED_VALUE"""),7.95)</f>
        <v>7.95</v>
      </c>
      <c r="C1174" s="1">
        <f>IFERROR(__xludf.DUMMYFUNCTION("""COMPUTED_VALUE"""),7.95)</f>
        <v>7.95</v>
      </c>
      <c r="D1174" s="1">
        <f>IFERROR(__xludf.DUMMYFUNCTION("""COMPUTED_VALUE"""),7.9)</f>
        <v>7.9</v>
      </c>
      <c r="E1174" s="1">
        <f>IFERROR(__xludf.DUMMYFUNCTION("""COMPUTED_VALUE"""),7.93)</f>
        <v>7.93</v>
      </c>
      <c r="F1174" s="1">
        <f>IFERROR(__xludf.DUMMYFUNCTION("""COMPUTED_VALUE"""),608935.0)</f>
        <v>608935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IFERROR(__xludf.DUMMYFUNCTION("""COMPUTED_VALUE"""),7.99)</f>
        <v>7.99</v>
      </c>
      <c r="C1175" s="1">
        <f>IFERROR(__xludf.DUMMYFUNCTION("""COMPUTED_VALUE"""),8.06)</f>
        <v>8.06</v>
      </c>
      <c r="D1175" s="1">
        <f>IFERROR(__xludf.DUMMYFUNCTION("""COMPUTED_VALUE"""),7.98)</f>
        <v>7.98</v>
      </c>
      <c r="E1175" s="1">
        <f>IFERROR(__xludf.DUMMYFUNCTION("""COMPUTED_VALUE"""),8.06)</f>
        <v>8.06</v>
      </c>
      <c r="F1175" s="1">
        <f>IFERROR(__xludf.DUMMYFUNCTION("""COMPUTED_VALUE"""),876802.0)</f>
        <v>876802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IFERROR(__xludf.DUMMYFUNCTION("""COMPUTED_VALUE"""),8.28)</f>
        <v>8.28</v>
      </c>
      <c r="C1176" s="1">
        <f>IFERROR(__xludf.DUMMYFUNCTION("""COMPUTED_VALUE"""),8.32)</f>
        <v>8.32</v>
      </c>
      <c r="D1176" s="1">
        <f>IFERROR(__xludf.DUMMYFUNCTION("""COMPUTED_VALUE"""),8.25)</f>
        <v>8.25</v>
      </c>
      <c r="E1176" s="1">
        <f>IFERROR(__xludf.DUMMYFUNCTION("""COMPUTED_VALUE"""),8.25)</f>
        <v>8.25</v>
      </c>
      <c r="F1176" s="1">
        <f>IFERROR(__xludf.DUMMYFUNCTION("""COMPUTED_VALUE"""),1181397.0)</f>
        <v>1181397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IFERROR(__xludf.DUMMYFUNCTION("""COMPUTED_VALUE"""),8.29)</f>
        <v>8.29</v>
      </c>
      <c r="C1177" s="1">
        <f>IFERROR(__xludf.DUMMYFUNCTION("""COMPUTED_VALUE"""),8.33)</f>
        <v>8.33</v>
      </c>
      <c r="D1177" s="1">
        <f>IFERROR(__xludf.DUMMYFUNCTION("""COMPUTED_VALUE"""),8.17)</f>
        <v>8.17</v>
      </c>
      <c r="E1177" s="1">
        <f>IFERROR(__xludf.DUMMYFUNCTION("""COMPUTED_VALUE"""),8.2)</f>
        <v>8.2</v>
      </c>
      <c r="F1177" s="1">
        <f>IFERROR(__xludf.DUMMYFUNCTION("""COMPUTED_VALUE"""),865672.0)</f>
        <v>865672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IFERROR(__xludf.DUMMYFUNCTION("""COMPUTED_VALUE"""),8.27)</f>
        <v>8.27</v>
      </c>
      <c r="C1178" s="1">
        <f>IFERROR(__xludf.DUMMYFUNCTION("""COMPUTED_VALUE"""),8.29)</f>
        <v>8.29</v>
      </c>
      <c r="D1178" s="1">
        <f>IFERROR(__xludf.DUMMYFUNCTION("""COMPUTED_VALUE"""),8.22)</f>
        <v>8.22</v>
      </c>
      <c r="E1178" s="1">
        <f>IFERROR(__xludf.DUMMYFUNCTION("""COMPUTED_VALUE"""),8.29)</f>
        <v>8.29</v>
      </c>
      <c r="F1178" s="1">
        <f>IFERROR(__xludf.DUMMYFUNCTION("""COMPUTED_VALUE"""),593452.0)</f>
        <v>593452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IFERROR(__xludf.DUMMYFUNCTION("""COMPUTED_VALUE"""),8.29)</f>
        <v>8.29</v>
      </c>
      <c r="C1179" s="1">
        <f>IFERROR(__xludf.DUMMYFUNCTION("""COMPUTED_VALUE"""),8.3)</f>
        <v>8.3</v>
      </c>
      <c r="D1179" s="1">
        <f>IFERROR(__xludf.DUMMYFUNCTION("""COMPUTED_VALUE"""),8.22)</f>
        <v>8.22</v>
      </c>
      <c r="E1179" s="1">
        <f>IFERROR(__xludf.DUMMYFUNCTION("""COMPUTED_VALUE"""),8.23)</f>
        <v>8.23</v>
      </c>
      <c r="F1179" s="1">
        <f>IFERROR(__xludf.DUMMYFUNCTION("""COMPUTED_VALUE"""),545154.0)</f>
        <v>545154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IFERROR(__xludf.DUMMYFUNCTION("""COMPUTED_VALUE"""),8.26)</f>
        <v>8.26</v>
      </c>
      <c r="C1180" s="1">
        <f>IFERROR(__xludf.DUMMYFUNCTION("""COMPUTED_VALUE"""),8.27)</f>
        <v>8.27</v>
      </c>
      <c r="D1180" s="1">
        <f>IFERROR(__xludf.DUMMYFUNCTION("""COMPUTED_VALUE"""),8.21)</f>
        <v>8.21</v>
      </c>
      <c r="E1180" s="1">
        <f>IFERROR(__xludf.DUMMYFUNCTION("""COMPUTED_VALUE"""),8.22)</f>
        <v>8.22</v>
      </c>
      <c r="F1180" s="1">
        <f>IFERROR(__xludf.DUMMYFUNCTION("""COMPUTED_VALUE"""),992103.0)</f>
        <v>992103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IFERROR(__xludf.DUMMYFUNCTION("""COMPUTED_VALUE"""),8.25)</f>
        <v>8.25</v>
      </c>
      <c r="C1181" s="1">
        <f>IFERROR(__xludf.DUMMYFUNCTION("""COMPUTED_VALUE"""),8.3)</f>
        <v>8.3</v>
      </c>
      <c r="D1181" s="1">
        <f>IFERROR(__xludf.DUMMYFUNCTION("""COMPUTED_VALUE"""),8.24)</f>
        <v>8.24</v>
      </c>
      <c r="E1181" s="1">
        <f>IFERROR(__xludf.DUMMYFUNCTION("""COMPUTED_VALUE"""),8.3)</f>
        <v>8.3</v>
      </c>
      <c r="F1181" s="1">
        <f>IFERROR(__xludf.DUMMYFUNCTION("""COMPUTED_VALUE"""),631151.0)</f>
        <v>631151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IFERROR(__xludf.DUMMYFUNCTION("""COMPUTED_VALUE"""),8.25)</f>
        <v>8.25</v>
      </c>
      <c r="C1182" s="1">
        <f>IFERROR(__xludf.DUMMYFUNCTION("""COMPUTED_VALUE"""),8.26)</f>
        <v>8.26</v>
      </c>
      <c r="D1182" s="1">
        <f>IFERROR(__xludf.DUMMYFUNCTION("""COMPUTED_VALUE"""),8.2)</f>
        <v>8.2</v>
      </c>
      <c r="E1182" s="1">
        <f>IFERROR(__xludf.DUMMYFUNCTION("""COMPUTED_VALUE"""),8.22)</f>
        <v>8.22</v>
      </c>
      <c r="F1182" s="1">
        <f>IFERROR(__xludf.DUMMYFUNCTION("""COMPUTED_VALUE"""),562003.0)</f>
        <v>562003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IFERROR(__xludf.DUMMYFUNCTION("""COMPUTED_VALUE"""),8.25)</f>
        <v>8.25</v>
      </c>
      <c r="C1183" s="1">
        <f>IFERROR(__xludf.DUMMYFUNCTION("""COMPUTED_VALUE"""),8.32)</f>
        <v>8.32</v>
      </c>
      <c r="D1183" s="1">
        <f>IFERROR(__xludf.DUMMYFUNCTION("""COMPUTED_VALUE"""),8.25)</f>
        <v>8.25</v>
      </c>
      <c r="E1183" s="1">
        <f>IFERROR(__xludf.DUMMYFUNCTION("""COMPUTED_VALUE"""),8.29)</f>
        <v>8.29</v>
      </c>
      <c r="F1183" s="1">
        <f>IFERROR(__xludf.DUMMYFUNCTION("""COMPUTED_VALUE"""),833549.0)</f>
        <v>833549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IFERROR(__xludf.DUMMYFUNCTION("""COMPUTED_VALUE"""),8.39)</f>
        <v>8.39</v>
      </c>
      <c r="C1184" s="1">
        <f>IFERROR(__xludf.DUMMYFUNCTION("""COMPUTED_VALUE"""),8.44)</f>
        <v>8.44</v>
      </c>
      <c r="D1184" s="1">
        <f>IFERROR(__xludf.DUMMYFUNCTION("""COMPUTED_VALUE"""),8.37)</f>
        <v>8.37</v>
      </c>
      <c r="E1184" s="1">
        <f>IFERROR(__xludf.DUMMYFUNCTION("""COMPUTED_VALUE"""),8.42)</f>
        <v>8.42</v>
      </c>
      <c r="F1184" s="1">
        <f>IFERROR(__xludf.DUMMYFUNCTION("""COMPUTED_VALUE"""),1231717.0)</f>
        <v>1231717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IFERROR(__xludf.DUMMYFUNCTION("""COMPUTED_VALUE"""),8.43)</f>
        <v>8.43</v>
      </c>
      <c r="C1185" s="1">
        <f>IFERROR(__xludf.DUMMYFUNCTION("""COMPUTED_VALUE"""),8.5)</f>
        <v>8.5</v>
      </c>
      <c r="D1185" s="1">
        <f>IFERROR(__xludf.DUMMYFUNCTION("""COMPUTED_VALUE"""),8.42)</f>
        <v>8.42</v>
      </c>
      <c r="E1185" s="1">
        <f>IFERROR(__xludf.DUMMYFUNCTION("""COMPUTED_VALUE"""),8.46)</f>
        <v>8.46</v>
      </c>
      <c r="F1185" s="1">
        <f>IFERROR(__xludf.DUMMYFUNCTION("""COMPUTED_VALUE"""),1391273.0)</f>
        <v>1391273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IFERROR(__xludf.DUMMYFUNCTION("""COMPUTED_VALUE"""),8.48)</f>
        <v>8.48</v>
      </c>
      <c r="C1186" s="1">
        <f>IFERROR(__xludf.DUMMYFUNCTION("""COMPUTED_VALUE"""),8.5)</f>
        <v>8.5</v>
      </c>
      <c r="D1186" s="1">
        <f>IFERROR(__xludf.DUMMYFUNCTION("""COMPUTED_VALUE"""),8.4)</f>
        <v>8.4</v>
      </c>
      <c r="E1186" s="1">
        <f>IFERROR(__xludf.DUMMYFUNCTION("""COMPUTED_VALUE"""),8.41)</f>
        <v>8.41</v>
      </c>
      <c r="F1186" s="1">
        <f>IFERROR(__xludf.DUMMYFUNCTION("""COMPUTED_VALUE"""),903149.0)</f>
        <v>903149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IFERROR(__xludf.DUMMYFUNCTION("""COMPUTED_VALUE"""),8.51)</f>
        <v>8.51</v>
      </c>
      <c r="C1187" s="1">
        <f>IFERROR(__xludf.DUMMYFUNCTION("""COMPUTED_VALUE"""),8.57)</f>
        <v>8.57</v>
      </c>
      <c r="D1187" s="1">
        <f>IFERROR(__xludf.DUMMYFUNCTION("""COMPUTED_VALUE"""),8.5)</f>
        <v>8.5</v>
      </c>
      <c r="E1187" s="1">
        <f>IFERROR(__xludf.DUMMYFUNCTION("""COMPUTED_VALUE"""),8.52)</f>
        <v>8.52</v>
      </c>
      <c r="F1187" s="1">
        <f>IFERROR(__xludf.DUMMYFUNCTION("""COMPUTED_VALUE"""),995498.0)</f>
        <v>995498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IFERROR(__xludf.DUMMYFUNCTION("""COMPUTED_VALUE"""),8.57)</f>
        <v>8.57</v>
      </c>
      <c r="C1188" s="1">
        <f>IFERROR(__xludf.DUMMYFUNCTION("""COMPUTED_VALUE"""),8.59)</f>
        <v>8.59</v>
      </c>
      <c r="D1188" s="1">
        <f>IFERROR(__xludf.DUMMYFUNCTION("""COMPUTED_VALUE"""),8.48)</f>
        <v>8.48</v>
      </c>
      <c r="E1188" s="1">
        <f>IFERROR(__xludf.DUMMYFUNCTION("""COMPUTED_VALUE"""),8.52)</f>
        <v>8.52</v>
      </c>
      <c r="F1188" s="1">
        <f>IFERROR(__xludf.DUMMYFUNCTION("""COMPUTED_VALUE"""),1068028.0)</f>
        <v>1068028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IFERROR(__xludf.DUMMYFUNCTION("""COMPUTED_VALUE"""),8.54)</f>
        <v>8.54</v>
      </c>
      <c r="C1189" s="1">
        <f>IFERROR(__xludf.DUMMYFUNCTION("""COMPUTED_VALUE"""),8.55)</f>
        <v>8.55</v>
      </c>
      <c r="D1189" s="1">
        <f>IFERROR(__xludf.DUMMYFUNCTION("""COMPUTED_VALUE"""),8.49)</f>
        <v>8.49</v>
      </c>
      <c r="E1189" s="1">
        <f>IFERROR(__xludf.DUMMYFUNCTION("""COMPUTED_VALUE"""),8.52)</f>
        <v>8.52</v>
      </c>
      <c r="F1189" s="1">
        <f>IFERROR(__xludf.DUMMYFUNCTION("""COMPUTED_VALUE"""),765314.0)</f>
        <v>765314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IFERROR(__xludf.DUMMYFUNCTION("""COMPUTED_VALUE"""),8.54)</f>
        <v>8.54</v>
      </c>
      <c r="C1190" s="1">
        <f>IFERROR(__xludf.DUMMYFUNCTION("""COMPUTED_VALUE"""),8.59)</f>
        <v>8.59</v>
      </c>
      <c r="D1190" s="1">
        <f>IFERROR(__xludf.DUMMYFUNCTION("""COMPUTED_VALUE"""),8.49)</f>
        <v>8.49</v>
      </c>
      <c r="E1190" s="1">
        <f>IFERROR(__xludf.DUMMYFUNCTION("""COMPUTED_VALUE"""),8.5)</f>
        <v>8.5</v>
      </c>
      <c r="F1190" s="1">
        <f>IFERROR(__xludf.DUMMYFUNCTION("""COMPUTED_VALUE"""),929338.0)</f>
        <v>929338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IFERROR(__xludf.DUMMYFUNCTION("""COMPUTED_VALUE"""),8.41)</f>
        <v>8.41</v>
      </c>
      <c r="C1191" s="1">
        <f>IFERROR(__xludf.DUMMYFUNCTION("""COMPUTED_VALUE"""),8.48)</f>
        <v>8.48</v>
      </c>
      <c r="D1191" s="1">
        <f>IFERROR(__xludf.DUMMYFUNCTION("""COMPUTED_VALUE"""),8.4)</f>
        <v>8.4</v>
      </c>
      <c r="E1191" s="1">
        <f>IFERROR(__xludf.DUMMYFUNCTION("""COMPUTED_VALUE"""),8.47)</f>
        <v>8.47</v>
      </c>
      <c r="F1191" s="1">
        <f>IFERROR(__xludf.DUMMYFUNCTION("""COMPUTED_VALUE"""),704824.0)</f>
        <v>704824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IFERROR(__xludf.DUMMYFUNCTION("""COMPUTED_VALUE"""),8.46)</f>
        <v>8.46</v>
      </c>
      <c r="C1192" s="1">
        <f>IFERROR(__xludf.DUMMYFUNCTION("""COMPUTED_VALUE"""),8.48)</f>
        <v>8.48</v>
      </c>
      <c r="D1192" s="1">
        <f>IFERROR(__xludf.DUMMYFUNCTION("""COMPUTED_VALUE"""),8.35)</f>
        <v>8.35</v>
      </c>
      <c r="E1192" s="1">
        <f>IFERROR(__xludf.DUMMYFUNCTION("""COMPUTED_VALUE"""),8.37)</f>
        <v>8.37</v>
      </c>
      <c r="F1192" s="1">
        <f>IFERROR(__xludf.DUMMYFUNCTION("""COMPUTED_VALUE"""),690271.0)</f>
        <v>690271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IFERROR(__xludf.DUMMYFUNCTION("""COMPUTED_VALUE"""),8.36)</f>
        <v>8.36</v>
      </c>
      <c r="C1193" s="1">
        <f>IFERROR(__xludf.DUMMYFUNCTION("""COMPUTED_VALUE"""),8.41)</f>
        <v>8.41</v>
      </c>
      <c r="D1193" s="1">
        <f>IFERROR(__xludf.DUMMYFUNCTION("""COMPUTED_VALUE"""),8.32)</f>
        <v>8.32</v>
      </c>
      <c r="E1193" s="1">
        <f>IFERROR(__xludf.DUMMYFUNCTION("""COMPUTED_VALUE"""),8.38)</f>
        <v>8.38</v>
      </c>
      <c r="F1193" s="1">
        <f>IFERROR(__xludf.DUMMYFUNCTION("""COMPUTED_VALUE"""),494374.0)</f>
        <v>494374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IFERROR(__xludf.DUMMYFUNCTION("""COMPUTED_VALUE"""),8.35)</f>
        <v>8.35</v>
      </c>
      <c r="C1194" s="1">
        <f>IFERROR(__xludf.DUMMYFUNCTION("""COMPUTED_VALUE"""),8.38)</f>
        <v>8.38</v>
      </c>
      <c r="D1194" s="1">
        <f>IFERROR(__xludf.DUMMYFUNCTION("""COMPUTED_VALUE"""),8.31)</f>
        <v>8.31</v>
      </c>
      <c r="E1194" s="1">
        <f>IFERROR(__xludf.DUMMYFUNCTION("""COMPUTED_VALUE"""),8.34)</f>
        <v>8.34</v>
      </c>
      <c r="F1194" s="1">
        <f>IFERROR(__xludf.DUMMYFUNCTION("""COMPUTED_VALUE"""),687914.0)</f>
        <v>687914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IFERROR(__xludf.DUMMYFUNCTION("""COMPUTED_VALUE"""),8.26)</f>
        <v>8.26</v>
      </c>
      <c r="C1195" s="1">
        <f>IFERROR(__xludf.DUMMYFUNCTION("""COMPUTED_VALUE"""),8.29)</f>
        <v>8.29</v>
      </c>
      <c r="D1195" s="1">
        <f>IFERROR(__xludf.DUMMYFUNCTION("""COMPUTED_VALUE"""),8.2)</f>
        <v>8.2</v>
      </c>
      <c r="E1195" s="1">
        <f>IFERROR(__xludf.DUMMYFUNCTION("""COMPUTED_VALUE"""),8.22)</f>
        <v>8.22</v>
      </c>
      <c r="F1195" s="1">
        <f>IFERROR(__xludf.DUMMYFUNCTION("""COMPUTED_VALUE"""),640458.0)</f>
        <v>640458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IFERROR(__xludf.DUMMYFUNCTION("""COMPUTED_VALUE"""),8.3)</f>
        <v>8.3</v>
      </c>
      <c r="C1196" s="1">
        <f>IFERROR(__xludf.DUMMYFUNCTION("""COMPUTED_VALUE"""),8.32)</f>
        <v>8.32</v>
      </c>
      <c r="D1196" s="1">
        <f>IFERROR(__xludf.DUMMYFUNCTION("""COMPUTED_VALUE"""),8.15)</f>
        <v>8.15</v>
      </c>
      <c r="E1196" s="1">
        <f>IFERROR(__xludf.DUMMYFUNCTION("""COMPUTED_VALUE"""),8.18)</f>
        <v>8.18</v>
      </c>
      <c r="F1196" s="1">
        <f>IFERROR(__xludf.DUMMYFUNCTION("""COMPUTED_VALUE"""),816247.0)</f>
        <v>816247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IFERROR(__xludf.DUMMYFUNCTION("""COMPUTED_VALUE"""),8.15)</f>
        <v>8.15</v>
      </c>
      <c r="C1197" s="1">
        <f>IFERROR(__xludf.DUMMYFUNCTION("""COMPUTED_VALUE"""),8.15)</f>
        <v>8.15</v>
      </c>
      <c r="D1197" s="1">
        <f>IFERROR(__xludf.DUMMYFUNCTION("""COMPUTED_VALUE"""),8.0)</f>
        <v>8</v>
      </c>
      <c r="E1197" s="1">
        <f>IFERROR(__xludf.DUMMYFUNCTION("""COMPUTED_VALUE"""),8.1)</f>
        <v>8.1</v>
      </c>
      <c r="F1197" s="1">
        <f>IFERROR(__xludf.DUMMYFUNCTION("""COMPUTED_VALUE"""),1126475.0)</f>
        <v>1126475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IFERROR(__xludf.DUMMYFUNCTION("""COMPUTED_VALUE"""),8.1)</f>
        <v>8.1</v>
      </c>
      <c r="C1198" s="1">
        <f>IFERROR(__xludf.DUMMYFUNCTION("""COMPUTED_VALUE"""),8.15)</f>
        <v>8.15</v>
      </c>
      <c r="D1198" s="1">
        <f>IFERROR(__xludf.DUMMYFUNCTION("""COMPUTED_VALUE"""),8.09)</f>
        <v>8.09</v>
      </c>
      <c r="E1198" s="1">
        <f>IFERROR(__xludf.DUMMYFUNCTION("""COMPUTED_VALUE"""),8.13)</f>
        <v>8.13</v>
      </c>
      <c r="F1198" s="1">
        <f>IFERROR(__xludf.DUMMYFUNCTION("""COMPUTED_VALUE"""),1010849.0)</f>
        <v>1010849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IFERROR(__xludf.DUMMYFUNCTION("""COMPUTED_VALUE"""),8.2)</f>
        <v>8.2</v>
      </c>
      <c r="C1199" s="1">
        <f>IFERROR(__xludf.DUMMYFUNCTION("""COMPUTED_VALUE"""),8.21)</f>
        <v>8.21</v>
      </c>
      <c r="D1199" s="1">
        <f>IFERROR(__xludf.DUMMYFUNCTION("""COMPUTED_VALUE"""),8.14)</f>
        <v>8.14</v>
      </c>
      <c r="E1199" s="1">
        <f>IFERROR(__xludf.DUMMYFUNCTION("""COMPUTED_VALUE"""),8.18)</f>
        <v>8.18</v>
      </c>
      <c r="F1199" s="1">
        <f>IFERROR(__xludf.DUMMYFUNCTION("""COMPUTED_VALUE"""),514079.0)</f>
        <v>514079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IFERROR(__xludf.DUMMYFUNCTION("""COMPUTED_VALUE"""),8.13)</f>
        <v>8.13</v>
      </c>
      <c r="C1200" s="1">
        <f>IFERROR(__xludf.DUMMYFUNCTION("""COMPUTED_VALUE"""),8.13)</f>
        <v>8.13</v>
      </c>
      <c r="D1200" s="1">
        <f>IFERROR(__xludf.DUMMYFUNCTION("""COMPUTED_VALUE"""),8.0)</f>
        <v>8</v>
      </c>
      <c r="E1200" s="1">
        <f>IFERROR(__xludf.DUMMYFUNCTION("""COMPUTED_VALUE"""),8.01)</f>
        <v>8.01</v>
      </c>
      <c r="F1200" s="1">
        <f>IFERROR(__xludf.DUMMYFUNCTION("""COMPUTED_VALUE"""),710719.0)</f>
        <v>710719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IFERROR(__xludf.DUMMYFUNCTION("""COMPUTED_VALUE"""),8.05)</f>
        <v>8.05</v>
      </c>
      <c r="C1201" s="1">
        <f>IFERROR(__xludf.DUMMYFUNCTION("""COMPUTED_VALUE"""),8.15)</f>
        <v>8.15</v>
      </c>
      <c r="D1201" s="1">
        <f>IFERROR(__xludf.DUMMYFUNCTION("""COMPUTED_VALUE"""),7.97)</f>
        <v>7.97</v>
      </c>
      <c r="E1201" s="1">
        <f>IFERROR(__xludf.DUMMYFUNCTION("""COMPUTED_VALUE"""),8.14)</f>
        <v>8.14</v>
      </c>
      <c r="F1201" s="1">
        <f>IFERROR(__xludf.DUMMYFUNCTION("""COMPUTED_VALUE"""),870243.0)</f>
        <v>870243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IFERROR(__xludf.DUMMYFUNCTION("""COMPUTED_VALUE"""),8.04)</f>
        <v>8.04</v>
      </c>
      <c r="C1202" s="1">
        <f>IFERROR(__xludf.DUMMYFUNCTION("""COMPUTED_VALUE"""),8.07)</f>
        <v>8.07</v>
      </c>
      <c r="D1202" s="1">
        <f>IFERROR(__xludf.DUMMYFUNCTION("""COMPUTED_VALUE"""),7.85)</f>
        <v>7.85</v>
      </c>
      <c r="E1202" s="1">
        <f>IFERROR(__xludf.DUMMYFUNCTION("""COMPUTED_VALUE"""),7.87)</f>
        <v>7.87</v>
      </c>
      <c r="F1202" s="1">
        <f>IFERROR(__xludf.DUMMYFUNCTION("""COMPUTED_VALUE"""),798242.0)</f>
        <v>798242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IFERROR(__xludf.DUMMYFUNCTION("""COMPUTED_VALUE"""),7.86)</f>
        <v>7.86</v>
      </c>
      <c r="C1203" s="1">
        <f>IFERROR(__xludf.DUMMYFUNCTION("""COMPUTED_VALUE"""),7.91)</f>
        <v>7.91</v>
      </c>
      <c r="D1203" s="1">
        <f>IFERROR(__xludf.DUMMYFUNCTION("""COMPUTED_VALUE"""),7.73)</f>
        <v>7.73</v>
      </c>
      <c r="E1203" s="1">
        <f>IFERROR(__xludf.DUMMYFUNCTION("""COMPUTED_VALUE"""),7.73)</f>
        <v>7.73</v>
      </c>
      <c r="F1203" s="1">
        <f>IFERROR(__xludf.DUMMYFUNCTION("""COMPUTED_VALUE"""),734543.0)</f>
        <v>734543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IFERROR(__xludf.DUMMYFUNCTION("""COMPUTED_VALUE"""),7.87)</f>
        <v>7.87</v>
      </c>
      <c r="C1204" s="1">
        <f>IFERROR(__xludf.DUMMYFUNCTION("""COMPUTED_VALUE"""),7.91)</f>
        <v>7.91</v>
      </c>
      <c r="D1204" s="1">
        <f>IFERROR(__xludf.DUMMYFUNCTION("""COMPUTED_VALUE"""),7.76)</f>
        <v>7.76</v>
      </c>
      <c r="E1204" s="1">
        <f>IFERROR(__xludf.DUMMYFUNCTION("""COMPUTED_VALUE"""),7.77)</f>
        <v>7.77</v>
      </c>
      <c r="F1204" s="1">
        <f>IFERROR(__xludf.DUMMYFUNCTION("""COMPUTED_VALUE"""),896971.0)</f>
        <v>896971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IFERROR(__xludf.DUMMYFUNCTION("""COMPUTED_VALUE"""),7.82)</f>
        <v>7.82</v>
      </c>
      <c r="C1205" s="1">
        <f>IFERROR(__xludf.DUMMYFUNCTION("""COMPUTED_VALUE"""),7.9)</f>
        <v>7.9</v>
      </c>
      <c r="D1205" s="1">
        <f>IFERROR(__xludf.DUMMYFUNCTION("""COMPUTED_VALUE"""),7.8)</f>
        <v>7.8</v>
      </c>
      <c r="E1205" s="1">
        <f>IFERROR(__xludf.DUMMYFUNCTION("""COMPUTED_VALUE"""),7.8)</f>
        <v>7.8</v>
      </c>
      <c r="F1205" s="1">
        <f>IFERROR(__xludf.DUMMYFUNCTION("""COMPUTED_VALUE"""),844159.0)</f>
        <v>844159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IFERROR(__xludf.DUMMYFUNCTION("""COMPUTED_VALUE"""),7.69)</f>
        <v>7.69</v>
      </c>
      <c r="C1206" s="1">
        <f>IFERROR(__xludf.DUMMYFUNCTION("""COMPUTED_VALUE"""),7.71)</f>
        <v>7.71</v>
      </c>
      <c r="D1206" s="1">
        <f>IFERROR(__xludf.DUMMYFUNCTION("""COMPUTED_VALUE"""),7.48)</f>
        <v>7.48</v>
      </c>
      <c r="E1206" s="1">
        <f>IFERROR(__xludf.DUMMYFUNCTION("""COMPUTED_VALUE"""),7.68)</f>
        <v>7.68</v>
      </c>
      <c r="F1206" s="1">
        <f>IFERROR(__xludf.DUMMYFUNCTION("""COMPUTED_VALUE"""),1808755.0)</f>
        <v>1808755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IFERROR(__xludf.DUMMYFUNCTION("""COMPUTED_VALUE"""),7.43)</f>
        <v>7.43</v>
      </c>
      <c r="C1207" s="1">
        <f>IFERROR(__xludf.DUMMYFUNCTION("""COMPUTED_VALUE"""),7.57)</f>
        <v>7.57</v>
      </c>
      <c r="D1207" s="1">
        <f>IFERROR(__xludf.DUMMYFUNCTION("""COMPUTED_VALUE"""),7.41)</f>
        <v>7.41</v>
      </c>
      <c r="E1207" s="1">
        <f>IFERROR(__xludf.DUMMYFUNCTION("""COMPUTED_VALUE"""),7.48)</f>
        <v>7.48</v>
      </c>
      <c r="F1207" s="1">
        <f>IFERROR(__xludf.DUMMYFUNCTION("""COMPUTED_VALUE"""),1481029.0)</f>
        <v>1481029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IFERROR(__xludf.DUMMYFUNCTION("""COMPUTED_VALUE"""),7.7)</f>
        <v>7.7</v>
      </c>
      <c r="C1208" s="1">
        <f>IFERROR(__xludf.DUMMYFUNCTION("""COMPUTED_VALUE"""),7.71)</f>
        <v>7.71</v>
      </c>
      <c r="D1208" s="1">
        <f>IFERROR(__xludf.DUMMYFUNCTION("""COMPUTED_VALUE"""),7.64)</f>
        <v>7.64</v>
      </c>
      <c r="E1208" s="1">
        <f>IFERROR(__xludf.DUMMYFUNCTION("""COMPUTED_VALUE"""),7.68)</f>
        <v>7.68</v>
      </c>
      <c r="F1208" s="1">
        <f>IFERROR(__xludf.DUMMYFUNCTION("""COMPUTED_VALUE"""),821949.0)</f>
        <v>821949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IFERROR(__xludf.DUMMYFUNCTION("""COMPUTED_VALUE"""),7.65)</f>
        <v>7.65</v>
      </c>
      <c r="C1209" s="1">
        <f>IFERROR(__xludf.DUMMYFUNCTION("""COMPUTED_VALUE"""),7.71)</f>
        <v>7.71</v>
      </c>
      <c r="D1209" s="1">
        <f>IFERROR(__xludf.DUMMYFUNCTION("""COMPUTED_VALUE"""),7.63)</f>
        <v>7.63</v>
      </c>
      <c r="E1209" s="1">
        <f>IFERROR(__xludf.DUMMYFUNCTION("""COMPUTED_VALUE"""),7.71)</f>
        <v>7.71</v>
      </c>
      <c r="F1209" s="1">
        <f>IFERROR(__xludf.DUMMYFUNCTION("""COMPUTED_VALUE"""),862376.0)</f>
        <v>862376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IFERROR(__xludf.DUMMYFUNCTION("""COMPUTED_VALUE"""),7.83)</f>
        <v>7.83</v>
      </c>
      <c r="C1210" s="1">
        <f>IFERROR(__xludf.DUMMYFUNCTION("""COMPUTED_VALUE"""),7.86)</f>
        <v>7.86</v>
      </c>
      <c r="D1210" s="1">
        <f>IFERROR(__xludf.DUMMYFUNCTION("""COMPUTED_VALUE"""),7.77)</f>
        <v>7.77</v>
      </c>
      <c r="E1210" s="1">
        <f>IFERROR(__xludf.DUMMYFUNCTION("""COMPUTED_VALUE"""),7.84)</f>
        <v>7.84</v>
      </c>
      <c r="F1210" s="1">
        <f>IFERROR(__xludf.DUMMYFUNCTION("""COMPUTED_VALUE"""),962385.0)</f>
        <v>962385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IFERROR(__xludf.DUMMYFUNCTION("""COMPUTED_VALUE"""),7.78)</f>
        <v>7.78</v>
      </c>
      <c r="C1211" s="1">
        <f>IFERROR(__xludf.DUMMYFUNCTION("""COMPUTED_VALUE"""),7.85)</f>
        <v>7.85</v>
      </c>
      <c r="D1211" s="1">
        <f>IFERROR(__xludf.DUMMYFUNCTION("""COMPUTED_VALUE"""),7.72)</f>
        <v>7.72</v>
      </c>
      <c r="E1211" s="1">
        <f>IFERROR(__xludf.DUMMYFUNCTION("""COMPUTED_VALUE"""),7.73)</f>
        <v>7.73</v>
      </c>
      <c r="F1211" s="1">
        <f>IFERROR(__xludf.DUMMYFUNCTION("""COMPUTED_VALUE"""),1133162.0)</f>
        <v>1133162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IFERROR(__xludf.DUMMYFUNCTION("""COMPUTED_VALUE"""),7.88)</f>
        <v>7.88</v>
      </c>
      <c r="C1212" s="1">
        <f>IFERROR(__xludf.DUMMYFUNCTION("""COMPUTED_VALUE"""),7.89)</f>
        <v>7.89</v>
      </c>
      <c r="D1212" s="1">
        <f>IFERROR(__xludf.DUMMYFUNCTION("""COMPUTED_VALUE"""),7.82)</f>
        <v>7.82</v>
      </c>
      <c r="E1212" s="1">
        <f>IFERROR(__xludf.DUMMYFUNCTION("""COMPUTED_VALUE"""),7.84)</f>
        <v>7.84</v>
      </c>
      <c r="F1212" s="1">
        <f>IFERROR(__xludf.DUMMYFUNCTION("""COMPUTED_VALUE"""),659992.0)</f>
        <v>659992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IFERROR(__xludf.DUMMYFUNCTION("""COMPUTED_VALUE"""),7.88)</f>
        <v>7.88</v>
      </c>
      <c r="C1213" s="1">
        <f>IFERROR(__xludf.DUMMYFUNCTION("""COMPUTED_VALUE"""),7.92)</f>
        <v>7.92</v>
      </c>
      <c r="D1213" s="1">
        <f>IFERROR(__xludf.DUMMYFUNCTION("""COMPUTED_VALUE"""),7.85)</f>
        <v>7.85</v>
      </c>
      <c r="E1213" s="1">
        <f>IFERROR(__xludf.DUMMYFUNCTION("""COMPUTED_VALUE"""),7.92)</f>
        <v>7.92</v>
      </c>
      <c r="F1213" s="1">
        <f>IFERROR(__xludf.DUMMYFUNCTION("""COMPUTED_VALUE"""),530984.0)</f>
        <v>530984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IFERROR(__xludf.DUMMYFUNCTION("""COMPUTED_VALUE"""),7.86)</f>
        <v>7.86</v>
      </c>
      <c r="C1214" s="1">
        <f>IFERROR(__xludf.DUMMYFUNCTION("""COMPUTED_VALUE"""),7.93)</f>
        <v>7.93</v>
      </c>
      <c r="D1214" s="1">
        <f>IFERROR(__xludf.DUMMYFUNCTION("""COMPUTED_VALUE"""),7.81)</f>
        <v>7.81</v>
      </c>
      <c r="E1214" s="1">
        <f>IFERROR(__xludf.DUMMYFUNCTION("""COMPUTED_VALUE"""),7.86)</f>
        <v>7.86</v>
      </c>
      <c r="F1214" s="1">
        <f>IFERROR(__xludf.DUMMYFUNCTION("""COMPUTED_VALUE"""),650509.0)</f>
        <v>650509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IFERROR(__xludf.DUMMYFUNCTION("""COMPUTED_VALUE"""),8.0)</f>
        <v>8</v>
      </c>
      <c r="C1215" s="1">
        <f>IFERROR(__xludf.DUMMYFUNCTION("""COMPUTED_VALUE"""),8.04)</f>
        <v>8.04</v>
      </c>
      <c r="D1215" s="1">
        <f>IFERROR(__xludf.DUMMYFUNCTION("""COMPUTED_VALUE"""),7.98)</f>
        <v>7.98</v>
      </c>
      <c r="E1215" s="1">
        <f>IFERROR(__xludf.DUMMYFUNCTION("""COMPUTED_VALUE"""),8.03)</f>
        <v>8.03</v>
      </c>
      <c r="F1215" s="1">
        <f>IFERROR(__xludf.DUMMYFUNCTION("""COMPUTED_VALUE"""),495745.0)</f>
        <v>495745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IFERROR(__xludf.DUMMYFUNCTION("""COMPUTED_VALUE"""),8.0)</f>
        <v>8</v>
      </c>
      <c r="C1216" s="1">
        <f>IFERROR(__xludf.DUMMYFUNCTION("""COMPUTED_VALUE"""),8.05)</f>
        <v>8.05</v>
      </c>
      <c r="D1216" s="1">
        <f>IFERROR(__xludf.DUMMYFUNCTION("""COMPUTED_VALUE"""),7.9)</f>
        <v>7.9</v>
      </c>
      <c r="E1216" s="1">
        <f>IFERROR(__xludf.DUMMYFUNCTION("""COMPUTED_VALUE"""),7.94)</f>
        <v>7.94</v>
      </c>
      <c r="F1216" s="1">
        <f>IFERROR(__xludf.DUMMYFUNCTION("""COMPUTED_VALUE"""),934473.0)</f>
        <v>934473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IFERROR(__xludf.DUMMYFUNCTION("""COMPUTED_VALUE"""),7.92)</f>
        <v>7.92</v>
      </c>
      <c r="C1217" s="1">
        <f>IFERROR(__xludf.DUMMYFUNCTION("""COMPUTED_VALUE"""),8.05)</f>
        <v>8.05</v>
      </c>
      <c r="D1217" s="1">
        <f>IFERROR(__xludf.DUMMYFUNCTION("""COMPUTED_VALUE"""),7.92)</f>
        <v>7.92</v>
      </c>
      <c r="E1217" s="1">
        <f>IFERROR(__xludf.DUMMYFUNCTION("""COMPUTED_VALUE"""),8.03)</f>
        <v>8.03</v>
      </c>
      <c r="F1217" s="1">
        <f>IFERROR(__xludf.DUMMYFUNCTION("""COMPUTED_VALUE"""),476566.0)</f>
        <v>476566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IFERROR(__xludf.DUMMYFUNCTION("""COMPUTED_VALUE"""),8.08)</f>
        <v>8.08</v>
      </c>
      <c r="C1218" s="1">
        <f>IFERROR(__xludf.DUMMYFUNCTION("""COMPUTED_VALUE"""),8.18)</f>
        <v>8.18</v>
      </c>
      <c r="D1218" s="1">
        <f>IFERROR(__xludf.DUMMYFUNCTION("""COMPUTED_VALUE"""),8.07)</f>
        <v>8.07</v>
      </c>
      <c r="E1218" s="1">
        <f>IFERROR(__xludf.DUMMYFUNCTION("""COMPUTED_VALUE"""),8.17)</f>
        <v>8.17</v>
      </c>
      <c r="F1218" s="1">
        <f>IFERROR(__xludf.DUMMYFUNCTION("""COMPUTED_VALUE"""),701545.0)</f>
        <v>701545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IFERROR(__xludf.DUMMYFUNCTION("""COMPUTED_VALUE"""),8.1)</f>
        <v>8.1</v>
      </c>
      <c r="C1219" s="1">
        <f>IFERROR(__xludf.DUMMYFUNCTION("""COMPUTED_VALUE"""),8.11)</f>
        <v>8.11</v>
      </c>
      <c r="D1219" s="1">
        <f>IFERROR(__xludf.DUMMYFUNCTION("""COMPUTED_VALUE"""),8.03)</f>
        <v>8.03</v>
      </c>
      <c r="E1219" s="1">
        <f>IFERROR(__xludf.DUMMYFUNCTION("""COMPUTED_VALUE"""),8.06)</f>
        <v>8.06</v>
      </c>
      <c r="F1219" s="1">
        <f>IFERROR(__xludf.DUMMYFUNCTION("""COMPUTED_VALUE"""),648296.0)</f>
        <v>648296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IFERROR(__xludf.DUMMYFUNCTION("""COMPUTED_VALUE"""),8.07)</f>
        <v>8.07</v>
      </c>
      <c r="C1220" s="1">
        <f>IFERROR(__xludf.DUMMYFUNCTION("""COMPUTED_VALUE"""),8.11)</f>
        <v>8.11</v>
      </c>
      <c r="D1220" s="1">
        <f>IFERROR(__xludf.DUMMYFUNCTION("""COMPUTED_VALUE"""),8.03)</f>
        <v>8.03</v>
      </c>
      <c r="E1220" s="1">
        <f>IFERROR(__xludf.DUMMYFUNCTION("""COMPUTED_VALUE"""),8.08)</f>
        <v>8.08</v>
      </c>
      <c r="F1220" s="1">
        <f>IFERROR(__xludf.DUMMYFUNCTION("""COMPUTED_VALUE"""),560286.0)</f>
        <v>560286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IFERROR(__xludf.DUMMYFUNCTION("""COMPUTED_VALUE"""),8.14)</f>
        <v>8.14</v>
      </c>
      <c r="C1221" s="1">
        <f>IFERROR(__xludf.DUMMYFUNCTION("""COMPUTED_VALUE"""),8.17)</f>
        <v>8.17</v>
      </c>
      <c r="D1221" s="1">
        <f>IFERROR(__xludf.DUMMYFUNCTION("""COMPUTED_VALUE"""),8.1)</f>
        <v>8.1</v>
      </c>
      <c r="E1221" s="1">
        <f>IFERROR(__xludf.DUMMYFUNCTION("""COMPUTED_VALUE"""),8.14)</f>
        <v>8.14</v>
      </c>
      <c r="F1221" s="1">
        <f>IFERROR(__xludf.DUMMYFUNCTION("""COMPUTED_VALUE"""),626801.0)</f>
        <v>626801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IFERROR(__xludf.DUMMYFUNCTION("""COMPUTED_VALUE"""),8.19)</f>
        <v>8.19</v>
      </c>
      <c r="C1222" s="1">
        <f>IFERROR(__xludf.DUMMYFUNCTION("""COMPUTED_VALUE"""),8.26)</f>
        <v>8.26</v>
      </c>
      <c r="D1222" s="1">
        <f>IFERROR(__xludf.DUMMYFUNCTION("""COMPUTED_VALUE"""),8.12)</f>
        <v>8.12</v>
      </c>
      <c r="E1222" s="1">
        <f>IFERROR(__xludf.DUMMYFUNCTION("""COMPUTED_VALUE"""),8.14)</f>
        <v>8.14</v>
      </c>
      <c r="F1222" s="1">
        <f>IFERROR(__xludf.DUMMYFUNCTION("""COMPUTED_VALUE"""),737298.0)</f>
        <v>737298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IFERROR(__xludf.DUMMYFUNCTION("""COMPUTED_VALUE"""),8.16)</f>
        <v>8.16</v>
      </c>
      <c r="C1223" s="1">
        <f>IFERROR(__xludf.DUMMYFUNCTION("""COMPUTED_VALUE"""),8.2)</f>
        <v>8.2</v>
      </c>
      <c r="D1223" s="1">
        <f>IFERROR(__xludf.DUMMYFUNCTION("""COMPUTED_VALUE"""),8.11)</f>
        <v>8.11</v>
      </c>
      <c r="E1223" s="1">
        <f>IFERROR(__xludf.DUMMYFUNCTION("""COMPUTED_VALUE"""),8.19)</f>
        <v>8.19</v>
      </c>
      <c r="F1223" s="1">
        <f>IFERROR(__xludf.DUMMYFUNCTION("""COMPUTED_VALUE"""),701059.0)</f>
        <v>701059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IFERROR(__xludf.DUMMYFUNCTION("""COMPUTED_VALUE"""),8.25)</f>
        <v>8.25</v>
      </c>
      <c r="C1224" s="1">
        <f>IFERROR(__xludf.DUMMYFUNCTION("""COMPUTED_VALUE"""),8.28)</f>
        <v>8.28</v>
      </c>
      <c r="D1224" s="1">
        <f>IFERROR(__xludf.DUMMYFUNCTION("""COMPUTED_VALUE"""),8.22)</f>
        <v>8.22</v>
      </c>
      <c r="E1224" s="1">
        <f>IFERROR(__xludf.DUMMYFUNCTION("""COMPUTED_VALUE"""),8.27)</f>
        <v>8.27</v>
      </c>
      <c r="F1224" s="1">
        <f>IFERROR(__xludf.DUMMYFUNCTION("""COMPUTED_VALUE"""),994453.0)</f>
        <v>994453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IFERROR(__xludf.DUMMYFUNCTION("""COMPUTED_VALUE"""),8.3)</f>
        <v>8.3</v>
      </c>
      <c r="C1225" s="1">
        <f>IFERROR(__xludf.DUMMYFUNCTION("""COMPUTED_VALUE"""),8.31)</f>
        <v>8.31</v>
      </c>
      <c r="D1225" s="1">
        <f>IFERROR(__xludf.DUMMYFUNCTION("""COMPUTED_VALUE"""),8.23)</f>
        <v>8.23</v>
      </c>
      <c r="E1225" s="1">
        <f>IFERROR(__xludf.DUMMYFUNCTION("""COMPUTED_VALUE"""),8.26)</f>
        <v>8.26</v>
      </c>
      <c r="F1225" s="1">
        <f>IFERROR(__xludf.DUMMYFUNCTION("""COMPUTED_VALUE"""),953438.0)</f>
        <v>953438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IFERROR(__xludf.DUMMYFUNCTION("""COMPUTED_VALUE"""),8.11)</f>
        <v>8.11</v>
      </c>
      <c r="C1226" s="1">
        <f>IFERROR(__xludf.DUMMYFUNCTION("""COMPUTED_VALUE"""),8.15)</f>
        <v>8.15</v>
      </c>
      <c r="D1226" s="1">
        <f>IFERROR(__xludf.DUMMYFUNCTION("""COMPUTED_VALUE"""),8.09)</f>
        <v>8.09</v>
      </c>
      <c r="E1226" s="1">
        <f>IFERROR(__xludf.DUMMYFUNCTION("""COMPUTED_VALUE"""),8.14)</f>
        <v>8.14</v>
      </c>
      <c r="F1226" s="1">
        <f>IFERROR(__xludf.DUMMYFUNCTION("""COMPUTED_VALUE"""),398836.0)</f>
        <v>398836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IFERROR(__xludf.DUMMYFUNCTION("""COMPUTED_VALUE"""),7.54)</f>
        <v>7.54</v>
      </c>
      <c r="C1227" s="1">
        <f>IFERROR(__xludf.DUMMYFUNCTION("""COMPUTED_VALUE"""),7.76)</f>
        <v>7.76</v>
      </c>
      <c r="D1227" s="1">
        <f>IFERROR(__xludf.DUMMYFUNCTION("""COMPUTED_VALUE"""),7.52)</f>
        <v>7.52</v>
      </c>
      <c r="E1227" s="1">
        <f>IFERROR(__xludf.DUMMYFUNCTION("""COMPUTED_VALUE"""),7.64)</f>
        <v>7.64</v>
      </c>
      <c r="F1227" s="1">
        <f>IFERROR(__xludf.DUMMYFUNCTION("""COMPUTED_VALUE"""),1879887.0)</f>
        <v>1879887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IFERROR(__xludf.DUMMYFUNCTION("""COMPUTED_VALUE"""),7.56)</f>
        <v>7.56</v>
      </c>
      <c r="C1228" s="1">
        <f>IFERROR(__xludf.DUMMYFUNCTION("""COMPUTED_VALUE"""),7.67)</f>
        <v>7.67</v>
      </c>
      <c r="D1228" s="1">
        <f>IFERROR(__xludf.DUMMYFUNCTION("""COMPUTED_VALUE"""),7.55)</f>
        <v>7.55</v>
      </c>
      <c r="E1228" s="1">
        <f>IFERROR(__xludf.DUMMYFUNCTION("""COMPUTED_VALUE"""),7.65)</f>
        <v>7.65</v>
      </c>
      <c r="F1228" s="1">
        <f>IFERROR(__xludf.DUMMYFUNCTION("""COMPUTED_VALUE"""),973316.0)</f>
        <v>973316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IFERROR(__xludf.DUMMYFUNCTION("""COMPUTED_VALUE"""),7.59)</f>
        <v>7.59</v>
      </c>
      <c r="C1229" s="1">
        <f>IFERROR(__xludf.DUMMYFUNCTION("""COMPUTED_VALUE"""),7.64)</f>
        <v>7.64</v>
      </c>
      <c r="D1229" s="1">
        <f>IFERROR(__xludf.DUMMYFUNCTION("""COMPUTED_VALUE"""),7.57)</f>
        <v>7.57</v>
      </c>
      <c r="E1229" s="1">
        <f>IFERROR(__xludf.DUMMYFUNCTION("""COMPUTED_VALUE"""),7.6)</f>
        <v>7.6</v>
      </c>
      <c r="F1229" s="1">
        <f>IFERROR(__xludf.DUMMYFUNCTION("""COMPUTED_VALUE"""),1323039.0)</f>
        <v>1323039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IFERROR(__xludf.DUMMYFUNCTION("""COMPUTED_VALUE"""),7.76)</f>
        <v>7.76</v>
      </c>
      <c r="C1230" s="1">
        <f>IFERROR(__xludf.DUMMYFUNCTION("""COMPUTED_VALUE"""),7.84)</f>
        <v>7.84</v>
      </c>
      <c r="D1230" s="1">
        <f>IFERROR(__xludf.DUMMYFUNCTION("""COMPUTED_VALUE"""),7.75)</f>
        <v>7.75</v>
      </c>
      <c r="E1230" s="1">
        <f>IFERROR(__xludf.DUMMYFUNCTION("""COMPUTED_VALUE"""),7.8)</f>
        <v>7.8</v>
      </c>
      <c r="F1230" s="1">
        <f>IFERROR(__xludf.DUMMYFUNCTION("""COMPUTED_VALUE"""),973460.0)</f>
        <v>973460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IFERROR(__xludf.DUMMYFUNCTION("""COMPUTED_VALUE"""),7.81)</f>
        <v>7.81</v>
      </c>
      <c r="C1231" s="1">
        <f>IFERROR(__xludf.DUMMYFUNCTION("""COMPUTED_VALUE"""),7.83)</f>
        <v>7.83</v>
      </c>
      <c r="D1231" s="1">
        <f>IFERROR(__xludf.DUMMYFUNCTION("""COMPUTED_VALUE"""),7.75)</f>
        <v>7.75</v>
      </c>
      <c r="E1231" s="1">
        <f>IFERROR(__xludf.DUMMYFUNCTION("""COMPUTED_VALUE"""),7.76)</f>
        <v>7.76</v>
      </c>
      <c r="F1231" s="1">
        <f>IFERROR(__xludf.DUMMYFUNCTION("""COMPUTED_VALUE"""),767655.0)</f>
        <v>767655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IFERROR(__xludf.DUMMYFUNCTION("""COMPUTED_VALUE"""),7.62)</f>
        <v>7.62</v>
      </c>
      <c r="C1232" s="1">
        <f>IFERROR(__xludf.DUMMYFUNCTION("""COMPUTED_VALUE"""),7.65)</f>
        <v>7.65</v>
      </c>
      <c r="D1232" s="1">
        <f>IFERROR(__xludf.DUMMYFUNCTION("""COMPUTED_VALUE"""),7.58)</f>
        <v>7.58</v>
      </c>
      <c r="E1232" s="1">
        <f>IFERROR(__xludf.DUMMYFUNCTION("""COMPUTED_VALUE"""),7.62)</f>
        <v>7.62</v>
      </c>
      <c r="F1232" s="1">
        <f>IFERROR(__xludf.DUMMYFUNCTION("""COMPUTED_VALUE"""),795510.0)</f>
        <v>795510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IFERROR(__xludf.DUMMYFUNCTION("""COMPUTED_VALUE"""),7.68)</f>
        <v>7.68</v>
      </c>
      <c r="C1233" s="1">
        <f>IFERROR(__xludf.DUMMYFUNCTION("""COMPUTED_VALUE"""),7.69)</f>
        <v>7.69</v>
      </c>
      <c r="D1233" s="1">
        <f>IFERROR(__xludf.DUMMYFUNCTION("""COMPUTED_VALUE"""),7.6)</f>
        <v>7.6</v>
      </c>
      <c r="E1233" s="1">
        <f>IFERROR(__xludf.DUMMYFUNCTION("""COMPUTED_VALUE"""),7.63)</f>
        <v>7.63</v>
      </c>
      <c r="F1233" s="1">
        <f>IFERROR(__xludf.DUMMYFUNCTION("""COMPUTED_VALUE"""),661420.0)</f>
        <v>661420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IFERROR(__xludf.DUMMYFUNCTION("""COMPUTED_VALUE"""),7.76)</f>
        <v>7.76</v>
      </c>
      <c r="C1234" s="1">
        <f>IFERROR(__xludf.DUMMYFUNCTION("""COMPUTED_VALUE"""),7.83)</f>
        <v>7.83</v>
      </c>
      <c r="D1234" s="1">
        <f>IFERROR(__xludf.DUMMYFUNCTION("""COMPUTED_VALUE"""),7.74)</f>
        <v>7.74</v>
      </c>
      <c r="E1234" s="1">
        <f>IFERROR(__xludf.DUMMYFUNCTION("""COMPUTED_VALUE"""),7.82)</f>
        <v>7.82</v>
      </c>
      <c r="F1234" s="1">
        <f>IFERROR(__xludf.DUMMYFUNCTION("""COMPUTED_VALUE"""),826143.0)</f>
        <v>826143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IFERROR(__xludf.DUMMYFUNCTION("""COMPUTED_VALUE"""),7.88)</f>
        <v>7.88</v>
      </c>
      <c r="C1235" s="1">
        <f>IFERROR(__xludf.DUMMYFUNCTION("""COMPUTED_VALUE"""),7.92)</f>
        <v>7.92</v>
      </c>
      <c r="D1235" s="1">
        <f>IFERROR(__xludf.DUMMYFUNCTION("""COMPUTED_VALUE"""),7.86)</f>
        <v>7.86</v>
      </c>
      <c r="E1235" s="1">
        <f>IFERROR(__xludf.DUMMYFUNCTION("""COMPUTED_VALUE"""),7.87)</f>
        <v>7.87</v>
      </c>
      <c r="F1235" s="1">
        <f>IFERROR(__xludf.DUMMYFUNCTION("""COMPUTED_VALUE"""),920127.0)</f>
        <v>920127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IFERROR(__xludf.DUMMYFUNCTION("""COMPUTED_VALUE"""),7.88)</f>
        <v>7.88</v>
      </c>
      <c r="C1236" s="1">
        <f>IFERROR(__xludf.DUMMYFUNCTION("""COMPUTED_VALUE"""),7.91)</f>
        <v>7.91</v>
      </c>
      <c r="D1236" s="1">
        <f>IFERROR(__xludf.DUMMYFUNCTION("""COMPUTED_VALUE"""),7.86)</f>
        <v>7.86</v>
      </c>
      <c r="E1236" s="1">
        <f>IFERROR(__xludf.DUMMYFUNCTION("""COMPUTED_VALUE"""),7.89)</f>
        <v>7.89</v>
      </c>
      <c r="F1236" s="1">
        <f>IFERROR(__xludf.DUMMYFUNCTION("""COMPUTED_VALUE"""),1319870.0)</f>
        <v>1319870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IFERROR(__xludf.DUMMYFUNCTION("""COMPUTED_VALUE"""),7.88)</f>
        <v>7.88</v>
      </c>
      <c r="C1237" s="1">
        <f>IFERROR(__xludf.DUMMYFUNCTION("""COMPUTED_VALUE"""),7.9)</f>
        <v>7.9</v>
      </c>
      <c r="D1237" s="1">
        <f>IFERROR(__xludf.DUMMYFUNCTION("""COMPUTED_VALUE"""),7.84)</f>
        <v>7.84</v>
      </c>
      <c r="E1237" s="1">
        <f>IFERROR(__xludf.DUMMYFUNCTION("""COMPUTED_VALUE"""),7.85)</f>
        <v>7.85</v>
      </c>
      <c r="F1237" s="1">
        <f>IFERROR(__xludf.DUMMYFUNCTION("""COMPUTED_VALUE"""),541462.0)</f>
        <v>541462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IFERROR(__xludf.DUMMYFUNCTION("""COMPUTED_VALUE"""),7.81)</f>
        <v>7.81</v>
      </c>
      <c r="C1238" s="1">
        <f>IFERROR(__xludf.DUMMYFUNCTION("""COMPUTED_VALUE"""),7.82)</f>
        <v>7.82</v>
      </c>
      <c r="D1238" s="1">
        <f>IFERROR(__xludf.DUMMYFUNCTION("""COMPUTED_VALUE"""),7.73)</f>
        <v>7.73</v>
      </c>
      <c r="E1238" s="1">
        <f>IFERROR(__xludf.DUMMYFUNCTION("""COMPUTED_VALUE"""),7.76)</f>
        <v>7.76</v>
      </c>
      <c r="F1238" s="1">
        <f>IFERROR(__xludf.DUMMYFUNCTION("""COMPUTED_VALUE"""),771913.0)</f>
        <v>771913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IFERROR(__xludf.DUMMYFUNCTION("""COMPUTED_VALUE"""),7.85)</f>
        <v>7.85</v>
      </c>
      <c r="C1239" s="1">
        <f>IFERROR(__xludf.DUMMYFUNCTION("""COMPUTED_VALUE"""),7.86)</f>
        <v>7.86</v>
      </c>
      <c r="D1239" s="1">
        <f>IFERROR(__xludf.DUMMYFUNCTION("""COMPUTED_VALUE"""),7.78)</f>
        <v>7.78</v>
      </c>
      <c r="E1239" s="1">
        <f>IFERROR(__xludf.DUMMYFUNCTION("""COMPUTED_VALUE"""),7.81)</f>
        <v>7.81</v>
      </c>
      <c r="F1239" s="1">
        <f>IFERROR(__xludf.DUMMYFUNCTION("""COMPUTED_VALUE"""),883921.0)</f>
        <v>883921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IFERROR(__xludf.DUMMYFUNCTION("""COMPUTED_VALUE"""),7.76)</f>
        <v>7.76</v>
      </c>
      <c r="C1240" s="1">
        <f>IFERROR(__xludf.DUMMYFUNCTION("""COMPUTED_VALUE"""),7.79)</f>
        <v>7.79</v>
      </c>
      <c r="D1240" s="1">
        <f>IFERROR(__xludf.DUMMYFUNCTION("""COMPUTED_VALUE"""),7.73)</f>
        <v>7.73</v>
      </c>
      <c r="E1240" s="1">
        <f>IFERROR(__xludf.DUMMYFUNCTION("""COMPUTED_VALUE"""),7.76)</f>
        <v>7.76</v>
      </c>
      <c r="F1240" s="1">
        <f>IFERROR(__xludf.DUMMYFUNCTION("""COMPUTED_VALUE"""),496442.0)</f>
        <v>496442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IFERROR(__xludf.DUMMYFUNCTION("""COMPUTED_VALUE"""),7.76)</f>
        <v>7.76</v>
      </c>
      <c r="C1241" s="1">
        <f>IFERROR(__xludf.DUMMYFUNCTION("""COMPUTED_VALUE"""),7.79)</f>
        <v>7.79</v>
      </c>
      <c r="D1241" s="1">
        <f>IFERROR(__xludf.DUMMYFUNCTION("""COMPUTED_VALUE"""),7.69)</f>
        <v>7.69</v>
      </c>
      <c r="E1241" s="1">
        <f>IFERROR(__xludf.DUMMYFUNCTION("""COMPUTED_VALUE"""),7.74)</f>
        <v>7.74</v>
      </c>
      <c r="F1241" s="1">
        <f>IFERROR(__xludf.DUMMYFUNCTION("""COMPUTED_VALUE"""),1228818.0)</f>
        <v>1228818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IFERROR(__xludf.DUMMYFUNCTION("""COMPUTED_VALUE"""),7.85)</f>
        <v>7.85</v>
      </c>
      <c r="C1242" s="1">
        <f>IFERROR(__xludf.DUMMYFUNCTION("""COMPUTED_VALUE"""),7.92)</f>
        <v>7.92</v>
      </c>
      <c r="D1242" s="1">
        <f>IFERROR(__xludf.DUMMYFUNCTION("""COMPUTED_VALUE"""),7.85)</f>
        <v>7.85</v>
      </c>
      <c r="E1242" s="1">
        <f>IFERROR(__xludf.DUMMYFUNCTION("""COMPUTED_VALUE"""),7.9)</f>
        <v>7.9</v>
      </c>
      <c r="F1242" s="1">
        <f>IFERROR(__xludf.DUMMYFUNCTION("""COMPUTED_VALUE"""),1120508.0)</f>
        <v>1120508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IFERROR(__xludf.DUMMYFUNCTION("""COMPUTED_VALUE"""),7.78)</f>
        <v>7.78</v>
      </c>
      <c r="C1243" s="1">
        <f>IFERROR(__xludf.DUMMYFUNCTION("""COMPUTED_VALUE"""),7.81)</f>
        <v>7.81</v>
      </c>
      <c r="D1243" s="1">
        <f>IFERROR(__xludf.DUMMYFUNCTION("""COMPUTED_VALUE"""),7.73)</f>
        <v>7.73</v>
      </c>
      <c r="E1243" s="1">
        <f>IFERROR(__xludf.DUMMYFUNCTION("""COMPUTED_VALUE"""),7.75)</f>
        <v>7.75</v>
      </c>
      <c r="F1243" s="1">
        <f>IFERROR(__xludf.DUMMYFUNCTION("""COMPUTED_VALUE"""),659953.0)</f>
        <v>659953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IFERROR(__xludf.DUMMYFUNCTION("""COMPUTED_VALUE"""),7.64)</f>
        <v>7.64</v>
      </c>
      <c r="C1244" s="1">
        <f>IFERROR(__xludf.DUMMYFUNCTION("""COMPUTED_VALUE"""),7.68)</f>
        <v>7.68</v>
      </c>
      <c r="D1244" s="1">
        <f>IFERROR(__xludf.DUMMYFUNCTION("""COMPUTED_VALUE"""),7.6)</f>
        <v>7.6</v>
      </c>
      <c r="E1244" s="1">
        <f>IFERROR(__xludf.DUMMYFUNCTION("""COMPUTED_VALUE"""),7.65)</f>
        <v>7.65</v>
      </c>
      <c r="F1244" s="1">
        <f>IFERROR(__xludf.DUMMYFUNCTION("""COMPUTED_VALUE"""),711397.0)</f>
        <v>711397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IFERROR(__xludf.DUMMYFUNCTION("""COMPUTED_VALUE"""),7.57)</f>
        <v>7.57</v>
      </c>
      <c r="C1245" s="1">
        <f>IFERROR(__xludf.DUMMYFUNCTION("""COMPUTED_VALUE"""),7.61)</f>
        <v>7.61</v>
      </c>
      <c r="D1245" s="1">
        <f>IFERROR(__xludf.DUMMYFUNCTION("""COMPUTED_VALUE"""),7.48)</f>
        <v>7.48</v>
      </c>
      <c r="E1245" s="1">
        <f>IFERROR(__xludf.DUMMYFUNCTION("""COMPUTED_VALUE"""),7.5)</f>
        <v>7.5</v>
      </c>
      <c r="F1245" s="1">
        <f>IFERROR(__xludf.DUMMYFUNCTION("""COMPUTED_VALUE"""),1249780.0)</f>
        <v>1249780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IFERROR(__xludf.DUMMYFUNCTION("""COMPUTED_VALUE"""),7.56)</f>
        <v>7.56</v>
      </c>
      <c r="C1246" s="1">
        <f>IFERROR(__xludf.DUMMYFUNCTION("""COMPUTED_VALUE"""),7.62)</f>
        <v>7.62</v>
      </c>
      <c r="D1246" s="1">
        <f>IFERROR(__xludf.DUMMYFUNCTION("""COMPUTED_VALUE"""),7.52)</f>
        <v>7.52</v>
      </c>
      <c r="E1246" s="1">
        <f>IFERROR(__xludf.DUMMYFUNCTION("""COMPUTED_VALUE"""),7.52)</f>
        <v>7.52</v>
      </c>
      <c r="F1246" s="1">
        <f>IFERROR(__xludf.DUMMYFUNCTION("""COMPUTED_VALUE"""),784660.0)</f>
        <v>784660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IFERROR(__xludf.DUMMYFUNCTION("""COMPUTED_VALUE"""),7.54)</f>
        <v>7.54</v>
      </c>
      <c r="C1247" s="1">
        <f>IFERROR(__xludf.DUMMYFUNCTION("""COMPUTED_VALUE"""),7.58)</f>
        <v>7.58</v>
      </c>
      <c r="D1247" s="1">
        <f>IFERROR(__xludf.DUMMYFUNCTION("""COMPUTED_VALUE"""),7.41)</f>
        <v>7.41</v>
      </c>
      <c r="E1247" s="1">
        <f>IFERROR(__xludf.DUMMYFUNCTION("""COMPUTED_VALUE"""),7.42)</f>
        <v>7.42</v>
      </c>
      <c r="F1247" s="1">
        <f>IFERROR(__xludf.DUMMYFUNCTION("""COMPUTED_VALUE"""),1284491.0)</f>
        <v>1284491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IFERROR(__xludf.DUMMYFUNCTION("""COMPUTED_VALUE"""),7.44)</f>
        <v>7.44</v>
      </c>
      <c r="C1248" s="1">
        <f>IFERROR(__xludf.DUMMYFUNCTION("""COMPUTED_VALUE"""),7.45)</f>
        <v>7.45</v>
      </c>
      <c r="D1248" s="1">
        <f>IFERROR(__xludf.DUMMYFUNCTION("""COMPUTED_VALUE"""),7.22)</f>
        <v>7.22</v>
      </c>
      <c r="E1248" s="1">
        <f>IFERROR(__xludf.DUMMYFUNCTION("""COMPUTED_VALUE"""),7.27)</f>
        <v>7.27</v>
      </c>
      <c r="F1248" s="1">
        <f>IFERROR(__xludf.DUMMYFUNCTION("""COMPUTED_VALUE"""),1185711.0)</f>
        <v>1185711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IFERROR(__xludf.DUMMYFUNCTION("""COMPUTED_VALUE"""),7.32)</f>
        <v>7.32</v>
      </c>
      <c r="C1249" s="1">
        <f>IFERROR(__xludf.DUMMYFUNCTION("""COMPUTED_VALUE"""),7.59)</f>
        <v>7.59</v>
      </c>
      <c r="D1249" s="1">
        <f>IFERROR(__xludf.DUMMYFUNCTION("""COMPUTED_VALUE"""),7.32)</f>
        <v>7.32</v>
      </c>
      <c r="E1249" s="1">
        <f>IFERROR(__xludf.DUMMYFUNCTION("""COMPUTED_VALUE"""),7.44)</f>
        <v>7.44</v>
      </c>
      <c r="F1249" s="1">
        <f>IFERROR(__xludf.DUMMYFUNCTION("""COMPUTED_VALUE"""),1312609.0)</f>
        <v>1312609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IFERROR(__xludf.DUMMYFUNCTION("""COMPUTED_VALUE"""),7.38)</f>
        <v>7.38</v>
      </c>
      <c r="C1250" s="1">
        <f>IFERROR(__xludf.DUMMYFUNCTION("""COMPUTED_VALUE"""),7.56)</f>
        <v>7.56</v>
      </c>
      <c r="D1250" s="1">
        <f>IFERROR(__xludf.DUMMYFUNCTION("""COMPUTED_VALUE"""),7.38)</f>
        <v>7.38</v>
      </c>
      <c r="E1250" s="1">
        <f>IFERROR(__xludf.DUMMYFUNCTION("""COMPUTED_VALUE"""),7.5)</f>
        <v>7.5</v>
      </c>
      <c r="F1250" s="1">
        <f>IFERROR(__xludf.DUMMYFUNCTION("""COMPUTED_VALUE"""),1308661.0)</f>
        <v>1308661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IFERROR(__xludf.DUMMYFUNCTION("""COMPUTED_VALUE"""),7.57)</f>
        <v>7.57</v>
      </c>
      <c r="C1251" s="1">
        <f>IFERROR(__xludf.DUMMYFUNCTION("""COMPUTED_VALUE"""),7.67)</f>
        <v>7.67</v>
      </c>
      <c r="D1251" s="1">
        <f>IFERROR(__xludf.DUMMYFUNCTION("""COMPUTED_VALUE"""),7.55)</f>
        <v>7.55</v>
      </c>
      <c r="E1251" s="1">
        <f>IFERROR(__xludf.DUMMYFUNCTION("""COMPUTED_VALUE"""),7.67)</f>
        <v>7.67</v>
      </c>
      <c r="F1251" s="1">
        <f>IFERROR(__xludf.DUMMYFUNCTION("""COMPUTED_VALUE"""),1052179.0)</f>
        <v>1052179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IFERROR(__xludf.DUMMYFUNCTION("""COMPUTED_VALUE"""),7.62)</f>
        <v>7.62</v>
      </c>
      <c r="C1252" s="1">
        <f>IFERROR(__xludf.DUMMYFUNCTION("""COMPUTED_VALUE"""),7.67)</f>
        <v>7.67</v>
      </c>
      <c r="D1252" s="1">
        <f>IFERROR(__xludf.DUMMYFUNCTION("""COMPUTED_VALUE"""),7.58)</f>
        <v>7.58</v>
      </c>
      <c r="E1252" s="1">
        <f>IFERROR(__xludf.DUMMYFUNCTION("""COMPUTED_VALUE"""),7.63)</f>
        <v>7.63</v>
      </c>
      <c r="F1252" s="1">
        <f>IFERROR(__xludf.DUMMYFUNCTION("""COMPUTED_VALUE"""),1006982.0)</f>
        <v>1006982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IFERROR(__xludf.DUMMYFUNCTION("""COMPUTED_VALUE"""),7.64)</f>
        <v>7.64</v>
      </c>
      <c r="C1253" s="1">
        <f>IFERROR(__xludf.DUMMYFUNCTION("""COMPUTED_VALUE"""),7.66)</f>
        <v>7.66</v>
      </c>
      <c r="D1253" s="1">
        <f>IFERROR(__xludf.DUMMYFUNCTION("""COMPUTED_VALUE"""),7.6)</f>
        <v>7.6</v>
      </c>
      <c r="E1253" s="1">
        <f>IFERROR(__xludf.DUMMYFUNCTION("""COMPUTED_VALUE"""),7.65)</f>
        <v>7.65</v>
      </c>
      <c r="F1253" s="1">
        <f>IFERROR(__xludf.DUMMYFUNCTION("""COMPUTED_VALUE"""),715345.0)</f>
        <v>715345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IFERROR(__xludf.DUMMYFUNCTION("""COMPUTED_VALUE"""),7.67)</f>
        <v>7.67</v>
      </c>
      <c r="C1254" s="1">
        <f>IFERROR(__xludf.DUMMYFUNCTION("""COMPUTED_VALUE"""),7.7)</f>
        <v>7.7</v>
      </c>
      <c r="D1254" s="1">
        <f>IFERROR(__xludf.DUMMYFUNCTION("""COMPUTED_VALUE"""),7.64)</f>
        <v>7.64</v>
      </c>
      <c r="E1254" s="1">
        <f>IFERROR(__xludf.DUMMYFUNCTION("""COMPUTED_VALUE"""),7.67)</f>
        <v>7.67</v>
      </c>
      <c r="F1254" s="1">
        <f>IFERROR(__xludf.DUMMYFUNCTION("""COMPUTED_VALUE"""),784965.0)</f>
        <v>784965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IFERROR(__xludf.DUMMYFUNCTION("""COMPUTED_VALUE"""),7.66)</f>
        <v>7.66</v>
      </c>
      <c r="C1255" s="1">
        <f>IFERROR(__xludf.DUMMYFUNCTION("""COMPUTED_VALUE"""),7.68)</f>
        <v>7.68</v>
      </c>
      <c r="D1255" s="1">
        <f>IFERROR(__xludf.DUMMYFUNCTION("""COMPUTED_VALUE"""),7.56)</f>
        <v>7.56</v>
      </c>
      <c r="E1255" s="1">
        <f>IFERROR(__xludf.DUMMYFUNCTION("""COMPUTED_VALUE"""),7.63)</f>
        <v>7.63</v>
      </c>
      <c r="F1255" s="1">
        <f>IFERROR(__xludf.DUMMYFUNCTION("""COMPUTED_VALUE"""),638985.0)</f>
        <v>638985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IFERROR(__xludf.DUMMYFUNCTION("""COMPUTED_VALUE"""),7.62)</f>
        <v>7.62</v>
      </c>
      <c r="C1256" s="1">
        <f>IFERROR(__xludf.DUMMYFUNCTION("""COMPUTED_VALUE"""),7.67)</f>
        <v>7.67</v>
      </c>
      <c r="D1256" s="1">
        <f>IFERROR(__xludf.DUMMYFUNCTION("""COMPUTED_VALUE"""),7.61)</f>
        <v>7.61</v>
      </c>
      <c r="E1256" s="1">
        <f>IFERROR(__xludf.DUMMYFUNCTION("""COMPUTED_VALUE"""),7.65)</f>
        <v>7.65</v>
      </c>
      <c r="F1256" s="1">
        <f>IFERROR(__xludf.DUMMYFUNCTION("""COMPUTED_VALUE"""),347455.0)</f>
        <v>347455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IFERROR(__xludf.DUMMYFUNCTION("""COMPUTED_VALUE"""),7.61)</f>
        <v>7.61</v>
      </c>
      <c r="C1257" s="1">
        <f>IFERROR(__xludf.DUMMYFUNCTION("""COMPUTED_VALUE"""),7.64)</f>
        <v>7.64</v>
      </c>
      <c r="D1257" s="1">
        <f>IFERROR(__xludf.DUMMYFUNCTION("""COMPUTED_VALUE"""),7.57)</f>
        <v>7.57</v>
      </c>
      <c r="E1257" s="1">
        <f>IFERROR(__xludf.DUMMYFUNCTION("""COMPUTED_VALUE"""),7.6)</f>
        <v>7.6</v>
      </c>
      <c r="F1257" s="1">
        <f>IFERROR(__xludf.DUMMYFUNCTION("""COMPUTED_VALUE"""),610942.0)</f>
        <v>610942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IFERROR(__xludf.DUMMYFUNCTION("""COMPUTED_VALUE"""),7.59)</f>
        <v>7.59</v>
      </c>
      <c r="C1258" s="1">
        <f>IFERROR(__xludf.DUMMYFUNCTION("""COMPUTED_VALUE"""),7.62)</f>
        <v>7.62</v>
      </c>
      <c r="D1258" s="1">
        <f>IFERROR(__xludf.DUMMYFUNCTION("""COMPUTED_VALUE"""),7.52)</f>
        <v>7.52</v>
      </c>
      <c r="E1258" s="1">
        <f>IFERROR(__xludf.DUMMYFUNCTION("""COMPUTED_VALUE"""),7.54)</f>
        <v>7.54</v>
      </c>
      <c r="F1258" s="1">
        <f>IFERROR(__xludf.DUMMYFUNCTION("""COMPUTED_VALUE"""),858782.0)</f>
        <v>858782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IFERROR(__xludf.DUMMYFUNCTION("""COMPUTED_VALUE"""),7.57)</f>
        <v>7.57</v>
      </c>
      <c r="C1259" s="1">
        <f>IFERROR(__xludf.DUMMYFUNCTION("""COMPUTED_VALUE"""),7.63)</f>
        <v>7.63</v>
      </c>
      <c r="D1259" s="1">
        <f>IFERROR(__xludf.DUMMYFUNCTION("""COMPUTED_VALUE"""),7.5)</f>
        <v>7.5</v>
      </c>
      <c r="E1259" s="1">
        <f>IFERROR(__xludf.DUMMYFUNCTION("""COMPUTED_VALUE"""),7.5)</f>
        <v>7.5</v>
      </c>
      <c r="F1259" s="1">
        <f>IFERROR(__xludf.DUMMYFUNCTION("""COMPUTED_VALUE"""),506903.0)</f>
        <v>506903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IFERROR(__xludf.DUMMYFUNCTION("""COMPUTED_VALUE"""),7.51)</f>
        <v>7.51</v>
      </c>
      <c r="C1260" s="1">
        <f>IFERROR(__xludf.DUMMYFUNCTION("""COMPUTED_VALUE"""),7.53)</f>
        <v>7.53</v>
      </c>
      <c r="D1260" s="1">
        <f>IFERROR(__xludf.DUMMYFUNCTION("""COMPUTED_VALUE"""),7.41)</f>
        <v>7.41</v>
      </c>
      <c r="E1260" s="1">
        <f>IFERROR(__xludf.DUMMYFUNCTION("""COMPUTED_VALUE"""),7.45)</f>
        <v>7.45</v>
      </c>
      <c r="F1260" s="1">
        <f>IFERROR(__xludf.DUMMYFUNCTION("""COMPUTED_VALUE"""),547267.0)</f>
        <v>547267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IFERROR(__xludf.DUMMYFUNCTION("""COMPUTED_VALUE"""),7.32)</f>
        <v>7.32</v>
      </c>
      <c r="C1261" s="1">
        <f>IFERROR(__xludf.DUMMYFUNCTION("""COMPUTED_VALUE"""),7.35)</f>
        <v>7.35</v>
      </c>
      <c r="D1261" s="1">
        <f>IFERROR(__xludf.DUMMYFUNCTION("""COMPUTED_VALUE"""),7.18)</f>
        <v>7.18</v>
      </c>
      <c r="E1261" s="1">
        <f>IFERROR(__xludf.DUMMYFUNCTION("""COMPUTED_VALUE"""),7.22)</f>
        <v>7.22</v>
      </c>
      <c r="F1261" s="1">
        <f>IFERROR(__xludf.DUMMYFUNCTION("""COMPUTED_VALUE"""),792564.0)</f>
        <v>792564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IFERROR(__xludf.DUMMYFUNCTION("""COMPUTED_VALUE"""),7.14)</f>
        <v>7.14</v>
      </c>
      <c r="C1262" s="1">
        <f>IFERROR(__xludf.DUMMYFUNCTION("""COMPUTED_VALUE"""),7.2)</f>
        <v>7.2</v>
      </c>
      <c r="D1262" s="1">
        <f>IFERROR(__xludf.DUMMYFUNCTION("""COMPUTED_VALUE"""),7.04)</f>
        <v>7.04</v>
      </c>
      <c r="E1262" s="1">
        <f>IFERROR(__xludf.DUMMYFUNCTION("""COMPUTED_VALUE"""),7.06)</f>
        <v>7.06</v>
      </c>
      <c r="F1262" s="1">
        <f>IFERROR(__xludf.DUMMYFUNCTION("""COMPUTED_VALUE"""),1009812.0)</f>
        <v>1009812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IFERROR(__xludf.DUMMYFUNCTION("""COMPUTED_VALUE"""),7.11)</f>
        <v>7.11</v>
      </c>
      <c r="C1263" s="1">
        <f>IFERROR(__xludf.DUMMYFUNCTION("""COMPUTED_VALUE"""),7.16)</f>
        <v>7.16</v>
      </c>
      <c r="D1263" s="1">
        <f>IFERROR(__xludf.DUMMYFUNCTION("""COMPUTED_VALUE"""),7.05)</f>
        <v>7.05</v>
      </c>
      <c r="E1263" s="1">
        <f>IFERROR(__xludf.DUMMYFUNCTION("""COMPUTED_VALUE"""),7.13)</f>
        <v>7.13</v>
      </c>
      <c r="F1263" s="1">
        <f>IFERROR(__xludf.DUMMYFUNCTION("""COMPUTED_VALUE"""),2468515.0)</f>
        <v>2468515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IFERROR(__xludf.DUMMYFUNCTION("""COMPUTED_VALUE"""),7.19)</f>
        <v>7.19</v>
      </c>
      <c r="C1264" s="1">
        <f>IFERROR(__xludf.DUMMYFUNCTION("""COMPUTED_VALUE"""),7.3)</f>
        <v>7.3</v>
      </c>
      <c r="D1264" s="1">
        <f>IFERROR(__xludf.DUMMYFUNCTION("""COMPUTED_VALUE"""),7.17)</f>
        <v>7.17</v>
      </c>
      <c r="E1264" s="1">
        <f>IFERROR(__xludf.DUMMYFUNCTION("""COMPUTED_VALUE"""),7.26)</f>
        <v>7.26</v>
      </c>
      <c r="F1264" s="1">
        <f>IFERROR(__xludf.DUMMYFUNCTION("""COMPUTED_VALUE"""),841664.0)</f>
        <v>841664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IFERROR(__xludf.DUMMYFUNCTION("""COMPUTED_VALUE"""),7.19)</f>
        <v>7.19</v>
      </c>
      <c r="C1265" s="1">
        <f>IFERROR(__xludf.DUMMYFUNCTION("""COMPUTED_VALUE"""),7.2)</f>
        <v>7.2</v>
      </c>
      <c r="D1265" s="1">
        <f>IFERROR(__xludf.DUMMYFUNCTION("""COMPUTED_VALUE"""),7.06)</f>
        <v>7.06</v>
      </c>
      <c r="E1265" s="1">
        <f>IFERROR(__xludf.DUMMYFUNCTION("""COMPUTED_VALUE"""),7.11)</f>
        <v>7.11</v>
      </c>
      <c r="F1265" s="1">
        <f>IFERROR(__xludf.DUMMYFUNCTION("""COMPUTED_VALUE"""),632551.0)</f>
        <v>632551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IFERROR(__xludf.DUMMYFUNCTION("""COMPUTED_VALUE"""),7.13)</f>
        <v>7.13</v>
      </c>
      <c r="C1266" s="1">
        <f>IFERROR(__xludf.DUMMYFUNCTION("""COMPUTED_VALUE"""),7.14)</f>
        <v>7.14</v>
      </c>
      <c r="D1266" s="1">
        <f>IFERROR(__xludf.DUMMYFUNCTION("""COMPUTED_VALUE"""),7.03)</f>
        <v>7.03</v>
      </c>
      <c r="E1266" s="1">
        <f>IFERROR(__xludf.DUMMYFUNCTION("""COMPUTED_VALUE"""),7.07)</f>
        <v>7.07</v>
      </c>
      <c r="F1266" s="1">
        <f>IFERROR(__xludf.DUMMYFUNCTION("""COMPUTED_VALUE"""),614655.0)</f>
        <v>614655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IFERROR(__xludf.DUMMYFUNCTION("""COMPUTED_VALUE"""),7.19)</f>
        <v>7.19</v>
      </c>
      <c r="C1267" s="1">
        <f>IFERROR(__xludf.DUMMYFUNCTION("""COMPUTED_VALUE"""),7.25)</f>
        <v>7.25</v>
      </c>
      <c r="D1267" s="1">
        <f>IFERROR(__xludf.DUMMYFUNCTION("""COMPUTED_VALUE"""),7.05)</f>
        <v>7.05</v>
      </c>
      <c r="E1267" s="1">
        <f>IFERROR(__xludf.DUMMYFUNCTION("""COMPUTED_VALUE"""),7.11)</f>
        <v>7.11</v>
      </c>
      <c r="F1267" s="1">
        <f>IFERROR(__xludf.DUMMYFUNCTION("""COMPUTED_VALUE"""),1052092.0)</f>
        <v>1052092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IFERROR(__xludf.DUMMYFUNCTION("""COMPUTED_VALUE"""),7.09)</f>
        <v>7.09</v>
      </c>
      <c r="C1268" s="1">
        <f>IFERROR(__xludf.DUMMYFUNCTION("""COMPUTED_VALUE"""),7.13)</f>
        <v>7.13</v>
      </c>
      <c r="D1268" s="1">
        <f>IFERROR(__xludf.DUMMYFUNCTION("""COMPUTED_VALUE"""),7.01)</f>
        <v>7.01</v>
      </c>
      <c r="E1268" s="1">
        <f>IFERROR(__xludf.DUMMYFUNCTION("""COMPUTED_VALUE"""),7.09)</f>
        <v>7.09</v>
      </c>
      <c r="F1268" s="1">
        <f>IFERROR(__xludf.DUMMYFUNCTION("""COMPUTED_VALUE"""),798225.0)</f>
        <v>798225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IFERROR(__xludf.DUMMYFUNCTION("""COMPUTED_VALUE"""),7.12)</f>
        <v>7.12</v>
      </c>
      <c r="C1269" s="1">
        <f>IFERROR(__xludf.DUMMYFUNCTION("""COMPUTED_VALUE"""),7.14)</f>
        <v>7.14</v>
      </c>
      <c r="D1269" s="1">
        <f>IFERROR(__xludf.DUMMYFUNCTION("""COMPUTED_VALUE"""),6.99)</f>
        <v>6.99</v>
      </c>
      <c r="E1269" s="1">
        <f>IFERROR(__xludf.DUMMYFUNCTION("""COMPUTED_VALUE"""),7.02)</f>
        <v>7.02</v>
      </c>
      <c r="F1269" s="1">
        <f>IFERROR(__xludf.DUMMYFUNCTION("""COMPUTED_VALUE"""),1163940.0)</f>
        <v>1163940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IFERROR(__xludf.DUMMYFUNCTION("""COMPUTED_VALUE"""),7.0)</f>
        <v>7</v>
      </c>
      <c r="C1270" s="1">
        <f>IFERROR(__xludf.DUMMYFUNCTION("""COMPUTED_VALUE"""),7.09)</f>
        <v>7.09</v>
      </c>
      <c r="D1270" s="1">
        <f>IFERROR(__xludf.DUMMYFUNCTION("""COMPUTED_VALUE"""),6.98)</f>
        <v>6.98</v>
      </c>
      <c r="E1270" s="1">
        <f>IFERROR(__xludf.DUMMYFUNCTION("""COMPUTED_VALUE"""),7.09)</f>
        <v>7.09</v>
      </c>
      <c r="F1270" s="1">
        <f>IFERROR(__xludf.DUMMYFUNCTION("""COMPUTED_VALUE"""),924101.0)</f>
        <v>924101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IFERROR(__xludf.DUMMYFUNCTION("""COMPUTED_VALUE"""),7.27)</f>
        <v>7.27</v>
      </c>
      <c r="C1271" s="1">
        <f>IFERROR(__xludf.DUMMYFUNCTION("""COMPUTED_VALUE"""),7.29)</f>
        <v>7.29</v>
      </c>
      <c r="D1271" s="1">
        <f>IFERROR(__xludf.DUMMYFUNCTION("""COMPUTED_VALUE"""),7.14)</f>
        <v>7.14</v>
      </c>
      <c r="E1271" s="1">
        <f>IFERROR(__xludf.DUMMYFUNCTION("""COMPUTED_VALUE"""),7.18)</f>
        <v>7.18</v>
      </c>
      <c r="F1271" s="1">
        <f>IFERROR(__xludf.DUMMYFUNCTION("""COMPUTED_VALUE"""),2236837.0)</f>
        <v>2236837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IFERROR(__xludf.DUMMYFUNCTION("""COMPUTED_VALUE"""),7.12)</f>
        <v>7.12</v>
      </c>
      <c r="C1272" s="1">
        <f>IFERROR(__xludf.DUMMYFUNCTION("""COMPUTED_VALUE"""),7.18)</f>
        <v>7.18</v>
      </c>
      <c r="D1272" s="1">
        <f>IFERROR(__xludf.DUMMYFUNCTION("""COMPUTED_VALUE"""),7.1)</f>
        <v>7.1</v>
      </c>
      <c r="E1272" s="1">
        <f>IFERROR(__xludf.DUMMYFUNCTION("""COMPUTED_VALUE"""),7.18)</f>
        <v>7.18</v>
      </c>
      <c r="F1272" s="1">
        <f>IFERROR(__xludf.DUMMYFUNCTION("""COMPUTED_VALUE"""),940096.0)</f>
        <v>940096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IFERROR(__xludf.DUMMYFUNCTION("""COMPUTED_VALUE"""),7.2)</f>
        <v>7.2</v>
      </c>
      <c r="C1273" s="1">
        <f>IFERROR(__xludf.DUMMYFUNCTION("""COMPUTED_VALUE"""),7.27)</f>
        <v>7.27</v>
      </c>
      <c r="D1273" s="1">
        <f>IFERROR(__xludf.DUMMYFUNCTION("""COMPUTED_VALUE"""),7.14)</f>
        <v>7.14</v>
      </c>
      <c r="E1273" s="1">
        <f>IFERROR(__xludf.DUMMYFUNCTION("""COMPUTED_VALUE"""),7.24)</f>
        <v>7.24</v>
      </c>
      <c r="F1273" s="1">
        <f>IFERROR(__xludf.DUMMYFUNCTION("""COMPUTED_VALUE"""),1044445.0)</f>
        <v>1044445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IFERROR(__xludf.DUMMYFUNCTION("""COMPUTED_VALUE"""),7.02)</f>
        <v>7.02</v>
      </c>
      <c r="C1274" s="1">
        <f>IFERROR(__xludf.DUMMYFUNCTION("""COMPUTED_VALUE"""),7.09)</f>
        <v>7.09</v>
      </c>
      <c r="D1274" s="1">
        <f>IFERROR(__xludf.DUMMYFUNCTION("""COMPUTED_VALUE"""),7.01)</f>
        <v>7.01</v>
      </c>
      <c r="E1274" s="1">
        <f>IFERROR(__xludf.DUMMYFUNCTION("""COMPUTED_VALUE"""),7.01)</f>
        <v>7.01</v>
      </c>
      <c r="F1274" s="1">
        <f>IFERROR(__xludf.DUMMYFUNCTION("""COMPUTED_VALUE"""),1226329.0)</f>
        <v>1226329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IFERROR(__xludf.DUMMYFUNCTION("""COMPUTED_VALUE"""),7.05)</f>
        <v>7.05</v>
      </c>
      <c r="C1275" s="1">
        <f>IFERROR(__xludf.DUMMYFUNCTION("""COMPUTED_VALUE"""),7.14)</f>
        <v>7.14</v>
      </c>
      <c r="D1275" s="1">
        <f>IFERROR(__xludf.DUMMYFUNCTION("""COMPUTED_VALUE"""),7.03)</f>
        <v>7.03</v>
      </c>
      <c r="E1275" s="1">
        <f>IFERROR(__xludf.DUMMYFUNCTION("""COMPUTED_VALUE"""),7.09)</f>
        <v>7.09</v>
      </c>
      <c r="F1275" s="1">
        <f>IFERROR(__xludf.DUMMYFUNCTION("""COMPUTED_VALUE"""),906626.0)</f>
        <v>906626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IFERROR(__xludf.DUMMYFUNCTION("""COMPUTED_VALUE"""),7.08)</f>
        <v>7.08</v>
      </c>
      <c r="C1276" s="1">
        <f>IFERROR(__xludf.DUMMYFUNCTION("""COMPUTED_VALUE"""),7.15)</f>
        <v>7.15</v>
      </c>
      <c r="D1276" s="1">
        <f>IFERROR(__xludf.DUMMYFUNCTION("""COMPUTED_VALUE"""),7.06)</f>
        <v>7.06</v>
      </c>
      <c r="E1276" s="1">
        <f>IFERROR(__xludf.DUMMYFUNCTION("""COMPUTED_VALUE"""),7.1)</f>
        <v>7.1</v>
      </c>
      <c r="F1276" s="1">
        <f>IFERROR(__xludf.DUMMYFUNCTION("""COMPUTED_VALUE"""),983601.0)</f>
        <v>983601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IFERROR(__xludf.DUMMYFUNCTION("""COMPUTED_VALUE"""),7.14)</f>
        <v>7.14</v>
      </c>
      <c r="C1277" s="1">
        <f>IFERROR(__xludf.DUMMYFUNCTION("""COMPUTED_VALUE"""),7.15)</f>
        <v>7.15</v>
      </c>
      <c r="D1277" s="1">
        <f>IFERROR(__xludf.DUMMYFUNCTION("""COMPUTED_VALUE"""),6.97)</f>
        <v>6.97</v>
      </c>
      <c r="E1277" s="1">
        <f>IFERROR(__xludf.DUMMYFUNCTION("""COMPUTED_VALUE"""),6.97)</f>
        <v>6.97</v>
      </c>
      <c r="F1277" s="1">
        <f>IFERROR(__xludf.DUMMYFUNCTION("""COMPUTED_VALUE"""),1024846.0)</f>
        <v>1024846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IFERROR(__xludf.DUMMYFUNCTION("""COMPUTED_VALUE"""),7.14)</f>
        <v>7.14</v>
      </c>
      <c r="C1278" s="1">
        <f>IFERROR(__xludf.DUMMYFUNCTION("""COMPUTED_VALUE"""),7.22)</f>
        <v>7.22</v>
      </c>
      <c r="D1278" s="1">
        <f>IFERROR(__xludf.DUMMYFUNCTION("""COMPUTED_VALUE"""),7.12)</f>
        <v>7.12</v>
      </c>
      <c r="E1278" s="1">
        <f>IFERROR(__xludf.DUMMYFUNCTION("""COMPUTED_VALUE"""),7.21)</f>
        <v>7.21</v>
      </c>
      <c r="F1278" s="1">
        <f>IFERROR(__xludf.DUMMYFUNCTION("""COMPUTED_VALUE"""),1039450.0)</f>
        <v>1039450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IFERROR(__xludf.DUMMYFUNCTION("""COMPUTED_VALUE"""),7.18)</f>
        <v>7.18</v>
      </c>
      <c r="C1279" s="1">
        <f>IFERROR(__xludf.DUMMYFUNCTION("""COMPUTED_VALUE"""),7.23)</f>
        <v>7.23</v>
      </c>
      <c r="D1279" s="1">
        <f>IFERROR(__xludf.DUMMYFUNCTION("""COMPUTED_VALUE"""),7.12)</f>
        <v>7.12</v>
      </c>
      <c r="E1279" s="1">
        <f>IFERROR(__xludf.DUMMYFUNCTION("""COMPUTED_VALUE"""),7.14)</f>
        <v>7.14</v>
      </c>
      <c r="F1279" s="1">
        <f>IFERROR(__xludf.DUMMYFUNCTION("""COMPUTED_VALUE"""),859784.0)</f>
        <v>859784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IFERROR(__xludf.DUMMYFUNCTION("""COMPUTED_VALUE"""),7.2)</f>
        <v>7.2</v>
      </c>
      <c r="C1280" s="1">
        <f>IFERROR(__xludf.DUMMYFUNCTION("""COMPUTED_VALUE"""),7.33)</f>
        <v>7.33</v>
      </c>
      <c r="D1280" s="1">
        <f>IFERROR(__xludf.DUMMYFUNCTION("""COMPUTED_VALUE"""),7.19)</f>
        <v>7.19</v>
      </c>
      <c r="E1280" s="1">
        <f>IFERROR(__xludf.DUMMYFUNCTION("""COMPUTED_VALUE"""),7.32)</f>
        <v>7.32</v>
      </c>
      <c r="F1280" s="1">
        <f>IFERROR(__xludf.DUMMYFUNCTION("""COMPUTED_VALUE"""),1468384.0)</f>
        <v>1468384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IFERROR(__xludf.DUMMYFUNCTION("""COMPUTED_VALUE"""),7.47)</f>
        <v>7.47</v>
      </c>
      <c r="C1281" s="1">
        <f>IFERROR(__xludf.DUMMYFUNCTION("""COMPUTED_VALUE"""),7.58)</f>
        <v>7.58</v>
      </c>
      <c r="D1281" s="1">
        <f>IFERROR(__xludf.DUMMYFUNCTION("""COMPUTED_VALUE"""),7.47)</f>
        <v>7.47</v>
      </c>
      <c r="E1281" s="1">
        <f>IFERROR(__xludf.DUMMYFUNCTION("""COMPUTED_VALUE"""),7.58)</f>
        <v>7.58</v>
      </c>
      <c r="F1281" s="1">
        <f>IFERROR(__xludf.DUMMYFUNCTION("""COMPUTED_VALUE"""),974236.0)</f>
        <v>974236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IFERROR(__xludf.DUMMYFUNCTION("""COMPUTED_VALUE"""),7.39)</f>
        <v>7.39</v>
      </c>
      <c r="C1282" s="1">
        <f>IFERROR(__xludf.DUMMYFUNCTION("""COMPUTED_VALUE"""),7.5)</f>
        <v>7.5</v>
      </c>
      <c r="D1282" s="1">
        <f>IFERROR(__xludf.DUMMYFUNCTION("""COMPUTED_VALUE"""),7.39)</f>
        <v>7.39</v>
      </c>
      <c r="E1282" s="1">
        <f>IFERROR(__xludf.DUMMYFUNCTION("""COMPUTED_VALUE"""),7.4)</f>
        <v>7.4</v>
      </c>
      <c r="F1282" s="1">
        <f>IFERROR(__xludf.DUMMYFUNCTION("""COMPUTED_VALUE"""),1865023.0)</f>
        <v>1865023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IFERROR(__xludf.DUMMYFUNCTION("""COMPUTED_VALUE"""),7.44)</f>
        <v>7.44</v>
      </c>
      <c r="C1283" s="1">
        <f>IFERROR(__xludf.DUMMYFUNCTION("""COMPUTED_VALUE"""),7.49)</f>
        <v>7.49</v>
      </c>
      <c r="D1283" s="1">
        <f>IFERROR(__xludf.DUMMYFUNCTION("""COMPUTED_VALUE"""),7.41)</f>
        <v>7.41</v>
      </c>
      <c r="E1283" s="1">
        <f>IFERROR(__xludf.DUMMYFUNCTION("""COMPUTED_VALUE"""),7.48)</f>
        <v>7.48</v>
      </c>
      <c r="F1283" s="1">
        <f>IFERROR(__xludf.DUMMYFUNCTION("""COMPUTED_VALUE"""),711058.0)</f>
        <v>711058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IFERROR(__xludf.DUMMYFUNCTION("""COMPUTED_VALUE"""),7.47)</f>
        <v>7.47</v>
      </c>
      <c r="C1284" s="1">
        <f>IFERROR(__xludf.DUMMYFUNCTION("""COMPUTED_VALUE"""),7.51)</f>
        <v>7.51</v>
      </c>
      <c r="D1284" s="1">
        <f>IFERROR(__xludf.DUMMYFUNCTION("""COMPUTED_VALUE"""),7.39)</f>
        <v>7.39</v>
      </c>
      <c r="E1284" s="1">
        <f>IFERROR(__xludf.DUMMYFUNCTION("""COMPUTED_VALUE"""),7.41)</f>
        <v>7.41</v>
      </c>
      <c r="F1284" s="1">
        <f>IFERROR(__xludf.DUMMYFUNCTION("""COMPUTED_VALUE"""),801085.0)</f>
        <v>801085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IFERROR(__xludf.DUMMYFUNCTION("""COMPUTED_VALUE"""),7.33)</f>
        <v>7.33</v>
      </c>
      <c r="C1285" s="1">
        <f>IFERROR(__xludf.DUMMYFUNCTION("""COMPUTED_VALUE"""),7.41)</f>
        <v>7.41</v>
      </c>
      <c r="D1285" s="1">
        <f>IFERROR(__xludf.DUMMYFUNCTION("""COMPUTED_VALUE"""),7.32)</f>
        <v>7.32</v>
      </c>
      <c r="E1285" s="1">
        <f>IFERROR(__xludf.DUMMYFUNCTION("""COMPUTED_VALUE"""),7.39)</f>
        <v>7.39</v>
      </c>
      <c r="F1285" s="1">
        <f>IFERROR(__xludf.DUMMYFUNCTION("""COMPUTED_VALUE"""),893905.0)</f>
        <v>893905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IFERROR(__xludf.DUMMYFUNCTION("""COMPUTED_VALUE"""),7.44)</f>
        <v>7.44</v>
      </c>
      <c r="C1286" s="1">
        <f>IFERROR(__xludf.DUMMYFUNCTION("""COMPUTED_VALUE"""),7.47)</f>
        <v>7.47</v>
      </c>
      <c r="D1286" s="1">
        <f>IFERROR(__xludf.DUMMYFUNCTION("""COMPUTED_VALUE"""),7.38)</f>
        <v>7.38</v>
      </c>
      <c r="E1286" s="1">
        <f>IFERROR(__xludf.DUMMYFUNCTION("""COMPUTED_VALUE"""),7.45)</f>
        <v>7.45</v>
      </c>
      <c r="F1286" s="1">
        <f>IFERROR(__xludf.DUMMYFUNCTION("""COMPUTED_VALUE"""),633265.0)</f>
        <v>633265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IFERROR(__xludf.DUMMYFUNCTION("""COMPUTED_VALUE"""),7.42)</f>
        <v>7.42</v>
      </c>
      <c r="C1287" s="1">
        <f>IFERROR(__xludf.DUMMYFUNCTION("""COMPUTED_VALUE"""),7.45)</f>
        <v>7.45</v>
      </c>
      <c r="D1287" s="1">
        <f>IFERROR(__xludf.DUMMYFUNCTION("""COMPUTED_VALUE"""),7.4)</f>
        <v>7.4</v>
      </c>
      <c r="E1287" s="1">
        <f>IFERROR(__xludf.DUMMYFUNCTION("""COMPUTED_VALUE"""),7.43)</f>
        <v>7.43</v>
      </c>
      <c r="F1287" s="1">
        <f>IFERROR(__xludf.DUMMYFUNCTION("""COMPUTED_VALUE"""),946284.0)</f>
        <v>946284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IFERROR(__xludf.DUMMYFUNCTION("""COMPUTED_VALUE"""),7.54)</f>
        <v>7.54</v>
      </c>
      <c r="C1288" s="1">
        <f>IFERROR(__xludf.DUMMYFUNCTION("""COMPUTED_VALUE"""),7.64)</f>
        <v>7.64</v>
      </c>
      <c r="D1288" s="1">
        <f>IFERROR(__xludf.DUMMYFUNCTION("""COMPUTED_VALUE"""),7.53)</f>
        <v>7.53</v>
      </c>
      <c r="E1288" s="1">
        <f>IFERROR(__xludf.DUMMYFUNCTION("""COMPUTED_VALUE"""),7.63)</f>
        <v>7.63</v>
      </c>
      <c r="F1288" s="1">
        <f>IFERROR(__xludf.DUMMYFUNCTION("""COMPUTED_VALUE"""),1114242.0)</f>
        <v>1114242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IFERROR(__xludf.DUMMYFUNCTION("""COMPUTED_VALUE"""),7.55)</f>
        <v>7.55</v>
      </c>
      <c r="C1289" s="1">
        <f>IFERROR(__xludf.DUMMYFUNCTION("""COMPUTED_VALUE"""),7.6)</f>
        <v>7.6</v>
      </c>
      <c r="D1289" s="1">
        <f>IFERROR(__xludf.DUMMYFUNCTION("""COMPUTED_VALUE"""),7.52)</f>
        <v>7.52</v>
      </c>
      <c r="E1289" s="1">
        <f>IFERROR(__xludf.DUMMYFUNCTION("""COMPUTED_VALUE"""),7.55)</f>
        <v>7.55</v>
      </c>
      <c r="F1289" s="1">
        <f>IFERROR(__xludf.DUMMYFUNCTION("""COMPUTED_VALUE"""),893005.0)</f>
        <v>893005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IFERROR(__xludf.DUMMYFUNCTION("""COMPUTED_VALUE"""),7.52)</f>
        <v>7.52</v>
      </c>
      <c r="C1290" s="1">
        <f>IFERROR(__xludf.DUMMYFUNCTION("""COMPUTED_VALUE"""),7.55)</f>
        <v>7.55</v>
      </c>
      <c r="D1290" s="1">
        <f>IFERROR(__xludf.DUMMYFUNCTION("""COMPUTED_VALUE"""),7.43)</f>
        <v>7.43</v>
      </c>
      <c r="E1290" s="1">
        <f>IFERROR(__xludf.DUMMYFUNCTION("""COMPUTED_VALUE"""),7.52)</f>
        <v>7.52</v>
      </c>
      <c r="F1290" s="1">
        <f>IFERROR(__xludf.DUMMYFUNCTION("""COMPUTED_VALUE"""),1322223.0)</f>
        <v>1322223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IFERROR(__xludf.DUMMYFUNCTION("""COMPUTED_VALUE"""),7.52)</f>
        <v>7.52</v>
      </c>
      <c r="C1291" s="1">
        <f>IFERROR(__xludf.DUMMYFUNCTION("""COMPUTED_VALUE"""),7.62)</f>
        <v>7.62</v>
      </c>
      <c r="D1291" s="1">
        <f>IFERROR(__xludf.DUMMYFUNCTION("""COMPUTED_VALUE"""),7.51)</f>
        <v>7.51</v>
      </c>
      <c r="E1291" s="1">
        <f>IFERROR(__xludf.DUMMYFUNCTION("""COMPUTED_VALUE"""),7.58)</f>
        <v>7.58</v>
      </c>
      <c r="F1291" s="1">
        <f>IFERROR(__xludf.DUMMYFUNCTION("""COMPUTED_VALUE"""),910592.0)</f>
        <v>910592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IFERROR(__xludf.DUMMYFUNCTION("""COMPUTED_VALUE"""),7.5)</f>
        <v>7.5</v>
      </c>
      <c r="C1292" s="1">
        <f>IFERROR(__xludf.DUMMYFUNCTION("""COMPUTED_VALUE"""),7.62)</f>
        <v>7.62</v>
      </c>
      <c r="D1292" s="1">
        <f>IFERROR(__xludf.DUMMYFUNCTION("""COMPUTED_VALUE"""),7.47)</f>
        <v>7.47</v>
      </c>
      <c r="E1292" s="1">
        <f>IFERROR(__xludf.DUMMYFUNCTION("""COMPUTED_VALUE"""),7.57)</f>
        <v>7.57</v>
      </c>
      <c r="F1292" s="1">
        <f>IFERROR(__xludf.DUMMYFUNCTION("""COMPUTED_VALUE"""),1060721.0)</f>
        <v>1060721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IFERROR(__xludf.DUMMYFUNCTION("""COMPUTED_VALUE"""),7.52)</f>
        <v>7.52</v>
      </c>
      <c r="C1293" s="1">
        <f>IFERROR(__xludf.DUMMYFUNCTION("""COMPUTED_VALUE"""),7.78)</f>
        <v>7.78</v>
      </c>
      <c r="D1293" s="1">
        <f>IFERROR(__xludf.DUMMYFUNCTION("""COMPUTED_VALUE"""),7.52)</f>
        <v>7.52</v>
      </c>
      <c r="E1293" s="1">
        <f>IFERROR(__xludf.DUMMYFUNCTION("""COMPUTED_VALUE"""),7.74)</f>
        <v>7.74</v>
      </c>
      <c r="F1293" s="1">
        <f>IFERROR(__xludf.DUMMYFUNCTION("""COMPUTED_VALUE"""),1971987.0)</f>
        <v>1971987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IFERROR(__xludf.DUMMYFUNCTION("""COMPUTED_VALUE"""),7.73)</f>
        <v>7.73</v>
      </c>
      <c r="C1294" s="1">
        <f>IFERROR(__xludf.DUMMYFUNCTION("""COMPUTED_VALUE"""),7.78)</f>
        <v>7.78</v>
      </c>
      <c r="D1294" s="1">
        <f>IFERROR(__xludf.DUMMYFUNCTION("""COMPUTED_VALUE"""),7.71)</f>
        <v>7.71</v>
      </c>
      <c r="E1294" s="1">
        <f>IFERROR(__xludf.DUMMYFUNCTION("""COMPUTED_VALUE"""),7.74)</f>
        <v>7.74</v>
      </c>
      <c r="F1294" s="1">
        <f>IFERROR(__xludf.DUMMYFUNCTION("""COMPUTED_VALUE"""),1032601.0)</f>
        <v>1032601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IFERROR(__xludf.DUMMYFUNCTION("""COMPUTED_VALUE"""),7.73)</f>
        <v>7.73</v>
      </c>
      <c r="C1295" s="1">
        <f>IFERROR(__xludf.DUMMYFUNCTION("""COMPUTED_VALUE"""),7.82)</f>
        <v>7.82</v>
      </c>
      <c r="D1295" s="1">
        <f>IFERROR(__xludf.DUMMYFUNCTION("""COMPUTED_VALUE"""),7.73)</f>
        <v>7.73</v>
      </c>
      <c r="E1295" s="1">
        <f>IFERROR(__xludf.DUMMYFUNCTION("""COMPUTED_VALUE"""),7.81)</f>
        <v>7.81</v>
      </c>
      <c r="F1295" s="1">
        <f>IFERROR(__xludf.DUMMYFUNCTION("""COMPUTED_VALUE"""),1190833.0)</f>
        <v>1190833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IFERROR(__xludf.DUMMYFUNCTION("""COMPUTED_VALUE"""),7.83)</f>
        <v>7.83</v>
      </c>
      <c r="C1296" s="1">
        <f>IFERROR(__xludf.DUMMYFUNCTION("""COMPUTED_VALUE"""),7.86)</f>
        <v>7.86</v>
      </c>
      <c r="D1296" s="1">
        <f>IFERROR(__xludf.DUMMYFUNCTION("""COMPUTED_VALUE"""),7.78)</f>
        <v>7.78</v>
      </c>
      <c r="E1296" s="1">
        <f>IFERROR(__xludf.DUMMYFUNCTION("""COMPUTED_VALUE"""),7.85)</f>
        <v>7.85</v>
      </c>
      <c r="F1296" s="1">
        <f>IFERROR(__xludf.DUMMYFUNCTION("""COMPUTED_VALUE"""),1493004.0)</f>
        <v>1493004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IFERROR(__xludf.DUMMYFUNCTION("""COMPUTED_VALUE"""),7.76)</f>
        <v>7.76</v>
      </c>
      <c r="C1297" s="1">
        <f>IFERROR(__xludf.DUMMYFUNCTION("""COMPUTED_VALUE"""),7.81)</f>
        <v>7.81</v>
      </c>
      <c r="D1297" s="1">
        <f>IFERROR(__xludf.DUMMYFUNCTION("""COMPUTED_VALUE"""),7.75)</f>
        <v>7.75</v>
      </c>
      <c r="E1297" s="1">
        <f>IFERROR(__xludf.DUMMYFUNCTION("""COMPUTED_VALUE"""),7.75)</f>
        <v>7.75</v>
      </c>
      <c r="F1297" s="1">
        <f>IFERROR(__xludf.DUMMYFUNCTION("""COMPUTED_VALUE"""),981198.0)</f>
        <v>981198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IFERROR(__xludf.DUMMYFUNCTION("""COMPUTED_VALUE"""),7.78)</f>
        <v>7.78</v>
      </c>
      <c r="C1298" s="1">
        <f>IFERROR(__xludf.DUMMYFUNCTION("""COMPUTED_VALUE"""),7.82)</f>
        <v>7.82</v>
      </c>
      <c r="D1298" s="1">
        <f>IFERROR(__xludf.DUMMYFUNCTION("""COMPUTED_VALUE"""),7.77)</f>
        <v>7.77</v>
      </c>
      <c r="E1298" s="1">
        <f>IFERROR(__xludf.DUMMYFUNCTION("""COMPUTED_VALUE"""),7.78)</f>
        <v>7.78</v>
      </c>
      <c r="F1298" s="1">
        <f>IFERROR(__xludf.DUMMYFUNCTION("""COMPUTED_VALUE"""),608389.0)</f>
        <v>608389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IFERROR(__xludf.DUMMYFUNCTION("""COMPUTED_VALUE"""),7.75)</f>
        <v>7.75</v>
      </c>
      <c r="C1299" s="1">
        <f>IFERROR(__xludf.DUMMYFUNCTION("""COMPUTED_VALUE"""),7.79)</f>
        <v>7.79</v>
      </c>
      <c r="D1299" s="1">
        <f>IFERROR(__xludf.DUMMYFUNCTION("""COMPUTED_VALUE"""),7.7)</f>
        <v>7.7</v>
      </c>
      <c r="E1299" s="1">
        <f>IFERROR(__xludf.DUMMYFUNCTION("""COMPUTED_VALUE"""),7.77)</f>
        <v>7.77</v>
      </c>
      <c r="F1299" s="1">
        <f>IFERROR(__xludf.DUMMYFUNCTION("""COMPUTED_VALUE"""),872735.0)</f>
        <v>872735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IFERROR(__xludf.DUMMYFUNCTION("""COMPUTED_VALUE"""),7.67)</f>
        <v>7.67</v>
      </c>
      <c r="C1300" s="1">
        <f>IFERROR(__xludf.DUMMYFUNCTION("""COMPUTED_VALUE"""),7.69)</f>
        <v>7.69</v>
      </c>
      <c r="D1300" s="1">
        <f>IFERROR(__xludf.DUMMYFUNCTION("""COMPUTED_VALUE"""),7.62)</f>
        <v>7.62</v>
      </c>
      <c r="E1300" s="1">
        <f>IFERROR(__xludf.DUMMYFUNCTION("""COMPUTED_VALUE"""),7.65)</f>
        <v>7.65</v>
      </c>
      <c r="F1300" s="1">
        <f>IFERROR(__xludf.DUMMYFUNCTION("""COMPUTED_VALUE"""),739134.0)</f>
        <v>739134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IFERROR(__xludf.DUMMYFUNCTION("""COMPUTED_VALUE"""),7.59)</f>
        <v>7.59</v>
      </c>
      <c r="C1301" s="1">
        <f>IFERROR(__xludf.DUMMYFUNCTION("""COMPUTED_VALUE"""),7.63)</f>
        <v>7.63</v>
      </c>
      <c r="D1301" s="1">
        <f>IFERROR(__xludf.DUMMYFUNCTION("""COMPUTED_VALUE"""),7.54)</f>
        <v>7.54</v>
      </c>
      <c r="E1301" s="1">
        <f>IFERROR(__xludf.DUMMYFUNCTION("""COMPUTED_VALUE"""),7.61)</f>
        <v>7.61</v>
      </c>
      <c r="F1301" s="1">
        <f>IFERROR(__xludf.DUMMYFUNCTION("""COMPUTED_VALUE"""),953937.0)</f>
        <v>953937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IFERROR(__xludf.DUMMYFUNCTION("""COMPUTED_VALUE"""),7.67)</f>
        <v>7.67</v>
      </c>
      <c r="C1302" s="1">
        <f>IFERROR(__xludf.DUMMYFUNCTION("""COMPUTED_VALUE"""),7.7)</f>
        <v>7.7</v>
      </c>
      <c r="D1302" s="1">
        <f>IFERROR(__xludf.DUMMYFUNCTION("""COMPUTED_VALUE"""),7.64)</f>
        <v>7.64</v>
      </c>
      <c r="E1302" s="1">
        <f>IFERROR(__xludf.DUMMYFUNCTION("""COMPUTED_VALUE"""),7.69)</f>
        <v>7.69</v>
      </c>
      <c r="F1302" s="1">
        <f>IFERROR(__xludf.DUMMYFUNCTION("""COMPUTED_VALUE"""),686824.0)</f>
        <v>686824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IFERROR(__xludf.DUMMYFUNCTION("""COMPUTED_VALUE"""),7.76)</f>
        <v>7.76</v>
      </c>
      <c r="C1303" s="1">
        <f>IFERROR(__xludf.DUMMYFUNCTION("""COMPUTED_VALUE"""),8.0)</f>
        <v>8</v>
      </c>
      <c r="D1303" s="1">
        <f>IFERROR(__xludf.DUMMYFUNCTION("""COMPUTED_VALUE"""),7.76)</f>
        <v>7.76</v>
      </c>
      <c r="E1303" s="1">
        <f>IFERROR(__xludf.DUMMYFUNCTION("""COMPUTED_VALUE"""),7.94)</f>
        <v>7.94</v>
      </c>
      <c r="F1303" s="1">
        <f>IFERROR(__xludf.DUMMYFUNCTION("""COMPUTED_VALUE"""),1602707.0)</f>
        <v>1602707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IFERROR(__xludf.DUMMYFUNCTION("""COMPUTED_VALUE"""),7.87)</f>
        <v>7.87</v>
      </c>
      <c r="C1304" s="1">
        <f>IFERROR(__xludf.DUMMYFUNCTION("""COMPUTED_VALUE"""),7.89)</f>
        <v>7.89</v>
      </c>
      <c r="D1304" s="1">
        <f>IFERROR(__xludf.DUMMYFUNCTION("""COMPUTED_VALUE"""),7.83)</f>
        <v>7.83</v>
      </c>
      <c r="E1304" s="1">
        <f>IFERROR(__xludf.DUMMYFUNCTION("""COMPUTED_VALUE"""),7.87)</f>
        <v>7.87</v>
      </c>
      <c r="F1304" s="1">
        <f>IFERROR(__xludf.DUMMYFUNCTION("""COMPUTED_VALUE"""),1022428.0)</f>
        <v>1022428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IFERROR(__xludf.DUMMYFUNCTION("""COMPUTED_VALUE"""),7.67)</f>
        <v>7.67</v>
      </c>
      <c r="C1305" s="1">
        <f>IFERROR(__xludf.DUMMYFUNCTION("""COMPUTED_VALUE"""),7.71)</f>
        <v>7.71</v>
      </c>
      <c r="D1305" s="1">
        <f>IFERROR(__xludf.DUMMYFUNCTION("""COMPUTED_VALUE"""),7.61)</f>
        <v>7.61</v>
      </c>
      <c r="E1305" s="1">
        <f>IFERROR(__xludf.DUMMYFUNCTION("""COMPUTED_VALUE"""),7.64)</f>
        <v>7.64</v>
      </c>
      <c r="F1305" s="1">
        <f>IFERROR(__xludf.DUMMYFUNCTION("""COMPUTED_VALUE"""),1324121.0)</f>
        <v>1324121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IFERROR(__xludf.DUMMYFUNCTION("""COMPUTED_VALUE"""),7.79)</f>
        <v>7.79</v>
      </c>
      <c r="C1306" s="1">
        <f>IFERROR(__xludf.DUMMYFUNCTION("""COMPUTED_VALUE"""),8.0)</f>
        <v>8</v>
      </c>
      <c r="D1306" s="1">
        <f>IFERROR(__xludf.DUMMYFUNCTION("""COMPUTED_VALUE"""),7.78)</f>
        <v>7.78</v>
      </c>
      <c r="E1306" s="1">
        <f>IFERROR(__xludf.DUMMYFUNCTION("""COMPUTED_VALUE"""),7.94)</f>
        <v>7.94</v>
      </c>
      <c r="F1306" s="1">
        <f>IFERROR(__xludf.DUMMYFUNCTION("""COMPUTED_VALUE"""),1554718.0)</f>
        <v>1554718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IFERROR(__xludf.DUMMYFUNCTION("""COMPUTED_VALUE"""),7.99)</f>
        <v>7.99</v>
      </c>
      <c r="C1307" s="1">
        <f>IFERROR(__xludf.DUMMYFUNCTION("""COMPUTED_VALUE"""),8.04)</f>
        <v>8.04</v>
      </c>
      <c r="D1307" s="1">
        <f>IFERROR(__xludf.DUMMYFUNCTION("""COMPUTED_VALUE"""),7.95)</f>
        <v>7.95</v>
      </c>
      <c r="E1307" s="1">
        <f>IFERROR(__xludf.DUMMYFUNCTION("""COMPUTED_VALUE"""),8.03)</f>
        <v>8.03</v>
      </c>
      <c r="F1307" s="1">
        <f>IFERROR(__xludf.DUMMYFUNCTION("""COMPUTED_VALUE"""),743198.0)</f>
        <v>743198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IFERROR(__xludf.DUMMYFUNCTION("""COMPUTED_VALUE"""),7.99)</f>
        <v>7.99</v>
      </c>
      <c r="C1308" s="1">
        <f>IFERROR(__xludf.DUMMYFUNCTION("""COMPUTED_VALUE"""),8.01)</f>
        <v>8.01</v>
      </c>
      <c r="D1308" s="1">
        <f>IFERROR(__xludf.DUMMYFUNCTION("""COMPUTED_VALUE"""),7.94)</f>
        <v>7.94</v>
      </c>
      <c r="E1308" s="1">
        <f>IFERROR(__xludf.DUMMYFUNCTION("""COMPUTED_VALUE"""),7.99)</f>
        <v>7.99</v>
      </c>
      <c r="F1308" s="1">
        <f>IFERROR(__xludf.DUMMYFUNCTION("""COMPUTED_VALUE"""),1412110.0)</f>
        <v>1412110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IFERROR(__xludf.DUMMYFUNCTION("""COMPUTED_VALUE"""),8.09)</f>
        <v>8.09</v>
      </c>
      <c r="C1309" s="1">
        <f>IFERROR(__xludf.DUMMYFUNCTION("""COMPUTED_VALUE"""),8.17)</f>
        <v>8.17</v>
      </c>
      <c r="D1309" s="1">
        <f>IFERROR(__xludf.DUMMYFUNCTION("""COMPUTED_VALUE"""),8.09)</f>
        <v>8.09</v>
      </c>
      <c r="E1309" s="1">
        <f>IFERROR(__xludf.DUMMYFUNCTION("""COMPUTED_VALUE"""),8.13)</f>
        <v>8.13</v>
      </c>
      <c r="F1309" s="1">
        <f>IFERROR(__xludf.DUMMYFUNCTION("""COMPUTED_VALUE"""),1727335.0)</f>
        <v>1727335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IFERROR(__xludf.DUMMYFUNCTION("""COMPUTED_VALUE"""),8.06)</f>
        <v>8.06</v>
      </c>
      <c r="C1310" s="1">
        <f>IFERROR(__xludf.DUMMYFUNCTION("""COMPUTED_VALUE"""),8.1)</f>
        <v>8.1</v>
      </c>
      <c r="D1310" s="1">
        <f>IFERROR(__xludf.DUMMYFUNCTION("""COMPUTED_VALUE"""),8.04)</f>
        <v>8.04</v>
      </c>
      <c r="E1310" s="1">
        <f>IFERROR(__xludf.DUMMYFUNCTION("""COMPUTED_VALUE"""),8.09)</f>
        <v>8.09</v>
      </c>
      <c r="F1310" s="1">
        <f>IFERROR(__xludf.DUMMYFUNCTION("""COMPUTED_VALUE"""),2461772.0)</f>
        <v>2461772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IFERROR(__xludf.DUMMYFUNCTION("""COMPUTED_VALUE"""),8.09)</f>
        <v>8.09</v>
      </c>
      <c r="C1311" s="1">
        <f>IFERROR(__xludf.DUMMYFUNCTION("""COMPUTED_VALUE"""),8.31)</f>
        <v>8.31</v>
      </c>
      <c r="D1311" s="1">
        <f>IFERROR(__xludf.DUMMYFUNCTION("""COMPUTED_VALUE"""),8.06)</f>
        <v>8.06</v>
      </c>
      <c r="E1311" s="1">
        <f>IFERROR(__xludf.DUMMYFUNCTION("""COMPUTED_VALUE"""),8.25)</f>
        <v>8.25</v>
      </c>
      <c r="F1311" s="1">
        <f>IFERROR(__xludf.DUMMYFUNCTION("""COMPUTED_VALUE"""),3433367.0)</f>
        <v>3433367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IFERROR(__xludf.DUMMYFUNCTION("""COMPUTED_VALUE"""),8.02)</f>
        <v>8.02</v>
      </c>
      <c r="C1312" s="1">
        <f>IFERROR(__xludf.DUMMYFUNCTION("""COMPUTED_VALUE"""),8.1)</f>
        <v>8.1</v>
      </c>
      <c r="D1312" s="1">
        <f>IFERROR(__xludf.DUMMYFUNCTION("""COMPUTED_VALUE"""),8.0)</f>
        <v>8</v>
      </c>
      <c r="E1312" s="1">
        <f>IFERROR(__xludf.DUMMYFUNCTION("""COMPUTED_VALUE"""),8.07)</f>
        <v>8.07</v>
      </c>
      <c r="F1312" s="1">
        <f>IFERROR(__xludf.DUMMYFUNCTION("""COMPUTED_VALUE"""),2485038.0)</f>
        <v>2485038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IFERROR(__xludf.DUMMYFUNCTION("""COMPUTED_VALUE"""),8.21)</f>
        <v>8.21</v>
      </c>
      <c r="C1313" s="1">
        <f>IFERROR(__xludf.DUMMYFUNCTION("""COMPUTED_VALUE"""),8.29)</f>
        <v>8.29</v>
      </c>
      <c r="D1313" s="1">
        <f>IFERROR(__xludf.DUMMYFUNCTION("""COMPUTED_VALUE"""),8.14)</f>
        <v>8.14</v>
      </c>
      <c r="E1313" s="1">
        <f>IFERROR(__xludf.DUMMYFUNCTION("""COMPUTED_VALUE"""),8.23)</f>
        <v>8.23</v>
      </c>
      <c r="F1313" s="1">
        <f>IFERROR(__xludf.DUMMYFUNCTION("""COMPUTED_VALUE"""),1220627.0)</f>
        <v>1220627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IFERROR(__xludf.DUMMYFUNCTION("""COMPUTED_VALUE"""),8.21)</f>
        <v>8.21</v>
      </c>
      <c r="C1314" s="1">
        <f>IFERROR(__xludf.DUMMYFUNCTION("""COMPUTED_VALUE"""),8.27)</f>
        <v>8.27</v>
      </c>
      <c r="D1314" s="1">
        <f>IFERROR(__xludf.DUMMYFUNCTION("""COMPUTED_VALUE"""),8.2)</f>
        <v>8.2</v>
      </c>
      <c r="E1314" s="1">
        <f>IFERROR(__xludf.DUMMYFUNCTION("""COMPUTED_VALUE"""),8.24)</f>
        <v>8.24</v>
      </c>
      <c r="F1314" s="1">
        <f>IFERROR(__xludf.DUMMYFUNCTION("""COMPUTED_VALUE"""),1618705.0)</f>
        <v>1618705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IFERROR(__xludf.DUMMYFUNCTION("""COMPUTED_VALUE"""),8.3)</f>
        <v>8.3</v>
      </c>
      <c r="C1315" s="1">
        <f>IFERROR(__xludf.DUMMYFUNCTION("""COMPUTED_VALUE"""),8.34)</f>
        <v>8.34</v>
      </c>
      <c r="D1315" s="1">
        <f>IFERROR(__xludf.DUMMYFUNCTION("""COMPUTED_VALUE"""),8.26)</f>
        <v>8.26</v>
      </c>
      <c r="E1315" s="1">
        <f>IFERROR(__xludf.DUMMYFUNCTION("""COMPUTED_VALUE"""),8.32)</f>
        <v>8.32</v>
      </c>
      <c r="F1315" s="1">
        <f>IFERROR(__xludf.DUMMYFUNCTION("""COMPUTED_VALUE"""),2453436.0)</f>
        <v>2453436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IFERROR(__xludf.DUMMYFUNCTION("""COMPUTED_VALUE"""),8.32)</f>
        <v>8.32</v>
      </c>
      <c r="C1316" s="1">
        <f>IFERROR(__xludf.DUMMYFUNCTION("""COMPUTED_VALUE"""),8.35)</f>
        <v>8.35</v>
      </c>
      <c r="D1316" s="1">
        <f>IFERROR(__xludf.DUMMYFUNCTION("""COMPUTED_VALUE"""),8.16)</f>
        <v>8.16</v>
      </c>
      <c r="E1316" s="1">
        <f>IFERROR(__xludf.DUMMYFUNCTION("""COMPUTED_VALUE"""),8.16)</f>
        <v>8.16</v>
      </c>
      <c r="F1316" s="1">
        <f>IFERROR(__xludf.DUMMYFUNCTION("""COMPUTED_VALUE"""),3341948.0)</f>
        <v>3341948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IFERROR(__xludf.DUMMYFUNCTION("""COMPUTED_VALUE"""),7.97)</f>
        <v>7.97</v>
      </c>
      <c r="C1317" s="1">
        <f>IFERROR(__xludf.DUMMYFUNCTION("""COMPUTED_VALUE"""),8.0)</f>
        <v>8</v>
      </c>
      <c r="D1317" s="1">
        <f>IFERROR(__xludf.DUMMYFUNCTION("""COMPUTED_VALUE"""),7.88)</f>
        <v>7.88</v>
      </c>
      <c r="E1317" s="1">
        <f>IFERROR(__xludf.DUMMYFUNCTION("""COMPUTED_VALUE"""),7.95)</f>
        <v>7.95</v>
      </c>
      <c r="F1317" s="1">
        <f>IFERROR(__xludf.DUMMYFUNCTION("""COMPUTED_VALUE"""),1528899.0)</f>
        <v>1528899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IFERROR(__xludf.DUMMYFUNCTION("""COMPUTED_VALUE"""),7.88)</f>
        <v>7.88</v>
      </c>
      <c r="C1318" s="1">
        <f>IFERROR(__xludf.DUMMYFUNCTION("""COMPUTED_VALUE"""),7.99)</f>
        <v>7.99</v>
      </c>
      <c r="D1318" s="1">
        <f>IFERROR(__xludf.DUMMYFUNCTION("""COMPUTED_VALUE"""),7.87)</f>
        <v>7.87</v>
      </c>
      <c r="E1318" s="1">
        <f>IFERROR(__xludf.DUMMYFUNCTION("""COMPUTED_VALUE"""),7.99)</f>
        <v>7.99</v>
      </c>
      <c r="F1318" s="1">
        <f>IFERROR(__xludf.DUMMYFUNCTION("""COMPUTED_VALUE"""),896298.0)</f>
        <v>896298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IFERROR(__xludf.DUMMYFUNCTION("""COMPUTED_VALUE"""),8.05)</f>
        <v>8.05</v>
      </c>
      <c r="C1319" s="1">
        <f>IFERROR(__xludf.DUMMYFUNCTION("""COMPUTED_VALUE"""),8.11)</f>
        <v>8.11</v>
      </c>
      <c r="D1319" s="1">
        <f>IFERROR(__xludf.DUMMYFUNCTION("""COMPUTED_VALUE"""),8.03)</f>
        <v>8.03</v>
      </c>
      <c r="E1319" s="1">
        <f>IFERROR(__xludf.DUMMYFUNCTION("""COMPUTED_VALUE"""),8.07)</f>
        <v>8.07</v>
      </c>
      <c r="F1319" s="1">
        <f>IFERROR(__xludf.DUMMYFUNCTION("""COMPUTED_VALUE"""),507681.0)</f>
        <v>507681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IFERROR(__xludf.DUMMYFUNCTION("""COMPUTED_VALUE"""),7.91)</f>
        <v>7.91</v>
      </c>
      <c r="C1320" s="1">
        <f>IFERROR(__xludf.DUMMYFUNCTION("""COMPUTED_VALUE"""),7.99)</f>
        <v>7.99</v>
      </c>
      <c r="D1320" s="1">
        <f>IFERROR(__xludf.DUMMYFUNCTION("""COMPUTED_VALUE"""),7.89)</f>
        <v>7.89</v>
      </c>
      <c r="E1320" s="1">
        <f>IFERROR(__xludf.DUMMYFUNCTION("""COMPUTED_VALUE"""),7.93)</f>
        <v>7.93</v>
      </c>
      <c r="F1320" s="1">
        <f>IFERROR(__xludf.DUMMYFUNCTION("""COMPUTED_VALUE"""),842906.0)</f>
        <v>842906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IFERROR(__xludf.DUMMYFUNCTION("""COMPUTED_VALUE"""),8.02)</f>
        <v>8.02</v>
      </c>
      <c r="C1321" s="1">
        <f>IFERROR(__xludf.DUMMYFUNCTION("""COMPUTED_VALUE"""),8.04)</f>
        <v>8.04</v>
      </c>
      <c r="D1321" s="1">
        <f>IFERROR(__xludf.DUMMYFUNCTION("""COMPUTED_VALUE"""),7.94)</f>
        <v>7.94</v>
      </c>
      <c r="E1321" s="1">
        <f>IFERROR(__xludf.DUMMYFUNCTION("""COMPUTED_VALUE"""),7.98)</f>
        <v>7.98</v>
      </c>
      <c r="F1321" s="1">
        <f>IFERROR(__xludf.DUMMYFUNCTION("""COMPUTED_VALUE"""),759304.0)</f>
        <v>759304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IFERROR(__xludf.DUMMYFUNCTION("""COMPUTED_VALUE"""),8.08)</f>
        <v>8.08</v>
      </c>
      <c r="C1322" s="1">
        <f>IFERROR(__xludf.DUMMYFUNCTION("""COMPUTED_VALUE"""),8.12)</f>
        <v>8.12</v>
      </c>
      <c r="D1322" s="1">
        <f>IFERROR(__xludf.DUMMYFUNCTION("""COMPUTED_VALUE"""),8.06)</f>
        <v>8.06</v>
      </c>
      <c r="E1322" s="1">
        <f>IFERROR(__xludf.DUMMYFUNCTION("""COMPUTED_VALUE"""),8.12)</f>
        <v>8.12</v>
      </c>
      <c r="F1322" s="1">
        <f>IFERROR(__xludf.DUMMYFUNCTION("""COMPUTED_VALUE"""),806553.0)</f>
        <v>806553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IFERROR(__xludf.DUMMYFUNCTION("""COMPUTED_VALUE"""),8.11)</f>
        <v>8.11</v>
      </c>
      <c r="C1323" s="1">
        <f>IFERROR(__xludf.DUMMYFUNCTION("""COMPUTED_VALUE"""),8.22)</f>
        <v>8.22</v>
      </c>
      <c r="D1323" s="1">
        <f>IFERROR(__xludf.DUMMYFUNCTION("""COMPUTED_VALUE"""),8.11)</f>
        <v>8.11</v>
      </c>
      <c r="E1323" s="1">
        <f>IFERROR(__xludf.DUMMYFUNCTION("""COMPUTED_VALUE"""),8.16)</f>
        <v>8.16</v>
      </c>
      <c r="F1323" s="1">
        <f>IFERROR(__xludf.DUMMYFUNCTION("""COMPUTED_VALUE"""),602452.0)</f>
        <v>602452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IFERROR(__xludf.DUMMYFUNCTION("""COMPUTED_VALUE"""),8.16)</f>
        <v>8.16</v>
      </c>
      <c r="C1324" s="1">
        <f>IFERROR(__xludf.DUMMYFUNCTION("""COMPUTED_VALUE"""),8.23)</f>
        <v>8.23</v>
      </c>
      <c r="D1324" s="1">
        <f>IFERROR(__xludf.DUMMYFUNCTION("""COMPUTED_VALUE"""),8.1)</f>
        <v>8.1</v>
      </c>
      <c r="E1324" s="1">
        <f>IFERROR(__xludf.DUMMYFUNCTION("""COMPUTED_VALUE"""),8.11)</f>
        <v>8.11</v>
      </c>
      <c r="F1324" s="1">
        <f>IFERROR(__xludf.DUMMYFUNCTION("""COMPUTED_VALUE"""),736117.0)</f>
        <v>736117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IFERROR(__xludf.DUMMYFUNCTION("""COMPUTED_VALUE"""),8.17)</f>
        <v>8.17</v>
      </c>
      <c r="C1325" s="1">
        <f>IFERROR(__xludf.DUMMYFUNCTION("""COMPUTED_VALUE"""),8.18)</f>
        <v>8.18</v>
      </c>
      <c r="D1325" s="1">
        <f>IFERROR(__xludf.DUMMYFUNCTION("""COMPUTED_VALUE"""),8.06)</f>
        <v>8.06</v>
      </c>
      <c r="E1325" s="1">
        <f>IFERROR(__xludf.DUMMYFUNCTION("""COMPUTED_VALUE"""),8.08)</f>
        <v>8.08</v>
      </c>
      <c r="F1325" s="1">
        <f>IFERROR(__xludf.DUMMYFUNCTION("""COMPUTED_VALUE"""),536318.0)</f>
        <v>536318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IFERROR(__xludf.DUMMYFUNCTION("""COMPUTED_VALUE"""),8.07)</f>
        <v>8.07</v>
      </c>
      <c r="C1326" s="1">
        <f>IFERROR(__xludf.DUMMYFUNCTION("""COMPUTED_VALUE"""),8.09)</f>
        <v>8.09</v>
      </c>
      <c r="D1326" s="1">
        <f>IFERROR(__xludf.DUMMYFUNCTION("""COMPUTED_VALUE"""),8.01)</f>
        <v>8.01</v>
      </c>
      <c r="E1326" s="1">
        <f>IFERROR(__xludf.DUMMYFUNCTION("""COMPUTED_VALUE"""),8.06)</f>
        <v>8.06</v>
      </c>
      <c r="F1326" s="1">
        <f>IFERROR(__xludf.DUMMYFUNCTION("""COMPUTED_VALUE"""),780277.0)</f>
        <v>780277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IFERROR(__xludf.DUMMYFUNCTION("""COMPUTED_VALUE"""),8.07)</f>
        <v>8.07</v>
      </c>
      <c r="C1327" s="1">
        <f>IFERROR(__xludf.DUMMYFUNCTION("""COMPUTED_VALUE"""),8.09)</f>
        <v>8.09</v>
      </c>
      <c r="D1327" s="1">
        <f>IFERROR(__xludf.DUMMYFUNCTION("""COMPUTED_VALUE"""),8.01)</f>
        <v>8.01</v>
      </c>
      <c r="E1327" s="1">
        <f>IFERROR(__xludf.DUMMYFUNCTION("""COMPUTED_VALUE"""),8.04)</f>
        <v>8.04</v>
      </c>
      <c r="F1327" s="1">
        <f>IFERROR(__xludf.DUMMYFUNCTION("""COMPUTED_VALUE"""),561234.0)</f>
        <v>561234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IFERROR(__xludf.DUMMYFUNCTION("""COMPUTED_VALUE"""),8.07)</f>
        <v>8.07</v>
      </c>
      <c r="C1328" s="1">
        <f>IFERROR(__xludf.DUMMYFUNCTION("""COMPUTED_VALUE"""),8.1)</f>
        <v>8.1</v>
      </c>
      <c r="D1328" s="1">
        <f>IFERROR(__xludf.DUMMYFUNCTION("""COMPUTED_VALUE"""),8.03)</f>
        <v>8.03</v>
      </c>
      <c r="E1328" s="1">
        <f>IFERROR(__xludf.DUMMYFUNCTION("""COMPUTED_VALUE"""),8.03)</f>
        <v>8.03</v>
      </c>
      <c r="F1328" s="1">
        <f>IFERROR(__xludf.DUMMYFUNCTION("""COMPUTED_VALUE"""),1130614.0)</f>
        <v>1130614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IFERROR(__xludf.DUMMYFUNCTION("""COMPUTED_VALUE"""),8.04)</f>
        <v>8.04</v>
      </c>
      <c r="C1329" s="1">
        <f>IFERROR(__xludf.DUMMYFUNCTION("""COMPUTED_VALUE"""),8.06)</f>
        <v>8.06</v>
      </c>
      <c r="D1329" s="1">
        <f>IFERROR(__xludf.DUMMYFUNCTION("""COMPUTED_VALUE"""),8.01)</f>
        <v>8.01</v>
      </c>
      <c r="E1329" s="1">
        <f>IFERROR(__xludf.DUMMYFUNCTION("""COMPUTED_VALUE"""),8.04)</f>
        <v>8.04</v>
      </c>
      <c r="F1329" s="1">
        <f>IFERROR(__xludf.DUMMYFUNCTION("""COMPUTED_VALUE"""),543852.0)</f>
        <v>543852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IFERROR(__xludf.DUMMYFUNCTION("""COMPUTED_VALUE"""),8.14)</f>
        <v>8.14</v>
      </c>
      <c r="C1330" s="1">
        <f>IFERROR(__xludf.DUMMYFUNCTION("""COMPUTED_VALUE"""),8.17)</f>
        <v>8.17</v>
      </c>
      <c r="D1330" s="1">
        <f>IFERROR(__xludf.DUMMYFUNCTION("""COMPUTED_VALUE"""),8.05)</f>
        <v>8.05</v>
      </c>
      <c r="E1330" s="1">
        <f>IFERROR(__xludf.DUMMYFUNCTION("""COMPUTED_VALUE"""),8.1)</f>
        <v>8.1</v>
      </c>
      <c r="F1330" s="1">
        <f>IFERROR(__xludf.DUMMYFUNCTION("""COMPUTED_VALUE"""),842529.0)</f>
        <v>842529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IFERROR(__xludf.DUMMYFUNCTION("""COMPUTED_VALUE"""),8.06)</f>
        <v>8.06</v>
      </c>
      <c r="C1331" s="1">
        <f>IFERROR(__xludf.DUMMYFUNCTION("""COMPUTED_VALUE"""),8.11)</f>
        <v>8.11</v>
      </c>
      <c r="D1331" s="1">
        <f>IFERROR(__xludf.DUMMYFUNCTION("""COMPUTED_VALUE"""),7.99)</f>
        <v>7.99</v>
      </c>
      <c r="E1331" s="1">
        <f>IFERROR(__xludf.DUMMYFUNCTION("""COMPUTED_VALUE"""),8.06)</f>
        <v>8.06</v>
      </c>
      <c r="F1331" s="1">
        <f>IFERROR(__xludf.DUMMYFUNCTION("""COMPUTED_VALUE"""),701830.0)</f>
        <v>701830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IFERROR(__xludf.DUMMYFUNCTION("""COMPUTED_VALUE"""),7.9)</f>
        <v>7.9</v>
      </c>
      <c r="C1332" s="1">
        <f>IFERROR(__xludf.DUMMYFUNCTION("""COMPUTED_VALUE"""),7.93)</f>
        <v>7.93</v>
      </c>
      <c r="D1332" s="1">
        <f>IFERROR(__xludf.DUMMYFUNCTION("""COMPUTED_VALUE"""),7.84)</f>
        <v>7.84</v>
      </c>
      <c r="E1332" s="1">
        <f>IFERROR(__xludf.DUMMYFUNCTION("""COMPUTED_VALUE"""),7.91)</f>
        <v>7.91</v>
      </c>
      <c r="F1332" s="1">
        <f>IFERROR(__xludf.DUMMYFUNCTION("""COMPUTED_VALUE"""),776196.0)</f>
        <v>776196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IFERROR(__xludf.DUMMYFUNCTION("""COMPUTED_VALUE"""),7.76)</f>
        <v>7.76</v>
      </c>
      <c r="C1333" s="1">
        <f>IFERROR(__xludf.DUMMYFUNCTION("""COMPUTED_VALUE"""),7.87)</f>
        <v>7.87</v>
      </c>
      <c r="D1333" s="1">
        <f>IFERROR(__xludf.DUMMYFUNCTION("""COMPUTED_VALUE"""),7.75)</f>
        <v>7.75</v>
      </c>
      <c r="E1333" s="1">
        <f>IFERROR(__xludf.DUMMYFUNCTION("""COMPUTED_VALUE"""),7.82)</f>
        <v>7.82</v>
      </c>
      <c r="F1333" s="1">
        <f>IFERROR(__xludf.DUMMYFUNCTION("""COMPUTED_VALUE"""),1110939.0)</f>
        <v>1110939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IFERROR(__xludf.DUMMYFUNCTION("""COMPUTED_VALUE"""),7.83)</f>
        <v>7.83</v>
      </c>
      <c r="C1334" s="1">
        <f>IFERROR(__xludf.DUMMYFUNCTION("""COMPUTED_VALUE"""),7.84)</f>
        <v>7.84</v>
      </c>
      <c r="D1334" s="1">
        <f>IFERROR(__xludf.DUMMYFUNCTION("""COMPUTED_VALUE"""),7.72)</f>
        <v>7.72</v>
      </c>
      <c r="E1334" s="1">
        <f>IFERROR(__xludf.DUMMYFUNCTION("""COMPUTED_VALUE"""),7.75)</f>
        <v>7.75</v>
      </c>
      <c r="F1334" s="1">
        <f>IFERROR(__xludf.DUMMYFUNCTION("""COMPUTED_VALUE"""),1006950.0)</f>
        <v>1006950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IFERROR(__xludf.DUMMYFUNCTION("""COMPUTED_VALUE"""),7.76)</f>
        <v>7.76</v>
      </c>
      <c r="C1335" s="1">
        <f>IFERROR(__xludf.DUMMYFUNCTION("""COMPUTED_VALUE"""),7.78)</f>
        <v>7.78</v>
      </c>
      <c r="D1335" s="1">
        <f>IFERROR(__xludf.DUMMYFUNCTION("""COMPUTED_VALUE"""),7.67)</f>
        <v>7.67</v>
      </c>
      <c r="E1335" s="1">
        <f>IFERROR(__xludf.DUMMYFUNCTION("""COMPUTED_VALUE"""),7.76)</f>
        <v>7.76</v>
      </c>
      <c r="F1335" s="1">
        <f>IFERROR(__xludf.DUMMYFUNCTION("""COMPUTED_VALUE"""),829608.0)</f>
        <v>829608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IFERROR(__xludf.DUMMYFUNCTION("""COMPUTED_VALUE"""),7.7)</f>
        <v>7.7</v>
      </c>
      <c r="C1336" s="1">
        <f>IFERROR(__xludf.DUMMYFUNCTION("""COMPUTED_VALUE"""),7.82)</f>
        <v>7.82</v>
      </c>
      <c r="D1336" s="1">
        <f>IFERROR(__xludf.DUMMYFUNCTION("""COMPUTED_VALUE"""),7.69)</f>
        <v>7.69</v>
      </c>
      <c r="E1336" s="1">
        <f>IFERROR(__xludf.DUMMYFUNCTION("""COMPUTED_VALUE"""),7.79)</f>
        <v>7.79</v>
      </c>
      <c r="F1336" s="1">
        <f>IFERROR(__xludf.DUMMYFUNCTION("""COMPUTED_VALUE"""),579006.0)</f>
        <v>579006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IFERROR(__xludf.DUMMYFUNCTION("""COMPUTED_VALUE"""),7.72)</f>
        <v>7.72</v>
      </c>
      <c r="C1337" s="1">
        <f>IFERROR(__xludf.DUMMYFUNCTION("""COMPUTED_VALUE"""),7.74)</f>
        <v>7.74</v>
      </c>
      <c r="D1337" s="1">
        <f>IFERROR(__xludf.DUMMYFUNCTION("""COMPUTED_VALUE"""),7.64)</f>
        <v>7.64</v>
      </c>
      <c r="E1337" s="1">
        <f>IFERROR(__xludf.DUMMYFUNCTION("""COMPUTED_VALUE"""),7.73)</f>
        <v>7.73</v>
      </c>
      <c r="F1337" s="1">
        <f>IFERROR(__xludf.DUMMYFUNCTION("""COMPUTED_VALUE"""),932844.0)</f>
        <v>932844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IFERROR(__xludf.DUMMYFUNCTION("""COMPUTED_VALUE"""),7.82)</f>
        <v>7.82</v>
      </c>
      <c r="C1338" s="1">
        <f>IFERROR(__xludf.DUMMYFUNCTION("""COMPUTED_VALUE"""),7.89)</f>
        <v>7.89</v>
      </c>
      <c r="D1338" s="1">
        <f>IFERROR(__xludf.DUMMYFUNCTION("""COMPUTED_VALUE"""),7.82)</f>
        <v>7.82</v>
      </c>
      <c r="E1338" s="1">
        <f>IFERROR(__xludf.DUMMYFUNCTION("""COMPUTED_VALUE"""),7.83)</f>
        <v>7.83</v>
      </c>
      <c r="F1338" s="1">
        <f>IFERROR(__xludf.DUMMYFUNCTION("""COMPUTED_VALUE"""),1062636.0)</f>
        <v>1062636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IFERROR(__xludf.DUMMYFUNCTION("""COMPUTED_VALUE"""),7.77)</f>
        <v>7.77</v>
      </c>
      <c r="C1339" s="1">
        <f>IFERROR(__xludf.DUMMYFUNCTION("""COMPUTED_VALUE"""),7.81)</f>
        <v>7.81</v>
      </c>
      <c r="D1339" s="1">
        <f>IFERROR(__xludf.DUMMYFUNCTION("""COMPUTED_VALUE"""),7.73)</f>
        <v>7.73</v>
      </c>
      <c r="E1339" s="1">
        <f>IFERROR(__xludf.DUMMYFUNCTION("""COMPUTED_VALUE"""),7.8)</f>
        <v>7.8</v>
      </c>
      <c r="F1339" s="1">
        <f>IFERROR(__xludf.DUMMYFUNCTION("""COMPUTED_VALUE"""),1256590.0)</f>
        <v>1256590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IFERROR(__xludf.DUMMYFUNCTION("""COMPUTED_VALUE"""),7.75)</f>
        <v>7.75</v>
      </c>
      <c r="C1340" s="1">
        <f>IFERROR(__xludf.DUMMYFUNCTION("""COMPUTED_VALUE"""),7.82)</f>
        <v>7.82</v>
      </c>
      <c r="D1340" s="1">
        <f>IFERROR(__xludf.DUMMYFUNCTION("""COMPUTED_VALUE"""),7.72)</f>
        <v>7.72</v>
      </c>
      <c r="E1340" s="1">
        <f>IFERROR(__xludf.DUMMYFUNCTION("""COMPUTED_VALUE"""),7.76)</f>
        <v>7.76</v>
      </c>
      <c r="F1340" s="1">
        <f>IFERROR(__xludf.DUMMYFUNCTION("""COMPUTED_VALUE"""),1095689.0)</f>
        <v>1095689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IFERROR(__xludf.DUMMYFUNCTION("""COMPUTED_VALUE"""),7.89)</f>
        <v>7.89</v>
      </c>
      <c r="C1341" s="1">
        <f>IFERROR(__xludf.DUMMYFUNCTION("""COMPUTED_VALUE"""),7.95)</f>
        <v>7.95</v>
      </c>
      <c r="D1341" s="1">
        <f>IFERROR(__xludf.DUMMYFUNCTION("""COMPUTED_VALUE"""),7.85)</f>
        <v>7.85</v>
      </c>
      <c r="E1341" s="1">
        <f>IFERROR(__xludf.DUMMYFUNCTION("""COMPUTED_VALUE"""),7.88)</f>
        <v>7.88</v>
      </c>
      <c r="F1341" s="1">
        <f>IFERROR(__xludf.DUMMYFUNCTION("""COMPUTED_VALUE"""),1349363.0)</f>
        <v>1349363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IFERROR(__xludf.DUMMYFUNCTION("""COMPUTED_VALUE"""),7.9)</f>
        <v>7.9</v>
      </c>
      <c r="C1342" s="1">
        <f>IFERROR(__xludf.DUMMYFUNCTION("""COMPUTED_VALUE"""),7.95)</f>
        <v>7.95</v>
      </c>
      <c r="D1342" s="1">
        <f>IFERROR(__xludf.DUMMYFUNCTION("""COMPUTED_VALUE"""),7.87)</f>
        <v>7.87</v>
      </c>
      <c r="E1342" s="1">
        <f>IFERROR(__xludf.DUMMYFUNCTION("""COMPUTED_VALUE"""),7.94)</f>
        <v>7.94</v>
      </c>
      <c r="F1342" s="1">
        <f>IFERROR(__xludf.DUMMYFUNCTION("""COMPUTED_VALUE"""),818316.0)</f>
        <v>818316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IFERROR(__xludf.DUMMYFUNCTION("""COMPUTED_VALUE"""),7.96)</f>
        <v>7.96</v>
      </c>
      <c r="C1343" s="1">
        <f>IFERROR(__xludf.DUMMYFUNCTION("""COMPUTED_VALUE"""),7.99)</f>
        <v>7.99</v>
      </c>
      <c r="D1343" s="1">
        <f>IFERROR(__xludf.DUMMYFUNCTION("""COMPUTED_VALUE"""),7.93)</f>
        <v>7.93</v>
      </c>
      <c r="E1343" s="1">
        <f>IFERROR(__xludf.DUMMYFUNCTION("""COMPUTED_VALUE"""),7.94)</f>
        <v>7.94</v>
      </c>
      <c r="F1343" s="1">
        <f>IFERROR(__xludf.DUMMYFUNCTION("""COMPUTED_VALUE"""),633900.0)</f>
        <v>633900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IFERROR(__xludf.DUMMYFUNCTION("""COMPUTED_VALUE"""),7.78)</f>
        <v>7.78</v>
      </c>
      <c r="C1344" s="1">
        <f>IFERROR(__xludf.DUMMYFUNCTION("""COMPUTED_VALUE"""),7.78)</f>
        <v>7.78</v>
      </c>
      <c r="D1344" s="1">
        <f>IFERROR(__xludf.DUMMYFUNCTION("""COMPUTED_VALUE"""),7.66)</f>
        <v>7.66</v>
      </c>
      <c r="E1344" s="1">
        <f>IFERROR(__xludf.DUMMYFUNCTION("""COMPUTED_VALUE"""),7.68)</f>
        <v>7.68</v>
      </c>
      <c r="F1344" s="1">
        <f>IFERROR(__xludf.DUMMYFUNCTION("""COMPUTED_VALUE"""),1328372.0)</f>
        <v>1328372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IFERROR(__xludf.DUMMYFUNCTION("""COMPUTED_VALUE"""),7.85)</f>
        <v>7.85</v>
      </c>
      <c r="C1345" s="1">
        <f>IFERROR(__xludf.DUMMYFUNCTION("""COMPUTED_VALUE"""),7.94)</f>
        <v>7.94</v>
      </c>
      <c r="D1345" s="1">
        <f>IFERROR(__xludf.DUMMYFUNCTION("""COMPUTED_VALUE"""),7.82)</f>
        <v>7.82</v>
      </c>
      <c r="E1345" s="1">
        <f>IFERROR(__xludf.DUMMYFUNCTION("""COMPUTED_VALUE"""),7.86)</f>
        <v>7.86</v>
      </c>
      <c r="F1345" s="1">
        <f>IFERROR(__xludf.DUMMYFUNCTION("""COMPUTED_VALUE"""),1081829.0)</f>
        <v>1081829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IFERROR(__xludf.DUMMYFUNCTION("""COMPUTED_VALUE"""),7.98)</f>
        <v>7.98</v>
      </c>
      <c r="C1346" s="1">
        <f>IFERROR(__xludf.DUMMYFUNCTION("""COMPUTED_VALUE"""),8.0)</f>
        <v>8</v>
      </c>
      <c r="D1346" s="1">
        <f>IFERROR(__xludf.DUMMYFUNCTION("""COMPUTED_VALUE"""),7.92)</f>
        <v>7.92</v>
      </c>
      <c r="E1346" s="1">
        <f>IFERROR(__xludf.DUMMYFUNCTION("""COMPUTED_VALUE"""),7.94)</f>
        <v>7.94</v>
      </c>
      <c r="F1346" s="1">
        <f>IFERROR(__xludf.DUMMYFUNCTION("""COMPUTED_VALUE"""),1545246.0)</f>
        <v>1545246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IFERROR(__xludf.DUMMYFUNCTION("""COMPUTED_VALUE"""),7.84)</f>
        <v>7.84</v>
      </c>
      <c r="C1347" s="1">
        <f>IFERROR(__xludf.DUMMYFUNCTION("""COMPUTED_VALUE"""),7.95)</f>
        <v>7.95</v>
      </c>
      <c r="D1347" s="1">
        <f>IFERROR(__xludf.DUMMYFUNCTION("""COMPUTED_VALUE"""),7.81)</f>
        <v>7.81</v>
      </c>
      <c r="E1347" s="1">
        <f>IFERROR(__xludf.DUMMYFUNCTION("""COMPUTED_VALUE"""),7.93)</f>
        <v>7.93</v>
      </c>
      <c r="F1347" s="1">
        <f>IFERROR(__xludf.DUMMYFUNCTION("""COMPUTED_VALUE"""),2111160.0)</f>
        <v>2111160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IFERROR(__xludf.DUMMYFUNCTION("""COMPUTED_VALUE"""),8.02)</f>
        <v>8.02</v>
      </c>
      <c r="C1348" s="1">
        <f>IFERROR(__xludf.DUMMYFUNCTION("""COMPUTED_VALUE"""),8.13)</f>
        <v>8.13</v>
      </c>
      <c r="D1348" s="1">
        <f>IFERROR(__xludf.DUMMYFUNCTION("""COMPUTED_VALUE"""),8.02)</f>
        <v>8.02</v>
      </c>
      <c r="E1348" s="1">
        <f>IFERROR(__xludf.DUMMYFUNCTION("""COMPUTED_VALUE"""),8.1)</f>
        <v>8.1</v>
      </c>
      <c r="F1348" s="1">
        <f>IFERROR(__xludf.DUMMYFUNCTION("""COMPUTED_VALUE"""),1656693.0)</f>
        <v>1656693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IFERROR(__xludf.DUMMYFUNCTION("""COMPUTED_VALUE"""),8.04)</f>
        <v>8.04</v>
      </c>
      <c r="C1349" s="1">
        <f>IFERROR(__xludf.DUMMYFUNCTION("""COMPUTED_VALUE"""),8.08)</f>
        <v>8.08</v>
      </c>
      <c r="D1349" s="1">
        <f>IFERROR(__xludf.DUMMYFUNCTION("""COMPUTED_VALUE"""),8.0)</f>
        <v>8</v>
      </c>
      <c r="E1349" s="1">
        <f>IFERROR(__xludf.DUMMYFUNCTION("""COMPUTED_VALUE"""),8.0)</f>
        <v>8</v>
      </c>
      <c r="F1349" s="1">
        <f>IFERROR(__xludf.DUMMYFUNCTION("""COMPUTED_VALUE"""),951734.0)</f>
        <v>951734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IFERROR(__xludf.DUMMYFUNCTION("""COMPUTED_VALUE"""),7.88)</f>
        <v>7.88</v>
      </c>
      <c r="C1350" s="1">
        <f>IFERROR(__xludf.DUMMYFUNCTION("""COMPUTED_VALUE"""),7.92)</f>
        <v>7.92</v>
      </c>
      <c r="D1350" s="1">
        <f>IFERROR(__xludf.DUMMYFUNCTION("""COMPUTED_VALUE"""),7.85)</f>
        <v>7.85</v>
      </c>
      <c r="E1350" s="1">
        <f>IFERROR(__xludf.DUMMYFUNCTION("""COMPUTED_VALUE"""),7.87)</f>
        <v>7.87</v>
      </c>
      <c r="F1350" s="1">
        <f>IFERROR(__xludf.DUMMYFUNCTION("""COMPUTED_VALUE"""),1064161.0)</f>
        <v>1064161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IFERROR(__xludf.DUMMYFUNCTION("""COMPUTED_VALUE"""),8.03)</f>
        <v>8.03</v>
      </c>
      <c r="C1351" s="1">
        <f>IFERROR(__xludf.DUMMYFUNCTION("""COMPUTED_VALUE"""),8.08)</f>
        <v>8.08</v>
      </c>
      <c r="D1351" s="1">
        <f>IFERROR(__xludf.DUMMYFUNCTION("""COMPUTED_VALUE"""),8.02)</f>
        <v>8.02</v>
      </c>
      <c r="E1351" s="1">
        <f>IFERROR(__xludf.DUMMYFUNCTION("""COMPUTED_VALUE"""),8.06)</f>
        <v>8.06</v>
      </c>
      <c r="F1351" s="1">
        <f>IFERROR(__xludf.DUMMYFUNCTION("""COMPUTED_VALUE"""),732157.0)</f>
        <v>732157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IFERROR(__xludf.DUMMYFUNCTION("""COMPUTED_VALUE"""),8.11)</f>
        <v>8.11</v>
      </c>
      <c r="C1352" s="1">
        <f>IFERROR(__xludf.DUMMYFUNCTION("""COMPUTED_VALUE"""),8.16)</f>
        <v>8.16</v>
      </c>
      <c r="D1352" s="1">
        <f>IFERROR(__xludf.DUMMYFUNCTION("""COMPUTED_VALUE"""),8.1)</f>
        <v>8.1</v>
      </c>
      <c r="E1352" s="1">
        <f>IFERROR(__xludf.DUMMYFUNCTION("""COMPUTED_VALUE"""),8.15)</f>
        <v>8.15</v>
      </c>
      <c r="F1352" s="1">
        <f>IFERROR(__xludf.DUMMYFUNCTION("""COMPUTED_VALUE"""),781726.0)</f>
        <v>781726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IFERROR(__xludf.DUMMYFUNCTION("""COMPUTED_VALUE"""),8.03)</f>
        <v>8.03</v>
      </c>
      <c r="C1353" s="1">
        <f>IFERROR(__xludf.DUMMYFUNCTION("""COMPUTED_VALUE"""),8.07)</f>
        <v>8.07</v>
      </c>
      <c r="D1353" s="1">
        <f>IFERROR(__xludf.DUMMYFUNCTION("""COMPUTED_VALUE"""),7.97)</f>
        <v>7.97</v>
      </c>
      <c r="E1353" s="1">
        <f>IFERROR(__xludf.DUMMYFUNCTION("""COMPUTED_VALUE"""),8.03)</f>
        <v>8.03</v>
      </c>
      <c r="F1353" s="1">
        <f>IFERROR(__xludf.DUMMYFUNCTION("""COMPUTED_VALUE"""),512456.0)</f>
        <v>512456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IFERROR(__xludf.DUMMYFUNCTION("""COMPUTED_VALUE"""),8.08)</f>
        <v>8.08</v>
      </c>
      <c r="C1354" s="1">
        <f>IFERROR(__xludf.DUMMYFUNCTION("""COMPUTED_VALUE"""),8.14)</f>
        <v>8.14</v>
      </c>
      <c r="D1354" s="1">
        <f>IFERROR(__xludf.DUMMYFUNCTION("""COMPUTED_VALUE"""),8.08)</f>
        <v>8.08</v>
      </c>
      <c r="E1354" s="1">
        <f>IFERROR(__xludf.DUMMYFUNCTION("""COMPUTED_VALUE"""),8.11)</f>
        <v>8.11</v>
      </c>
      <c r="F1354" s="1">
        <f>IFERROR(__xludf.DUMMYFUNCTION("""COMPUTED_VALUE"""),627882.0)</f>
        <v>627882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IFERROR(__xludf.DUMMYFUNCTION("""COMPUTED_VALUE"""),8.08)</f>
        <v>8.08</v>
      </c>
      <c r="C1355" s="1">
        <f>IFERROR(__xludf.DUMMYFUNCTION("""COMPUTED_VALUE"""),8.13)</f>
        <v>8.13</v>
      </c>
      <c r="D1355" s="1">
        <f>IFERROR(__xludf.DUMMYFUNCTION("""COMPUTED_VALUE"""),8.06)</f>
        <v>8.06</v>
      </c>
      <c r="E1355" s="1">
        <f>IFERROR(__xludf.DUMMYFUNCTION("""COMPUTED_VALUE"""),8.11)</f>
        <v>8.11</v>
      </c>
      <c r="F1355" s="1">
        <f>IFERROR(__xludf.DUMMYFUNCTION("""COMPUTED_VALUE"""),515958.0)</f>
        <v>515958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IFERROR(__xludf.DUMMYFUNCTION("""COMPUTED_VALUE"""),7.92)</f>
        <v>7.92</v>
      </c>
      <c r="C1356" s="1">
        <f>IFERROR(__xludf.DUMMYFUNCTION("""COMPUTED_VALUE"""),8.09)</f>
        <v>8.09</v>
      </c>
      <c r="D1356" s="1">
        <f>IFERROR(__xludf.DUMMYFUNCTION("""COMPUTED_VALUE"""),7.91)</f>
        <v>7.91</v>
      </c>
      <c r="E1356" s="1">
        <f>IFERROR(__xludf.DUMMYFUNCTION("""COMPUTED_VALUE"""),8.05)</f>
        <v>8.05</v>
      </c>
      <c r="F1356" s="1">
        <f>IFERROR(__xludf.DUMMYFUNCTION("""COMPUTED_VALUE"""),1691828.0)</f>
        <v>1691828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IFERROR(__xludf.DUMMYFUNCTION("""COMPUTED_VALUE"""),8.01)</f>
        <v>8.01</v>
      </c>
      <c r="C1357" s="1">
        <f>IFERROR(__xludf.DUMMYFUNCTION("""COMPUTED_VALUE"""),8.01)</f>
        <v>8.01</v>
      </c>
      <c r="D1357" s="1">
        <f>IFERROR(__xludf.DUMMYFUNCTION("""COMPUTED_VALUE"""),7.94)</f>
        <v>7.94</v>
      </c>
      <c r="E1357" s="1">
        <f>IFERROR(__xludf.DUMMYFUNCTION("""COMPUTED_VALUE"""),7.94)</f>
        <v>7.94</v>
      </c>
      <c r="F1357" s="1">
        <f>IFERROR(__xludf.DUMMYFUNCTION("""COMPUTED_VALUE"""),802606.0)</f>
        <v>802606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IFERROR(__xludf.DUMMYFUNCTION("""COMPUTED_VALUE"""),7.84)</f>
        <v>7.84</v>
      </c>
      <c r="C1358" s="1">
        <f>IFERROR(__xludf.DUMMYFUNCTION("""COMPUTED_VALUE"""),7.85)</f>
        <v>7.85</v>
      </c>
      <c r="D1358" s="1">
        <f>IFERROR(__xludf.DUMMYFUNCTION("""COMPUTED_VALUE"""),7.73)</f>
        <v>7.73</v>
      </c>
      <c r="E1358" s="1">
        <f>IFERROR(__xludf.DUMMYFUNCTION("""COMPUTED_VALUE"""),7.77)</f>
        <v>7.77</v>
      </c>
      <c r="F1358" s="1">
        <f>IFERROR(__xludf.DUMMYFUNCTION("""COMPUTED_VALUE"""),1333520.0)</f>
        <v>1333520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IFERROR(__xludf.DUMMYFUNCTION("""COMPUTED_VALUE"""),7.74)</f>
        <v>7.74</v>
      </c>
      <c r="C1359" s="1">
        <f>IFERROR(__xludf.DUMMYFUNCTION("""COMPUTED_VALUE"""),7.92)</f>
        <v>7.92</v>
      </c>
      <c r="D1359" s="1">
        <f>IFERROR(__xludf.DUMMYFUNCTION("""COMPUTED_VALUE"""),7.74)</f>
        <v>7.74</v>
      </c>
      <c r="E1359" s="1">
        <f>IFERROR(__xludf.DUMMYFUNCTION("""COMPUTED_VALUE"""),7.88)</f>
        <v>7.88</v>
      </c>
      <c r="F1359" s="1">
        <f>IFERROR(__xludf.DUMMYFUNCTION("""COMPUTED_VALUE"""),879131.0)</f>
        <v>879131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IFERROR(__xludf.DUMMYFUNCTION("""COMPUTED_VALUE"""),7.71)</f>
        <v>7.71</v>
      </c>
      <c r="C1360" s="1">
        <f>IFERROR(__xludf.DUMMYFUNCTION("""COMPUTED_VALUE"""),7.76)</f>
        <v>7.76</v>
      </c>
      <c r="D1360" s="1">
        <f>IFERROR(__xludf.DUMMYFUNCTION("""COMPUTED_VALUE"""),7.65)</f>
        <v>7.65</v>
      </c>
      <c r="E1360" s="1">
        <f>IFERROR(__xludf.DUMMYFUNCTION("""COMPUTED_VALUE"""),7.75)</f>
        <v>7.75</v>
      </c>
      <c r="F1360" s="1">
        <f>IFERROR(__xludf.DUMMYFUNCTION("""COMPUTED_VALUE"""),2197278.0)</f>
        <v>2197278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IFERROR(__xludf.DUMMYFUNCTION("""COMPUTED_VALUE"""),7.7)</f>
        <v>7.7</v>
      </c>
      <c r="C1361" s="1">
        <f>IFERROR(__xludf.DUMMYFUNCTION("""COMPUTED_VALUE"""),7.71)</f>
        <v>7.71</v>
      </c>
      <c r="D1361" s="1">
        <f>IFERROR(__xludf.DUMMYFUNCTION("""COMPUTED_VALUE"""),7.6)</f>
        <v>7.6</v>
      </c>
      <c r="E1361" s="1">
        <f>IFERROR(__xludf.DUMMYFUNCTION("""COMPUTED_VALUE"""),7.67)</f>
        <v>7.67</v>
      </c>
      <c r="F1361" s="1">
        <f>IFERROR(__xludf.DUMMYFUNCTION("""COMPUTED_VALUE"""),698470.0)</f>
        <v>698470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IFERROR(__xludf.DUMMYFUNCTION("""COMPUTED_VALUE"""),7.54)</f>
        <v>7.54</v>
      </c>
      <c r="C1362" s="1">
        <f>IFERROR(__xludf.DUMMYFUNCTION("""COMPUTED_VALUE"""),7.56)</f>
        <v>7.56</v>
      </c>
      <c r="D1362" s="1">
        <f>IFERROR(__xludf.DUMMYFUNCTION("""COMPUTED_VALUE"""),7.47)</f>
        <v>7.47</v>
      </c>
      <c r="E1362" s="1">
        <f>IFERROR(__xludf.DUMMYFUNCTION("""COMPUTED_VALUE"""),7.53)</f>
        <v>7.53</v>
      </c>
      <c r="F1362" s="1">
        <f>IFERROR(__xludf.DUMMYFUNCTION("""COMPUTED_VALUE"""),1073305.0)</f>
        <v>1073305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IFERROR(__xludf.DUMMYFUNCTION("""COMPUTED_VALUE"""),7.62)</f>
        <v>7.62</v>
      </c>
      <c r="C1363" s="1">
        <f>IFERROR(__xludf.DUMMYFUNCTION("""COMPUTED_VALUE"""),7.7)</f>
        <v>7.7</v>
      </c>
      <c r="D1363" s="1">
        <f>IFERROR(__xludf.DUMMYFUNCTION("""COMPUTED_VALUE"""),7.62)</f>
        <v>7.62</v>
      </c>
      <c r="E1363" s="1">
        <f>IFERROR(__xludf.DUMMYFUNCTION("""COMPUTED_VALUE"""),7.66)</f>
        <v>7.66</v>
      </c>
      <c r="F1363" s="1">
        <f>IFERROR(__xludf.DUMMYFUNCTION("""COMPUTED_VALUE"""),608108.0)</f>
        <v>608108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IFERROR(__xludf.DUMMYFUNCTION("""COMPUTED_VALUE"""),7.68)</f>
        <v>7.68</v>
      </c>
      <c r="C1364" s="1">
        <f>IFERROR(__xludf.DUMMYFUNCTION("""COMPUTED_VALUE"""),7.8)</f>
        <v>7.8</v>
      </c>
      <c r="D1364" s="1">
        <f>IFERROR(__xludf.DUMMYFUNCTION("""COMPUTED_VALUE"""),7.67)</f>
        <v>7.67</v>
      </c>
      <c r="E1364" s="1">
        <f>IFERROR(__xludf.DUMMYFUNCTION("""COMPUTED_VALUE"""),7.76)</f>
        <v>7.76</v>
      </c>
      <c r="F1364" s="1">
        <f>IFERROR(__xludf.DUMMYFUNCTION("""COMPUTED_VALUE"""),426475.0)</f>
        <v>426475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IFERROR(__xludf.DUMMYFUNCTION("""COMPUTED_VALUE"""),7.66)</f>
        <v>7.66</v>
      </c>
      <c r="C1365" s="1">
        <f>IFERROR(__xludf.DUMMYFUNCTION("""COMPUTED_VALUE"""),7.76)</f>
        <v>7.76</v>
      </c>
      <c r="D1365" s="1">
        <f>IFERROR(__xludf.DUMMYFUNCTION("""COMPUTED_VALUE"""),7.63)</f>
        <v>7.63</v>
      </c>
      <c r="E1365" s="1">
        <f>IFERROR(__xludf.DUMMYFUNCTION("""COMPUTED_VALUE"""),7.65)</f>
        <v>7.65</v>
      </c>
      <c r="F1365" s="1">
        <f>IFERROR(__xludf.DUMMYFUNCTION("""COMPUTED_VALUE"""),622138.0)</f>
        <v>622138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IFERROR(__xludf.DUMMYFUNCTION("""COMPUTED_VALUE"""),7.54)</f>
        <v>7.54</v>
      </c>
      <c r="C1366" s="1">
        <f>IFERROR(__xludf.DUMMYFUNCTION("""COMPUTED_VALUE"""),7.66)</f>
        <v>7.66</v>
      </c>
      <c r="D1366" s="1">
        <f>IFERROR(__xludf.DUMMYFUNCTION("""COMPUTED_VALUE"""),7.5)</f>
        <v>7.5</v>
      </c>
      <c r="E1366" s="1">
        <f>IFERROR(__xludf.DUMMYFUNCTION("""COMPUTED_VALUE"""),7.6)</f>
        <v>7.6</v>
      </c>
      <c r="F1366" s="1">
        <f>IFERROR(__xludf.DUMMYFUNCTION("""COMPUTED_VALUE"""),690792.0)</f>
        <v>690792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IFERROR(__xludf.DUMMYFUNCTION("""COMPUTED_VALUE"""),7.49)</f>
        <v>7.49</v>
      </c>
      <c r="C1367" s="1">
        <f>IFERROR(__xludf.DUMMYFUNCTION("""COMPUTED_VALUE"""),7.52)</f>
        <v>7.52</v>
      </c>
      <c r="D1367" s="1">
        <f>IFERROR(__xludf.DUMMYFUNCTION("""COMPUTED_VALUE"""),7.45)</f>
        <v>7.45</v>
      </c>
      <c r="E1367" s="1">
        <f>IFERROR(__xludf.DUMMYFUNCTION("""COMPUTED_VALUE"""),7.49)</f>
        <v>7.49</v>
      </c>
      <c r="F1367" s="1">
        <f>IFERROR(__xludf.DUMMYFUNCTION("""COMPUTED_VALUE"""),857330.0)</f>
        <v>857330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IFERROR(__xludf.DUMMYFUNCTION("""COMPUTED_VALUE"""),7.41)</f>
        <v>7.41</v>
      </c>
      <c r="C1368" s="1">
        <f>IFERROR(__xludf.DUMMYFUNCTION("""COMPUTED_VALUE"""),7.45)</f>
        <v>7.45</v>
      </c>
      <c r="D1368" s="1">
        <f>IFERROR(__xludf.DUMMYFUNCTION("""COMPUTED_VALUE"""),7.36)</f>
        <v>7.36</v>
      </c>
      <c r="E1368" s="1">
        <f>IFERROR(__xludf.DUMMYFUNCTION("""COMPUTED_VALUE"""),7.42)</f>
        <v>7.42</v>
      </c>
      <c r="F1368" s="1">
        <f>IFERROR(__xludf.DUMMYFUNCTION("""COMPUTED_VALUE"""),716675.0)</f>
        <v>716675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IFERROR(__xludf.DUMMYFUNCTION("""COMPUTED_VALUE"""),7.53)</f>
        <v>7.53</v>
      </c>
      <c r="C1369" s="1">
        <f>IFERROR(__xludf.DUMMYFUNCTION("""COMPUTED_VALUE"""),7.66)</f>
        <v>7.66</v>
      </c>
      <c r="D1369" s="1">
        <f>IFERROR(__xludf.DUMMYFUNCTION("""COMPUTED_VALUE"""),7.52)</f>
        <v>7.52</v>
      </c>
      <c r="E1369" s="1">
        <f>IFERROR(__xludf.DUMMYFUNCTION("""COMPUTED_VALUE"""),7.63)</f>
        <v>7.63</v>
      </c>
      <c r="F1369" s="1">
        <f>IFERROR(__xludf.DUMMYFUNCTION("""COMPUTED_VALUE"""),800961.0)</f>
        <v>800961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IFERROR(__xludf.DUMMYFUNCTION("""COMPUTED_VALUE"""),7.52)</f>
        <v>7.52</v>
      </c>
      <c r="C1370" s="1">
        <f>IFERROR(__xludf.DUMMYFUNCTION("""COMPUTED_VALUE"""),7.55)</f>
        <v>7.55</v>
      </c>
      <c r="D1370" s="1">
        <f>IFERROR(__xludf.DUMMYFUNCTION("""COMPUTED_VALUE"""),7.43)</f>
        <v>7.43</v>
      </c>
      <c r="E1370" s="1">
        <f>IFERROR(__xludf.DUMMYFUNCTION("""COMPUTED_VALUE"""),7.52)</f>
        <v>7.52</v>
      </c>
      <c r="F1370" s="1">
        <f>IFERROR(__xludf.DUMMYFUNCTION("""COMPUTED_VALUE"""),1695008.0)</f>
        <v>1695008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IFERROR(__xludf.DUMMYFUNCTION("""COMPUTED_VALUE"""),7.33)</f>
        <v>7.33</v>
      </c>
      <c r="C1371" s="1">
        <f>IFERROR(__xludf.DUMMYFUNCTION("""COMPUTED_VALUE"""),7.39)</f>
        <v>7.39</v>
      </c>
      <c r="D1371" s="1">
        <f>IFERROR(__xludf.DUMMYFUNCTION("""COMPUTED_VALUE"""),7.26)</f>
        <v>7.26</v>
      </c>
      <c r="E1371" s="1">
        <f>IFERROR(__xludf.DUMMYFUNCTION("""COMPUTED_VALUE"""),7.39)</f>
        <v>7.39</v>
      </c>
      <c r="F1371" s="1">
        <f>IFERROR(__xludf.DUMMYFUNCTION("""COMPUTED_VALUE"""),1275077.0)</f>
        <v>1275077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IFERROR(__xludf.DUMMYFUNCTION("""COMPUTED_VALUE"""),7.25)</f>
        <v>7.25</v>
      </c>
      <c r="C1372" s="1">
        <f>IFERROR(__xludf.DUMMYFUNCTION("""COMPUTED_VALUE"""),7.34)</f>
        <v>7.34</v>
      </c>
      <c r="D1372" s="1">
        <f>IFERROR(__xludf.DUMMYFUNCTION("""COMPUTED_VALUE"""),7.24)</f>
        <v>7.24</v>
      </c>
      <c r="E1372" s="1">
        <f>IFERROR(__xludf.DUMMYFUNCTION("""COMPUTED_VALUE"""),7.31)</f>
        <v>7.31</v>
      </c>
      <c r="F1372" s="1">
        <f>IFERROR(__xludf.DUMMYFUNCTION("""COMPUTED_VALUE"""),1279511.0)</f>
        <v>1279511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IFERROR(__xludf.DUMMYFUNCTION("""COMPUTED_VALUE"""),7.33)</f>
        <v>7.33</v>
      </c>
      <c r="C1373" s="1">
        <f>IFERROR(__xludf.DUMMYFUNCTION("""COMPUTED_VALUE"""),7.39)</f>
        <v>7.39</v>
      </c>
      <c r="D1373" s="1">
        <f>IFERROR(__xludf.DUMMYFUNCTION("""COMPUTED_VALUE"""),7.31)</f>
        <v>7.31</v>
      </c>
      <c r="E1373" s="1">
        <f>IFERROR(__xludf.DUMMYFUNCTION("""COMPUTED_VALUE"""),7.35)</f>
        <v>7.35</v>
      </c>
      <c r="F1373" s="1">
        <f>IFERROR(__xludf.DUMMYFUNCTION("""COMPUTED_VALUE"""),620812.0)</f>
        <v>620812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IFERROR(__xludf.DUMMYFUNCTION("""COMPUTED_VALUE"""),7.37)</f>
        <v>7.37</v>
      </c>
      <c r="C1374" s="1">
        <f>IFERROR(__xludf.DUMMYFUNCTION("""COMPUTED_VALUE"""),7.41)</f>
        <v>7.41</v>
      </c>
      <c r="D1374" s="1">
        <f>IFERROR(__xludf.DUMMYFUNCTION("""COMPUTED_VALUE"""),7.31)</f>
        <v>7.31</v>
      </c>
      <c r="E1374" s="1">
        <f>IFERROR(__xludf.DUMMYFUNCTION("""COMPUTED_VALUE"""),7.34)</f>
        <v>7.34</v>
      </c>
      <c r="F1374" s="1">
        <f>IFERROR(__xludf.DUMMYFUNCTION("""COMPUTED_VALUE"""),1056637.0)</f>
        <v>1056637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IFERROR(__xludf.DUMMYFUNCTION("""COMPUTED_VALUE"""),7.43)</f>
        <v>7.43</v>
      </c>
      <c r="C1375" s="1">
        <f>IFERROR(__xludf.DUMMYFUNCTION("""COMPUTED_VALUE"""),7.56)</f>
        <v>7.56</v>
      </c>
      <c r="D1375" s="1">
        <f>IFERROR(__xludf.DUMMYFUNCTION("""COMPUTED_VALUE"""),7.41)</f>
        <v>7.41</v>
      </c>
      <c r="E1375" s="1">
        <f>IFERROR(__xludf.DUMMYFUNCTION("""COMPUTED_VALUE"""),7.45)</f>
        <v>7.45</v>
      </c>
      <c r="F1375" s="1">
        <f>IFERROR(__xludf.DUMMYFUNCTION("""COMPUTED_VALUE"""),930769.0)</f>
        <v>930769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IFERROR(__xludf.DUMMYFUNCTION("""COMPUTED_VALUE"""),7.44)</f>
        <v>7.44</v>
      </c>
      <c r="C1376" s="1">
        <f>IFERROR(__xludf.DUMMYFUNCTION("""COMPUTED_VALUE"""),7.45)</f>
        <v>7.45</v>
      </c>
      <c r="D1376" s="1">
        <f>IFERROR(__xludf.DUMMYFUNCTION("""COMPUTED_VALUE"""),7.39)</f>
        <v>7.39</v>
      </c>
      <c r="E1376" s="1">
        <f>IFERROR(__xludf.DUMMYFUNCTION("""COMPUTED_VALUE"""),7.4)</f>
        <v>7.4</v>
      </c>
      <c r="F1376" s="1">
        <f>IFERROR(__xludf.DUMMYFUNCTION("""COMPUTED_VALUE"""),540329.0)</f>
        <v>540329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IFERROR(__xludf.DUMMYFUNCTION("""COMPUTED_VALUE"""),7.57)</f>
        <v>7.57</v>
      </c>
      <c r="C1377" s="1">
        <f>IFERROR(__xludf.DUMMYFUNCTION("""COMPUTED_VALUE"""),7.7)</f>
        <v>7.7</v>
      </c>
      <c r="D1377" s="1">
        <f>IFERROR(__xludf.DUMMYFUNCTION("""COMPUTED_VALUE"""),7.57)</f>
        <v>7.57</v>
      </c>
      <c r="E1377" s="1">
        <f>IFERROR(__xludf.DUMMYFUNCTION("""COMPUTED_VALUE"""),7.63)</f>
        <v>7.63</v>
      </c>
      <c r="F1377" s="1">
        <f>IFERROR(__xludf.DUMMYFUNCTION("""COMPUTED_VALUE"""),1069989.0)</f>
        <v>1069989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IFERROR(__xludf.DUMMYFUNCTION("""COMPUTED_VALUE"""),7.62)</f>
        <v>7.62</v>
      </c>
      <c r="C1378" s="1">
        <f>IFERROR(__xludf.DUMMYFUNCTION("""COMPUTED_VALUE"""),7.65)</f>
        <v>7.65</v>
      </c>
      <c r="D1378" s="1">
        <f>IFERROR(__xludf.DUMMYFUNCTION("""COMPUTED_VALUE"""),7.58)</f>
        <v>7.58</v>
      </c>
      <c r="E1378" s="1">
        <f>IFERROR(__xludf.DUMMYFUNCTION("""COMPUTED_VALUE"""),7.61)</f>
        <v>7.61</v>
      </c>
      <c r="F1378" s="1">
        <f>IFERROR(__xludf.DUMMYFUNCTION("""COMPUTED_VALUE"""),698412.0)</f>
        <v>698412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IFERROR(__xludf.DUMMYFUNCTION("""COMPUTED_VALUE"""),7.6)</f>
        <v>7.6</v>
      </c>
      <c r="C1379" s="1">
        <f>IFERROR(__xludf.DUMMYFUNCTION("""COMPUTED_VALUE"""),7.64)</f>
        <v>7.64</v>
      </c>
      <c r="D1379" s="1">
        <f>IFERROR(__xludf.DUMMYFUNCTION("""COMPUTED_VALUE"""),7.57)</f>
        <v>7.57</v>
      </c>
      <c r="E1379" s="1">
        <f>IFERROR(__xludf.DUMMYFUNCTION("""COMPUTED_VALUE"""),7.57)</f>
        <v>7.57</v>
      </c>
      <c r="F1379" s="1">
        <f>IFERROR(__xludf.DUMMYFUNCTION("""COMPUTED_VALUE"""),627834.0)</f>
        <v>627834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IFERROR(__xludf.DUMMYFUNCTION("""COMPUTED_VALUE"""),7.64)</f>
        <v>7.64</v>
      </c>
      <c r="C1380" s="1">
        <f>IFERROR(__xludf.DUMMYFUNCTION("""COMPUTED_VALUE"""),7.65)</f>
        <v>7.65</v>
      </c>
      <c r="D1380" s="1">
        <f>IFERROR(__xludf.DUMMYFUNCTION("""COMPUTED_VALUE"""),7.58)</f>
        <v>7.58</v>
      </c>
      <c r="E1380" s="1">
        <f>IFERROR(__xludf.DUMMYFUNCTION("""COMPUTED_VALUE"""),7.58)</f>
        <v>7.58</v>
      </c>
      <c r="F1380" s="1">
        <f>IFERROR(__xludf.DUMMYFUNCTION("""COMPUTED_VALUE"""),739442.0)</f>
        <v>739442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IFERROR(__xludf.DUMMYFUNCTION("""COMPUTED_VALUE"""),7.68)</f>
        <v>7.68</v>
      </c>
      <c r="C1381" s="1">
        <f>IFERROR(__xludf.DUMMYFUNCTION("""COMPUTED_VALUE"""),7.71)</f>
        <v>7.71</v>
      </c>
      <c r="D1381" s="1">
        <f>IFERROR(__xludf.DUMMYFUNCTION("""COMPUTED_VALUE"""),7.61)</f>
        <v>7.61</v>
      </c>
      <c r="E1381" s="1">
        <f>IFERROR(__xludf.DUMMYFUNCTION("""COMPUTED_VALUE"""),7.63)</f>
        <v>7.63</v>
      </c>
      <c r="F1381" s="1">
        <f>IFERROR(__xludf.DUMMYFUNCTION("""COMPUTED_VALUE"""),692289.0)</f>
        <v>692289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IFERROR(__xludf.DUMMYFUNCTION("""COMPUTED_VALUE"""),7.45)</f>
        <v>7.45</v>
      </c>
      <c r="C1382" s="1">
        <f>IFERROR(__xludf.DUMMYFUNCTION("""COMPUTED_VALUE"""),7.49)</f>
        <v>7.49</v>
      </c>
      <c r="D1382" s="1">
        <f>IFERROR(__xludf.DUMMYFUNCTION("""COMPUTED_VALUE"""),7.32)</f>
        <v>7.32</v>
      </c>
      <c r="E1382" s="1">
        <f>IFERROR(__xludf.DUMMYFUNCTION("""COMPUTED_VALUE"""),7.33)</f>
        <v>7.33</v>
      </c>
      <c r="F1382" s="1">
        <f>IFERROR(__xludf.DUMMYFUNCTION("""COMPUTED_VALUE"""),1123781.0)</f>
        <v>1123781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IFERROR(__xludf.DUMMYFUNCTION("""COMPUTED_VALUE"""),7.51)</f>
        <v>7.51</v>
      </c>
      <c r="C1383" s="1">
        <f>IFERROR(__xludf.DUMMYFUNCTION("""COMPUTED_VALUE"""),7.51)</f>
        <v>7.51</v>
      </c>
      <c r="D1383" s="1">
        <f>IFERROR(__xludf.DUMMYFUNCTION("""COMPUTED_VALUE"""),7.35)</f>
        <v>7.35</v>
      </c>
      <c r="E1383" s="1">
        <f>IFERROR(__xludf.DUMMYFUNCTION("""COMPUTED_VALUE"""),7.4)</f>
        <v>7.4</v>
      </c>
      <c r="F1383" s="1">
        <f>IFERROR(__xludf.DUMMYFUNCTION("""COMPUTED_VALUE"""),1291104.0)</f>
        <v>1291104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IFERROR(__xludf.DUMMYFUNCTION("""COMPUTED_VALUE"""),7.48)</f>
        <v>7.48</v>
      </c>
      <c r="C1384" s="1">
        <f>IFERROR(__xludf.DUMMYFUNCTION("""COMPUTED_VALUE"""),7.49)</f>
        <v>7.49</v>
      </c>
      <c r="D1384" s="1">
        <f>IFERROR(__xludf.DUMMYFUNCTION("""COMPUTED_VALUE"""),7.38)</f>
        <v>7.38</v>
      </c>
      <c r="E1384" s="1">
        <f>IFERROR(__xludf.DUMMYFUNCTION("""COMPUTED_VALUE"""),7.43)</f>
        <v>7.43</v>
      </c>
      <c r="F1384" s="1">
        <f>IFERROR(__xludf.DUMMYFUNCTION("""COMPUTED_VALUE"""),1274397.0)</f>
        <v>1274397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IFERROR(__xludf.DUMMYFUNCTION("""COMPUTED_VALUE"""),7.4)</f>
        <v>7.4</v>
      </c>
      <c r="C1385" s="1">
        <f>IFERROR(__xludf.DUMMYFUNCTION("""COMPUTED_VALUE"""),7.42)</f>
        <v>7.42</v>
      </c>
      <c r="D1385" s="1">
        <f>IFERROR(__xludf.DUMMYFUNCTION("""COMPUTED_VALUE"""),7.33)</f>
        <v>7.33</v>
      </c>
      <c r="E1385" s="1">
        <f>IFERROR(__xludf.DUMMYFUNCTION("""COMPUTED_VALUE"""),7.38)</f>
        <v>7.38</v>
      </c>
      <c r="F1385" s="1">
        <f>IFERROR(__xludf.DUMMYFUNCTION("""COMPUTED_VALUE"""),879158.0)</f>
        <v>879158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IFERROR(__xludf.DUMMYFUNCTION("""COMPUTED_VALUE"""),7.16)</f>
        <v>7.16</v>
      </c>
      <c r="C1386" s="1">
        <f>IFERROR(__xludf.DUMMYFUNCTION("""COMPUTED_VALUE"""),7.24)</f>
        <v>7.24</v>
      </c>
      <c r="D1386" s="1">
        <f>IFERROR(__xludf.DUMMYFUNCTION("""COMPUTED_VALUE"""),7.11)</f>
        <v>7.11</v>
      </c>
      <c r="E1386" s="1">
        <f>IFERROR(__xludf.DUMMYFUNCTION("""COMPUTED_VALUE"""),7.15)</f>
        <v>7.15</v>
      </c>
      <c r="F1386" s="1">
        <f>IFERROR(__xludf.DUMMYFUNCTION("""COMPUTED_VALUE"""),1059772.0)</f>
        <v>1059772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IFERROR(__xludf.DUMMYFUNCTION("""COMPUTED_VALUE"""),7.05)</f>
        <v>7.05</v>
      </c>
      <c r="C1387" s="1">
        <f>IFERROR(__xludf.DUMMYFUNCTION("""COMPUTED_VALUE"""),7.2)</f>
        <v>7.2</v>
      </c>
      <c r="D1387" s="1">
        <f>IFERROR(__xludf.DUMMYFUNCTION("""COMPUTED_VALUE"""),6.96)</f>
        <v>6.96</v>
      </c>
      <c r="E1387" s="1">
        <f>IFERROR(__xludf.DUMMYFUNCTION("""COMPUTED_VALUE"""),7.16)</f>
        <v>7.16</v>
      </c>
      <c r="F1387" s="1">
        <f>IFERROR(__xludf.DUMMYFUNCTION("""COMPUTED_VALUE"""),1146955.0)</f>
        <v>1146955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IFERROR(__xludf.DUMMYFUNCTION("""COMPUTED_VALUE"""),7.09)</f>
        <v>7.09</v>
      </c>
      <c r="C1388" s="1">
        <f>IFERROR(__xludf.DUMMYFUNCTION("""COMPUTED_VALUE"""),7.15)</f>
        <v>7.15</v>
      </c>
      <c r="D1388" s="1">
        <f>IFERROR(__xludf.DUMMYFUNCTION("""COMPUTED_VALUE"""),7.05)</f>
        <v>7.05</v>
      </c>
      <c r="E1388" s="1">
        <f>IFERROR(__xludf.DUMMYFUNCTION("""COMPUTED_VALUE"""),7.08)</f>
        <v>7.08</v>
      </c>
      <c r="F1388" s="1">
        <f>IFERROR(__xludf.DUMMYFUNCTION("""COMPUTED_VALUE"""),823788.0)</f>
        <v>823788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IFERROR(__xludf.DUMMYFUNCTION("""COMPUTED_VALUE"""),7.28)</f>
        <v>7.28</v>
      </c>
      <c r="C1389" s="1">
        <f>IFERROR(__xludf.DUMMYFUNCTION("""COMPUTED_VALUE"""),7.31)</f>
        <v>7.31</v>
      </c>
      <c r="D1389" s="1">
        <f>IFERROR(__xludf.DUMMYFUNCTION("""COMPUTED_VALUE"""),7.22)</f>
        <v>7.22</v>
      </c>
      <c r="E1389" s="1">
        <f>IFERROR(__xludf.DUMMYFUNCTION("""COMPUTED_VALUE"""),7.24)</f>
        <v>7.24</v>
      </c>
      <c r="F1389" s="1">
        <f>IFERROR(__xludf.DUMMYFUNCTION("""COMPUTED_VALUE"""),1616752.0)</f>
        <v>1616752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IFERROR(__xludf.DUMMYFUNCTION("""COMPUTED_VALUE"""),7.55)</f>
        <v>7.55</v>
      </c>
      <c r="C1390" s="1">
        <f>IFERROR(__xludf.DUMMYFUNCTION("""COMPUTED_VALUE"""),7.57)</f>
        <v>7.57</v>
      </c>
      <c r="D1390" s="1">
        <f>IFERROR(__xludf.DUMMYFUNCTION("""COMPUTED_VALUE"""),7.51)</f>
        <v>7.51</v>
      </c>
      <c r="E1390" s="1">
        <f>IFERROR(__xludf.DUMMYFUNCTION("""COMPUTED_VALUE"""),7.55)</f>
        <v>7.55</v>
      </c>
      <c r="F1390" s="1">
        <f>IFERROR(__xludf.DUMMYFUNCTION("""COMPUTED_VALUE"""),1290096.0)</f>
        <v>1290096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IFERROR(__xludf.DUMMYFUNCTION("""COMPUTED_VALUE"""),7.63)</f>
        <v>7.63</v>
      </c>
      <c r="C1391" s="1">
        <f>IFERROR(__xludf.DUMMYFUNCTION("""COMPUTED_VALUE"""),7.64)</f>
        <v>7.64</v>
      </c>
      <c r="D1391" s="1">
        <f>IFERROR(__xludf.DUMMYFUNCTION("""COMPUTED_VALUE"""),7.6)</f>
        <v>7.6</v>
      </c>
      <c r="E1391" s="1">
        <f>IFERROR(__xludf.DUMMYFUNCTION("""COMPUTED_VALUE"""),7.61)</f>
        <v>7.61</v>
      </c>
      <c r="F1391" s="1">
        <f>IFERROR(__xludf.DUMMYFUNCTION("""COMPUTED_VALUE"""),648361.0)</f>
        <v>648361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IFERROR(__xludf.DUMMYFUNCTION("""COMPUTED_VALUE"""),7.61)</f>
        <v>7.61</v>
      </c>
      <c r="C1392" s="1">
        <f>IFERROR(__xludf.DUMMYFUNCTION("""COMPUTED_VALUE"""),7.63)</f>
        <v>7.63</v>
      </c>
      <c r="D1392" s="1">
        <f>IFERROR(__xludf.DUMMYFUNCTION("""COMPUTED_VALUE"""),7.59)</f>
        <v>7.59</v>
      </c>
      <c r="E1392" s="1">
        <f>IFERROR(__xludf.DUMMYFUNCTION("""COMPUTED_VALUE"""),7.62)</f>
        <v>7.62</v>
      </c>
      <c r="F1392" s="1">
        <f>IFERROR(__xludf.DUMMYFUNCTION("""COMPUTED_VALUE"""),393554.0)</f>
        <v>393554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IFERROR(__xludf.DUMMYFUNCTION("""COMPUTED_VALUE"""),7.62)</f>
        <v>7.62</v>
      </c>
      <c r="C1393" s="1">
        <f>IFERROR(__xludf.DUMMYFUNCTION("""COMPUTED_VALUE"""),7.63)</f>
        <v>7.63</v>
      </c>
      <c r="D1393" s="1">
        <f>IFERROR(__xludf.DUMMYFUNCTION("""COMPUTED_VALUE"""),7.56)</f>
        <v>7.56</v>
      </c>
      <c r="E1393" s="1">
        <f>IFERROR(__xludf.DUMMYFUNCTION("""COMPUTED_VALUE"""),7.59)</f>
        <v>7.59</v>
      </c>
      <c r="F1393" s="1">
        <f>IFERROR(__xludf.DUMMYFUNCTION("""COMPUTED_VALUE"""),701357.0)</f>
        <v>701357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IFERROR(__xludf.DUMMYFUNCTION("""COMPUTED_VALUE"""),7.65)</f>
        <v>7.65</v>
      </c>
      <c r="C1394" s="1">
        <f>IFERROR(__xludf.DUMMYFUNCTION("""COMPUTED_VALUE"""),7.71)</f>
        <v>7.71</v>
      </c>
      <c r="D1394" s="1">
        <f>IFERROR(__xludf.DUMMYFUNCTION("""COMPUTED_VALUE"""),7.64)</f>
        <v>7.64</v>
      </c>
      <c r="E1394" s="1">
        <f>IFERROR(__xludf.DUMMYFUNCTION("""COMPUTED_VALUE"""),7.69)</f>
        <v>7.69</v>
      </c>
      <c r="F1394" s="1">
        <f>IFERROR(__xludf.DUMMYFUNCTION("""COMPUTED_VALUE"""),597885.0)</f>
        <v>597885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IFERROR(__xludf.DUMMYFUNCTION("""COMPUTED_VALUE"""),7.73)</f>
        <v>7.73</v>
      </c>
      <c r="C1395" s="1">
        <f>IFERROR(__xludf.DUMMYFUNCTION("""COMPUTED_VALUE"""),7.76)</f>
        <v>7.76</v>
      </c>
      <c r="D1395" s="1">
        <f>IFERROR(__xludf.DUMMYFUNCTION("""COMPUTED_VALUE"""),7.69)</f>
        <v>7.69</v>
      </c>
      <c r="E1395" s="1">
        <f>IFERROR(__xludf.DUMMYFUNCTION("""COMPUTED_VALUE"""),7.72)</f>
        <v>7.72</v>
      </c>
      <c r="F1395" s="1">
        <f>IFERROR(__xludf.DUMMYFUNCTION("""COMPUTED_VALUE"""),539732.0)</f>
        <v>539732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IFERROR(__xludf.DUMMYFUNCTION("""COMPUTED_VALUE"""),7.79)</f>
        <v>7.79</v>
      </c>
      <c r="C1396" s="1">
        <f>IFERROR(__xludf.DUMMYFUNCTION("""COMPUTED_VALUE"""),7.8)</f>
        <v>7.8</v>
      </c>
      <c r="D1396" s="1">
        <f>IFERROR(__xludf.DUMMYFUNCTION("""COMPUTED_VALUE"""),7.75)</f>
        <v>7.75</v>
      </c>
      <c r="E1396" s="1">
        <f>IFERROR(__xludf.DUMMYFUNCTION("""COMPUTED_VALUE"""),7.77)</f>
        <v>7.77</v>
      </c>
      <c r="F1396" s="1">
        <f>IFERROR(__xludf.DUMMYFUNCTION("""COMPUTED_VALUE"""),805187.0)</f>
        <v>805187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IFERROR(__xludf.DUMMYFUNCTION("""COMPUTED_VALUE"""),7.76)</f>
        <v>7.76</v>
      </c>
      <c r="C1397" s="1">
        <f>IFERROR(__xludf.DUMMYFUNCTION("""COMPUTED_VALUE"""),7.81)</f>
        <v>7.81</v>
      </c>
      <c r="D1397" s="1">
        <f>IFERROR(__xludf.DUMMYFUNCTION("""COMPUTED_VALUE"""),7.75)</f>
        <v>7.75</v>
      </c>
      <c r="E1397" s="1">
        <f>IFERROR(__xludf.DUMMYFUNCTION("""COMPUTED_VALUE"""),7.78)</f>
        <v>7.78</v>
      </c>
      <c r="F1397" s="1">
        <f>IFERROR(__xludf.DUMMYFUNCTION("""COMPUTED_VALUE"""),668064.0)</f>
        <v>668064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IFERROR(__xludf.DUMMYFUNCTION("""COMPUTED_VALUE"""),7.81)</f>
        <v>7.81</v>
      </c>
      <c r="C1398" s="1">
        <f>IFERROR(__xludf.DUMMYFUNCTION("""COMPUTED_VALUE"""),7.86)</f>
        <v>7.86</v>
      </c>
      <c r="D1398" s="1">
        <f>IFERROR(__xludf.DUMMYFUNCTION("""COMPUTED_VALUE"""),7.81)</f>
        <v>7.81</v>
      </c>
      <c r="E1398" s="1">
        <f>IFERROR(__xludf.DUMMYFUNCTION("""COMPUTED_VALUE"""),7.85)</f>
        <v>7.85</v>
      </c>
      <c r="F1398" s="1">
        <f>IFERROR(__xludf.DUMMYFUNCTION("""COMPUTED_VALUE"""),585305.0)</f>
        <v>585305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IFERROR(__xludf.DUMMYFUNCTION("""COMPUTED_VALUE"""),7.91)</f>
        <v>7.91</v>
      </c>
      <c r="C1399" s="1">
        <f>IFERROR(__xludf.DUMMYFUNCTION("""COMPUTED_VALUE"""),7.93)</f>
        <v>7.93</v>
      </c>
      <c r="D1399" s="1">
        <f>IFERROR(__xludf.DUMMYFUNCTION("""COMPUTED_VALUE"""),7.84)</f>
        <v>7.84</v>
      </c>
      <c r="E1399" s="1">
        <f>IFERROR(__xludf.DUMMYFUNCTION("""COMPUTED_VALUE"""),7.85)</f>
        <v>7.85</v>
      </c>
      <c r="F1399" s="1">
        <f>IFERROR(__xludf.DUMMYFUNCTION("""COMPUTED_VALUE"""),767009.0)</f>
        <v>767009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IFERROR(__xludf.DUMMYFUNCTION("""COMPUTED_VALUE"""),7.79)</f>
        <v>7.79</v>
      </c>
      <c r="C1400" s="1">
        <f>IFERROR(__xludf.DUMMYFUNCTION("""COMPUTED_VALUE"""),7.89)</f>
        <v>7.89</v>
      </c>
      <c r="D1400" s="1">
        <f>IFERROR(__xludf.DUMMYFUNCTION("""COMPUTED_VALUE"""),7.72)</f>
        <v>7.72</v>
      </c>
      <c r="E1400" s="1">
        <f>IFERROR(__xludf.DUMMYFUNCTION("""COMPUTED_VALUE"""),7.73)</f>
        <v>7.73</v>
      </c>
      <c r="F1400" s="1">
        <f>IFERROR(__xludf.DUMMYFUNCTION("""COMPUTED_VALUE"""),2990935.0)</f>
        <v>2990935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IFERROR(__xludf.DUMMYFUNCTION("""COMPUTED_VALUE"""),7.81)</f>
        <v>7.81</v>
      </c>
      <c r="C1401" s="1">
        <f>IFERROR(__xludf.DUMMYFUNCTION("""COMPUTED_VALUE"""),7.81)</f>
        <v>7.81</v>
      </c>
      <c r="D1401" s="1">
        <f>IFERROR(__xludf.DUMMYFUNCTION("""COMPUTED_VALUE"""),7.74)</f>
        <v>7.74</v>
      </c>
      <c r="E1401" s="1">
        <f>IFERROR(__xludf.DUMMYFUNCTION("""COMPUTED_VALUE"""),7.77)</f>
        <v>7.77</v>
      </c>
      <c r="F1401" s="1">
        <f>IFERROR(__xludf.DUMMYFUNCTION("""COMPUTED_VALUE"""),745026.0)</f>
        <v>745026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IFERROR(__xludf.DUMMYFUNCTION("""COMPUTED_VALUE"""),7.77)</f>
        <v>7.77</v>
      </c>
      <c r="C1402" s="1">
        <f>IFERROR(__xludf.DUMMYFUNCTION("""COMPUTED_VALUE"""),7.86)</f>
        <v>7.86</v>
      </c>
      <c r="D1402" s="1">
        <f>IFERROR(__xludf.DUMMYFUNCTION("""COMPUTED_VALUE"""),7.77)</f>
        <v>7.77</v>
      </c>
      <c r="E1402" s="1">
        <f>IFERROR(__xludf.DUMMYFUNCTION("""COMPUTED_VALUE"""),7.84)</f>
        <v>7.84</v>
      </c>
      <c r="F1402" s="1">
        <f>IFERROR(__xludf.DUMMYFUNCTION("""COMPUTED_VALUE"""),463276.0)</f>
        <v>463276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IFERROR(__xludf.DUMMYFUNCTION("""COMPUTED_VALUE"""),7.71)</f>
        <v>7.71</v>
      </c>
      <c r="C1403" s="1">
        <f>IFERROR(__xludf.DUMMYFUNCTION("""COMPUTED_VALUE"""),7.8)</f>
        <v>7.8</v>
      </c>
      <c r="D1403" s="1">
        <f>IFERROR(__xludf.DUMMYFUNCTION("""COMPUTED_VALUE"""),7.71)</f>
        <v>7.71</v>
      </c>
      <c r="E1403" s="1">
        <f>IFERROR(__xludf.DUMMYFUNCTION("""COMPUTED_VALUE"""),7.74)</f>
        <v>7.74</v>
      </c>
      <c r="F1403" s="1">
        <f>IFERROR(__xludf.DUMMYFUNCTION("""COMPUTED_VALUE"""),820734.0)</f>
        <v>820734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IFERROR(__xludf.DUMMYFUNCTION("""COMPUTED_VALUE"""),7.75)</f>
        <v>7.75</v>
      </c>
      <c r="C1404" s="1">
        <f>IFERROR(__xludf.DUMMYFUNCTION("""COMPUTED_VALUE"""),7.76)</f>
        <v>7.76</v>
      </c>
      <c r="D1404" s="1">
        <f>IFERROR(__xludf.DUMMYFUNCTION("""COMPUTED_VALUE"""),7.69)</f>
        <v>7.69</v>
      </c>
      <c r="E1404" s="1">
        <f>IFERROR(__xludf.DUMMYFUNCTION("""COMPUTED_VALUE"""),7.74)</f>
        <v>7.74</v>
      </c>
      <c r="F1404" s="1">
        <f>IFERROR(__xludf.DUMMYFUNCTION("""COMPUTED_VALUE"""),562129.0)</f>
        <v>562129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IFERROR(__xludf.DUMMYFUNCTION("""COMPUTED_VALUE"""),7.71)</f>
        <v>7.71</v>
      </c>
      <c r="C1405" s="1">
        <f>IFERROR(__xludf.DUMMYFUNCTION("""COMPUTED_VALUE"""),7.77)</f>
        <v>7.77</v>
      </c>
      <c r="D1405" s="1">
        <f>IFERROR(__xludf.DUMMYFUNCTION("""COMPUTED_VALUE"""),7.67)</f>
        <v>7.67</v>
      </c>
      <c r="E1405" s="1">
        <f>IFERROR(__xludf.DUMMYFUNCTION("""COMPUTED_VALUE"""),7.7)</f>
        <v>7.7</v>
      </c>
      <c r="F1405" s="1">
        <f>IFERROR(__xludf.DUMMYFUNCTION("""COMPUTED_VALUE"""),580210.0)</f>
        <v>580210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IFERROR(__xludf.DUMMYFUNCTION("""COMPUTED_VALUE"""),7.76)</f>
        <v>7.76</v>
      </c>
      <c r="C1406" s="1">
        <f>IFERROR(__xludf.DUMMYFUNCTION("""COMPUTED_VALUE"""),7.76)</f>
        <v>7.76</v>
      </c>
      <c r="D1406" s="1">
        <f>IFERROR(__xludf.DUMMYFUNCTION("""COMPUTED_VALUE"""),7.67)</f>
        <v>7.67</v>
      </c>
      <c r="E1406" s="1">
        <f>IFERROR(__xludf.DUMMYFUNCTION("""COMPUTED_VALUE"""),7.73)</f>
        <v>7.73</v>
      </c>
      <c r="F1406" s="1">
        <f>IFERROR(__xludf.DUMMYFUNCTION("""COMPUTED_VALUE"""),409601.0)</f>
        <v>409601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IFERROR(__xludf.DUMMYFUNCTION("""COMPUTED_VALUE"""),7.78)</f>
        <v>7.78</v>
      </c>
      <c r="C1407" s="1">
        <f>IFERROR(__xludf.DUMMYFUNCTION("""COMPUTED_VALUE"""),7.79)</f>
        <v>7.79</v>
      </c>
      <c r="D1407" s="1">
        <f>IFERROR(__xludf.DUMMYFUNCTION("""COMPUTED_VALUE"""),7.7)</f>
        <v>7.7</v>
      </c>
      <c r="E1407" s="1">
        <f>IFERROR(__xludf.DUMMYFUNCTION("""COMPUTED_VALUE"""),7.71)</f>
        <v>7.71</v>
      </c>
      <c r="F1407" s="1">
        <f>IFERROR(__xludf.DUMMYFUNCTION("""COMPUTED_VALUE"""),516534.0)</f>
        <v>516534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IFERROR(__xludf.DUMMYFUNCTION("""COMPUTED_VALUE"""),7.74)</f>
        <v>7.74</v>
      </c>
      <c r="C1408" s="1">
        <f>IFERROR(__xludf.DUMMYFUNCTION("""COMPUTED_VALUE"""),7.79)</f>
        <v>7.79</v>
      </c>
      <c r="D1408" s="1">
        <f>IFERROR(__xludf.DUMMYFUNCTION("""COMPUTED_VALUE"""),7.72)</f>
        <v>7.72</v>
      </c>
      <c r="E1408" s="1">
        <f>IFERROR(__xludf.DUMMYFUNCTION("""COMPUTED_VALUE"""),7.76)</f>
        <v>7.76</v>
      </c>
      <c r="F1408" s="1">
        <f>IFERROR(__xludf.DUMMYFUNCTION("""COMPUTED_VALUE"""),1002280.0)</f>
        <v>1002280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IFERROR(__xludf.DUMMYFUNCTION("""COMPUTED_VALUE"""),7.78)</f>
        <v>7.78</v>
      </c>
      <c r="C1409" s="1">
        <f>IFERROR(__xludf.DUMMYFUNCTION("""COMPUTED_VALUE"""),7.82)</f>
        <v>7.82</v>
      </c>
      <c r="D1409" s="1">
        <f>IFERROR(__xludf.DUMMYFUNCTION("""COMPUTED_VALUE"""),7.75)</f>
        <v>7.75</v>
      </c>
      <c r="E1409" s="1">
        <f>IFERROR(__xludf.DUMMYFUNCTION("""COMPUTED_VALUE"""),7.78)</f>
        <v>7.78</v>
      </c>
      <c r="F1409" s="1">
        <f>IFERROR(__xludf.DUMMYFUNCTION("""COMPUTED_VALUE"""),720186.0)</f>
        <v>720186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IFERROR(__xludf.DUMMYFUNCTION("""COMPUTED_VALUE"""),7.76)</f>
        <v>7.76</v>
      </c>
      <c r="C1410" s="1">
        <f>IFERROR(__xludf.DUMMYFUNCTION("""COMPUTED_VALUE"""),7.79)</f>
        <v>7.79</v>
      </c>
      <c r="D1410" s="1">
        <f>IFERROR(__xludf.DUMMYFUNCTION("""COMPUTED_VALUE"""),7.73)</f>
        <v>7.73</v>
      </c>
      <c r="E1410" s="1">
        <f>IFERROR(__xludf.DUMMYFUNCTION("""COMPUTED_VALUE"""),7.79)</f>
        <v>7.79</v>
      </c>
      <c r="F1410" s="1">
        <f>IFERROR(__xludf.DUMMYFUNCTION("""COMPUTED_VALUE"""),708683.0)</f>
        <v>708683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IFERROR(__xludf.DUMMYFUNCTION("""COMPUTED_VALUE"""),7.76)</f>
        <v>7.76</v>
      </c>
      <c r="C1411" s="1">
        <f>IFERROR(__xludf.DUMMYFUNCTION("""COMPUTED_VALUE"""),7.91)</f>
        <v>7.91</v>
      </c>
      <c r="D1411" s="1">
        <f>IFERROR(__xludf.DUMMYFUNCTION("""COMPUTED_VALUE"""),7.76)</f>
        <v>7.76</v>
      </c>
      <c r="E1411" s="1">
        <f>IFERROR(__xludf.DUMMYFUNCTION("""COMPUTED_VALUE"""),7.91)</f>
        <v>7.91</v>
      </c>
      <c r="F1411" s="1">
        <f>IFERROR(__xludf.DUMMYFUNCTION("""COMPUTED_VALUE"""),641398.0)</f>
        <v>641398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IFERROR(__xludf.DUMMYFUNCTION("""COMPUTED_VALUE"""),7.67)</f>
        <v>7.67</v>
      </c>
      <c r="C1412" s="1">
        <f>IFERROR(__xludf.DUMMYFUNCTION("""COMPUTED_VALUE"""),7.67)</f>
        <v>7.67</v>
      </c>
      <c r="D1412" s="1">
        <f>IFERROR(__xludf.DUMMYFUNCTION("""COMPUTED_VALUE"""),7.58)</f>
        <v>7.58</v>
      </c>
      <c r="E1412" s="1">
        <f>IFERROR(__xludf.DUMMYFUNCTION("""COMPUTED_VALUE"""),7.64)</f>
        <v>7.64</v>
      </c>
      <c r="F1412" s="1">
        <f>IFERROR(__xludf.DUMMYFUNCTION("""COMPUTED_VALUE"""),917393.0)</f>
        <v>917393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IFERROR(__xludf.DUMMYFUNCTION("""COMPUTED_VALUE"""),7.48)</f>
        <v>7.48</v>
      </c>
      <c r="C1413" s="1">
        <f>IFERROR(__xludf.DUMMYFUNCTION("""COMPUTED_VALUE"""),7.55)</f>
        <v>7.55</v>
      </c>
      <c r="D1413" s="1">
        <f>IFERROR(__xludf.DUMMYFUNCTION("""COMPUTED_VALUE"""),7.43)</f>
        <v>7.43</v>
      </c>
      <c r="E1413" s="1">
        <f>IFERROR(__xludf.DUMMYFUNCTION("""COMPUTED_VALUE"""),7.55)</f>
        <v>7.55</v>
      </c>
      <c r="F1413" s="1">
        <f>IFERROR(__xludf.DUMMYFUNCTION("""COMPUTED_VALUE"""),926731.0)</f>
        <v>926731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IFERROR(__xludf.DUMMYFUNCTION("""COMPUTED_VALUE"""),6.88)</f>
        <v>6.88</v>
      </c>
      <c r="C1414" s="1">
        <f>IFERROR(__xludf.DUMMYFUNCTION("""COMPUTED_VALUE"""),6.9)</f>
        <v>6.9</v>
      </c>
      <c r="D1414" s="1">
        <f>IFERROR(__xludf.DUMMYFUNCTION("""COMPUTED_VALUE"""),6.8)</f>
        <v>6.8</v>
      </c>
      <c r="E1414" s="1">
        <f>IFERROR(__xludf.DUMMYFUNCTION("""COMPUTED_VALUE"""),6.86)</f>
        <v>6.86</v>
      </c>
      <c r="F1414" s="1">
        <f>IFERROR(__xludf.DUMMYFUNCTION("""COMPUTED_VALUE"""),2747330.0)</f>
        <v>2747330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IFERROR(__xludf.DUMMYFUNCTION("""COMPUTED_VALUE"""),6.7)</f>
        <v>6.7</v>
      </c>
      <c r="C1415" s="1">
        <f>IFERROR(__xludf.DUMMYFUNCTION("""COMPUTED_VALUE"""),6.73)</f>
        <v>6.73</v>
      </c>
      <c r="D1415" s="1">
        <f>IFERROR(__xludf.DUMMYFUNCTION("""COMPUTED_VALUE"""),6.64)</f>
        <v>6.64</v>
      </c>
      <c r="E1415" s="1">
        <f>IFERROR(__xludf.DUMMYFUNCTION("""COMPUTED_VALUE"""),6.73)</f>
        <v>6.73</v>
      </c>
      <c r="F1415" s="1">
        <f>IFERROR(__xludf.DUMMYFUNCTION("""COMPUTED_VALUE"""),1782640.0)</f>
        <v>1782640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IFERROR(__xludf.DUMMYFUNCTION("""COMPUTED_VALUE"""),6.61)</f>
        <v>6.61</v>
      </c>
      <c r="C1416" s="1">
        <f>IFERROR(__xludf.DUMMYFUNCTION("""COMPUTED_VALUE"""),6.68)</f>
        <v>6.68</v>
      </c>
      <c r="D1416" s="1">
        <f>IFERROR(__xludf.DUMMYFUNCTION("""COMPUTED_VALUE"""),6.57)</f>
        <v>6.57</v>
      </c>
      <c r="E1416" s="1">
        <f>IFERROR(__xludf.DUMMYFUNCTION("""COMPUTED_VALUE"""),6.68)</f>
        <v>6.68</v>
      </c>
      <c r="F1416" s="1">
        <f>IFERROR(__xludf.DUMMYFUNCTION("""COMPUTED_VALUE"""),1486762.0)</f>
        <v>1486762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IFERROR(__xludf.DUMMYFUNCTION("""COMPUTED_VALUE"""),6.79)</f>
        <v>6.79</v>
      </c>
      <c r="C1417" s="1">
        <f>IFERROR(__xludf.DUMMYFUNCTION("""COMPUTED_VALUE"""),6.83)</f>
        <v>6.83</v>
      </c>
      <c r="D1417" s="1">
        <f>IFERROR(__xludf.DUMMYFUNCTION("""COMPUTED_VALUE"""),6.76)</f>
        <v>6.76</v>
      </c>
      <c r="E1417" s="1">
        <f>IFERROR(__xludf.DUMMYFUNCTION("""COMPUTED_VALUE"""),6.83)</f>
        <v>6.83</v>
      </c>
      <c r="F1417" s="1">
        <f>IFERROR(__xludf.DUMMYFUNCTION("""COMPUTED_VALUE"""),1493832.0)</f>
        <v>1493832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IFERROR(__xludf.DUMMYFUNCTION("""COMPUTED_VALUE"""),6.67)</f>
        <v>6.67</v>
      </c>
      <c r="C1418" s="1">
        <f>IFERROR(__xludf.DUMMYFUNCTION("""COMPUTED_VALUE"""),6.76)</f>
        <v>6.76</v>
      </c>
      <c r="D1418" s="1">
        <f>IFERROR(__xludf.DUMMYFUNCTION("""COMPUTED_VALUE"""),6.65)</f>
        <v>6.65</v>
      </c>
      <c r="E1418" s="1">
        <f>IFERROR(__xludf.DUMMYFUNCTION("""COMPUTED_VALUE"""),6.72)</f>
        <v>6.72</v>
      </c>
      <c r="F1418" s="1">
        <f>IFERROR(__xludf.DUMMYFUNCTION("""COMPUTED_VALUE"""),1684606.0)</f>
        <v>1684606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IFERROR(__xludf.DUMMYFUNCTION("""COMPUTED_VALUE"""),6.49)</f>
        <v>6.49</v>
      </c>
      <c r="C1419" s="1">
        <f>IFERROR(__xludf.DUMMYFUNCTION("""COMPUTED_VALUE"""),6.51)</f>
        <v>6.51</v>
      </c>
      <c r="D1419" s="1">
        <f>IFERROR(__xludf.DUMMYFUNCTION("""COMPUTED_VALUE"""),6.35)</f>
        <v>6.35</v>
      </c>
      <c r="E1419" s="1">
        <f>IFERROR(__xludf.DUMMYFUNCTION("""COMPUTED_VALUE"""),6.35)</f>
        <v>6.35</v>
      </c>
      <c r="F1419" s="1">
        <f>IFERROR(__xludf.DUMMYFUNCTION("""COMPUTED_VALUE"""),2233228.0)</f>
        <v>2233228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IFERROR(__xludf.DUMMYFUNCTION("""COMPUTED_VALUE"""),6.38)</f>
        <v>6.38</v>
      </c>
      <c r="C1420" s="1">
        <f>IFERROR(__xludf.DUMMYFUNCTION("""COMPUTED_VALUE"""),6.39)</f>
        <v>6.39</v>
      </c>
      <c r="D1420" s="1">
        <f>IFERROR(__xludf.DUMMYFUNCTION("""COMPUTED_VALUE"""),6.23)</f>
        <v>6.23</v>
      </c>
      <c r="E1420" s="1">
        <f>IFERROR(__xludf.DUMMYFUNCTION("""COMPUTED_VALUE"""),6.24)</f>
        <v>6.24</v>
      </c>
      <c r="F1420" s="1">
        <f>IFERROR(__xludf.DUMMYFUNCTION("""COMPUTED_VALUE"""),2616077.0)</f>
        <v>2616077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IFERROR(__xludf.DUMMYFUNCTION("""COMPUTED_VALUE"""),5.93)</f>
        <v>5.93</v>
      </c>
      <c r="C1421" s="1">
        <f>IFERROR(__xludf.DUMMYFUNCTION("""COMPUTED_VALUE"""),6.18)</f>
        <v>6.18</v>
      </c>
      <c r="D1421" s="1">
        <f>IFERROR(__xludf.DUMMYFUNCTION("""COMPUTED_VALUE"""),5.82)</f>
        <v>5.82</v>
      </c>
      <c r="E1421" s="1">
        <f>IFERROR(__xludf.DUMMYFUNCTION("""COMPUTED_VALUE"""),5.99)</f>
        <v>5.99</v>
      </c>
      <c r="F1421" s="1">
        <f>IFERROR(__xludf.DUMMYFUNCTION("""COMPUTED_VALUE"""),4119194.0)</f>
        <v>4119194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IFERROR(__xludf.DUMMYFUNCTION("""COMPUTED_VALUE"""),6.22)</f>
        <v>6.22</v>
      </c>
      <c r="C1422" s="1">
        <f>IFERROR(__xludf.DUMMYFUNCTION("""COMPUTED_VALUE"""),6.22)</f>
        <v>6.22</v>
      </c>
      <c r="D1422" s="1">
        <f>IFERROR(__xludf.DUMMYFUNCTION("""COMPUTED_VALUE"""),6.0)</f>
        <v>6</v>
      </c>
      <c r="E1422" s="1">
        <f>IFERROR(__xludf.DUMMYFUNCTION("""COMPUTED_VALUE"""),6.02)</f>
        <v>6.02</v>
      </c>
      <c r="F1422" s="1">
        <f>IFERROR(__xludf.DUMMYFUNCTION("""COMPUTED_VALUE"""),1958146.0)</f>
        <v>1958146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IFERROR(__xludf.DUMMYFUNCTION("""COMPUTED_VALUE"""),6.16)</f>
        <v>6.16</v>
      </c>
      <c r="C1423" s="1">
        <f>IFERROR(__xludf.DUMMYFUNCTION("""COMPUTED_VALUE"""),6.16)</f>
        <v>6.16</v>
      </c>
      <c r="D1423" s="1">
        <f>IFERROR(__xludf.DUMMYFUNCTION("""COMPUTED_VALUE"""),6.02)</f>
        <v>6.02</v>
      </c>
      <c r="E1423" s="1">
        <f>IFERROR(__xludf.DUMMYFUNCTION("""COMPUTED_VALUE"""),6.15)</f>
        <v>6.15</v>
      </c>
      <c r="F1423" s="1">
        <f>IFERROR(__xludf.DUMMYFUNCTION("""COMPUTED_VALUE"""),1158914.0)</f>
        <v>1158914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IFERROR(__xludf.DUMMYFUNCTION("""COMPUTED_VALUE"""),6.17)</f>
        <v>6.17</v>
      </c>
      <c r="C1424" s="1">
        <f>IFERROR(__xludf.DUMMYFUNCTION("""COMPUTED_VALUE"""),6.29)</f>
        <v>6.29</v>
      </c>
      <c r="D1424" s="1">
        <f>IFERROR(__xludf.DUMMYFUNCTION("""COMPUTED_VALUE"""),6.15)</f>
        <v>6.15</v>
      </c>
      <c r="E1424" s="1">
        <f>IFERROR(__xludf.DUMMYFUNCTION("""COMPUTED_VALUE"""),6.25)</f>
        <v>6.25</v>
      </c>
      <c r="F1424" s="1">
        <f>IFERROR(__xludf.DUMMYFUNCTION("""COMPUTED_VALUE"""),2475458.0)</f>
        <v>2475458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IFERROR(__xludf.DUMMYFUNCTION("""COMPUTED_VALUE"""),6.22)</f>
        <v>6.22</v>
      </c>
      <c r="C1425" s="1">
        <f>IFERROR(__xludf.DUMMYFUNCTION("""COMPUTED_VALUE"""),6.25)</f>
        <v>6.25</v>
      </c>
      <c r="D1425" s="1">
        <f>IFERROR(__xludf.DUMMYFUNCTION("""COMPUTED_VALUE"""),6.17)</f>
        <v>6.17</v>
      </c>
      <c r="E1425" s="1">
        <f>IFERROR(__xludf.DUMMYFUNCTION("""COMPUTED_VALUE"""),6.2)</f>
        <v>6.2</v>
      </c>
      <c r="F1425" s="1">
        <f>IFERROR(__xludf.DUMMYFUNCTION("""COMPUTED_VALUE"""),1248264.0)</f>
        <v>1248264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IFERROR(__xludf.DUMMYFUNCTION("""COMPUTED_VALUE"""),6.12)</f>
        <v>6.12</v>
      </c>
      <c r="C1426" s="1">
        <f>IFERROR(__xludf.DUMMYFUNCTION("""COMPUTED_VALUE"""),6.2)</f>
        <v>6.2</v>
      </c>
      <c r="D1426" s="1">
        <f>IFERROR(__xludf.DUMMYFUNCTION("""COMPUTED_VALUE"""),6.1)</f>
        <v>6.1</v>
      </c>
      <c r="E1426" s="1">
        <f>IFERROR(__xludf.DUMMYFUNCTION("""COMPUTED_VALUE"""),6.16)</f>
        <v>6.16</v>
      </c>
      <c r="F1426" s="1">
        <f>IFERROR(__xludf.DUMMYFUNCTION("""COMPUTED_VALUE"""),874960.0)</f>
        <v>874960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IFERROR(__xludf.DUMMYFUNCTION("""COMPUTED_VALUE"""),6.03)</f>
        <v>6.03</v>
      </c>
      <c r="C1427" s="1">
        <f>IFERROR(__xludf.DUMMYFUNCTION("""COMPUTED_VALUE"""),6.05)</f>
        <v>6.05</v>
      </c>
      <c r="D1427" s="1">
        <f>IFERROR(__xludf.DUMMYFUNCTION("""COMPUTED_VALUE"""),5.97)</f>
        <v>5.97</v>
      </c>
      <c r="E1427" s="1">
        <f>IFERROR(__xludf.DUMMYFUNCTION("""COMPUTED_VALUE"""),6.01)</f>
        <v>6.01</v>
      </c>
      <c r="F1427" s="1">
        <f>IFERROR(__xludf.DUMMYFUNCTION("""COMPUTED_VALUE"""),1141438.0)</f>
        <v>1141438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IFERROR(__xludf.DUMMYFUNCTION("""COMPUTED_VALUE"""),6.06)</f>
        <v>6.06</v>
      </c>
      <c r="C1428" s="1">
        <f>IFERROR(__xludf.DUMMYFUNCTION("""COMPUTED_VALUE"""),6.07)</f>
        <v>6.07</v>
      </c>
      <c r="D1428" s="1">
        <f>IFERROR(__xludf.DUMMYFUNCTION("""COMPUTED_VALUE"""),5.98)</f>
        <v>5.98</v>
      </c>
      <c r="E1428" s="1">
        <f>IFERROR(__xludf.DUMMYFUNCTION("""COMPUTED_VALUE"""),6.04)</f>
        <v>6.04</v>
      </c>
      <c r="F1428" s="1">
        <f>IFERROR(__xludf.DUMMYFUNCTION("""COMPUTED_VALUE"""),1536583.0)</f>
        <v>1536583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IFERROR(__xludf.DUMMYFUNCTION("""COMPUTED_VALUE"""),6.09)</f>
        <v>6.09</v>
      </c>
      <c r="C1429" s="1">
        <f>IFERROR(__xludf.DUMMYFUNCTION("""COMPUTED_VALUE"""),6.14)</f>
        <v>6.14</v>
      </c>
      <c r="D1429" s="1">
        <f>IFERROR(__xludf.DUMMYFUNCTION("""COMPUTED_VALUE"""),6.04)</f>
        <v>6.04</v>
      </c>
      <c r="E1429" s="1">
        <f>IFERROR(__xludf.DUMMYFUNCTION("""COMPUTED_VALUE"""),6.06)</f>
        <v>6.06</v>
      </c>
      <c r="F1429" s="1">
        <f>IFERROR(__xludf.DUMMYFUNCTION("""COMPUTED_VALUE"""),1117973.0)</f>
        <v>1117973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IFERROR(__xludf.DUMMYFUNCTION("""COMPUTED_VALUE"""),5.87)</f>
        <v>5.87</v>
      </c>
      <c r="C1430" s="1">
        <f>IFERROR(__xludf.DUMMYFUNCTION("""COMPUTED_VALUE"""),5.9)</f>
        <v>5.9</v>
      </c>
      <c r="D1430" s="1">
        <f>IFERROR(__xludf.DUMMYFUNCTION("""COMPUTED_VALUE"""),5.82)</f>
        <v>5.82</v>
      </c>
      <c r="E1430" s="1">
        <f>IFERROR(__xludf.DUMMYFUNCTION("""COMPUTED_VALUE"""),5.87)</f>
        <v>5.87</v>
      </c>
      <c r="F1430" s="1">
        <f>IFERROR(__xludf.DUMMYFUNCTION("""COMPUTED_VALUE"""),1237262.0)</f>
        <v>1237262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IFERROR(__xludf.DUMMYFUNCTION("""COMPUTED_VALUE"""),6.09)</f>
        <v>6.09</v>
      </c>
      <c r="C1431" s="1">
        <f>IFERROR(__xludf.DUMMYFUNCTION("""COMPUTED_VALUE"""),6.12)</f>
        <v>6.12</v>
      </c>
      <c r="D1431" s="1">
        <f>IFERROR(__xludf.DUMMYFUNCTION("""COMPUTED_VALUE"""),6.05)</f>
        <v>6.05</v>
      </c>
      <c r="E1431" s="1">
        <f>IFERROR(__xludf.DUMMYFUNCTION("""COMPUTED_VALUE"""),6.11)</f>
        <v>6.11</v>
      </c>
      <c r="F1431" s="1">
        <f>IFERROR(__xludf.DUMMYFUNCTION("""COMPUTED_VALUE"""),1012860.0)</f>
        <v>1012860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IFERROR(__xludf.DUMMYFUNCTION("""COMPUTED_VALUE"""),6.28)</f>
        <v>6.28</v>
      </c>
      <c r="C1432" s="1">
        <f>IFERROR(__xludf.DUMMYFUNCTION("""COMPUTED_VALUE"""),6.29)</f>
        <v>6.29</v>
      </c>
      <c r="D1432" s="1">
        <f>IFERROR(__xludf.DUMMYFUNCTION("""COMPUTED_VALUE"""),6.12)</f>
        <v>6.12</v>
      </c>
      <c r="E1432" s="1">
        <f>IFERROR(__xludf.DUMMYFUNCTION("""COMPUTED_VALUE"""),6.12)</f>
        <v>6.12</v>
      </c>
      <c r="F1432" s="1">
        <f>IFERROR(__xludf.DUMMYFUNCTION("""COMPUTED_VALUE"""),1018332.0)</f>
        <v>1018332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IFERROR(__xludf.DUMMYFUNCTION("""COMPUTED_VALUE"""),6.06)</f>
        <v>6.06</v>
      </c>
      <c r="C1433" s="1">
        <f>IFERROR(__xludf.DUMMYFUNCTION("""COMPUTED_VALUE"""),6.15)</f>
        <v>6.15</v>
      </c>
      <c r="D1433" s="1">
        <f>IFERROR(__xludf.DUMMYFUNCTION("""COMPUTED_VALUE"""),6.05)</f>
        <v>6.05</v>
      </c>
      <c r="E1433" s="1">
        <f>IFERROR(__xludf.DUMMYFUNCTION("""COMPUTED_VALUE"""),6.1)</f>
        <v>6.1</v>
      </c>
      <c r="F1433" s="1">
        <f>IFERROR(__xludf.DUMMYFUNCTION("""COMPUTED_VALUE"""),1142648.0)</f>
        <v>1142648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IFERROR(__xludf.DUMMYFUNCTION("""COMPUTED_VALUE"""),5.99)</f>
        <v>5.99</v>
      </c>
      <c r="C1434" s="1">
        <f>IFERROR(__xludf.DUMMYFUNCTION("""COMPUTED_VALUE"""),6.03)</f>
        <v>6.03</v>
      </c>
      <c r="D1434" s="1">
        <f>IFERROR(__xludf.DUMMYFUNCTION("""COMPUTED_VALUE"""),5.98)</f>
        <v>5.98</v>
      </c>
      <c r="E1434" s="1">
        <f>IFERROR(__xludf.DUMMYFUNCTION("""COMPUTED_VALUE"""),6.03)</f>
        <v>6.03</v>
      </c>
      <c r="F1434" s="1">
        <f>IFERROR(__xludf.DUMMYFUNCTION("""COMPUTED_VALUE"""),687024.0)</f>
        <v>687024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IFERROR(__xludf.DUMMYFUNCTION("""COMPUTED_VALUE"""),6.03)</f>
        <v>6.03</v>
      </c>
      <c r="C1435" s="1">
        <f>IFERROR(__xludf.DUMMYFUNCTION("""COMPUTED_VALUE"""),6.06)</f>
        <v>6.06</v>
      </c>
      <c r="D1435" s="1">
        <f>IFERROR(__xludf.DUMMYFUNCTION("""COMPUTED_VALUE"""),5.97)</f>
        <v>5.97</v>
      </c>
      <c r="E1435" s="1">
        <f>IFERROR(__xludf.DUMMYFUNCTION("""COMPUTED_VALUE"""),6.0)</f>
        <v>6</v>
      </c>
      <c r="F1435" s="1">
        <f>IFERROR(__xludf.DUMMYFUNCTION("""COMPUTED_VALUE"""),2204697.0)</f>
        <v>2204697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IFERROR(__xludf.DUMMYFUNCTION("""COMPUTED_VALUE"""),6.07)</f>
        <v>6.07</v>
      </c>
      <c r="C1436" s="1">
        <f>IFERROR(__xludf.DUMMYFUNCTION("""COMPUTED_VALUE"""),6.21)</f>
        <v>6.21</v>
      </c>
      <c r="D1436" s="1">
        <f>IFERROR(__xludf.DUMMYFUNCTION("""COMPUTED_VALUE"""),6.06)</f>
        <v>6.06</v>
      </c>
      <c r="E1436" s="1">
        <f>IFERROR(__xludf.DUMMYFUNCTION("""COMPUTED_VALUE"""),6.12)</f>
        <v>6.12</v>
      </c>
      <c r="F1436" s="1">
        <f>IFERROR(__xludf.DUMMYFUNCTION("""COMPUTED_VALUE"""),1990982.0)</f>
        <v>1990982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IFERROR(__xludf.DUMMYFUNCTION("""COMPUTED_VALUE"""),6.16)</f>
        <v>6.16</v>
      </c>
      <c r="C1437" s="1">
        <f>IFERROR(__xludf.DUMMYFUNCTION("""COMPUTED_VALUE"""),6.2)</f>
        <v>6.2</v>
      </c>
      <c r="D1437" s="1">
        <f>IFERROR(__xludf.DUMMYFUNCTION("""COMPUTED_VALUE"""),6.15)</f>
        <v>6.15</v>
      </c>
      <c r="E1437" s="1">
        <f>IFERROR(__xludf.DUMMYFUNCTION("""COMPUTED_VALUE"""),6.18)</f>
        <v>6.18</v>
      </c>
      <c r="F1437" s="1">
        <f>IFERROR(__xludf.DUMMYFUNCTION("""COMPUTED_VALUE"""),827089.0)</f>
        <v>827089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IFERROR(__xludf.DUMMYFUNCTION("""COMPUTED_VALUE"""),6.22)</f>
        <v>6.22</v>
      </c>
      <c r="C1438" s="1">
        <f>IFERROR(__xludf.DUMMYFUNCTION("""COMPUTED_VALUE"""),6.32)</f>
        <v>6.32</v>
      </c>
      <c r="D1438" s="1">
        <f>IFERROR(__xludf.DUMMYFUNCTION("""COMPUTED_VALUE"""),6.2)</f>
        <v>6.2</v>
      </c>
      <c r="E1438" s="1">
        <f>IFERROR(__xludf.DUMMYFUNCTION("""COMPUTED_VALUE"""),6.23)</f>
        <v>6.23</v>
      </c>
      <c r="F1438" s="1">
        <f>IFERROR(__xludf.DUMMYFUNCTION("""COMPUTED_VALUE"""),2066524.0)</f>
        <v>2066524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IFERROR(__xludf.DUMMYFUNCTION("""COMPUTED_VALUE"""),5.9)</f>
        <v>5.9</v>
      </c>
      <c r="C1439" s="1">
        <f>IFERROR(__xludf.DUMMYFUNCTION("""COMPUTED_VALUE"""),5.95)</f>
        <v>5.95</v>
      </c>
      <c r="D1439" s="1">
        <f>IFERROR(__xludf.DUMMYFUNCTION("""COMPUTED_VALUE"""),5.83)</f>
        <v>5.83</v>
      </c>
      <c r="E1439" s="1">
        <f>IFERROR(__xludf.DUMMYFUNCTION("""COMPUTED_VALUE"""),5.86)</f>
        <v>5.86</v>
      </c>
      <c r="F1439" s="1">
        <f>IFERROR(__xludf.DUMMYFUNCTION("""COMPUTED_VALUE"""),1993325.0)</f>
        <v>1993325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IFERROR(__xludf.DUMMYFUNCTION("""COMPUTED_VALUE"""),5.83)</f>
        <v>5.83</v>
      </c>
      <c r="C1440" s="1">
        <f>IFERROR(__xludf.DUMMYFUNCTION("""COMPUTED_VALUE"""),5.85)</f>
        <v>5.85</v>
      </c>
      <c r="D1440" s="1">
        <f>IFERROR(__xludf.DUMMYFUNCTION("""COMPUTED_VALUE"""),5.76)</f>
        <v>5.76</v>
      </c>
      <c r="E1440" s="1">
        <f>IFERROR(__xludf.DUMMYFUNCTION("""COMPUTED_VALUE"""),5.8)</f>
        <v>5.8</v>
      </c>
      <c r="F1440" s="1">
        <f>IFERROR(__xludf.DUMMYFUNCTION("""COMPUTED_VALUE"""),1375469.0)</f>
        <v>1375469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IFERROR(__xludf.DUMMYFUNCTION("""COMPUTED_VALUE"""),5.64)</f>
        <v>5.64</v>
      </c>
      <c r="C1441" s="1">
        <f>IFERROR(__xludf.DUMMYFUNCTION("""COMPUTED_VALUE"""),5.67)</f>
        <v>5.67</v>
      </c>
      <c r="D1441" s="1">
        <f>IFERROR(__xludf.DUMMYFUNCTION("""COMPUTED_VALUE"""),5.61)</f>
        <v>5.61</v>
      </c>
      <c r="E1441" s="1">
        <f>IFERROR(__xludf.DUMMYFUNCTION("""COMPUTED_VALUE"""),5.67)</f>
        <v>5.67</v>
      </c>
      <c r="F1441" s="1">
        <f>IFERROR(__xludf.DUMMYFUNCTION("""COMPUTED_VALUE"""),940520.0)</f>
        <v>940520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IFERROR(__xludf.DUMMYFUNCTION("""COMPUTED_VALUE"""),5.67)</f>
        <v>5.67</v>
      </c>
      <c r="C1442" s="1">
        <f>IFERROR(__xludf.DUMMYFUNCTION("""COMPUTED_VALUE"""),5.69)</f>
        <v>5.69</v>
      </c>
      <c r="D1442" s="1">
        <f>IFERROR(__xludf.DUMMYFUNCTION("""COMPUTED_VALUE"""),5.6)</f>
        <v>5.6</v>
      </c>
      <c r="E1442" s="1">
        <f>IFERROR(__xludf.DUMMYFUNCTION("""COMPUTED_VALUE"""),5.64)</f>
        <v>5.64</v>
      </c>
      <c r="F1442" s="1">
        <f>IFERROR(__xludf.DUMMYFUNCTION("""COMPUTED_VALUE"""),900711.0)</f>
        <v>900711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IFERROR(__xludf.DUMMYFUNCTION("""COMPUTED_VALUE"""),5.57)</f>
        <v>5.57</v>
      </c>
      <c r="C1443" s="1">
        <f>IFERROR(__xludf.DUMMYFUNCTION("""COMPUTED_VALUE"""),5.64)</f>
        <v>5.64</v>
      </c>
      <c r="D1443" s="1">
        <f>IFERROR(__xludf.DUMMYFUNCTION("""COMPUTED_VALUE"""),5.51)</f>
        <v>5.51</v>
      </c>
      <c r="E1443" s="1">
        <f>IFERROR(__xludf.DUMMYFUNCTION("""COMPUTED_VALUE"""),5.61)</f>
        <v>5.61</v>
      </c>
      <c r="F1443" s="1">
        <f>IFERROR(__xludf.DUMMYFUNCTION("""COMPUTED_VALUE"""),1503020.0)</f>
        <v>1503020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IFERROR(__xludf.DUMMYFUNCTION("""COMPUTED_VALUE"""),5.85)</f>
        <v>5.85</v>
      </c>
      <c r="C1444" s="1">
        <f>IFERROR(__xludf.DUMMYFUNCTION("""COMPUTED_VALUE"""),5.86)</f>
        <v>5.86</v>
      </c>
      <c r="D1444" s="1">
        <f>IFERROR(__xludf.DUMMYFUNCTION("""COMPUTED_VALUE"""),5.72)</f>
        <v>5.72</v>
      </c>
      <c r="E1444" s="1">
        <f>IFERROR(__xludf.DUMMYFUNCTION("""COMPUTED_VALUE"""),5.75)</f>
        <v>5.75</v>
      </c>
      <c r="F1444" s="1">
        <f>IFERROR(__xludf.DUMMYFUNCTION("""COMPUTED_VALUE"""),2903937.0)</f>
        <v>2903937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IFERROR(__xludf.DUMMYFUNCTION("""COMPUTED_VALUE"""),5.6)</f>
        <v>5.6</v>
      </c>
      <c r="C1445" s="1">
        <f>IFERROR(__xludf.DUMMYFUNCTION("""COMPUTED_VALUE"""),5.63)</f>
        <v>5.63</v>
      </c>
      <c r="D1445" s="1">
        <f>IFERROR(__xludf.DUMMYFUNCTION("""COMPUTED_VALUE"""),5.57)</f>
        <v>5.57</v>
      </c>
      <c r="E1445" s="1">
        <f>IFERROR(__xludf.DUMMYFUNCTION("""COMPUTED_VALUE"""),5.59)</f>
        <v>5.59</v>
      </c>
      <c r="F1445" s="1">
        <f>IFERROR(__xludf.DUMMYFUNCTION("""COMPUTED_VALUE"""),1130078.0)</f>
        <v>1130078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IFERROR(__xludf.DUMMYFUNCTION("""COMPUTED_VALUE"""),5.6)</f>
        <v>5.6</v>
      </c>
      <c r="C1446" s="1">
        <f>IFERROR(__xludf.DUMMYFUNCTION("""COMPUTED_VALUE"""),5.63)</f>
        <v>5.63</v>
      </c>
      <c r="D1446" s="1">
        <f>IFERROR(__xludf.DUMMYFUNCTION("""COMPUTED_VALUE"""),5.56)</f>
        <v>5.56</v>
      </c>
      <c r="E1446" s="1">
        <f>IFERROR(__xludf.DUMMYFUNCTION("""COMPUTED_VALUE"""),5.61)</f>
        <v>5.61</v>
      </c>
      <c r="F1446" s="1">
        <f>IFERROR(__xludf.DUMMYFUNCTION("""COMPUTED_VALUE"""),789165.0)</f>
        <v>789165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IFERROR(__xludf.DUMMYFUNCTION("""COMPUTED_VALUE"""),5.72)</f>
        <v>5.72</v>
      </c>
      <c r="C1447" s="1">
        <f>IFERROR(__xludf.DUMMYFUNCTION("""COMPUTED_VALUE"""),5.75)</f>
        <v>5.75</v>
      </c>
      <c r="D1447" s="1">
        <f>IFERROR(__xludf.DUMMYFUNCTION("""COMPUTED_VALUE"""),5.69)</f>
        <v>5.69</v>
      </c>
      <c r="E1447" s="1">
        <f>IFERROR(__xludf.DUMMYFUNCTION("""COMPUTED_VALUE"""),5.75)</f>
        <v>5.75</v>
      </c>
      <c r="F1447" s="1">
        <f>IFERROR(__xludf.DUMMYFUNCTION("""COMPUTED_VALUE"""),739060.0)</f>
        <v>739060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IFERROR(__xludf.DUMMYFUNCTION("""COMPUTED_VALUE"""),5.72)</f>
        <v>5.72</v>
      </c>
      <c r="C1448" s="1">
        <f>IFERROR(__xludf.DUMMYFUNCTION("""COMPUTED_VALUE"""),5.73)</f>
        <v>5.73</v>
      </c>
      <c r="D1448" s="1">
        <f>IFERROR(__xludf.DUMMYFUNCTION("""COMPUTED_VALUE"""),5.6)</f>
        <v>5.6</v>
      </c>
      <c r="E1448" s="1">
        <f>IFERROR(__xludf.DUMMYFUNCTION("""COMPUTED_VALUE"""),5.67)</f>
        <v>5.67</v>
      </c>
      <c r="F1448" s="1">
        <f>IFERROR(__xludf.DUMMYFUNCTION("""COMPUTED_VALUE"""),888835.0)</f>
        <v>888835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IFERROR(__xludf.DUMMYFUNCTION("""COMPUTED_VALUE"""),5.66)</f>
        <v>5.66</v>
      </c>
      <c r="C1449" s="1">
        <f>IFERROR(__xludf.DUMMYFUNCTION("""COMPUTED_VALUE"""),5.82)</f>
        <v>5.82</v>
      </c>
      <c r="D1449" s="1">
        <f>IFERROR(__xludf.DUMMYFUNCTION("""COMPUTED_VALUE"""),5.63)</f>
        <v>5.63</v>
      </c>
      <c r="E1449" s="1">
        <f>IFERROR(__xludf.DUMMYFUNCTION("""COMPUTED_VALUE"""),5.81)</f>
        <v>5.81</v>
      </c>
      <c r="F1449" s="1">
        <f>IFERROR(__xludf.DUMMYFUNCTION("""COMPUTED_VALUE"""),1242258.0)</f>
        <v>1242258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IFERROR(__xludf.DUMMYFUNCTION("""COMPUTED_VALUE"""),5.92)</f>
        <v>5.92</v>
      </c>
      <c r="C1450" s="1">
        <f>IFERROR(__xludf.DUMMYFUNCTION("""COMPUTED_VALUE"""),6.0)</f>
        <v>6</v>
      </c>
      <c r="D1450" s="1">
        <f>IFERROR(__xludf.DUMMYFUNCTION("""COMPUTED_VALUE"""),5.91)</f>
        <v>5.91</v>
      </c>
      <c r="E1450" s="1">
        <f>IFERROR(__xludf.DUMMYFUNCTION("""COMPUTED_VALUE"""),5.97)</f>
        <v>5.97</v>
      </c>
      <c r="F1450" s="1">
        <f>IFERROR(__xludf.DUMMYFUNCTION("""COMPUTED_VALUE"""),1057379.0)</f>
        <v>1057379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IFERROR(__xludf.DUMMYFUNCTION("""COMPUTED_VALUE"""),5.94)</f>
        <v>5.94</v>
      </c>
      <c r="C1451" s="1">
        <f>IFERROR(__xludf.DUMMYFUNCTION("""COMPUTED_VALUE"""),5.98)</f>
        <v>5.98</v>
      </c>
      <c r="D1451" s="1">
        <f>IFERROR(__xludf.DUMMYFUNCTION("""COMPUTED_VALUE"""),5.92)</f>
        <v>5.92</v>
      </c>
      <c r="E1451" s="1">
        <f>IFERROR(__xludf.DUMMYFUNCTION("""COMPUTED_VALUE"""),5.95)</f>
        <v>5.95</v>
      </c>
      <c r="F1451" s="1">
        <f>IFERROR(__xludf.DUMMYFUNCTION("""COMPUTED_VALUE"""),1787634.0)</f>
        <v>1787634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IFERROR(__xludf.DUMMYFUNCTION("""COMPUTED_VALUE"""),6.09)</f>
        <v>6.09</v>
      </c>
      <c r="C1452" s="1">
        <f>IFERROR(__xludf.DUMMYFUNCTION("""COMPUTED_VALUE"""),6.15)</f>
        <v>6.15</v>
      </c>
      <c r="D1452" s="1">
        <f>IFERROR(__xludf.DUMMYFUNCTION("""COMPUTED_VALUE"""),6.08)</f>
        <v>6.08</v>
      </c>
      <c r="E1452" s="1">
        <f>IFERROR(__xludf.DUMMYFUNCTION("""COMPUTED_VALUE"""),6.14)</f>
        <v>6.14</v>
      </c>
      <c r="F1452" s="1">
        <f>IFERROR(__xludf.DUMMYFUNCTION("""COMPUTED_VALUE"""),981005.0)</f>
        <v>981005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IFERROR(__xludf.DUMMYFUNCTION("""COMPUTED_VALUE"""),6.13)</f>
        <v>6.13</v>
      </c>
      <c r="C1453" s="1">
        <f>IFERROR(__xludf.DUMMYFUNCTION("""COMPUTED_VALUE"""),6.26)</f>
        <v>6.26</v>
      </c>
      <c r="D1453" s="1">
        <f>IFERROR(__xludf.DUMMYFUNCTION("""COMPUTED_VALUE"""),6.12)</f>
        <v>6.12</v>
      </c>
      <c r="E1453" s="1">
        <f>IFERROR(__xludf.DUMMYFUNCTION("""COMPUTED_VALUE"""),6.25)</f>
        <v>6.25</v>
      </c>
      <c r="F1453" s="1">
        <f>IFERROR(__xludf.DUMMYFUNCTION("""COMPUTED_VALUE"""),1389563.0)</f>
        <v>1389563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IFERROR(__xludf.DUMMYFUNCTION("""COMPUTED_VALUE"""),6.3)</f>
        <v>6.3</v>
      </c>
      <c r="C1454" s="1">
        <f>IFERROR(__xludf.DUMMYFUNCTION("""COMPUTED_VALUE"""),6.32)</f>
        <v>6.32</v>
      </c>
      <c r="D1454" s="1">
        <f>IFERROR(__xludf.DUMMYFUNCTION("""COMPUTED_VALUE"""),6.26)</f>
        <v>6.26</v>
      </c>
      <c r="E1454" s="1">
        <f>IFERROR(__xludf.DUMMYFUNCTION("""COMPUTED_VALUE"""),6.3)</f>
        <v>6.3</v>
      </c>
      <c r="F1454" s="1">
        <f>IFERROR(__xludf.DUMMYFUNCTION("""COMPUTED_VALUE"""),1320033.0)</f>
        <v>1320033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IFERROR(__xludf.DUMMYFUNCTION("""COMPUTED_VALUE"""),6.27)</f>
        <v>6.27</v>
      </c>
      <c r="C1455" s="1">
        <f>IFERROR(__xludf.DUMMYFUNCTION("""COMPUTED_VALUE"""),6.31)</f>
        <v>6.31</v>
      </c>
      <c r="D1455" s="1">
        <f>IFERROR(__xludf.DUMMYFUNCTION("""COMPUTED_VALUE"""),6.25)</f>
        <v>6.25</v>
      </c>
      <c r="E1455" s="1">
        <f>IFERROR(__xludf.DUMMYFUNCTION("""COMPUTED_VALUE"""),6.27)</f>
        <v>6.27</v>
      </c>
      <c r="F1455" s="1">
        <f>IFERROR(__xludf.DUMMYFUNCTION("""COMPUTED_VALUE"""),928812.0)</f>
        <v>928812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IFERROR(__xludf.DUMMYFUNCTION("""COMPUTED_VALUE"""),6.09)</f>
        <v>6.09</v>
      </c>
      <c r="C1456" s="1">
        <f>IFERROR(__xludf.DUMMYFUNCTION("""COMPUTED_VALUE"""),6.2)</f>
        <v>6.2</v>
      </c>
      <c r="D1456" s="1">
        <f>IFERROR(__xludf.DUMMYFUNCTION("""COMPUTED_VALUE"""),6.09)</f>
        <v>6.09</v>
      </c>
      <c r="E1456" s="1">
        <f>IFERROR(__xludf.DUMMYFUNCTION("""COMPUTED_VALUE"""),6.13)</f>
        <v>6.13</v>
      </c>
      <c r="F1456" s="1">
        <f>IFERROR(__xludf.DUMMYFUNCTION("""COMPUTED_VALUE"""),960780.0)</f>
        <v>960780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IFERROR(__xludf.DUMMYFUNCTION("""COMPUTED_VALUE"""),6.15)</f>
        <v>6.15</v>
      </c>
      <c r="C1457" s="1">
        <f>IFERROR(__xludf.DUMMYFUNCTION("""COMPUTED_VALUE"""),6.19)</f>
        <v>6.19</v>
      </c>
      <c r="D1457" s="1">
        <f>IFERROR(__xludf.DUMMYFUNCTION("""COMPUTED_VALUE"""),6.11)</f>
        <v>6.11</v>
      </c>
      <c r="E1457" s="1">
        <f>IFERROR(__xludf.DUMMYFUNCTION("""COMPUTED_VALUE"""),6.13)</f>
        <v>6.13</v>
      </c>
      <c r="F1457" s="1">
        <f>IFERROR(__xludf.DUMMYFUNCTION("""COMPUTED_VALUE"""),1098151.0)</f>
        <v>1098151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IFERROR(__xludf.DUMMYFUNCTION("""COMPUTED_VALUE"""),6.13)</f>
        <v>6.13</v>
      </c>
      <c r="C1458" s="1">
        <f>IFERROR(__xludf.DUMMYFUNCTION("""COMPUTED_VALUE"""),6.19)</f>
        <v>6.19</v>
      </c>
      <c r="D1458" s="1">
        <f>IFERROR(__xludf.DUMMYFUNCTION("""COMPUTED_VALUE"""),6.11)</f>
        <v>6.11</v>
      </c>
      <c r="E1458" s="1">
        <f>IFERROR(__xludf.DUMMYFUNCTION("""COMPUTED_VALUE"""),6.18)</f>
        <v>6.18</v>
      </c>
      <c r="F1458" s="1">
        <f>IFERROR(__xludf.DUMMYFUNCTION("""COMPUTED_VALUE"""),1022396.0)</f>
        <v>1022396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IFERROR(__xludf.DUMMYFUNCTION("""COMPUTED_VALUE"""),6.21)</f>
        <v>6.21</v>
      </c>
      <c r="C1459" s="1">
        <f>IFERROR(__xludf.DUMMYFUNCTION("""COMPUTED_VALUE"""),6.26)</f>
        <v>6.26</v>
      </c>
      <c r="D1459" s="1">
        <f>IFERROR(__xludf.DUMMYFUNCTION("""COMPUTED_VALUE"""),6.17)</f>
        <v>6.17</v>
      </c>
      <c r="E1459" s="1">
        <f>IFERROR(__xludf.DUMMYFUNCTION("""COMPUTED_VALUE"""),6.25)</f>
        <v>6.25</v>
      </c>
      <c r="F1459" s="1">
        <f>IFERROR(__xludf.DUMMYFUNCTION("""COMPUTED_VALUE"""),1240493.0)</f>
        <v>1240493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IFERROR(__xludf.DUMMYFUNCTION("""COMPUTED_VALUE"""),6.22)</f>
        <v>6.22</v>
      </c>
      <c r="C1460" s="1">
        <f>IFERROR(__xludf.DUMMYFUNCTION("""COMPUTED_VALUE"""),6.24)</f>
        <v>6.24</v>
      </c>
      <c r="D1460" s="1">
        <f>IFERROR(__xludf.DUMMYFUNCTION("""COMPUTED_VALUE"""),6.17)</f>
        <v>6.17</v>
      </c>
      <c r="E1460" s="1">
        <f>IFERROR(__xludf.DUMMYFUNCTION("""COMPUTED_VALUE"""),6.19)</f>
        <v>6.19</v>
      </c>
      <c r="F1460" s="1">
        <f>IFERROR(__xludf.DUMMYFUNCTION("""COMPUTED_VALUE"""),783306.0)</f>
        <v>783306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IFERROR(__xludf.DUMMYFUNCTION("""COMPUTED_VALUE"""),5.98)</f>
        <v>5.98</v>
      </c>
      <c r="C1461" s="1">
        <f>IFERROR(__xludf.DUMMYFUNCTION("""COMPUTED_VALUE"""),6.09)</f>
        <v>6.09</v>
      </c>
      <c r="D1461" s="1">
        <f>IFERROR(__xludf.DUMMYFUNCTION("""COMPUTED_VALUE"""),5.97)</f>
        <v>5.97</v>
      </c>
      <c r="E1461" s="1">
        <f>IFERROR(__xludf.DUMMYFUNCTION("""COMPUTED_VALUE"""),6.04)</f>
        <v>6.04</v>
      </c>
      <c r="F1461" s="1">
        <f>IFERROR(__xludf.DUMMYFUNCTION("""COMPUTED_VALUE"""),2979266.0)</f>
        <v>2979266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IFERROR(__xludf.DUMMYFUNCTION("""COMPUTED_VALUE"""),6.02)</f>
        <v>6.02</v>
      </c>
      <c r="C1462" s="1">
        <f>IFERROR(__xludf.DUMMYFUNCTION("""COMPUTED_VALUE"""),6.04)</f>
        <v>6.04</v>
      </c>
      <c r="D1462" s="1">
        <f>IFERROR(__xludf.DUMMYFUNCTION("""COMPUTED_VALUE"""),5.89)</f>
        <v>5.89</v>
      </c>
      <c r="E1462" s="1">
        <f>IFERROR(__xludf.DUMMYFUNCTION("""COMPUTED_VALUE"""),5.89)</f>
        <v>5.89</v>
      </c>
      <c r="F1462" s="1">
        <f>IFERROR(__xludf.DUMMYFUNCTION("""COMPUTED_VALUE"""),4492295.0)</f>
        <v>4492295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IFERROR(__xludf.DUMMYFUNCTION("""COMPUTED_VALUE"""),6.03)</f>
        <v>6.03</v>
      </c>
      <c r="C1463" s="1">
        <f>IFERROR(__xludf.DUMMYFUNCTION("""COMPUTED_VALUE"""),6.11)</f>
        <v>6.11</v>
      </c>
      <c r="D1463" s="1">
        <f>IFERROR(__xludf.DUMMYFUNCTION("""COMPUTED_VALUE"""),6.02)</f>
        <v>6.02</v>
      </c>
      <c r="E1463" s="1">
        <f>IFERROR(__xludf.DUMMYFUNCTION("""COMPUTED_VALUE"""),6.07)</f>
        <v>6.07</v>
      </c>
      <c r="F1463" s="1">
        <f>IFERROR(__xludf.DUMMYFUNCTION("""COMPUTED_VALUE"""),2712543.0)</f>
        <v>2712543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IFERROR(__xludf.DUMMYFUNCTION("""COMPUTED_VALUE"""),6.12)</f>
        <v>6.12</v>
      </c>
      <c r="C1464" s="1">
        <f>IFERROR(__xludf.DUMMYFUNCTION("""COMPUTED_VALUE"""),6.16)</f>
        <v>6.16</v>
      </c>
      <c r="D1464" s="1">
        <f>IFERROR(__xludf.DUMMYFUNCTION("""COMPUTED_VALUE"""),6.09)</f>
        <v>6.09</v>
      </c>
      <c r="E1464" s="1">
        <f>IFERROR(__xludf.DUMMYFUNCTION("""COMPUTED_VALUE"""),6.14)</f>
        <v>6.14</v>
      </c>
      <c r="F1464" s="1">
        <f>IFERROR(__xludf.DUMMYFUNCTION("""COMPUTED_VALUE"""),1110933.0)</f>
        <v>1110933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IFERROR(__xludf.DUMMYFUNCTION("""COMPUTED_VALUE"""),6.15)</f>
        <v>6.15</v>
      </c>
      <c r="C1465" s="1">
        <f>IFERROR(__xludf.DUMMYFUNCTION("""COMPUTED_VALUE"""),6.17)</f>
        <v>6.17</v>
      </c>
      <c r="D1465" s="1">
        <f>IFERROR(__xludf.DUMMYFUNCTION("""COMPUTED_VALUE"""),6.08)</f>
        <v>6.08</v>
      </c>
      <c r="E1465" s="1">
        <f>IFERROR(__xludf.DUMMYFUNCTION("""COMPUTED_VALUE"""),6.13)</f>
        <v>6.13</v>
      </c>
      <c r="F1465" s="1">
        <f>IFERROR(__xludf.DUMMYFUNCTION("""COMPUTED_VALUE"""),718204.0)</f>
        <v>718204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IFERROR(__xludf.DUMMYFUNCTION("""COMPUTED_VALUE"""),6.03)</f>
        <v>6.03</v>
      </c>
      <c r="C1466" s="1">
        <f>IFERROR(__xludf.DUMMYFUNCTION("""COMPUTED_VALUE"""),6.06)</f>
        <v>6.06</v>
      </c>
      <c r="D1466" s="1">
        <f>IFERROR(__xludf.DUMMYFUNCTION("""COMPUTED_VALUE"""),5.99)</f>
        <v>5.99</v>
      </c>
      <c r="E1466" s="1">
        <f>IFERROR(__xludf.DUMMYFUNCTION("""COMPUTED_VALUE"""),6.0)</f>
        <v>6</v>
      </c>
      <c r="F1466" s="1">
        <f>IFERROR(__xludf.DUMMYFUNCTION("""COMPUTED_VALUE"""),801522.0)</f>
        <v>801522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IFERROR(__xludf.DUMMYFUNCTION("""COMPUTED_VALUE"""),6.05)</f>
        <v>6.05</v>
      </c>
      <c r="C1467" s="1">
        <f>IFERROR(__xludf.DUMMYFUNCTION("""COMPUTED_VALUE"""),6.17)</f>
        <v>6.17</v>
      </c>
      <c r="D1467" s="1">
        <f>IFERROR(__xludf.DUMMYFUNCTION("""COMPUTED_VALUE"""),6.04)</f>
        <v>6.04</v>
      </c>
      <c r="E1467" s="1">
        <f>IFERROR(__xludf.DUMMYFUNCTION("""COMPUTED_VALUE"""),6.14)</f>
        <v>6.14</v>
      </c>
      <c r="F1467" s="1">
        <f>IFERROR(__xludf.DUMMYFUNCTION("""COMPUTED_VALUE"""),1339975.0)</f>
        <v>1339975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IFERROR(__xludf.DUMMYFUNCTION("""COMPUTED_VALUE"""),6.11)</f>
        <v>6.11</v>
      </c>
      <c r="C1468" s="1">
        <f>IFERROR(__xludf.DUMMYFUNCTION("""COMPUTED_VALUE"""),6.13)</f>
        <v>6.13</v>
      </c>
      <c r="D1468" s="1">
        <f>IFERROR(__xludf.DUMMYFUNCTION("""COMPUTED_VALUE"""),6.06)</f>
        <v>6.06</v>
      </c>
      <c r="E1468" s="1">
        <f>IFERROR(__xludf.DUMMYFUNCTION("""COMPUTED_VALUE"""),6.1)</f>
        <v>6.1</v>
      </c>
      <c r="F1468" s="1">
        <f>IFERROR(__xludf.DUMMYFUNCTION("""COMPUTED_VALUE"""),866874.0)</f>
        <v>866874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IFERROR(__xludf.DUMMYFUNCTION("""COMPUTED_VALUE"""),6.12)</f>
        <v>6.12</v>
      </c>
      <c r="C1469" s="1">
        <f>IFERROR(__xludf.DUMMYFUNCTION("""COMPUTED_VALUE"""),6.18)</f>
        <v>6.18</v>
      </c>
      <c r="D1469" s="1">
        <f>IFERROR(__xludf.DUMMYFUNCTION("""COMPUTED_VALUE"""),6.11)</f>
        <v>6.11</v>
      </c>
      <c r="E1469" s="1">
        <f>IFERROR(__xludf.DUMMYFUNCTION("""COMPUTED_VALUE"""),6.15)</f>
        <v>6.15</v>
      </c>
      <c r="F1469" s="1">
        <f>IFERROR(__xludf.DUMMYFUNCTION("""COMPUTED_VALUE"""),848855.0)</f>
        <v>848855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IFERROR(__xludf.DUMMYFUNCTION("""COMPUTED_VALUE"""),6.32)</f>
        <v>6.32</v>
      </c>
      <c r="C1470" s="1">
        <f>IFERROR(__xludf.DUMMYFUNCTION("""COMPUTED_VALUE"""),6.38)</f>
        <v>6.38</v>
      </c>
      <c r="D1470" s="1">
        <f>IFERROR(__xludf.DUMMYFUNCTION("""COMPUTED_VALUE"""),6.3)</f>
        <v>6.3</v>
      </c>
      <c r="E1470" s="1">
        <f>IFERROR(__xludf.DUMMYFUNCTION("""COMPUTED_VALUE"""),6.35)</f>
        <v>6.35</v>
      </c>
      <c r="F1470" s="1">
        <f>IFERROR(__xludf.DUMMYFUNCTION("""COMPUTED_VALUE"""),1216541.0)</f>
        <v>1216541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IFERROR(__xludf.DUMMYFUNCTION("""COMPUTED_VALUE"""),6.25)</f>
        <v>6.25</v>
      </c>
      <c r="C1471" s="1">
        <f>IFERROR(__xludf.DUMMYFUNCTION("""COMPUTED_VALUE"""),6.31)</f>
        <v>6.31</v>
      </c>
      <c r="D1471" s="1">
        <f>IFERROR(__xludf.DUMMYFUNCTION("""COMPUTED_VALUE"""),6.21)</f>
        <v>6.21</v>
      </c>
      <c r="E1471" s="1">
        <f>IFERROR(__xludf.DUMMYFUNCTION("""COMPUTED_VALUE"""),6.3)</f>
        <v>6.3</v>
      </c>
      <c r="F1471" s="1">
        <f>IFERROR(__xludf.DUMMYFUNCTION("""COMPUTED_VALUE"""),1436471.0)</f>
        <v>1436471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IFERROR(__xludf.DUMMYFUNCTION("""COMPUTED_VALUE"""),6.29)</f>
        <v>6.29</v>
      </c>
      <c r="C1472" s="1">
        <f>IFERROR(__xludf.DUMMYFUNCTION("""COMPUTED_VALUE"""),6.31)</f>
        <v>6.31</v>
      </c>
      <c r="D1472" s="1">
        <f>IFERROR(__xludf.DUMMYFUNCTION("""COMPUTED_VALUE"""),6.19)</f>
        <v>6.19</v>
      </c>
      <c r="E1472" s="1">
        <f>IFERROR(__xludf.DUMMYFUNCTION("""COMPUTED_VALUE"""),6.22)</f>
        <v>6.22</v>
      </c>
      <c r="F1472" s="1">
        <f>IFERROR(__xludf.DUMMYFUNCTION("""COMPUTED_VALUE"""),1210105.0)</f>
        <v>1210105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IFERROR(__xludf.DUMMYFUNCTION("""COMPUTED_VALUE"""),6.15)</f>
        <v>6.15</v>
      </c>
      <c r="C1473" s="1">
        <f>IFERROR(__xludf.DUMMYFUNCTION("""COMPUTED_VALUE"""),6.19)</f>
        <v>6.19</v>
      </c>
      <c r="D1473" s="1">
        <f>IFERROR(__xludf.DUMMYFUNCTION("""COMPUTED_VALUE"""),6.1)</f>
        <v>6.1</v>
      </c>
      <c r="E1473" s="1">
        <f>IFERROR(__xludf.DUMMYFUNCTION("""COMPUTED_VALUE"""),6.17)</f>
        <v>6.17</v>
      </c>
      <c r="F1473" s="1">
        <f>IFERROR(__xludf.DUMMYFUNCTION("""COMPUTED_VALUE"""),1008139.0)</f>
        <v>1008139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IFERROR(__xludf.DUMMYFUNCTION("""COMPUTED_VALUE"""),6.26)</f>
        <v>6.26</v>
      </c>
      <c r="C1474" s="1">
        <f>IFERROR(__xludf.DUMMYFUNCTION("""COMPUTED_VALUE"""),6.34)</f>
        <v>6.34</v>
      </c>
      <c r="D1474" s="1">
        <f>IFERROR(__xludf.DUMMYFUNCTION("""COMPUTED_VALUE"""),6.22)</f>
        <v>6.22</v>
      </c>
      <c r="E1474" s="1">
        <f>IFERROR(__xludf.DUMMYFUNCTION("""COMPUTED_VALUE"""),6.32)</f>
        <v>6.32</v>
      </c>
      <c r="F1474" s="1">
        <f>IFERROR(__xludf.DUMMYFUNCTION("""COMPUTED_VALUE"""),1089802.0)</f>
        <v>1089802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IFERROR(__xludf.DUMMYFUNCTION("""COMPUTED_VALUE"""),6.34)</f>
        <v>6.34</v>
      </c>
      <c r="C1475" s="1">
        <f>IFERROR(__xludf.DUMMYFUNCTION("""COMPUTED_VALUE"""),6.35)</f>
        <v>6.35</v>
      </c>
      <c r="D1475" s="1">
        <f>IFERROR(__xludf.DUMMYFUNCTION("""COMPUTED_VALUE"""),6.24)</f>
        <v>6.24</v>
      </c>
      <c r="E1475" s="1">
        <f>IFERROR(__xludf.DUMMYFUNCTION("""COMPUTED_VALUE"""),6.29)</f>
        <v>6.29</v>
      </c>
      <c r="F1475" s="1">
        <f>IFERROR(__xludf.DUMMYFUNCTION("""COMPUTED_VALUE"""),907830.0)</f>
        <v>907830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IFERROR(__xludf.DUMMYFUNCTION("""COMPUTED_VALUE"""),6.15)</f>
        <v>6.15</v>
      </c>
      <c r="C1476" s="1">
        <f>IFERROR(__xludf.DUMMYFUNCTION("""COMPUTED_VALUE"""),6.16)</f>
        <v>6.16</v>
      </c>
      <c r="D1476" s="1">
        <f>IFERROR(__xludf.DUMMYFUNCTION("""COMPUTED_VALUE"""),6.1)</f>
        <v>6.1</v>
      </c>
      <c r="E1476" s="1">
        <f>IFERROR(__xludf.DUMMYFUNCTION("""COMPUTED_VALUE"""),6.13)</f>
        <v>6.13</v>
      </c>
      <c r="F1476" s="1">
        <f>IFERROR(__xludf.DUMMYFUNCTION("""COMPUTED_VALUE"""),1484077.0)</f>
        <v>1484077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IFERROR(__xludf.DUMMYFUNCTION("""COMPUTED_VALUE"""),6.17)</f>
        <v>6.17</v>
      </c>
      <c r="C1477" s="1">
        <f>IFERROR(__xludf.DUMMYFUNCTION("""COMPUTED_VALUE"""),6.19)</f>
        <v>6.19</v>
      </c>
      <c r="D1477" s="1">
        <f>IFERROR(__xludf.DUMMYFUNCTION("""COMPUTED_VALUE"""),6.11)</f>
        <v>6.11</v>
      </c>
      <c r="E1477" s="1">
        <f>IFERROR(__xludf.DUMMYFUNCTION("""COMPUTED_VALUE"""),6.15)</f>
        <v>6.15</v>
      </c>
      <c r="F1477" s="1">
        <f>IFERROR(__xludf.DUMMYFUNCTION("""COMPUTED_VALUE"""),1005677.0)</f>
        <v>1005677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IFERROR(__xludf.DUMMYFUNCTION("""COMPUTED_VALUE"""),5.5)</f>
        <v>5.5</v>
      </c>
      <c r="C1478" s="1">
        <f>IFERROR(__xludf.DUMMYFUNCTION("""COMPUTED_VALUE"""),5.53)</f>
        <v>5.53</v>
      </c>
      <c r="D1478" s="1">
        <f>IFERROR(__xludf.DUMMYFUNCTION("""COMPUTED_VALUE"""),5.44)</f>
        <v>5.44</v>
      </c>
      <c r="E1478" s="1">
        <f>IFERROR(__xludf.DUMMYFUNCTION("""COMPUTED_VALUE"""),5.45)</f>
        <v>5.45</v>
      </c>
      <c r="F1478" s="1">
        <f>IFERROR(__xludf.DUMMYFUNCTION("""COMPUTED_VALUE"""),2866893.0)</f>
        <v>2866893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IFERROR(__xludf.DUMMYFUNCTION("""COMPUTED_VALUE"""),5.48)</f>
        <v>5.48</v>
      </c>
      <c r="C1479" s="1">
        <f>IFERROR(__xludf.DUMMYFUNCTION("""COMPUTED_VALUE"""),5.6)</f>
        <v>5.6</v>
      </c>
      <c r="D1479" s="1">
        <f>IFERROR(__xludf.DUMMYFUNCTION("""COMPUTED_VALUE"""),5.43)</f>
        <v>5.43</v>
      </c>
      <c r="E1479" s="1">
        <f>IFERROR(__xludf.DUMMYFUNCTION("""COMPUTED_VALUE"""),5.57)</f>
        <v>5.57</v>
      </c>
      <c r="F1479" s="1">
        <f>IFERROR(__xludf.DUMMYFUNCTION("""COMPUTED_VALUE"""),1651122.0)</f>
        <v>1651122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IFERROR(__xludf.DUMMYFUNCTION("""COMPUTED_VALUE"""),5.42)</f>
        <v>5.42</v>
      </c>
      <c r="C1480" s="1">
        <f>IFERROR(__xludf.DUMMYFUNCTION("""COMPUTED_VALUE"""),5.53)</f>
        <v>5.53</v>
      </c>
      <c r="D1480" s="1">
        <f>IFERROR(__xludf.DUMMYFUNCTION("""COMPUTED_VALUE"""),5.41)</f>
        <v>5.41</v>
      </c>
      <c r="E1480" s="1">
        <f>IFERROR(__xludf.DUMMYFUNCTION("""COMPUTED_VALUE"""),5.52)</f>
        <v>5.52</v>
      </c>
      <c r="F1480" s="1">
        <f>IFERROR(__xludf.DUMMYFUNCTION("""COMPUTED_VALUE"""),1736965.0)</f>
        <v>1736965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IFERROR(__xludf.DUMMYFUNCTION("""COMPUTED_VALUE"""),5.59)</f>
        <v>5.59</v>
      </c>
      <c r="C1481" s="1">
        <f>IFERROR(__xludf.DUMMYFUNCTION("""COMPUTED_VALUE"""),5.63)</f>
        <v>5.63</v>
      </c>
      <c r="D1481" s="1">
        <f>IFERROR(__xludf.DUMMYFUNCTION("""COMPUTED_VALUE"""),5.55)</f>
        <v>5.55</v>
      </c>
      <c r="E1481" s="1">
        <f>IFERROR(__xludf.DUMMYFUNCTION("""COMPUTED_VALUE"""),5.56)</f>
        <v>5.56</v>
      </c>
      <c r="F1481" s="1">
        <f>IFERROR(__xludf.DUMMYFUNCTION("""COMPUTED_VALUE"""),1601681.0)</f>
        <v>1601681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IFERROR(__xludf.DUMMYFUNCTION("""COMPUTED_VALUE"""),5.7)</f>
        <v>5.7</v>
      </c>
      <c r="C1482" s="1">
        <f>IFERROR(__xludf.DUMMYFUNCTION("""COMPUTED_VALUE"""),5.76)</f>
        <v>5.76</v>
      </c>
      <c r="D1482" s="1">
        <f>IFERROR(__xludf.DUMMYFUNCTION("""COMPUTED_VALUE"""),5.69)</f>
        <v>5.69</v>
      </c>
      <c r="E1482" s="1">
        <f>IFERROR(__xludf.DUMMYFUNCTION("""COMPUTED_VALUE"""),5.74)</f>
        <v>5.74</v>
      </c>
      <c r="F1482" s="1">
        <f>IFERROR(__xludf.DUMMYFUNCTION("""COMPUTED_VALUE"""),1447538.0)</f>
        <v>1447538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IFERROR(__xludf.DUMMYFUNCTION("""COMPUTED_VALUE"""),5.88)</f>
        <v>5.88</v>
      </c>
      <c r="C1483" s="1">
        <f>IFERROR(__xludf.DUMMYFUNCTION("""COMPUTED_VALUE"""),5.93)</f>
        <v>5.93</v>
      </c>
      <c r="D1483" s="1">
        <f>IFERROR(__xludf.DUMMYFUNCTION("""COMPUTED_VALUE"""),5.87)</f>
        <v>5.87</v>
      </c>
      <c r="E1483" s="1">
        <f>IFERROR(__xludf.DUMMYFUNCTION("""COMPUTED_VALUE"""),5.9)</f>
        <v>5.9</v>
      </c>
      <c r="F1483" s="1">
        <f>IFERROR(__xludf.DUMMYFUNCTION("""COMPUTED_VALUE"""),1234622.0)</f>
        <v>1234622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IFERROR(__xludf.DUMMYFUNCTION("""COMPUTED_VALUE"""),5.89)</f>
        <v>5.89</v>
      </c>
      <c r="C1484" s="1">
        <f>IFERROR(__xludf.DUMMYFUNCTION("""COMPUTED_VALUE"""),5.91)</f>
        <v>5.91</v>
      </c>
      <c r="D1484" s="1">
        <f>IFERROR(__xludf.DUMMYFUNCTION("""COMPUTED_VALUE"""),5.84)</f>
        <v>5.84</v>
      </c>
      <c r="E1484" s="1">
        <f>IFERROR(__xludf.DUMMYFUNCTION("""COMPUTED_VALUE"""),5.84)</f>
        <v>5.84</v>
      </c>
      <c r="F1484" s="1">
        <f>IFERROR(__xludf.DUMMYFUNCTION("""COMPUTED_VALUE"""),1049006.0)</f>
        <v>1049006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IFERROR(__xludf.DUMMYFUNCTION("""COMPUTED_VALUE"""),5.88)</f>
        <v>5.88</v>
      </c>
      <c r="C1485" s="1">
        <f>IFERROR(__xludf.DUMMYFUNCTION("""COMPUTED_VALUE"""),5.91)</f>
        <v>5.91</v>
      </c>
      <c r="D1485" s="1">
        <f>IFERROR(__xludf.DUMMYFUNCTION("""COMPUTED_VALUE"""),5.85)</f>
        <v>5.85</v>
      </c>
      <c r="E1485" s="1">
        <f>IFERROR(__xludf.DUMMYFUNCTION("""COMPUTED_VALUE"""),5.86)</f>
        <v>5.86</v>
      </c>
      <c r="F1485" s="1">
        <f>IFERROR(__xludf.DUMMYFUNCTION("""COMPUTED_VALUE"""),2149151.0)</f>
        <v>2149151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IFERROR(__xludf.DUMMYFUNCTION("""COMPUTED_VALUE"""),5.86)</f>
        <v>5.86</v>
      </c>
      <c r="C1486" s="1">
        <f>IFERROR(__xludf.DUMMYFUNCTION("""COMPUTED_VALUE"""),5.92)</f>
        <v>5.92</v>
      </c>
      <c r="D1486" s="1">
        <f>IFERROR(__xludf.DUMMYFUNCTION("""COMPUTED_VALUE"""),5.85)</f>
        <v>5.85</v>
      </c>
      <c r="E1486" s="1">
        <f>IFERROR(__xludf.DUMMYFUNCTION("""COMPUTED_VALUE"""),5.9)</f>
        <v>5.9</v>
      </c>
      <c r="F1486" s="1">
        <f>IFERROR(__xludf.DUMMYFUNCTION("""COMPUTED_VALUE"""),1239459.0)</f>
        <v>1239459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IFERROR(__xludf.DUMMYFUNCTION("""COMPUTED_VALUE"""),6.03)</f>
        <v>6.03</v>
      </c>
      <c r="C1487" s="1">
        <f>IFERROR(__xludf.DUMMYFUNCTION("""COMPUTED_VALUE"""),6.1)</f>
        <v>6.1</v>
      </c>
      <c r="D1487" s="1">
        <f>IFERROR(__xludf.DUMMYFUNCTION("""COMPUTED_VALUE"""),6.02)</f>
        <v>6.02</v>
      </c>
      <c r="E1487" s="1">
        <f>IFERROR(__xludf.DUMMYFUNCTION("""COMPUTED_VALUE"""),6.08)</f>
        <v>6.08</v>
      </c>
      <c r="F1487" s="1">
        <f>IFERROR(__xludf.DUMMYFUNCTION("""COMPUTED_VALUE"""),1295979.0)</f>
        <v>1295979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IFERROR(__xludf.DUMMYFUNCTION("""COMPUTED_VALUE"""),6.12)</f>
        <v>6.12</v>
      </c>
      <c r="C1488" s="1">
        <f>IFERROR(__xludf.DUMMYFUNCTION("""COMPUTED_VALUE"""),6.14)</f>
        <v>6.14</v>
      </c>
      <c r="D1488" s="1">
        <f>IFERROR(__xludf.DUMMYFUNCTION("""COMPUTED_VALUE"""),6.1)</f>
        <v>6.1</v>
      </c>
      <c r="E1488" s="1">
        <f>IFERROR(__xludf.DUMMYFUNCTION("""COMPUTED_VALUE"""),6.12)</f>
        <v>6.12</v>
      </c>
      <c r="F1488" s="1">
        <f>IFERROR(__xludf.DUMMYFUNCTION("""COMPUTED_VALUE"""),866748.0)</f>
        <v>866748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IFERROR(__xludf.DUMMYFUNCTION("""COMPUTED_VALUE"""),6.14)</f>
        <v>6.14</v>
      </c>
      <c r="C1489" s="1">
        <f>IFERROR(__xludf.DUMMYFUNCTION("""COMPUTED_VALUE"""),6.14)</f>
        <v>6.14</v>
      </c>
      <c r="D1489" s="1">
        <f>IFERROR(__xludf.DUMMYFUNCTION("""COMPUTED_VALUE"""),6.09)</f>
        <v>6.09</v>
      </c>
      <c r="E1489" s="1">
        <f>IFERROR(__xludf.DUMMYFUNCTION("""COMPUTED_VALUE"""),6.1)</f>
        <v>6.1</v>
      </c>
      <c r="F1489" s="1">
        <f>IFERROR(__xludf.DUMMYFUNCTION("""COMPUTED_VALUE"""),1360399.0)</f>
        <v>1360399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IFERROR(__xludf.DUMMYFUNCTION("""COMPUTED_VALUE"""),6.17)</f>
        <v>6.17</v>
      </c>
      <c r="C1490" s="1">
        <f>IFERROR(__xludf.DUMMYFUNCTION("""COMPUTED_VALUE"""),6.19)</f>
        <v>6.19</v>
      </c>
      <c r="D1490" s="1">
        <f>IFERROR(__xludf.DUMMYFUNCTION("""COMPUTED_VALUE"""),6.14)</f>
        <v>6.14</v>
      </c>
      <c r="E1490" s="1">
        <f>IFERROR(__xludf.DUMMYFUNCTION("""COMPUTED_VALUE"""),6.18)</f>
        <v>6.18</v>
      </c>
      <c r="F1490" s="1">
        <f>IFERROR(__xludf.DUMMYFUNCTION("""COMPUTED_VALUE"""),1117779.0)</f>
        <v>1117779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IFERROR(__xludf.DUMMYFUNCTION("""COMPUTED_VALUE"""),6.09)</f>
        <v>6.09</v>
      </c>
      <c r="C1491" s="1">
        <f>IFERROR(__xludf.DUMMYFUNCTION("""COMPUTED_VALUE"""),6.13)</f>
        <v>6.13</v>
      </c>
      <c r="D1491" s="1">
        <f>IFERROR(__xludf.DUMMYFUNCTION("""COMPUTED_VALUE"""),6.03)</f>
        <v>6.03</v>
      </c>
      <c r="E1491" s="1">
        <f>IFERROR(__xludf.DUMMYFUNCTION("""COMPUTED_VALUE"""),6.04)</f>
        <v>6.04</v>
      </c>
      <c r="F1491" s="1">
        <f>IFERROR(__xludf.DUMMYFUNCTION("""COMPUTED_VALUE"""),1034692.0)</f>
        <v>1034692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IFERROR(__xludf.DUMMYFUNCTION("""COMPUTED_VALUE"""),6.04)</f>
        <v>6.04</v>
      </c>
      <c r="C1492" s="1">
        <f>IFERROR(__xludf.DUMMYFUNCTION("""COMPUTED_VALUE"""),6.05)</f>
        <v>6.05</v>
      </c>
      <c r="D1492" s="1">
        <f>IFERROR(__xludf.DUMMYFUNCTION("""COMPUTED_VALUE"""),5.91)</f>
        <v>5.91</v>
      </c>
      <c r="E1492" s="1">
        <f>IFERROR(__xludf.DUMMYFUNCTION("""COMPUTED_VALUE"""),5.93)</f>
        <v>5.93</v>
      </c>
      <c r="F1492" s="1">
        <f>IFERROR(__xludf.DUMMYFUNCTION("""COMPUTED_VALUE"""),1290746.0)</f>
        <v>1290746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IFERROR(__xludf.DUMMYFUNCTION("""COMPUTED_VALUE"""),5.88)</f>
        <v>5.88</v>
      </c>
      <c r="C1493" s="1">
        <f>IFERROR(__xludf.DUMMYFUNCTION("""COMPUTED_VALUE"""),5.97)</f>
        <v>5.97</v>
      </c>
      <c r="D1493" s="1">
        <f>IFERROR(__xludf.DUMMYFUNCTION("""COMPUTED_VALUE"""),5.88)</f>
        <v>5.88</v>
      </c>
      <c r="E1493" s="1">
        <f>IFERROR(__xludf.DUMMYFUNCTION("""COMPUTED_VALUE"""),5.96)</f>
        <v>5.96</v>
      </c>
      <c r="F1493" s="1">
        <f>IFERROR(__xludf.DUMMYFUNCTION("""COMPUTED_VALUE"""),1034978.0)</f>
        <v>1034978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IFERROR(__xludf.DUMMYFUNCTION("""COMPUTED_VALUE"""),5.92)</f>
        <v>5.92</v>
      </c>
      <c r="C1494" s="1">
        <f>IFERROR(__xludf.DUMMYFUNCTION("""COMPUTED_VALUE"""),5.93)</f>
        <v>5.93</v>
      </c>
      <c r="D1494" s="1">
        <f>IFERROR(__xludf.DUMMYFUNCTION("""COMPUTED_VALUE"""),5.84)</f>
        <v>5.84</v>
      </c>
      <c r="E1494" s="1">
        <f>IFERROR(__xludf.DUMMYFUNCTION("""COMPUTED_VALUE"""),5.86)</f>
        <v>5.86</v>
      </c>
      <c r="F1494" s="1">
        <f>IFERROR(__xludf.DUMMYFUNCTION("""COMPUTED_VALUE"""),1723886.0)</f>
        <v>1723886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IFERROR(__xludf.DUMMYFUNCTION("""COMPUTED_VALUE"""),5.78)</f>
        <v>5.78</v>
      </c>
      <c r="C1495" s="1">
        <f>IFERROR(__xludf.DUMMYFUNCTION("""COMPUTED_VALUE"""),5.85)</f>
        <v>5.85</v>
      </c>
      <c r="D1495" s="1">
        <f>IFERROR(__xludf.DUMMYFUNCTION("""COMPUTED_VALUE"""),5.75)</f>
        <v>5.75</v>
      </c>
      <c r="E1495" s="1">
        <f>IFERROR(__xludf.DUMMYFUNCTION("""COMPUTED_VALUE"""),5.8)</f>
        <v>5.8</v>
      </c>
      <c r="F1495" s="1">
        <f>IFERROR(__xludf.DUMMYFUNCTION("""COMPUTED_VALUE"""),1575119.0)</f>
        <v>1575119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IFERROR(__xludf.DUMMYFUNCTION("""COMPUTED_VALUE"""),5.84)</f>
        <v>5.84</v>
      </c>
      <c r="C1496" s="1">
        <f>IFERROR(__xludf.DUMMYFUNCTION("""COMPUTED_VALUE"""),5.97)</f>
        <v>5.97</v>
      </c>
      <c r="D1496" s="1">
        <f>IFERROR(__xludf.DUMMYFUNCTION("""COMPUTED_VALUE"""),5.82)</f>
        <v>5.82</v>
      </c>
      <c r="E1496" s="1">
        <f>IFERROR(__xludf.DUMMYFUNCTION("""COMPUTED_VALUE"""),5.87)</f>
        <v>5.87</v>
      </c>
      <c r="F1496" s="1">
        <f>IFERROR(__xludf.DUMMYFUNCTION("""COMPUTED_VALUE"""),1698925.0)</f>
        <v>1698925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IFERROR(__xludf.DUMMYFUNCTION("""COMPUTED_VALUE"""),5.85)</f>
        <v>5.85</v>
      </c>
      <c r="C1497" s="1">
        <f>IFERROR(__xludf.DUMMYFUNCTION("""COMPUTED_VALUE"""),5.87)</f>
        <v>5.87</v>
      </c>
      <c r="D1497" s="1">
        <f>IFERROR(__xludf.DUMMYFUNCTION("""COMPUTED_VALUE"""),5.8)</f>
        <v>5.8</v>
      </c>
      <c r="E1497" s="1">
        <f>IFERROR(__xludf.DUMMYFUNCTION("""COMPUTED_VALUE"""),5.81)</f>
        <v>5.81</v>
      </c>
      <c r="F1497" s="1">
        <f>IFERROR(__xludf.DUMMYFUNCTION("""COMPUTED_VALUE"""),1316995.0)</f>
        <v>1316995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IFERROR(__xludf.DUMMYFUNCTION("""COMPUTED_VALUE"""),5.69)</f>
        <v>5.69</v>
      </c>
      <c r="C1498" s="1">
        <f>IFERROR(__xludf.DUMMYFUNCTION("""COMPUTED_VALUE"""),5.7)</f>
        <v>5.7</v>
      </c>
      <c r="D1498" s="1">
        <f>IFERROR(__xludf.DUMMYFUNCTION("""COMPUTED_VALUE"""),5.58)</f>
        <v>5.58</v>
      </c>
      <c r="E1498" s="1">
        <f>IFERROR(__xludf.DUMMYFUNCTION("""COMPUTED_VALUE"""),5.59)</f>
        <v>5.59</v>
      </c>
      <c r="F1498" s="1">
        <f>IFERROR(__xludf.DUMMYFUNCTION("""COMPUTED_VALUE"""),1243374.0)</f>
        <v>1243374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IFERROR(__xludf.DUMMYFUNCTION("""COMPUTED_VALUE"""),5.51)</f>
        <v>5.51</v>
      </c>
      <c r="C1499" s="1">
        <f>IFERROR(__xludf.DUMMYFUNCTION("""COMPUTED_VALUE"""),5.54)</f>
        <v>5.54</v>
      </c>
      <c r="D1499" s="1">
        <f>IFERROR(__xludf.DUMMYFUNCTION("""COMPUTED_VALUE"""),5.43)</f>
        <v>5.43</v>
      </c>
      <c r="E1499" s="1">
        <f>IFERROR(__xludf.DUMMYFUNCTION("""COMPUTED_VALUE"""),5.49)</f>
        <v>5.49</v>
      </c>
      <c r="F1499" s="1">
        <f>IFERROR(__xludf.DUMMYFUNCTION("""COMPUTED_VALUE"""),3236000.0)</f>
        <v>3236000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IFERROR(__xludf.DUMMYFUNCTION("""COMPUTED_VALUE"""),5.47)</f>
        <v>5.47</v>
      </c>
      <c r="C1500" s="1">
        <f>IFERROR(__xludf.DUMMYFUNCTION("""COMPUTED_VALUE"""),5.53)</f>
        <v>5.53</v>
      </c>
      <c r="D1500" s="1">
        <f>IFERROR(__xludf.DUMMYFUNCTION("""COMPUTED_VALUE"""),5.44)</f>
        <v>5.44</v>
      </c>
      <c r="E1500" s="1">
        <f>IFERROR(__xludf.DUMMYFUNCTION("""COMPUTED_VALUE"""),5.46)</f>
        <v>5.46</v>
      </c>
      <c r="F1500" s="1">
        <f>IFERROR(__xludf.DUMMYFUNCTION("""COMPUTED_VALUE"""),2457542.0)</f>
        <v>2457542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IFERROR(__xludf.DUMMYFUNCTION("""COMPUTED_VALUE"""),5.49)</f>
        <v>5.49</v>
      </c>
      <c r="C1501" s="1">
        <f>IFERROR(__xludf.DUMMYFUNCTION("""COMPUTED_VALUE"""),5.54)</f>
        <v>5.54</v>
      </c>
      <c r="D1501" s="1">
        <f>IFERROR(__xludf.DUMMYFUNCTION("""COMPUTED_VALUE"""),5.4)</f>
        <v>5.4</v>
      </c>
      <c r="E1501" s="1">
        <f>IFERROR(__xludf.DUMMYFUNCTION("""COMPUTED_VALUE"""),5.53)</f>
        <v>5.53</v>
      </c>
      <c r="F1501" s="1">
        <f>IFERROR(__xludf.DUMMYFUNCTION("""COMPUTED_VALUE"""),2570155.0)</f>
        <v>2570155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IFERROR(__xludf.DUMMYFUNCTION("""COMPUTED_VALUE"""),5.64)</f>
        <v>5.64</v>
      </c>
      <c r="C1502" s="1">
        <f>IFERROR(__xludf.DUMMYFUNCTION("""COMPUTED_VALUE"""),5.64)</f>
        <v>5.64</v>
      </c>
      <c r="D1502" s="1">
        <f>IFERROR(__xludf.DUMMYFUNCTION("""COMPUTED_VALUE"""),5.51)</f>
        <v>5.51</v>
      </c>
      <c r="E1502" s="1">
        <f>IFERROR(__xludf.DUMMYFUNCTION("""COMPUTED_VALUE"""),5.53)</f>
        <v>5.53</v>
      </c>
      <c r="F1502" s="1">
        <f>IFERROR(__xludf.DUMMYFUNCTION("""COMPUTED_VALUE"""),1864292.0)</f>
        <v>1864292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IFERROR(__xludf.DUMMYFUNCTION("""COMPUTED_VALUE"""),5.48)</f>
        <v>5.48</v>
      </c>
      <c r="C1503" s="1">
        <f>IFERROR(__xludf.DUMMYFUNCTION("""COMPUTED_VALUE"""),5.54)</f>
        <v>5.54</v>
      </c>
      <c r="D1503" s="1">
        <f>IFERROR(__xludf.DUMMYFUNCTION("""COMPUTED_VALUE"""),5.46)</f>
        <v>5.46</v>
      </c>
      <c r="E1503" s="1">
        <f>IFERROR(__xludf.DUMMYFUNCTION("""COMPUTED_VALUE"""),5.48)</f>
        <v>5.48</v>
      </c>
      <c r="F1503" s="1">
        <f>IFERROR(__xludf.DUMMYFUNCTION("""COMPUTED_VALUE"""),1722215.0)</f>
        <v>1722215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IFERROR(__xludf.DUMMYFUNCTION("""COMPUTED_VALUE"""),5.63)</f>
        <v>5.63</v>
      </c>
      <c r="C1504" s="1">
        <f>IFERROR(__xludf.DUMMYFUNCTION("""COMPUTED_VALUE"""),5.65)</f>
        <v>5.65</v>
      </c>
      <c r="D1504" s="1">
        <f>IFERROR(__xludf.DUMMYFUNCTION("""COMPUTED_VALUE"""),5.53)</f>
        <v>5.53</v>
      </c>
      <c r="E1504" s="1">
        <f>IFERROR(__xludf.DUMMYFUNCTION("""COMPUTED_VALUE"""),5.58)</f>
        <v>5.58</v>
      </c>
      <c r="F1504" s="1">
        <f>IFERROR(__xludf.DUMMYFUNCTION("""COMPUTED_VALUE"""),2762759.0)</f>
        <v>2762759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IFERROR(__xludf.DUMMYFUNCTION("""COMPUTED_VALUE"""),5.58)</f>
        <v>5.58</v>
      </c>
      <c r="C1505" s="1">
        <f>IFERROR(__xludf.DUMMYFUNCTION("""COMPUTED_VALUE"""),5.65)</f>
        <v>5.65</v>
      </c>
      <c r="D1505" s="1">
        <f>IFERROR(__xludf.DUMMYFUNCTION("""COMPUTED_VALUE"""),5.55)</f>
        <v>5.55</v>
      </c>
      <c r="E1505" s="1">
        <f>IFERROR(__xludf.DUMMYFUNCTION("""COMPUTED_VALUE"""),5.61)</f>
        <v>5.61</v>
      </c>
      <c r="F1505" s="1">
        <f>IFERROR(__xludf.DUMMYFUNCTION("""COMPUTED_VALUE"""),2463146.0)</f>
        <v>2463146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IFERROR(__xludf.DUMMYFUNCTION("""COMPUTED_VALUE"""),5.73)</f>
        <v>5.73</v>
      </c>
      <c r="C1506" s="1">
        <f>IFERROR(__xludf.DUMMYFUNCTION("""COMPUTED_VALUE"""),5.8)</f>
        <v>5.8</v>
      </c>
      <c r="D1506" s="1">
        <f>IFERROR(__xludf.DUMMYFUNCTION("""COMPUTED_VALUE"""),5.7)</f>
        <v>5.7</v>
      </c>
      <c r="E1506" s="1">
        <f>IFERROR(__xludf.DUMMYFUNCTION("""COMPUTED_VALUE"""),5.78)</f>
        <v>5.78</v>
      </c>
      <c r="F1506" s="1">
        <f>IFERROR(__xludf.DUMMYFUNCTION("""COMPUTED_VALUE"""),1772121.0)</f>
        <v>1772121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IFERROR(__xludf.DUMMYFUNCTION("""COMPUTED_VALUE"""),5.75)</f>
        <v>5.75</v>
      </c>
      <c r="C1507" s="1">
        <f>IFERROR(__xludf.DUMMYFUNCTION("""COMPUTED_VALUE"""),5.83)</f>
        <v>5.83</v>
      </c>
      <c r="D1507" s="1">
        <f>IFERROR(__xludf.DUMMYFUNCTION("""COMPUTED_VALUE"""),5.75)</f>
        <v>5.75</v>
      </c>
      <c r="E1507" s="1">
        <f>IFERROR(__xludf.DUMMYFUNCTION("""COMPUTED_VALUE"""),5.77)</f>
        <v>5.77</v>
      </c>
      <c r="F1507" s="1">
        <f>IFERROR(__xludf.DUMMYFUNCTION("""COMPUTED_VALUE"""),698639.0)</f>
        <v>698639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IFERROR(__xludf.DUMMYFUNCTION("""COMPUTED_VALUE"""),5.77)</f>
        <v>5.77</v>
      </c>
      <c r="C1508" s="1">
        <f>IFERROR(__xludf.DUMMYFUNCTION("""COMPUTED_VALUE"""),5.78)</f>
        <v>5.78</v>
      </c>
      <c r="D1508" s="1">
        <f>IFERROR(__xludf.DUMMYFUNCTION("""COMPUTED_VALUE"""),5.73)</f>
        <v>5.73</v>
      </c>
      <c r="E1508" s="1">
        <f>IFERROR(__xludf.DUMMYFUNCTION("""COMPUTED_VALUE"""),5.77)</f>
        <v>5.77</v>
      </c>
      <c r="F1508" s="1">
        <f>IFERROR(__xludf.DUMMYFUNCTION("""COMPUTED_VALUE"""),1203688.0)</f>
        <v>1203688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IFERROR(__xludf.DUMMYFUNCTION("""COMPUTED_VALUE"""),5.76)</f>
        <v>5.76</v>
      </c>
      <c r="C1509" s="1">
        <f>IFERROR(__xludf.DUMMYFUNCTION("""COMPUTED_VALUE"""),5.8)</f>
        <v>5.8</v>
      </c>
      <c r="D1509" s="1">
        <f>IFERROR(__xludf.DUMMYFUNCTION("""COMPUTED_VALUE"""),5.74)</f>
        <v>5.74</v>
      </c>
      <c r="E1509" s="1">
        <f>IFERROR(__xludf.DUMMYFUNCTION("""COMPUTED_VALUE"""),5.8)</f>
        <v>5.8</v>
      </c>
      <c r="F1509" s="1">
        <f>IFERROR(__xludf.DUMMYFUNCTION("""COMPUTED_VALUE"""),1226480.0)</f>
        <v>1226480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IFERROR(__xludf.DUMMYFUNCTION("""COMPUTED_VALUE"""),5.74)</f>
        <v>5.74</v>
      </c>
      <c r="C1510" s="1">
        <f>IFERROR(__xludf.DUMMYFUNCTION("""COMPUTED_VALUE"""),5.76)</f>
        <v>5.76</v>
      </c>
      <c r="D1510" s="1">
        <f>IFERROR(__xludf.DUMMYFUNCTION("""COMPUTED_VALUE"""),5.7)</f>
        <v>5.7</v>
      </c>
      <c r="E1510" s="1">
        <f>IFERROR(__xludf.DUMMYFUNCTION("""COMPUTED_VALUE"""),5.72)</f>
        <v>5.72</v>
      </c>
      <c r="F1510" s="1">
        <f>IFERROR(__xludf.DUMMYFUNCTION("""COMPUTED_VALUE"""),950756.0)</f>
        <v>950756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IFERROR(__xludf.DUMMYFUNCTION("""COMPUTED_VALUE"""),5.66)</f>
        <v>5.66</v>
      </c>
      <c r="C1511" s="1">
        <f>IFERROR(__xludf.DUMMYFUNCTION("""COMPUTED_VALUE"""),5.71)</f>
        <v>5.71</v>
      </c>
      <c r="D1511" s="1">
        <f>IFERROR(__xludf.DUMMYFUNCTION("""COMPUTED_VALUE"""),5.65)</f>
        <v>5.65</v>
      </c>
      <c r="E1511" s="1">
        <f>IFERROR(__xludf.DUMMYFUNCTION("""COMPUTED_VALUE"""),5.67)</f>
        <v>5.67</v>
      </c>
      <c r="F1511" s="1">
        <f>IFERROR(__xludf.DUMMYFUNCTION("""COMPUTED_VALUE"""),688817.0)</f>
        <v>688817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IFERROR(__xludf.DUMMYFUNCTION("""COMPUTED_VALUE"""),5.53)</f>
        <v>5.53</v>
      </c>
      <c r="C1512" s="1">
        <f>IFERROR(__xludf.DUMMYFUNCTION("""COMPUTED_VALUE"""),5.57)</f>
        <v>5.57</v>
      </c>
      <c r="D1512" s="1">
        <f>IFERROR(__xludf.DUMMYFUNCTION("""COMPUTED_VALUE"""),5.45)</f>
        <v>5.45</v>
      </c>
      <c r="E1512" s="1">
        <f>IFERROR(__xludf.DUMMYFUNCTION("""COMPUTED_VALUE"""),5.56)</f>
        <v>5.56</v>
      </c>
      <c r="F1512" s="1">
        <f>IFERROR(__xludf.DUMMYFUNCTION("""COMPUTED_VALUE"""),2049929.0)</f>
        <v>2049929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IFERROR(__xludf.DUMMYFUNCTION("""COMPUTED_VALUE"""),5.42)</f>
        <v>5.42</v>
      </c>
      <c r="C1513" s="1">
        <f>IFERROR(__xludf.DUMMYFUNCTION("""COMPUTED_VALUE"""),5.47)</f>
        <v>5.47</v>
      </c>
      <c r="D1513" s="1">
        <f>IFERROR(__xludf.DUMMYFUNCTION("""COMPUTED_VALUE"""),5.38)</f>
        <v>5.38</v>
      </c>
      <c r="E1513" s="1">
        <f>IFERROR(__xludf.DUMMYFUNCTION("""COMPUTED_VALUE"""),5.46)</f>
        <v>5.46</v>
      </c>
      <c r="F1513" s="1">
        <f>IFERROR(__xludf.DUMMYFUNCTION("""COMPUTED_VALUE"""),1963236.0)</f>
        <v>1963236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IFERROR(__xludf.DUMMYFUNCTION("""COMPUTED_VALUE"""),5.35)</f>
        <v>5.35</v>
      </c>
      <c r="C1514" s="1">
        <f>IFERROR(__xludf.DUMMYFUNCTION("""COMPUTED_VALUE"""),5.42)</f>
        <v>5.42</v>
      </c>
      <c r="D1514" s="1">
        <f>IFERROR(__xludf.DUMMYFUNCTION("""COMPUTED_VALUE"""),5.33)</f>
        <v>5.33</v>
      </c>
      <c r="E1514" s="1">
        <f>IFERROR(__xludf.DUMMYFUNCTION("""COMPUTED_VALUE"""),5.38)</f>
        <v>5.38</v>
      </c>
      <c r="F1514" s="1">
        <f>IFERROR(__xludf.DUMMYFUNCTION("""COMPUTED_VALUE"""),1309774.0)</f>
        <v>1309774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IFERROR(__xludf.DUMMYFUNCTION("""COMPUTED_VALUE"""),5.18)</f>
        <v>5.18</v>
      </c>
      <c r="C1515" s="1">
        <f>IFERROR(__xludf.DUMMYFUNCTION("""COMPUTED_VALUE"""),5.28)</f>
        <v>5.28</v>
      </c>
      <c r="D1515" s="1">
        <f>IFERROR(__xludf.DUMMYFUNCTION("""COMPUTED_VALUE"""),5.17)</f>
        <v>5.17</v>
      </c>
      <c r="E1515" s="1">
        <f>IFERROR(__xludf.DUMMYFUNCTION("""COMPUTED_VALUE"""),5.18)</f>
        <v>5.18</v>
      </c>
      <c r="F1515" s="1">
        <f>IFERROR(__xludf.DUMMYFUNCTION("""COMPUTED_VALUE"""),2120569.0)</f>
        <v>2120569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IFERROR(__xludf.DUMMYFUNCTION("""COMPUTED_VALUE"""),5.27)</f>
        <v>5.27</v>
      </c>
      <c r="C1516" s="1">
        <f>IFERROR(__xludf.DUMMYFUNCTION("""COMPUTED_VALUE"""),5.29)</f>
        <v>5.29</v>
      </c>
      <c r="D1516" s="1">
        <f>IFERROR(__xludf.DUMMYFUNCTION("""COMPUTED_VALUE"""),5.14)</f>
        <v>5.14</v>
      </c>
      <c r="E1516" s="1">
        <f>IFERROR(__xludf.DUMMYFUNCTION("""COMPUTED_VALUE"""),5.15)</f>
        <v>5.15</v>
      </c>
      <c r="F1516" s="1">
        <f>IFERROR(__xludf.DUMMYFUNCTION("""COMPUTED_VALUE"""),1775550.0)</f>
        <v>1775550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IFERROR(__xludf.DUMMYFUNCTION("""COMPUTED_VALUE"""),5.28)</f>
        <v>5.28</v>
      </c>
      <c r="C1517" s="1">
        <f>IFERROR(__xludf.DUMMYFUNCTION("""COMPUTED_VALUE"""),5.31)</f>
        <v>5.31</v>
      </c>
      <c r="D1517" s="1">
        <f>IFERROR(__xludf.DUMMYFUNCTION("""COMPUTED_VALUE"""),5.23)</f>
        <v>5.23</v>
      </c>
      <c r="E1517" s="1">
        <f>IFERROR(__xludf.DUMMYFUNCTION("""COMPUTED_VALUE"""),5.29)</f>
        <v>5.29</v>
      </c>
      <c r="F1517" s="1">
        <f>IFERROR(__xludf.DUMMYFUNCTION("""COMPUTED_VALUE"""),1766758.0)</f>
        <v>1766758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IFERROR(__xludf.DUMMYFUNCTION("""COMPUTED_VALUE"""),5.37)</f>
        <v>5.37</v>
      </c>
      <c r="C1518" s="1">
        <f>IFERROR(__xludf.DUMMYFUNCTION("""COMPUTED_VALUE"""),5.41)</f>
        <v>5.41</v>
      </c>
      <c r="D1518" s="1">
        <f>IFERROR(__xludf.DUMMYFUNCTION("""COMPUTED_VALUE"""),5.32)</f>
        <v>5.32</v>
      </c>
      <c r="E1518" s="1">
        <f>IFERROR(__xludf.DUMMYFUNCTION("""COMPUTED_VALUE"""),5.41)</f>
        <v>5.41</v>
      </c>
      <c r="F1518" s="1">
        <f>IFERROR(__xludf.DUMMYFUNCTION("""COMPUTED_VALUE"""),1960332.0)</f>
        <v>1960332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IFERROR(__xludf.DUMMYFUNCTION("""COMPUTED_VALUE"""),5.98)</f>
        <v>5.98</v>
      </c>
      <c r="C1519" s="1">
        <f>IFERROR(__xludf.DUMMYFUNCTION("""COMPUTED_VALUE"""),6.0)</f>
        <v>6</v>
      </c>
      <c r="D1519" s="1">
        <f>IFERROR(__xludf.DUMMYFUNCTION("""COMPUTED_VALUE"""),5.75)</f>
        <v>5.75</v>
      </c>
      <c r="E1519" s="1">
        <f>IFERROR(__xludf.DUMMYFUNCTION("""COMPUTED_VALUE"""),5.77)</f>
        <v>5.77</v>
      </c>
      <c r="F1519" s="1">
        <f>IFERROR(__xludf.DUMMYFUNCTION("""COMPUTED_VALUE"""),4376058.0)</f>
        <v>4376058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IFERROR(__xludf.DUMMYFUNCTION("""COMPUTED_VALUE"""),5.87)</f>
        <v>5.87</v>
      </c>
      <c r="C1520" s="1">
        <f>IFERROR(__xludf.DUMMYFUNCTION("""COMPUTED_VALUE"""),5.96)</f>
        <v>5.96</v>
      </c>
      <c r="D1520" s="1">
        <f>IFERROR(__xludf.DUMMYFUNCTION("""COMPUTED_VALUE"""),5.82)</f>
        <v>5.82</v>
      </c>
      <c r="E1520" s="1">
        <f>IFERROR(__xludf.DUMMYFUNCTION("""COMPUTED_VALUE"""),5.93)</f>
        <v>5.93</v>
      </c>
      <c r="F1520" s="1">
        <f>IFERROR(__xludf.DUMMYFUNCTION("""COMPUTED_VALUE"""),2254169.0)</f>
        <v>2254169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IFERROR(__xludf.DUMMYFUNCTION("""COMPUTED_VALUE"""),5.7)</f>
        <v>5.7</v>
      </c>
      <c r="C1521" s="1">
        <f>IFERROR(__xludf.DUMMYFUNCTION("""COMPUTED_VALUE"""),5.8)</f>
        <v>5.8</v>
      </c>
      <c r="D1521" s="1">
        <f>IFERROR(__xludf.DUMMYFUNCTION("""COMPUTED_VALUE"""),5.68)</f>
        <v>5.68</v>
      </c>
      <c r="E1521" s="1">
        <f>IFERROR(__xludf.DUMMYFUNCTION("""COMPUTED_VALUE"""),5.74)</f>
        <v>5.74</v>
      </c>
      <c r="F1521" s="1">
        <f>IFERROR(__xludf.DUMMYFUNCTION("""COMPUTED_VALUE"""),1885991.0)</f>
        <v>1885991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IFERROR(__xludf.DUMMYFUNCTION("""COMPUTED_VALUE"""),5.65)</f>
        <v>5.65</v>
      </c>
      <c r="C1522" s="1">
        <f>IFERROR(__xludf.DUMMYFUNCTION("""COMPUTED_VALUE"""),5.67)</f>
        <v>5.67</v>
      </c>
      <c r="D1522" s="1">
        <f>IFERROR(__xludf.DUMMYFUNCTION("""COMPUTED_VALUE"""),5.55)</f>
        <v>5.55</v>
      </c>
      <c r="E1522" s="1">
        <f>IFERROR(__xludf.DUMMYFUNCTION("""COMPUTED_VALUE"""),5.61)</f>
        <v>5.61</v>
      </c>
      <c r="F1522" s="1">
        <f>IFERROR(__xludf.DUMMYFUNCTION("""COMPUTED_VALUE"""),1829974.0)</f>
        <v>1829974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IFERROR(__xludf.DUMMYFUNCTION("""COMPUTED_VALUE"""),5.46)</f>
        <v>5.46</v>
      </c>
      <c r="C1523" s="1">
        <f>IFERROR(__xludf.DUMMYFUNCTION("""COMPUTED_VALUE"""),5.51)</f>
        <v>5.51</v>
      </c>
      <c r="D1523" s="1">
        <f>IFERROR(__xludf.DUMMYFUNCTION("""COMPUTED_VALUE"""),5.32)</f>
        <v>5.32</v>
      </c>
      <c r="E1523" s="1">
        <f>IFERROR(__xludf.DUMMYFUNCTION("""COMPUTED_VALUE"""),5.46)</f>
        <v>5.46</v>
      </c>
      <c r="F1523" s="1">
        <f>IFERROR(__xludf.DUMMYFUNCTION("""COMPUTED_VALUE"""),3514917.0)</f>
        <v>3514917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IFERROR(__xludf.DUMMYFUNCTION("""COMPUTED_VALUE"""),5.44)</f>
        <v>5.44</v>
      </c>
      <c r="C1524" s="1">
        <f>IFERROR(__xludf.DUMMYFUNCTION("""COMPUTED_VALUE"""),5.55)</f>
        <v>5.55</v>
      </c>
      <c r="D1524" s="1">
        <f>IFERROR(__xludf.DUMMYFUNCTION("""COMPUTED_VALUE"""),5.39)</f>
        <v>5.39</v>
      </c>
      <c r="E1524" s="1">
        <f>IFERROR(__xludf.DUMMYFUNCTION("""COMPUTED_VALUE"""),5.49)</f>
        <v>5.49</v>
      </c>
      <c r="F1524" s="1">
        <f>IFERROR(__xludf.DUMMYFUNCTION("""COMPUTED_VALUE"""),2267886.0)</f>
        <v>2267886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IFERROR(__xludf.DUMMYFUNCTION("""COMPUTED_VALUE"""),5.72)</f>
        <v>5.72</v>
      </c>
      <c r="C1525" s="1">
        <f>IFERROR(__xludf.DUMMYFUNCTION("""COMPUTED_VALUE"""),5.81)</f>
        <v>5.81</v>
      </c>
      <c r="D1525" s="1">
        <f>IFERROR(__xludf.DUMMYFUNCTION("""COMPUTED_VALUE"""),5.64)</f>
        <v>5.64</v>
      </c>
      <c r="E1525" s="1">
        <f>IFERROR(__xludf.DUMMYFUNCTION("""COMPUTED_VALUE"""),5.72)</f>
        <v>5.72</v>
      </c>
      <c r="F1525" s="1">
        <f>IFERROR(__xludf.DUMMYFUNCTION("""COMPUTED_VALUE"""),4400053.0)</f>
        <v>4400053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IFERROR(__xludf.DUMMYFUNCTION("""COMPUTED_VALUE"""),5.59)</f>
        <v>5.59</v>
      </c>
      <c r="C1526" s="1">
        <f>IFERROR(__xludf.DUMMYFUNCTION("""COMPUTED_VALUE"""),5.63)</f>
        <v>5.63</v>
      </c>
      <c r="D1526" s="1">
        <f>IFERROR(__xludf.DUMMYFUNCTION("""COMPUTED_VALUE"""),5.55)</f>
        <v>5.55</v>
      </c>
      <c r="E1526" s="1">
        <f>IFERROR(__xludf.DUMMYFUNCTION("""COMPUTED_VALUE"""),5.55)</f>
        <v>5.55</v>
      </c>
      <c r="F1526" s="1">
        <f>IFERROR(__xludf.DUMMYFUNCTION("""COMPUTED_VALUE"""),1917418.0)</f>
        <v>1917418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IFERROR(__xludf.DUMMYFUNCTION("""COMPUTED_VALUE"""),5.63)</f>
        <v>5.63</v>
      </c>
      <c r="C1527" s="1">
        <f>IFERROR(__xludf.DUMMYFUNCTION("""COMPUTED_VALUE"""),5.71)</f>
        <v>5.71</v>
      </c>
      <c r="D1527" s="1">
        <f>IFERROR(__xludf.DUMMYFUNCTION("""COMPUTED_VALUE"""),5.62)</f>
        <v>5.62</v>
      </c>
      <c r="E1527" s="1">
        <f>IFERROR(__xludf.DUMMYFUNCTION("""COMPUTED_VALUE"""),5.68)</f>
        <v>5.68</v>
      </c>
      <c r="F1527" s="1">
        <f>IFERROR(__xludf.DUMMYFUNCTION("""COMPUTED_VALUE"""),1675751.0)</f>
        <v>1675751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IFERROR(__xludf.DUMMYFUNCTION("""COMPUTED_VALUE"""),5.59)</f>
        <v>5.59</v>
      </c>
      <c r="C1528" s="1">
        <f>IFERROR(__xludf.DUMMYFUNCTION("""COMPUTED_VALUE"""),5.68)</f>
        <v>5.68</v>
      </c>
      <c r="D1528" s="1">
        <f>IFERROR(__xludf.DUMMYFUNCTION("""COMPUTED_VALUE"""),5.54)</f>
        <v>5.54</v>
      </c>
      <c r="E1528" s="1">
        <f>IFERROR(__xludf.DUMMYFUNCTION("""COMPUTED_VALUE"""),5.56)</f>
        <v>5.56</v>
      </c>
      <c r="F1528" s="1">
        <f>IFERROR(__xludf.DUMMYFUNCTION("""COMPUTED_VALUE"""),1698396.0)</f>
        <v>1698396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IFERROR(__xludf.DUMMYFUNCTION("""COMPUTED_VALUE"""),5.64)</f>
        <v>5.64</v>
      </c>
      <c r="C1529" s="1">
        <f>IFERROR(__xludf.DUMMYFUNCTION("""COMPUTED_VALUE"""),5.66)</f>
        <v>5.66</v>
      </c>
      <c r="D1529" s="1">
        <f>IFERROR(__xludf.DUMMYFUNCTION("""COMPUTED_VALUE"""),5.53)</f>
        <v>5.53</v>
      </c>
      <c r="E1529" s="1">
        <f>IFERROR(__xludf.DUMMYFUNCTION("""COMPUTED_VALUE"""),5.61)</f>
        <v>5.61</v>
      </c>
      <c r="F1529" s="1">
        <f>IFERROR(__xludf.DUMMYFUNCTION("""COMPUTED_VALUE"""),1235016.0)</f>
        <v>1235016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IFERROR(__xludf.DUMMYFUNCTION("""COMPUTED_VALUE"""),5.6)</f>
        <v>5.6</v>
      </c>
      <c r="C1530" s="1">
        <f>IFERROR(__xludf.DUMMYFUNCTION("""COMPUTED_VALUE"""),5.7)</f>
        <v>5.7</v>
      </c>
      <c r="D1530" s="1">
        <f>IFERROR(__xludf.DUMMYFUNCTION("""COMPUTED_VALUE"""),5.55)</f>
        <v>5.55</v>
      </c>
      <c r="E1530" s="1">
        <f>IFERROR(__xludf.DUMMYFUNCTION("""COMPUTED_VALUE"""),5.68)</f>
        <v>5.68</v>
      </c>
      <c r="F1530" s="1">
        <f>IFERROR(__xludf.DUMMYFUNCTION("""COMPUTED_VALUE"""),2002782.0)</f>
        <v>2002782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IFERROR(__xludf.DUMMYFUNCTION("""COMPUTED_VALUE"""),5.58)</f>
        <v>5.58</v>
      </c>
      <c r="C1531" s="1">
        <f>IFERROR(__xludf.DUMMYFUNCTION("""COMPUTED_VALUE"""),5.66)</f>
        <v>5.66</v>
      </c>
      <c r="D1531" s="1">
        <f>IFERROR(__xludf.DUMMYFUNCTION("""COMPUTED_VALUE"""),5.55)</f>
        <v>5.55</v>
      </c>
      <c r="E1531" s="1">
        <f>IFERROR(__xludf.DUMMYFUNCTION("""COMPUTED_VALUE"""),5.64)</f>
        <v>5.64</v>
      </c>
      <c r="F1531" s="1">
        <f>IFERROR(__xludf.DUMMYFUNCTION("""COMPUTED_VALUE"""),1750080.0)</f>
        <v>1750080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IFERROR(__xludf.DUMMYFUNCTION("""COMPUTED_VALUE"""),5.41)</f>
        <v>5.41</v>
      </c>
      <c r="C1532" s="1">
        <f>IFERROR(__xludf.DUMMYFUNCTION("""COMPUTED_VALUE"""),5.41)</f>
        <v>5.41</v>
      </c>
      <c r="D1532" s="1">
        <f>IFERROR(__xludf.DUMMYFUNCTION("""COMPUTED_VALUE"""),5.31)</f>
        <v>5.31</v>
      </c>
      <c r="E1532" s="1">
        <f>IFERROR(__xludf.DUMMYFUNCTION("""COMPUTED_VALUE"""),5.34)</f>
        <v>5.34</v>
      </c>
      <c r="F1532" s="1">
        <f>IFERROR(__xludf.DUMMYFUNCTION("""COMPUTED_VALUE"""),2025761.0)</f>
        <v>2025761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IFERROR(__xludf.DUMMYFUNCTION("""COMPUTED_VALUE"""),5.35)</f>
        <v>5.35</v>
      </c>
      <c r="C1533" s="1">
        <f>IFERROR(__xludf.DUMMYFUNCTION("""COMPUTED_VALUE"""),5.37)</f>
        <v>5.37</v>
      </c>
      <c r="D1533" s="1">
        <f>IFERROR(__xludf.DUMMYFUNCTION("""COMPUTED_VALUE"""),5.21)</f>
        <v>5.21</v>
      </c>
      <c r="E1533" s="1">
        <f>IFERROR(__xludf.DUMMYFUNCTION("""COMPUTED_VALUE"""),5.37)</f>
        <v>5.37</v>
      </c>
      <c r="F1533" s="1">
        <f>IFERROR(__xludf.DUMMYFUNCTION("""COMPUTED_VALUE"""),2778800.0)</f>
        <v>2778800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IFERROR(__xludf.DUMMYFUNCTION("""COMPUTED_VALUE"""),5.4)</f>
        <v>5.4</v>
      </c>
      <c r="C1534" s="1">
        <f>IFERROR(__xludf.DUMMYFUNCTION("""COMPUTED_VALUE"""),5.5)</f>
        <v>5.5</v>
      </c>
      <c r="D1534" s="1">
        <f>IFERROR(__xludf.DUMMYFUNCTION("""COMPUTED_VALUE"""),5.38)</f>
        <v>5.38</v>
      </c>
      <c r="E1534" s="1">
        <f>IFERROR(__xludf.DUMMYFUNCTION("""COMPUTED_VALUE"""),5.47)</f>
        <v>5.47</v>
      </c>
      <c r="F1534" s="1">
        <f>IFERROR(__xludf.DUMMYFUNCTION("""COMPUTED_VALUE"""),2000974.0)</f>
        <v>2000974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IFERROR(__xludf.DUMMYFUNCTION("""COMPUTED_VALUE"""),5.44)</f>
        <v>5.44</v>
      </c>
      <c r="C1535" s="1">
        <f>IFERROR(__xludf.DUMMYFUNCTION("""COMPUTED_VALUE"""),5.45)</f>
        <v>5.45</v>
      </c>
      <c r="D1535" s="1">
        <f>IFERROR(__xludf.DUMMYFUNCTION("""COMPUTED_VALUE"""),5.36)</f>
        <v>5.36</v>
      </c>
      <c r="E1535" s="1">
        <f>IFERROR(__xludf.DUMMYFUNCTION("""COMPUTED_VALUE"""),5.38)</f>
        <v>5.38</v>
      </c>
      <c r="F1535" s="1">
        <f>IFERROR(__xludf.DUMMYFUNCTION("""COMPUTED_VALUE"""),2472412.0)</f>
        <v>2472412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IFERROR(__xludf.DUMMYFUNCTION("""COMPUTED_VALUE"""),5.23)</f>
        <v>5.23</v>
      </c>
      <c r="C1536" s="1">
        <f>IFERROR(__xludf.DUMMYFUNCTION("""COMPUTED_VALUE"""),5.26)</f>
        <v>5.26</v>
      </c>
      <c r="D1536" s="1">
        <f>IFERROR(__xludf.DUMMYFUNCTION("""COMPUTED_VALUE"""),5.19)</f>
        <v>5.19</v>
      </c>
      <c r="E1536" s="1">
        <f>IFERROR(__xludf.DUMMYFUNCTION("""COMPUTED_VALUE"""),5.23)</f>
        <v>5.23</v>
      </c>
      <c r="F1536" s="1">
        <f>IFERROR(__xludf.DUMMYFUNCTION("""COMPUTED_VALUE"""),2073195.0)</f>
        <v>2073195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IFERROR(__xludf.DUMMYFUNCTION("""COMPUTED_VALUE"""),4.8)</f>
        <v>4.8</v>
      </c>
      <c r="C1537" s="1">
        <f>IFERROR(__xludf.DUMMYFUNCTION("""COMPUTED_VALUE"""),4.93)</f>
        <v>4.93</v>
      </c>
      <c r="D1537" s="1">
        <f>IFERROR(__xludf.DUMMYFUNCTION("""COMPUTED_VALUE"""),4.79)</f>
        <v>4.79</v>
      </c>
      <c r="E1537" s="1">
        <f>IFERROR(__xludf.DUMMYFUNCTION("""COMPUTED_VALUE"""),4.83)</f>
        <v>4.83</v>
      </c>
      <c r="F1537" s="1">
        <f>IFERROR(__xludf.DUMMYFUNCTION("""COMPUTED_VALUE"""),3623958.0)</f>
        <v>3623958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IFERROR(__xludf.DUMMYFUNCTION("""COMPUTED_VALUE"""),4.97)</f>
        <v>4.97</v>
      </c>
      <c r="C1538" s="1">
        <f>IFERROR(__xludf.DUMMYFUNCTION("""COMPUTED_VALUE"""),5.03)</f>
        <v>5.03</v>
      </c>
      <c r="D1538" s="1">
        <f>IFERROR(__xludf.DUMMYFUNCTION("""COMPUTED_VALUE"""),4.9)</f>
        <v>4.9</v>
      </c>
      <c r="E1538" s="1">
        <f>IFERROR(__xludf.DUMMYFUNCTION("""COMPUTED_VALUE"""),4.92)</f>
        <v>4.92</v>
      </c>
      <c r="F1538" s="1">
        <f>IFERROR(__xludf.DUMMYFUNCTION("""COMPUTED_VALUE"""),2359570.0)</f>
        <v>2359570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IFERROR(__xludf.DUMMYFUNCTION("""COMPUTED_VALUE"""),4.72)</f>
        <v>4.72</v>
      </c>
      <c r="C1539" s="1">
        <f>IFERROR(__xludf.DUMMYFUNCTION("""COMPUTED_VALUE"""),4.75)</f>
        <v>4.75</v>
      </c>
      <c r="D1539" s="1">
        <f>IFERROR(__xludf.DUMMYFUNCTION("""COMPUTED_VALUE"""),4.61)</f>
        <v>4.61</v>
      </c>
      <c r="E1539" s="1">
        <f>IFERROR(__xludf.DUMMYFUNCTION("""COMPUTED_VALUE"""),4.67)</f>
        <v>4.67</v>
      </c>
      <c r="F1539" s="1">
        <f>IFERROR(__xludf.DUMMYFUNCTION("""COMPUTED_VALUE"""),2160938.0)</f>
        <v>2160938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IFERROR(__xludf.DUMMYFUNCTION("""COMPUTED_VALUE"""),4.62)</f>
        <v>4.62</v>
      </c>
      <c r="C1540" s="1">
        <f>IFERROR(__xludf.DUMMYFUNCTION("""COMPUTED_VALUE"""),4.7)</f>
        <v>4.7</v>
      </c>
      <c r="D1540" s="1">
        <f>IFERROR(__xludf.DUMMYFUNCTION("""COMPUTED_VALUE"""),4.58)</f>
        <v>4.58</v>
      </c>
      <c r="E1540" s="1">
        <f>IFERROR(__xludf.DUMMYFUNCTION("""COMPUTED_VALUE"""),4.7)</f>
        <v>4.7</v>
      </c>
      <c r="F1540" s="1">
        <f>IFERROR(__xludf.DUMMYFUNCTION("""COMPUTED_VALUE"""),2740017.0)</f>
        <v>2740017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IFERROR(__xludf.DUMMYFUNCTION("""COMPUTED_VALUE"""),4.75)</f>
        <v>4.75</v>
      </c>
      <c r="C1541" s="1">
        <f>IFERROR(__xludf.DUMMYFUNCTION("""COMPUTED_VALUE"""),4.79)</f>
        <v>4.79</v>
      </c>
      <c r="D1541" s="1">
        <f>IFERROR(__xludf.DUMMYFUNCTION("""COMPUTED_VALUE"""),4.67)</f>
        <v>4.67</v>
      </c>
      <c r="E1541" s="1">
        <f>IFERROR(__xludf.DUMMYFUNCTION("""COMPUTED_VALUE"""),4.76)</f>
        <v>4.76</v>
      </c>
      <c r="F1541" s="1">
        <f>IFERROR(__xludf.DUMMYFUNCTION("""COMPUTED_VALUE"""),2341948.0)</f>
        <v>2341948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IFERROR(__xludf.DUMMYFUNCTION("""COMPUTED_VALUE"""),4.91)</f>
        <v>4.91</v>
      </c>
      <c r="C1542" s="1">
        <f>IFERROR(__xludf.DUMMYFUNCTION("""COMPUTED_VALUE"""),5.05)</f>
        <v>5.05</v>
      </c>
      <c r="D1542" s="1">
        <f>IFERROR(__xludf.DUMMYFUNCTION("""COMPUTED_VALUE"""),4.91)</f>
        <v>4.91</v>
      </c>
      <c r="E1542" s="1">
        <f>IFERROR(__xludf.DUMMYFUNCTION("""COMPUTED_VALUE"""),5.03)</f>
        <v>5.03</v>
      </c>
      <c r="F1542" s="1">
        <f>IFERROR(__xludf.DUMMYFUNCTION("""COMPUTED_VALUE"""),1699924.0)</f>
        <v>1699924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IFERROR(__xludf.DUMMYFUNCTION("""COMPUTED_VALUE"""),5.02)</f>
        <v>5.02</v>
      </c>
      <c r="C1543" s="1">
        <f>IFERROR(__xludf.DUMMYFUNCTION("""COMPUTED_VALUE"""),5.04)</f>
        <v>5.04</v>
      </c>
      <c r="D1543" s="1">
        <f>IFERROR(__xludf.DUMMYFUNCTION("""COMPUTED_VALUE"""),4.97)</f>
        <v>4.97</v>
      </c>
      <c r="E1543" s="1">
        <f>IFERROR(__xludf.DUMMYFUNCTION("""COMPUTED_VALUE"""),5.02)</f>
        <v>5.02</v>
      </c>
      <c r="F1543" s="1">
        <f>IFERROR(__xludf.DUMMYFUNCTION("""COMPUTED_VALUE"""),2027103.0)</f>
        <v>2027103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IFERROR(__xludf.DUMMYFUNCTION("""COMPUTED_VALUE"""),4.74)</f>
        <v>4.74</v>
      </c>
      <c r="C1544" s="1">
        <f>IFERROR(__xludf.DUMMYFUNCTION("""COMPUTED_VALUE"""),4.82)</f>
        <v>4.82</v>
      </c>
      <c r="D1544" s="1">
        <f>IFERROR(__xludf.DUMMYFUNCTION("""COMPUTED_VALUE"""),4.74)</f>
        <v>4.74</v>
      </c>
      <c r="E1544" s="1">
        <f>IFERROR(__xludf.DUMMYFUNCTION("""COMPUTED_VALUE"""),4.79)</f>
        <v>4.79</v>
      </c>
      <c r="F1544" s="1">
        <f>IFERROR(__xludf.DUMMYFUNCTION("""COMPUTED_VALUE"""),1817579.0)</f>
        <v>1817579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IFERROR(__xludf.DUMMYFUNCTION("""COMPUTED_VALUE"""),4.91)</f>
        <v>4.91</v>
      </c>
      <c r="C1545" s="1">
        <f>IFERROR(__xludf.DUMMYFUNCTION("""COMPUTED_VALUE"""),5.0)</f>
        <v>5</v>
      </c>
      <c r="D1545" s="1">
        <f>IFERROR(__xludf.DUMMYFUNCTION("""COMPUTED_VALUE"""),4.91)</f>
        <v>4.91</v>
      </c>
      <c r="E1545" s="1">
        <f>IFERROR(__xludf.DUMMYFUNCTION("""COMPUTED_VALUE"""),4.99)</f>
        <v>4.99</v>
      </c>
      <c r="F1545" s="1">
        <f>IFERROR(__xludf.DUMMYFUNCTION("""COMPUTED_VALUE"""),1595622.0)</f>
        <v>1595622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IFERROR(__xludf.DUMMYFUNCTION("""COMPUTED_VALUE"""),5.04)</f>
        <v>5.04</v>
      </c>
      <c r="C1546" s="1">
        <f>IFERROR(__xludf.DUMMYFUNCTION("""COMPUTED_VALUE"""),5.04)</f>
        <v>5.04</v>
      </c>
      <c r="D1546" s="1">
        <f>IFERROR(__xludf.DUMMYFUNCTION("""COMPUTED_VALUE"""),4.92)</f>
        <v>4.92</v>
      </c>
      <c r="E1546" s="1">
        <f>IFERROR(__xludf.DUMMYFUNCTION("""COMPUTED_VALUE"""),4.94)</f>
        <v>4.94</v>
      </c>
      <c r="F1546" s="1">
        <f>IFERROR(__xludf.DUMMYFUNCTION("""COMPUTED_VALUE"""),1943984.0)</f>
        <v>1943984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IFERROR(__xludf.DUMMYFUNCTION("""COMPUTED_VALUE"""),4.87)</f>
        <v>4.87</v>
      </c>
      <c r="C1547" s="1">
        <f>IFERROR(__xludf.DUMMYFUNCTION("""COMPUTED_VALUE"""),4.95)</f>
        <v>4.95</v>
      </c>
      <c r="D1547" s="1">
        <f>IFERROR(__xludf.DUMMYFUNCTION("""COMPUTED_VALUE"""),4.8)</f>
        <v>4.8</v>
      </c>
      <c r="E1547" s="1">
        <f>IFERROR(__xludf.DUMMYFUNCTION("""COMPUTED_VALUE"""),4.93)</f>
        <v>4.93</v>
      </c>
      <c r="F1547" s="1">
        <f>IFERROR(__xludf.DUMMYFUNCTION("""COMPUTED_VALUE"""),2718982.0)</f>
        <v>2718982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IFERROR(__xludf.DUMMYFUNCTION("""COMPUTED_VALUE"""),4.95)</f>
        <v>4.95</v>
      </c>
      <c r="C1548" s="1">
        <f>IFERROR(__xludf.DUMMYFUNCTION("""COMPUTED_VALUE"""),4.97)</f>
        <v>4.97</v>
      </c>
      <c r="D1548" s="1">
        <f>IFERROR(__xludf.DUMMYFUNCTION("""COMPUTED_VALUE"""),4.89)</f>
        <v>4.89</v>
      </c>
      <c r="E1548" s="1">
        <f>IFERROR(__xludf.DUMMYFUNCTION("""COMPUTED_VALUE"""),4.96)</f>
        <v>4.96</v>
      </c>
      <c r="F1548" s="1">
        <f>IFERROR(__xludf.DUMMYFUNCTION("""COMPUTED_VALUE"""),1569108.0)</f>
        <v>1569108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IFERROR(__xludf.DUMMYFUNCTION("""COMPUTED_VALUE"""),5.04)</f>
        <v>5.04</v>
      </c>
      <c r="C1549" s="1">
        <f>IFERROR(__xludf.DUMMYFUNCTION("""COMPUTED_VALUE"""),5.06)</f>
        <v>5.06</v>
      </c>
      <c r="D1549" s="1">
        <f>IFERROR(__xludf.DUMMYFUNCTION("""COMPUTED_VALUE"""),4.98)</f>
        <v>4.98</v>
      </c>
      <c r="E1549" s="1">
        <f>IFERROR(__xludf.DUMMYFUNCTION("""COMPUTED_VALUE"""),5.0)</f>
        <v>5</v>
      </c>
      <c r="F1549" s="1">
        <f>IFERROR(__xludf.DUMMYFUNCTION("""COMPUTED_VALUE"""),1207360.0)</f>
        <v>1207360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IFERROR(__xludf.DUMMYFUNCTION("""COMPUTED_VALUE"""),5.03)</f>
        <v>5.03</v>
      </c>
      <c r="C1550" s="1">
        <f>IFERROR(__xludf.DUMMYFUNCTION("""COMPUTED_VALUE"""),5.06)</f>
        <v>5.06</v>
      </c>
      <c r="D1550" s="1">
        <f>IFERROR(__xludf.DUMMYFUNCTION("""COMPUTED_VALUE"""),4.99)</f>
        <v>4.99</v>
      </c>
      <c r="E1550" s="1">
        <f>IFERROR(__xludf.DUMMYFUNCTION("""COMPUTED_VALUE"""),5.0)</f>
        <v>5</v>
      </c>
      <c r="F1550" s="1">
        <f>IFERROR(__xludf.DUMMYFUNCTION("""COMPUTED_VALUE"""),1090322.0)</f>
        <v>1090322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IFERROR(__xludf.DUMMYFUNCTION("""COMPUTED_VALUE"""),5.15)</f>
        <v>5.15</v>
      </c>
      <c r="C1551" s="1">
        <f>IFERROR(__xludf.DUMMYFUNCTION("""COMPUTED_VALUE"""),5.24)</f>
        <v>5.24</v>
      </c>
      <c r="D1551" s="1">
        <f>IFERROR(__xludf.DUMMYFUNCTION("""COMPUTED_VALUE"""),5.11)</f>
        <v>5.11</v>
      </c>
      <c r="E1551" s="1">
        <f>IFERROR(__xludf.DUMMYFUNCTION("""COMPUTED_VALUE"""),5.24)</f>
        <v>5.24</v>
      </c>
      <c r="F1551" s="1">
        <f>IFERROR(__xludf.DUMMYFUNCTION("""COMPUTED_VALUE"""),1623264.0)</f>
        <v>1623264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IFERROR(__xludf.DUMMYFUNCTION("""COMPUTED_VALUE"""),5.24)</f>
        <v>5.24</v>
      </c>
      <c r="C1552" s="1">
        <f>IFERROR(__xludf.DUMMYFUNCTION("""COMPUTED_VALUE"""),5.32)</f>
        <v>5.32</v>
      </c>
      <c r="D1552" s="1">
        <f>IFERROR(__xludf.DUMMYFUNCTION("""COMPUTED_VALUE"""),5.22)</f>
        <v>5.22</v>
      </c>
      <c r="E1552" s="1">
        <f>IFERROR(__xludf.DUMMYFUNCTION("""COMPUTED_VALUE"""),5.32)</f>
        <v>5.32</v>
      </c>
      <c r="F1552" s="1">
        <f>IFERROR(__xludf.DUMMYFUNCTION("""COMPUTED_VALUE"""),1343087.0)</f>
        <v>1343087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IFERROR(__xludf.DUMMYFUNCTION("""COMPUTED_VALUE"""),5.3)</f>
        <v>5.3</v>
      </c>
      <c r="C1553" s="1">
        <f>IFERROR(__xludf.DUMMYFUNCTION("""COMPUTED_VALUE"""),5.42)</f>
        <v>5.42</v>
      </c>
      <c r="D1553" s="1">
        <f>IFERROR(__xludf.DUMMYFUNCTION("""COMPUTED_VALUE"""),5.29)</f>
        <v>5.29</v>
      </c>
      <c r="E1553" s="1">
        <f>IFERROR(__xludf.DUMMYFUNCTION("""COMPUTED_VALUE"""),5.4)</f>
        <v>5.4</v>
      </c>
      <c r="F1553" s="1">
        <f>IFERROR(__xludf.DUMMYFUNCTION("""COMPUTED_VALUE"""),1956912.0)</f>
        <v>1956912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IFERROR(__xludf.DUMMYFUNCTION("""COMPUTED_VALUE"""),5.42)</f>
        <v>5.42</v>
      </c>
      <c r="C1554" s="1">
        <f>IFERROR(__xludf.DUMMYFUNCTION("""COMPUTED_VALUE"""),5.47)</f>
        <v>5.47</v>
      </c>
      <c r="D1554" s="1">
        <f>IFERROR(__xludf.DUMMYFUNCTION("""COMPUTED_VALUE"""),5.39)</f>
        <v>5.39</v>
      </c>
      <c r="E1554" s="1">
        <f>IFERROR(__xludf.DUMMYFUNCTION("""COMPUTED_VALUE"""),5.41)</f>
        <v>5.41</v>
      </c>
      <c r="F1554" s="1">
        <f>IFERROR(__xludf.DUMMYFUNCTION("""COMPUTED_VALUE"""),1293380.0)</f>
        <v>1293380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IFERROR(__xludf.DUMMYFUNCTION("""COMPUTED_VALUE"""),5.36)</f>
        <v>5.36</v>
      </c>
      <c r="C1555" s="1">
        <f>IFERROR(__xludf.DUMMYFUNCTION("""COMPUTED_VALUE"""),5.43)</f>
        <v>5.43</v>
      </c>
      <c r="D1555" s="1">
        <f>IFERROR(__xludf.DUMMYFUNCTION("""COMPUTED_VALUE"""),5.34)</f>
        <v>5.34</v>
      </c>
      <c r="E1555" s="1">
        <f>IFERROR(__xludf.DUMMYFUNCTION("""COMPUTED_VALUE"""),5.41)</f>
        <v>5.41</v>
      </c>
      <c r="F1555" s="1">
        <f>IFERROR(__xludf.DUMMYFUNCTION("""COMPUTED_VALUE"""),1485169.0)</f>
        <v>1485169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IFERROR(__xludf.DUMMYFUNCTION("""COMPUTED_VALUE"""),5.38)</f>
        <v>5.38</v>
      </c>
      <c r="C1556" s="1">
        <f>IFERROR(__xludf.DUMMYFUNCTION("""COMPUTED_VALUE"""),5.39)</f>
        <v>5.39</v>
      </c>
      <c r="D1556" s="1">
        <f>IFERROR(__xludf.DUMMYFUNCTION("""COMPUTED_VALUE"""),5.31)</f>
        <v>5.31</v>
      </c>
      <c r="E1556" s="1">
        <f>IFERROR(__xludf.DUMMYFUNCTION("""COMPUTED_VALUE"""),5.32)</f>
        <v>5.32</v>
      </c>
      <c r="F1556" s="1">
        <f>IFERROR(__xludf.DUMMYFUNCTION("""COMPUTED_VALUE"""),1896788.0)</f>
        <v>1896788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IFERROR(__xludf.DUMMYFUNCTION("""COMPUTED_VALUE"""),5.39)</f>
        <v>5.39</v>
      </c>
      <c r="C1557" s="1">
        <f>IFERROR(__xludf.DUMMYFUNCTION("""COMPUTED_VALUE"""),5.41)</f>
        <v>5.41</v>
      </c>
      <c r="D1557" s="1">
        <f>IFERROR(__xludf.DUMMYFUNCTION("""COMPUTED_VALUE"""),5.35)</f>
        <v>5.35</v>
      </c>
      <c r="E1557" s="1">
        <f>IFERROR(__xludf.DUMMYFUNCTION("""COMPUTED_VALUE"""),5.38)</f>
        <v>5.38</v>
      </c>
      <c r="F1557" s="1">
        <f>IFERROR(__xludf.DUMMYFUNCTION("""COMPUTED_VALUE"""),991208.0)</f>
        <v>991208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IFERROR(__xludf.DUMMYFUNCTION("""COMPUTED_VALUE"""),5.5)</f>
        <v>5.5</v>
      </c>
      <c r="C1558" s="1">
        <f>IFERROR(__xludf.DUMMYFUNCTION("""COMPUTED_VALUE"""),5.55)</f>
        <v>5.55</v>
      </c>
      <c r="D1558" s="1">
        <f>IFERROR(__xludf.DUMMYFUNCTION("""COMPUTED_VALUE"""),5.4)</f>
        <v>5.4</v>
      </c>
      <c r="E1558" s="1">
        <f>IFERROR(__xludf.DUMMYFUNCTION("""COMPUTED_VALUE"""),5.5)</f>
        <v>5.5</v>
      </c>
      <c r="F1558" s="1">
        <f>IFERROR(__xludf.DUMMYFUNCTION("""COMPUTED_VALUE"""),2421803.0)</f>
        <v>2421803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IFERROR(__xludf.DUMMYFUNCTION("""COMPUTED_VALUE"""),5.65)</f>
        <v>5.65</v>
      </c>
      <c r="C1559" s="1">
        <f>IFERROR(__xludf.DUMMYFUNCTION("""COMPUTED_VALUE"""),5.73)</f>
        <v>5.73</v>
      </c>
      <c r="D1559" s="1">
        <f>IFERROR(__xludf.DUMMYFUNCTION("""COMPUTED_VALUE"""),5.64)</f>
        <v>5.64</v>
      </c>
      <c r="E1559" s="1">
        <f>IFERROR(__xludf.DUMMYFUNCTION("""COMPUTED_VALUE"""),5.73)</f>
        <v>5.73</v>
      </c>
      <c r="F1559" s="1">
        <f>IFERROR(__xludf.DUMMYFUNCTION("""COMPUTED_VALUE"""),1356773.0)</f>
        <v>1356773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IFERROR(__xludf.DUMMYFUNCTION("""COMPUTED_VALUE"""),5.65)</f>
        <v>5.65</v>
      </c>
      <c r="C1560" s="1">
        <f>IFERROR(__xludf.DUMMYFUNCTION("""COMPUTED_VALUE"""),5.7)</f>
        <v>5.7</v>
      </c>
      <c r="D1560" s="1">
        <f>IFERROR(__xludf.DUMMYFUNCTION("""COMPUTED_VALUE"""),5.61)</f>
        <v>5.61</v>
      </c>
      <c r="E1560" s="1">
        <f>IFERROR(__xludf.DUMMYFUNCTION("""COMPUTED_VALUE"""),5.68)</f>
        <v>5.68</v>
      </c>
      <c r="F1560" s="1">
        <f>IFERROR(__xludf.DUMMYFUNCTION("""COMPUTED_VALUE"""),1672774.0)</f>
        <v>1672774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IFERROR(__xludf.DUMMYFUNCTION("""COMPUTED_VALUE"""),5.6)</f>
        <v>5.6</v>
      </c>
      <c r="C1561" s="1">
        <f>IFERROR(__xludf.DUMMYFUNCTION("""COMPUTED_VALUE"""),5.62)</f>
        <v>5.62</v>
      </c>
      <c r="D1561" s="1">
        <f>IFERROR(__xludf.DUMMYFUNCTION("""COMPUTED_VALUE"""),5.57)</f>
        <v>5.57</v>
      </c>
      <c r="E1561" s="1">
        <f>IFERROR(__xludf.DUMMYFUNCTION("""COMPUTED_VALUE"""),5.6)</f>
        <v>5.6</v>
      </c>
      <c r="F1561" s="1">
        <f>IFERROR(__xludf.DUMMYFUNCTION("""COMPUTED_VALUE"""),1101091.0)</f>
        <v>1101091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IFERROR(__xludf.DUMMYFUNCTION("""COMPUTED_VALUE"""),5.57)</f>
        <v>5.57</v>
      </c>
      <c r="C1562" s="1">
        <f>IFERROR(__xludf.DUMMYFUNCTION("""COMPUTED_VALUE"""),5.72)</f>
        <v>5.72</v>
      </c>
      <c r="D1562" s="1">
        <f>IFERROR(__xludf.DUMMYFUNCTION("""COMPUTED_VALUE"""),5.57)</f>
        <v>5.57</v>
      </c>
      <c r="E1562" s="1">
        <f>IFERROR(__xludf.DUMMYFUNCTION("""COMPUTED_VALUE"""),5.71)</f>
        <v>5.71</v>
      </c>
      <c r="F1562" s="1">
        <f>IFERROR(__xludf.DUMMYFUNCTION("""COMPUTED_VALUE"""),1284206.0)</f>
        <v>1284206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IFERROR(__xludf.DUMMYFUNCTION("""COMPUTED_VALUE"""),5.72)</f>
        <v>5.72</v>
      </c>
      <c r="C1563" s="1">
        <f>IFERROR(__xludf.DUMMYFUNCTION("""COMPUTED_VALUE"""),5.81)</f>
        <v>5.81</v>
      </c>
      <c r="D1563" s="1">
        <f>IFERROR(__xludf.DUMMYFUNCTION("""COMPUTED_VALUE"""),5.68)</f>
        <v>5.68</v>
      </c>
      <c r="E1563" s="1">
        <f>IFERROR(__xludf.DUMMYFUNCTION("""COMPUTED_VALUE"""),5.79)</f>
        <v>5.79</v>
      </c>
      <c r="F1563" s="1">
        <f>IFERROR(__xludf.DUMMYFUNCTION("""COMPUTED_VALUE"""),386353.0)</f>
        <v>386353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IFERROR(__xludf.DUMMYFUNCTION("""COMPUTED_VALUE"""),5.81)</f>
        <v>5.81</v>
      </c>
      <c r="C1564" s="1">
        <f>IFERROR(__xludf.DUMMYFUNCTION("""COMPUTED_VALUE"""),5.84)</f>
        <v>5.84</v>
      </c>
      <c r="D1564" s="1">
        <f>IFERROR(__xludf.DUMMYFUNCTION("""COMPUTED_VALUE"""),5.76)</f>
        <v>5.76</v>
      </c>
      <c r="E1564" s="1">
        <f>IFERROR(__xludf.DUMMYFUNCTION("""COMPUTED_VALUE"""),5.8)</f>
        <v>5.8</v>
      </c>
      <c r="F1564" s="1">
        <f>IFERROR(__xludf.DUMMYFUNCTION("""COMPUTED_VALUE"""),1483464.0)</f>
        <v>1483464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IFERROR(__xludf.DUMMYFUNCTION("""COMPUTED_VALUE"""),5.73)</f>
        <v>5.73</v>
      </c>
      <c r="C1565" s="1">
        <f>IFERROR(__xludf.DUMMYFUNCTION("""COMPUTED_VALUE"""),5.79)</f>
        <v>5.79</v>
      </c>
      <c r="D1565" s="1">
        <f>IFERROR(__xludf.DUMMYFUNCTION("""COMPUTED_VALUE"""),5.72)</f>
        <v>5.72</v>
      </c>
      <c r="E1565" s="1">
        <f>IFERROR(__xludf.DUMMYFUNCTION("""COMPUTED_VALUE"""),5.75)</f>
        <v>5.75</v>
      </c>
      <c r="F1565" s="1">
        <f>IFERROR(__xludf.DUMMYFUNCTION("""COMPUTED_VALUE"""),987025.0)</f>
        <v>987025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IFERROR(__xludf.DUMMYFUNCTION("""COMPUTED_VALUE"""),5.65)</f>
        <v>5.65</v>
      </c>
      <c r="C1566" s="1">
        <f>IFERROR(__xludf.DUMMYFUNCTION("""COMPUTED_VALUE"""),5.71)</f>
        <v>5.71</v>
      </c>
      <c r="D1566" s="1">
        <f>IFERROR(__xludf.DUMMYFUNCTION("""COMPUTED_VALUE"""),5.64)</f>
        <v>5.64</v>
      </c>
      <c r="E1566" s="1">
        <f>IFERROR(__xludf.DUMMYFUNCTION("""COMPUTED_VALUE"""),5.7)</f>
        <v>5.7</v>
      </c>
      <c r="F1566" s="1">
        <f>IFERROR(__xludf.DUMMYFUNCTION("""COMPUTED_VALUE"""),785922.0)</f>
        <v>785922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IFERROR(__xludf.DUMMYFUNCTION("""COMPUTED_VALUE"""),5.69)</f>
        <v>5.69</v>
      </c>
      <c r="C1567" s="1">
        <f>IFERROR(__xludf.DUMMYFUNCTION("""COMPUTED_VALUE"""),5.71)</f>
        <v>5.71</v>
      </c>
      <c r="D1567" s="1">
        <f>IFERROR(__xludf.DUMMYFUNCTION("""COMPUTED_VALUE"""),5.63)</f>
        <v>5.63</v>
      </c>
      <c r="E1567" s="1">
        <f>IFERROR(__xludf.DUMMYFUNCTION("""COMPUTED_VALUE"""),5.64)</f>
        <v>5.64</v>
      </c>
      <c r="F1567" s="1">
        <f>IFERROR(__xludf.DUMMYFUNCTION("""COMPUTED_VALUE"""),734892.0)</f>
        <v>734892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IFERROR(__xludf.DUMMYFUNCTION("""COMPUTED_VALUE"""),5.5)</f>
        <v>5.5</v>
      </c>
      <c r="C1568" s="1">
        <f>IFERROR(__xludf.DUMMYFUNCTION("""COMPUTED_VALUE"""),5.54)</f>
        <v>5.54</v>
      </c>
      <c r="D1568" s="1">
        <f>IFERROR(__xludf.DUMMYFUNCTION("""COMPUTED_VALUE"""),5.48)</f>
        <v>5.48</v>
      </c>
      <c r="E1568" s="1">
        <f>IFERROR(__xludf.DUMMYFUNCTION("""COMPUTED_VALUE"""),5.53)</f>
        <v>5.53</v>
      </c>
      <c r="F1568" s="1">
        <f>IFERROR(__xludf.DUMMYFUNCTION("""COMPUTED_VALUE"""),929487.0)</f>
        <v>929487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IFERROR(__xludf.DUMMYFUNCTION("""COMPUTED_VALUE"""),5.53)</f>
        <v>5.53</v>
      </c>
      <c r="C1569" s="1">
        <f>IFERROR(__xludf.DUMMYFUNCTION("""COMPUTED_VALUE"""),5.58)</f>
        <v>5.58</v>
      </c>
      <c r="D1569" s="1">
        <f>IFERROR(__xludf.DUMMYFUNCTION("""COMPUTED_VALUE"""),5.52)</f>
        <v>5.52</v>
      </c>
      <c r="E1569" s="1">
        <f>IFERROR(__xludf.DUMMYFUNCTION("""COMPUTED_VALUE"""),5.55)</f>
        <v>5.55</v>
      </c>
      <c r="F1569" s="1">
        <f>IFERROR(__xludf.DUMMYFUNCTION("""COMPUTED_VALUE"""),457390.0)</f>
        <v>457390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IFERROR(__xludf.DUMMYFUNCTION("""COMPUTED_VALUE"""),5.52)</f>
        <v>5.52</v>
      </c>
      <c r="C1570" s="1">
        <f>IFERROR(__xludf.DUMMYFUNCTION("""COMPUTED_VALUE"""),5.64)</f>
        <v>5.64</v>
      </c>
      <c r="D1570" s="1">
        <f>IFERROR(__xludf.DUMMYFUNCTION("""COMPUTED_VALUE"""),5.5)</f>
        <v>5.5</v>
      </c>
      <c r="E1570" s="1">
        <f>IFERROR(__xludf.DUMMYFUNCTION("""COMPUTED_VALUE"""),5.63)</f>
        <v>5.63</v>
      </c>
      <c r="F1570" s="1">
        <f>IFERROR(__xludf.DUMMYFUNCTION("""COMPUTED_VALUE"""),1048776.0)</f>
        <v>1048776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IFERROR(__xludf.DUMMYFUNCTION("""COMPUTED_VALUE"""),5.57)</f>
        <v>5.57</v>
      </c>
      <c r="C1571" s="1">
        <f>IFERROR(__xludf.DUMMYFUNCTION("""COMPUTED_VALUE"""),5.63)</f>
        <v>5.63</v>
      </c>
      <c r="D1571" s="1">
        <f>IFERROR(__xludf.DUMMYFUNCTION("""COMPUTED_VALUE"""),5.54)</f>
        <v>5.54</v>
      </c>
      <c r="E1571" s="1">
        <f>IFERROR(__xludf.DUMMYFUNCTION("""COMPUTED_VALUE"""),5.56)</f>
        <v>5.56</v>
      </c>
      <c r="F1571" s="1">
        <f>IFERROR(__xludf.DUMMYFUNCTION("""COMPUTED_VALUE"""),1342829.0)</f>
        <v>1342829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IFERROR(__xludf.DUMMYFUNCTION("""COMPUTED_VALUE"""),5.55)</f>
        <v>5.55</v>
      </c>
      <c r="C1572" s="1">
        <f>IFERROR(__xludf.DUMMYFUNCTION("""COMPUTED_VALUE"""),5.58)</f>
        <v>5.58</v>
      </c>
      <c r="D1572" s="1">
        <f>IFERROR(__xludf.DUMMYFUNCTION("""COMPUTED_VALUE"""),5.5)</f>
        <v>5.5</v>
      </c>
      <c r="E1572" s="1">
        <f>IFERROR(__xludf.DUMMYFUNCTION("""COMPUTED_VALUE"""),5.5)</f>
        <v>5.5</v>
      </c>
      <c r="F1572" s="1">
        <f>IFERROR(__xludf.DUMMYFUNCTION("""COMPUTED_VALUE"""),973020.0)</f>
        <v>973020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IFERROR(__xludf.DUMMYFUNCTION("""COMPUTED_VALUE"""),5.37)</f>
        <v>5.37</v>
      </c>
      <c r="C1573" s="1">
        <f>IFERROR(__xludf.DUMMYFUNCTION("""COMPUTED_VALUE"""),5.41)</f>
        <v>5.41</v>
      </c>
      <c r="D1573" s="1">
        <f>IFERROR(__xludf.DUMMYFUNCTION("""COMPUTED_VALUE"""),5.36)</f>
        <v>5.36</v>
      </c>
      <c r="E1573" s="1">
        <f>IFERROR(__xludf.DUMMYFUNCTION("""COMPUTED_VALUE"""),5.4)</f>
        <v>5.4</v>
      </c>
      <c r="F1573" s="1">
        <f>IFERROR(__xludf.DUMMYFUNCTION("""COMPUTED_VALUE"""),1176060.0)</f>
        <v>1176060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IFERROR(__xludf.DUMMYFUNCTION("""COMPUTED_VALUE"""),5.48)</f>
        <v>5.48</v>
      </c>
      <c r="C1574" s="1">
        <f>IFERROR(__xludf.DUMMYFUNCTION("""COMPUTED_VALUE"""),5.49)</f>
        <v>5.49</v>
      </c>
      <c r="D1574" s="1">
        <f>IFERROR(__xludf.DUMMYFUNCTION("""COMPUTED_VALUE"""),5.42)</f>
        <v>5.42</v>
      </c>
      <c r="E1574" s="1">
        <f>IFERROR(__xludf.DUMMYFUNCTION("""COMPUTED_VALUE"""),5.44)</f>
        <v>5.44</v>
      </c>
      <c r="F1574" s="1">
        <f>IFERROR(__xludf.DUMMYFUNCTION("""COMPUTED_VALUE"""),1016647.0)</f>
        <v>1016647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IFERROR(__xludf.DUMMYFUNCTION("""COMPUTED_VALUE"""),5.29)</f>
        <v>5.29</v>
      </c>
      <c r="C1575" s="1">
        <f>IFERROR(__xludf.DUMMYFUNCTION("""COMPUTED_VALUE"""),5.29)</f>
        <v>5.29</v>
      </c>
      <c r="D1575" s="1">
        <f>IFERROR(__xludf.DUMMYFUNCTION("""COMPUTED_VALUE"""),5.23)</f>
        <v>5.23</v>
      </c>
      <c r="E1575" s="1">
        <f>IFERROR(__xludf.DUMMYFUNCTION("""COMPUTED_VALUE"""),5.24)</f>
        <v>5.24</v>
      </c>
      <c r="F1575" s="1">
        <f>IFERROR(__xludf.DUMMYFUNCTION("""COMPUTED_VALUE"""),1590146.0)</f>
        <v>1590146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IFERROR(__xludf.DUMMYFUNCTION("""COMPUTED_VALUE"""),5.26)</f>
        <v>5.26</v>
      </c>
      <c r="C1576" s="1">
        <f>IFERROR(__xludf.DUMMYFUNCTION("""COMPUTED_VALUE"""),5.3)</f>
        <v>5.3</v>
      </c>
      <c r="D1576" s="1">
        <f>IFERROR(__xludf.DUMMYFUNCTION("""COMPUTED_VALUE"""),5.22)</f>
        <v>5.22</v>
      </c>
      <c r="E1576" s="1">
        <f>IFERROR(__xludf.DUMMYFUNCTION("""COMPUTED_VALUE"""),5.29)</f>
        <v>5.29</v>
      </c>
      <c r="F1576" s="1">
        <f>IFERROR(__xludf.DUMMYFUNCTION("""COMPUTED_VALUE"""),937839.0)</f>
        <v>937839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IFERROR(__xludf.DUMMYFUNCTION("""COMPUTED_VALUE"""),5.3)</f>
        <v>5.3</v>
      </c>
      <c r="C1577" s="1">
        <f>IFERROR(__xludf.DUMMYFUNCTION("""COMPUTED_VALUE"""),5.32)</f>
        <v>5.32</v>
      </c>
      <c r="D1577" s="1">
        <f>IFERROR(__xludf.DUMMYFUNCTION("""COMPUTED_VALUE"""),5.2)</f>
        <v>5.2</v>
      </c>
      <c r="E1577" s="1">
        <f>IFERROR(__xludf.DUMMYFUNCTION("""COMPUTED_VALUE"""),5.22)</f>
        <v>5.22</v>
      </c>
      <c r="F1577" s="1">
        <f>IFERROR(__xludf.DUMMYFUNCTION("""COMPUTED_VALUE"""),1350251.0)</f>
        <v>1350251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IFERROR(__xludf.DUMMYFUNCTION("""COMPUTED_VALUE"""),5.38)</f>
        <v>5.38</v>
      </c>
      <c r="C1578" s="1">
        <f>IFERROR(__xludf.DUMMYFUNCTION("""COMPUTED_VALUE"""),5.43)</f>
        <v>5.43</v>
      </c>
      <c r="D1578" s="1">
        <f>IFERROR(__xludf.DUMMYFUNCTION("""COMPUTED_VALUE"""),5.36)</f>
        <v>5.36</v>
      </c>
      <c r="E1578" s="1">
        <f>IFERROR(__xludf.DUMMYFUNCTION("""COMPUTED_VALUE"""),5.39)</f>
        <v>5.39</v>
      </c>
      <c r="F1578" s="1">
        <f>IFERROR(__xludf.DUMMYFUNCTION("""COMPUTED_VALUE"""),1108343.0)</f>
        <v>1108343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IFERROR(__xludf.DUMMYFUNCTION("""COMPUTED_VALUE"""),5.58)</f>
        <v>5.58</v>
      </c>
      <c r="C1579" s="1">
        <f>IFERROR(__xludf.DUMMYFUNCTION("""COMPUTED_VALUE"""),5.62)</f>
        <v>5.62</v>
      </c>
      <c r="D1579" s="1">
        <f>IFERROR(__xludf.DUMMYFUNCTION("""COMPUTED_VALUE"""),5.53)</f>
        <v>5.53</v>
      </c>
      <c r="E1579" s="1">
        <f>IFERROR(__xludf.DUMMYFUNCTION("""COMPUTED_VALUE"""),5.55)</f>
        <v>5.55</v>
      </c>
      <c r="F1579" s="1">
        <f>IFERROR(__xludf.DUMMYFUNCTION("""COMPUTED_VALUE"""),1520627.0)</f>
        <v>1520627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IFERROR(__xludf.DUMMYFUNCTION("""COMPUTED_VALUE"""),5.63)</f>
        <v>5.63</v>
      </c>
      <c r="C1580" s="1">
        <f>IFERROR(__xludf.DUMMYFUNCTION("""COMPUTED_VALUE"""),5.65)</f>
        <v>5.65</v>
      </c>
      <c r="D1580" s="1">
        <f>IFERROR(__xludf.DUMMYFUNCTION("""COMPUTED_VALUE"""),5.55)</f>
        <v>5.55</v>
      </c>
      <c r="E1580" s="1">
        <f>IFERROR(__xludf.DUMMYFUNCTION("""COMPUTED_VALUE"""),5.61)</f>
        <v>5.61</v>
      </c>
      <c r="F1580" s="1">
        <f>IFERROR(__xludf.DUMMYFUNCTION("""COMPUTED_VALUE"""),1584777.0)</f>
        <v>1584777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IFERROR(__xludf.DUMMYFUNCTION("""COMPUTED_VALUE"""),5.76)</f>
        <v>5.76</v>
      </c>
      <c r="C1581" s="1">
        <f>IFERROR(__xludf.DUMMYFUNCTION("""COMPUTED_VALUE"""),5.84)</f>
        <v>5.84</v>
      </c>
      <c r="D1581" s="1">
        <f>IFERROR(__xludf.DUMMYFUNCTION("""COMPUTED_VALUE"""),5.75)</f>
        <v>5.75</v>
      </c>
      <c r="E1581" s="1">
        <f>IFERROR(__xludf.DUMMYFUNCTION("""COMPUTED_VALUE"""),5.84)</f>
        <v>5.84</v>
      </c>
      <c r="F1581" s="1">
        <f>IFERROR(__xludf.DUMMYFUNCTION("""COMPUTED_VALUE"""),1260622.0)</f>
        <v>1260622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IFERROR(__xludf.DUMMYFUNCTION("""COMPUTED_VALUE"""),5.85)</f>
        <v>5.85</v>
      </c>
      <c r="C1582" s="1">
        <f>IFERROR(__xludf.DUMMYFUNCTION("""COMPUTED_VALUE"""),5.86)</f>
        <v>5.86</v>
      </c>
      <c r="D1582" s="1">
        <f>IFERROR(__xludf.DUMMYFUNCTION("""COMPUTED_VALUE"""),5.82)</f>
        <v>5.82</v>
      </c>
      <c r="E1582" s="1">
        <f>IFERROR(__xludf.DUMMYFUNCTION("""COMPUTED_VALUE"""),5.84)</f>
        <v>5.84</v>
      </c>
      <c r="F1582" s="1">
        <f>IFERROR(__xludf.DUMMYFUNCTION("""COMPUTED_VALUE"""),1049353.0)</f>
        <v>1049353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IFERROR(__xludf.DUMMYFUNCTION("""COMPUTED_VALUE"""),5.81)</f>
        <v>5.81</v>
      </c>
      <c r="C1583" s="1">
        <f>IFERROR(__xludf.DUMMYFUNCTION("""COMPUTED_VALUE"""),5.83)</f>
        <v>5.83</v>
      </c>
      <c r="D1583" s="1">
        <f>IFERROR(__xludf.DUMMYFUNCTION("""COMPUTED_VALUE"""),5.78)</f>
        <v>5.78</v>
      </c>
      <c r="E1583" s="1">
        <f>IFERROR(__xludf.DUMMYFUNCTION("""COMPUTED_VALUE"""),5.79)</f>
        <v>5.79</v>
      </c>
      <c r="F1583" s="1">
        <f>IFERROR(__xludf.DUMMYFUNCTION("""COMPUTED_VALUE"""),775325.0)</f>
        <v>775325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IFERROR(__xludf.DUMMYFUNCTION("""COMPUTED_VALUE"""),5.79)</f>
        <v>5.79</v>
      </c>
      <c r="C1584" s="1">
        <f>IFERROR(__xludf.DUMMYFUNCTION("""COMPUTED_VALUE"""),5.88)</f>
        <v>5.88</v>
      </c>
      <c r="D1584" s="1">
        <f>IFERROR(__xludf.DUMMYFUNCTION("""COMPUTED_VALUE"""),5.77)</f>
        <v>5.77</v>
      </c>
      <c r="E1584" s="1">
        <f>IFERROR(__xludf.DUMMYFUNCTION("""COMPUTED_VALUE"""),5.85)</f>
        <v>5.85</v>
      </c>
      <c r="F1584" s="1">
        <f>IFERROR(__xludf.DUMMYFUNCTION("""COMPUTED_VALUE"""),731130.0)</f>
        <v>731130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IFERROR(__xludf.DUMMYFUNCTION("""COMPUTED_VALUE"""),5.86)</f>
        <v>5.86</v>
      </c>
      <c r="C1585" s="1">
        <f>IFERROR(__xludf.DUMMYFUNCTION("""COMPUTED_VALUE"""),5.9)</f>
        <v>5.9</v>
      </c>
      <c r="D1585" s="1">
        <f>IFERROR(__xludf.DUMMYFUNCTION("""COMPUTED_VALUE"""),5.83)</f>
        <v>5.83</v>
      </c>
      <c r="E1585" s="1">
        <f>IFERROR(__xludf.DUMMYFUNCTION("""COMPUTED_VALUE"""),5.86)</f>
        <v>5.86</v>
      </c>
      <c r="F1585" s="1">
        <f>IFERROR(__xludf.DUMMYFUNCTION("""COMPUTED_VALUE"""),975041.0)</f>
        <v>975041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IFERROR(__xludf.DUMMYFUNCTION("""COMPUTED_VALUE"""),5.92)</f>
        <v>5.92</v>
      </c>
      <c r="C1586" s="1">
        <f>IFERROR(__xludf.DUMMYFUNCTION("""COMPUTED_VALUE"""),5.97)</f>
        <v>5.97</v>
      </c>
      <c r="D1586" s="1">
        <f>IFERROR(__xludf.DUMMYFUNCTION("""COMPUTED_VALUE"""),5.91)</f>
        <v>5.91</v>
      </c>
      <c r="E1586" s="1">
        <f>IFERROR(__xludf.DUMMYFUNCTION("""COMPUTED_VALUE"""),5.92)</f>
        <v>5.92</v>
      </c>
      <c r="F1586" s="1">
        <f>IFERROR(__xludf.DUMMYFUNCTION("""COMPUTED_VALUE"""),1398264.0)</f>
        <v>1398264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IFERROR(__xludf.DUMMYFUNCTION("""COMPUTED_VALUE"""),6.08)</f>
        <v>6.08</v>
      </c>
      <c r="C1587" s="1">
        <f>IFERROR(__xludf.DUMMYFUNCTION("""COMPUTED_VALUE"""),6.09)</f>
        <v>6.09</v>
      </c>
      <c r="D1587" s="1">
        <f>IFERROR(__xludf.DUMMYFUNCTION("""COMPUTED_VALUE"""),5.99)</f>
        <v>5.99</v>
      </c>
      <c r="E1587" s="1">
        <f>IFERROR(__xludf.DUMMYFUNCTION("""COMPUTED_VALUE"""),6.05)</f>
        <v>6.05</v>
      </c>
      <c r="F1587" s="1">
        <f>IFERROR(__xludf.DUMMYFUNCTION("""COMPUTED_VALUE"""),1537896.0)</f>
        <v>1537896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IFERROR(__xludf.DUMMYFUNCTION("""COMPUTED_VALUE"""),6.01)</f>
        <v>6.01</v>
      </c>
      <c r="C1588" s="1">
        <f>IFERROR(__xludf.DUMMYFUNCTION("""COMPUTED_VALUE"""),6.09)</f>
        <v>6.09</v>
      </c>
      <c r="D1588" s="1">
        <f>IFERROR(__xludf.DUMMYFUNCTION("""COMPUTED_VALUE"""),6.01)</f>
        <v>6.01</v>
      </c>
      <c r="E1588" s="1">
        <f>IFERROR(__xludf.DUMMYFUNCTION("""COMPUTED_VALUE"""),6.07)</f>
        <v>6.07</v>
      </c>
      <c r="F1588" s="1">
        <f>IFERROR(__xludf.DUMMYFUNCTION("""COMPUTED_VALUE"""),1434468.0)</f>
        <v>1434468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IFERROR(__xludf.DUMMYFUNCTION("""COMPUTED_VALUE"""),5.83)</f>
        <v>5.83</v>
      </c>
      <c r="C1589" s="1">
        <f>IFERROR(__xludf.DUMMYFUNCTION("""COMPUTED_VALUE"""),5.85)</f>
        <v>5.85</v>
      </c>
      <c r="D1589" s="1">
        <f>IFERROR(__xludf.DUMMYFUNCTION("""COMPUTED_VALUE"""),5.77)</f>
        <v>5.77</v>
      </c>
      <c r="E1589" s="1">
        <f>IFERROR(__xludf.DUMMYFUNCTION("""COMPUTED_VALUE"""),5.82)</f>
        <v>5.82</v>
      </c>
      <c r="F1589" s="1">
        <f>IFERROR(__xludf.DUMMYFUNCTION("""COMPUTED_VALUE"""),1322668.0)</f>
        <v>1322668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IFERROR(__xludf.DUMMYFUNCTION("""COMPUTED_VALUE"""),5.9)</f>
        <v>5.9</v>
      </c>
      <c r="C1590" s="1">
        <f>IFERROR(__xludf.DUMMYFUNCTION("""COMPUTED_VALUE"""),5.91)</f>
        <v>5.91</v>
      </c>
      <c r="D1590" s="1">
        <f>IFERROR(__xludf.DUMMYFUNCTION("""COMPUTED_VALUE"""),5.87)</f>
        <v>5.87</v>
      </c>
      <c r="E1590" s="1">
        <f>IFERROR(__xludf.DUMMYFUNCTION("""COMPUTED_VALUE"""),5.89)</f>
        <v>5.89</v>
      </c>
      <c r="F1590" s="1">
        <f>IFERROR(__xludf.DUMMYFUNCTION("""COMPUTED_VALUE"""),1316339.0)</f>
        <v>1316339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IFERROR(__xludf.DUMMYFUNCTION("""COMPUTED_VALUE"""),5.81)</f>
        <v>5.81</v>
      </c>
      <c r="C1591" s="1">
        <f>IFERROR(__xludf.DUMMYFUNCTION("""COMPUTED_VALUE"""),5.88)</f>
        <v>5.88</v>
      </c>
      <c r="D1591" s="1">
        <f>IFERROR(__xludf.DUMMYFUNCTION("""COMPUTED_VALUE"""),5.8)</f>
        <v>5.8</v>
      </c>
      <c r="E1591" s="1">
        <f>IFERROR(__xludf.DUMMYFUNCTION("""COMPUTED_VALUE"""),5.81)</f>
        <v>5.81</v>
      </c>
      <c r="F1591" s="1">
        <f>IFERROR(__xludf.DUMMYFUNCTION("""COMPUTED_VALUE"""),3110880.0)</f>
        <v>3110880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IFERROR(__xludf.DUMMYFUNCTION("""COMPUTED_VALUE"""),5.84)</f>
        <v>5.84</v>
      </c>
      <c r="C1592" s="1">
        <f>IFERROR(__xludf.DUMMYFUNCTION("""COMPUTED_VALUE"""),5.88)</f>
        <v>5.88</v>
      </c>
      <c r="D1592" s="1">
        <f>IFERROR(__xludf.DUMMYFUNCTION("""COMPUTED_VALUE"""),5.8)</f>
        <v>5.8</v>
      </c>
      <c r="E1592" s="1">
        <f>IFERROR(__xludf.DUMMYFUNCTION("""COMPUTED_VALUE"""),5.81)</f>
        <v>5.81</v>
      </c>
      <c r="F1592" s="1">
        <f>IFERROR(__xludf.DUMMYFUNCTION("""COMPUTED_VALUE"""),2943486.0)</f>
        <v>2943486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IFERROR(__xludf.DUMMYFUNCTION("""COMPUTED_VALUE"""),5.82)</f>
        <v>5.82</v>
      </c>
      <c r="C1593" s="1">
        <f>IFERROR(__xludf.DUMMYFUNCTION("""COMPUTED_VALUE"""),5.83)</f>
        <v>5.83</v>
      </c>
      <c r="D1593" s="1">
        <f>IFERROR(__xludf.DUMMYFUNCTION("""COMPUTED_VALUE"""),5.74)</f>
        <v>5.74</v>
      </c>
      <c r="E1593" s="1">
        <f>IFERROR(__xludf.DUMMYFUNCTION("""COMPUTED_VALUE"""),5.76)</f>
        <v>5.76</v>
      </c>
      <c r="F1593" s="1">
        <f>IFERROR(__xludf.DUMMYFUNCTION("""COMPUTED_VALUE"""),1883594.0)</f>
        <v>1883594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IFERROR(__xludf.DUMMYFUNCTION("""COMPUTED_VALUE"""),5.8)</f>
        <v>5.8</v>
      </c>
      <c r="C1594" s="1">
        <f>IFERROR(__xludf.DUMMYFUNCTION("""COMPUTED_VALUE"""),5.9)</f>
        <v>5.9</v>
      </c>
      <c r="D1594" s="1">
        <f>IFERROR(__xludf.DUMMYFUNCTION("""COMPUTED_VALUE"""),5.76)</f>
        <v>5.76</v>
      </c>
      <c r="E1594" s="1">
        <f>IFERROR(__xludf.DUMMYFUNCTION("""COMPUTED_VALUE"""),5.89)</f>
        <v>5.89</v>
      </c>
      <c r="F1594" s="1">
        <f>IFERROR(__xludf.DUMMYFUNCTION("""COMPUTED_VALUE"""),1353185.0)</f>
        <v>1353185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IFERROR(__xludf.DUMMYFUNCTION("""COMPUTED_VALUE"""),5.72)</f>
        <v>5.72</v>
      </c>
      <c r="C1595" s="1">
        <f>IFERROR(__xludf.DUMMYFUNCTION("""COMPUTED_VALUE"""),5.73)</f>
        <v>5.73</v>
      </c>
      <c r="D1595" s="1">
        <f>IFERROR(__xludf.DUMMYFUNCTION("""COMPUTED_VALUE"""),5.62)</f>
        <v>5.62</v>
      </c>
      <c r="E1595" s="1">
        <f>IFERROR(__xludf.DUMMYFUNCTION("""COMPUTED_VALUE"""),5.64)</f>
        <v>5.64</v>
      </c>
      <c r="F1595" s="1">
        <f>IFERROR(__xludf.DUMMYFUNCTION("""COMPUTED_VALUE"""),1597000.0)</f>
        <v>1597000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IFERROR(__xludf.DUMMYFUNCTION("""COMPUTED_VALUE"""),5.62)</f>
        <v>5.62</v>
      </c>
      <c r="C1596" s="1">
        <f>IFERROR(__xludf.DUMMYFUNCTION("""COMPUTED_VALUE"""),5.67)</f>
        <v>5.67</v>
      </c>
      <c r="D1596" s="1">
        <f>IFERROR(__xludf.DUMMYFUNCTION("""COMPUTED_VALUE"""),5.58)</f>
        <v>5.58</v>
      </c>
      <c r="E1596" s="1">
        <f>IFERROR(__xludf.DUMMYFUNCTION("""COMPUTED_VALUE"""),5.61)</f>
        <v>5.61</v>
      </c>
      <c r="F1596" s="1">
        <f>IFERROR(__xludf.DUMMYFUNCTION("""COMPUTED_VALUE"""),1127910.0)</f>
        <v>1127910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IFERROR(__xludf.DUMMYFUNCTION("""COMPUTED_VALUE"""),5.53)</f>
        <v>5.53</v>
      </c>
      <c r="C1597" s="1">
        <f>IFERROR(__xludf.DUMMYFUNCTION("""COMPUTED_VALUE"""),5.57)</f>
        <v>5.57</v>
      </c>
      <c r="D1597" s="1">
        <f>IFERROR(__xludf.DUMMYFUNCTION("""COMPUTED_VALUE"""),5.49)</f>
        <v>5.49</v>
      </c>
      <c r="E1597" s="1">
        <f>IFERROR(__xludf.DUMMYFUNCTION("""COMPUTED_VALUE"""),5.51)</f>
        <v>5.51</v>
      </c>
      <c r="F1597" s="1">
        <f>IFERROR(__xludf.DUMMYFUNCTION("""COMPUTED_VALUE"""),1845157.0)</f>
        <v>1845157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IFERROR(__xludf.DUMMYFUNCTION("""COMPUTED_VALUE"""),5.5)</f>
        <v>5.5</v>
      </c>
      <c r="C1598" s="1">
        <f>IFERROR(__xludf.DUMMYFUNCTION("""COMPUTED_VALUE"""),5.61)</f>
        <v>5.61</v>
      </c>
      <c r="D1598" s="1">
        <f>IFERROR(__xludf.DUMMYFUNCTION("""COMPUTED_VALUE"""),5.49)</f>
        <v>5.49</v>
      </c>
      <c r="E1598" s="1">
        <f>IFERROR(__xludf.DUMMYFUNCTION("""COMPUTED_VALUE"""),5.58)</f>
        <v>5.58</v>
      </c>
      <c r="F1598" s="1">
        <f>IFERROR(__xludf.DUMMYFUNCTION("""COMPUTED_VALUE"""),1199678.0)</f>
        <v>1199678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IFERROR(__xludf.DUMMYFUNCTION("""COMPUTED_VALUE"""),5.58)</f>
        <v>5.58</v>
      </c>
      <c r="C1599" s="1">
        <f>IFERROR(__xludf.DUMMYFUNCTION("""COMPUTED_VALUE"""),5.6)</f>
        <v>5.6</v>
      </c>
      <c r="D1599" s="1">
        <f>IFERROR(__xludf.DUMMYFUNCTION("""COMPUTED_VALUE"""),5.51)</f>
        <v>5.51</v>
      </c>
      <c r="E1599" s="1">
        <f>IFERROR(__xludf.DUMMYFUNCTION("""COMPUTED_VALUE"""),5.53)</f>
        <v>5.53</v>
      </c>
      <c r="F1599" s="1">
        <f>IFERROR(__xludf.DUMMYFUNCTION("""COMPUTED_VALUE"""),1688084.0)</f>
        <v>1688084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IFERROR(__xludf.DUMMYFUNCTION("""COMPUTED_VALUE"""),5.54)</f>
        <v>5.54</v>
      </c>
      <c r="C1600" s="1">
        <f>IFERROR(__xludf.DUMMYFUNCTION("""COMPUTED_VALUE"""),5.6)</f>
        <v>5.6</v>
      </c>
      <c r="D1600" s="1">
        <f>IFERROR(__xludf.DUMMYFUNCTION("""COMPUTED_VALUE"""),5.53)</f>
        <v>5.53</v>
      </c>
      <c r="E1600" s="1">
        <f>IFERROR(__xludf.DUMMYFUNCTION("""COMPUTED_VALUE"""),5.59)</f>
        <v>5.59</v>
      </c>
      <c r="F1600" s="1">
        <f>IFERROR(__xludf.DUMMYFUNCTION("""COMPUTED_VALUE"""),983395.0)</f>
        <v>983395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IFERROR(__xludf.DUMMYFUNCTION("""COMPUTED_VALUE"""),5.49)</f>
        <v>5.49</v>
      </c>
      <c r="C1601" s="1">
        <f>IFERROR(__xludf.DUMMYFUNCTION("""COMPUTED_VALUE"""),5.57)</f>
        <v>5.57</v>
      </c>
      <c r="D1601" s="1">
        <f>IFERROR(__xludf.DUMMYFUNCTION("""COMPUTED_VALUE"""),5.46)</f>
        <v>5.46</v>
      </c>
      <c r="E1601" s="1">
        <f>IFERROR(__xludf.DUMMYFUNCTION("""COMPUTED_VALUE"""),5.53)</f>
        <v>5.53</v>
      </c>
      <c r="F1601" s="1">
        <f>IFERROR(__xludf.DUMMYFUNCTION("""COMPUTED_VALUE"""),1043041.0)</f>
        <v>1043041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IFERROR(__xludf.DUMMYFUNCTION("""COMPUTED_VALUE"""),4.97)</f>
        <v>4.97</v>
      </c>
      <c r="C1602" s="1">
        <f>IFERROR(__xludf.DUMMYFUNCTION("""COMPUTED_VALUE"""),4.98)</f>
        <v>4.98</v>
      </c>
      <c r="D1602" s="1">
        <f>IFERROR(__xludf.DUMMYFUNCTION("""COMPUTED_VALUE"""),4.87)</f>
        <v>4.87</v>
      </c>
      <c r="E1602" s="1">
        <f>IFERROR(__xludf.DUMMYFUNCTION("""COMPUTED_VALUE"""),4.92)</f>
        <v>4.92</v>
      </c>
      <c r="F1602" s="1">
        <f>IFERROR(__xludf.DUMMYFUNCTION("""COMPUTED_VALUE"""),2400077.0)</f>
        <v>2400077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IFERROR(__xludf.DUMMYFUNCTION("""COMPUTED_VALUE"""),4.89)</f>
        <v>4.89</v>
      </c>
      <c r="C1603" s="1">
        <f>IFERROR(__xludf.DUMMYFUNCTION("""COMPUTED_VALUE"""),4.92)</f>
        <v>4.92</v>
      </c>
      <c r="D1603" s="1">
        <f>IFERROR(__xludf.DUMMYFUNCTION("""COMPUTED_VALUE"""),4.87)</f>
        <v>4.87</v>
      </c>
      <c r="E1603" s="1">
        <f>IFERROR(__xludf.DUMMYFUNCTION("""COMPUTED_VALUE"""),4.87)</f>
        <v>4.87</v>
      </c>
      <c r="F1603" s="1">
        <f>IFERROR(__xludf.DUMMYFUNCTION("""COMPUTED_VALUE"""),2542901.0)</f>
        <v>2542901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IFERROR(__xludf.DUMMYFUNCTION("""COMPUTED_VALUE"""),4.86)</f>
        <v>4.86</v>
      </c>
      <c r="C1604" s="1">
        <f>IFERROR(__xludf.DUMMYFUNCTION("""COMPUTED_VALUE"""),4.94)</f>
        <v>4.94</v>
      </c>
      <c r="D1604" s="1">
        <f>IFERROR(__xludf.DUMMYFUNCTION("""COMPUTED_VALUE"""),4.86)</f>
        <v>4.86</v>
      </c>
      <c r="E1604" s="1">
        <f>IFERROR(__xludf.DUMMYFUNCTION("""COMPUTED_VALUE"""),4.91)</f>
        <v>4.91</v>
      </c>
      <c r="F1604" s="1">
        <f>IFERROR(__xludf.DUMMYFUNCTION("""COMPUTED_VALUE"""),2187227.0)</f>
        <v>2187227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IFERROR(__xludf.DUMMYFUNCTION("""COMPUTED_VALUE"""),4.89)</f>
        <v>4.89</v>
      </c>
      <c r="C1605" s="1">
        <f>IFERROR(__xludf.DUMMYFUNCTION("""COMPUTED_VALUE"""),4.93)</f>
        <v>4.93</v>
      </c>
      <c r="D1605" s="1">
        <f>IFERROR(__xludf.DUMMYFUNCTION("""COMPUTED_VALUE"""),4.84)</f>
        <v>4.84</v>
      </c>
      <c r="E1605" s="1">
        <f>IFERROR(__xludf.DUMMYFUNCTION("""COMPUTED_VALUE"""),4.85)</f>
        <v>4.85</v>
      </c>
      <c r="F1605" s="1">
        <f>IFERROR(__xludf.DUMMYFUNCTION("""COMPUTED_VALUE"""),4549111.0)</f>
        <v>4549111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IFERROR(__xludf.DUMMYFUNCTION("""COMPUTED_VALUE"""),4.81)</f>
        <v>4.81</v>
      </c>
      <c r="C1606" s="1">
        <f>IFERROR(__xludf.DUMMYFUNCTION("""COMPUTED_VALUE"""),4.98)</f>
        <v>4.98</v>
      </c>
      <c r="D1606" s="1">
        <f>IFERROR(__xludf.DUMMYFUNCTION("""COMPUTED_VALUE"""),4.8)</f>
        <v>4.8</v>
      </c>
      <c r="E1606" s="1">
        <f>IFERROR(__xludf.DUMMYFUNCTION("""COMPUTED_VALUE"""),4.95)</f>
        <v>4.95</v>
      </c>
      <c r="F1606" s="1">
        <f>IFERROR(__xludf.DUMMYFUNCTION("""COMPUTED_VALUE"""),2893590.0)</f>
        <v>2893590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IFERROR(__xludf.DUMMYFUNCTION("""COMPUTED_VALUE"""),4.98)</f>
        <v>4.98</v>
      </c>
      <c r="C1607" s="1">
        <f>IFERROR(__xludf.DUMMYFUNCTION("""COMPUTED_VALUE"""),5.04)</f>
        <v>5.04</v>
      </c>
      <c r="D1607" s="1">
        <f>IFERROR(__xludf.DUMMYFUNCTION("""COMPUTED_VALUE"""),4.94)</f>
        <v>4.94</v>
      </c>
      <c r="E1607" s="1">
        <f>IFERROR(__xludf.DUMMYFUNCTION("""COMPUTED_VALUE"""),5.0)</f>
        <v>5</v>
      </c>
      <c r="F1607" s="1">
        <f>IFERROR(__xludf.DUMMYFUNCTION("""COMPUTED_VALUE"""),2786929.0)</f>
        <v>2786929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IFERROR(__xludf.DUMMYFUNCTION("""COMPUTED_VALUE"""),5.04)</f>
        <v>5.04</v>
      </c>
      <c r="C1608" s="1">
        <f>IFERROR(__xludf.DUMMYFUNCTION("""COMPUTED_VALUE"""),5.09)</f>
        <v>5.09</v>
      </c>
      <c r="D1608" s="1">
        <f>IFERROR(__xludf.DUMMYFUNCTION("""COMPUTED_VALUE"""),5.04)</f>
        <v>5.04</v>
      </c>
      <c r="E1608" s="1">
        <f>IFERROR(__xludf.DUMMYFUNCTION("""COMPUTED_VALUE"""),5.07)</f>
        <v>5.07</v>
      </c>
      <c r="F1608" s="1">
        <f>IFERROR(__xludf.DUMMYFUNCTION("""COMPUTED_VALUE"""),1777865.0)</f>
        <v>1777865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IFERROR(__xludf.DUMMYFUNCTION("""COMPUTED_VALUE"""),4.87)</f>
        <v>4.87</v>
      </c>
      <c r="C1609" s="1">
        <f>IFERROR(__xludf.DUMMYFUNCTION("""COMPUTED_VALUE"""),4.9)</f>
        <v>4.9</v>
      </c>
      <c r="D1609" s="1">
        <f>IFERROR(__xludf.DUMMYFUNCTION("""COMPUTED_VALUE"""),4.84)</f>
        <v>4.84</v>
      </c>
      <c r="E1609" s="1">
        <f>IFERROR(__xludf.DUMMYFUNCTION("""COMPUTED_VALUE"""),4.84)</f>
        <v>4.84</v>
      </c>
      <c r="F1609" s="1">
        <f>IFERROR(__xludf.DUMMYFUNCTION("""COMPUTED_VALUE"""),1942507.0)</f>
        <v>1942507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IFERROR(__xludf.DUMMYFUNCTION("""COMPUTED_VALUE"""),4.98)</f>
        <v>4.98</v>
      </c>
      <c r="C1610" s="1">
        <f>IFERROR(__xludf.DUMMYFUNCTION("""COMPUTED_VALUE"""),5.05)</f>
        <v>5.05</v>
      </c>
      <c r="D1610" s="1">
        <f>IFERROR(__xludf.DUMMYFUNCTION("""COMPUTED_VALUE"""),4.97)</f>
        <v>4.97</v>
      </c>
      <c r="E1610" s="1">
        <f>IFERROR(__xludf.DUMMYFUNCTION("""COMPUTED_VALUE"""),5.03)</f>
        <v>5.03</v>
      </c>
      <c r="F1610" s="1">
        <f>IFERROR(__xludf.DUMMYFUNCTION("""COMPUTED_VALUE"""),1496895.0)</f>
        <v>1496895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IFERROR(__xludf.DUMMYFUNCTION("""COMPUTED_VALUE"""),5.05)</f>
        <v>5.05</v>
      </c>
      <c r="C1611" s="1">
        <f>IFERROR(__xludf.DUMMYFUNCTION("""COMPUTED_VALUE"""),5.11)</f>
        <v>5.11</v>
      </c>
      <c r="D1611" s="1">
        <f>IFERROR(__xludf.DUMMYFUNCTION("""COMPUTED_VALUE"""),5.04)</f>
        <v>5.04</v>
      </c>
      <c r="E1611" s="1">
        <f>IFERROR(__xludf.DUMMYFUNCTION("""COMPUTED_VALUE"""),5.09)</f>
        <v>5.09</v>
      </c>
      <c r="F1611" s="1">
        <f>IFERROR(__xludf.DUMMYFUNCTION("""COMPUTED_VALUE"""),1219215.0)</f>
        <v>1219215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IFERROR(__xludf.DUMMYFUNCTION("""COMPUTED_VALUE"""),5.11)</f>
        <v>5.11</v>
      </c>
      <c r="C1612" s="1">
        <f>IFERROR(__xludf.DUMMYFUNCTION("""COMPUTED_VALUE"""),5.14)</f>
        <v>5.14</v>
      </c>
      <c r="D1612" s="1">
        <f>IFERROR(__xludf.DUMMYFUNCTION("""COMPUTED_VALUE"""),5.1)</f>
        <v>5.1</v>
      </c>
      <c r="E1612" s="1">
        <f>IFERROR(__xludf.DUMMYFUNCTION("""COMPUTED_VALUE"""),5.1)</f>
        <v>5.1</v>
      </c>
      <c r="F1612" s="1">
        <f>IFERROR(__xludf.DUMMYFUNCTION("""COMPUTED_VALUE"""),1130581.0)</f>
        <v>1130581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IFERROR(__xludf.DUMMYFUNCTION("""COMPUTED_VALUE"""),5.09)</f>
        <v>5.09</v>
      </c>
      <c r="C1613" s="1">
        <f>IFERROR(__xludf.DUMMYFUNCTION("""COMPUTED_VALUE"""),5.12)</f>
        <v>5.12</v>
      </c>
      <c r="D1613" s="1">
        <f>IFERROR(__xludf.DUMMYFUNCTION("""COMPUTED_VALUE"""),5.07)</f>
        <v>5.07</v>
      </c>
      <c r="E1613" s="1">
        <f>IFERROR(__xludf.DUMMYFUNCTION("""COMPUTED_VALUE"""),5.1)</f>
        <v>5.1</v>
      </c>
      <c r="F1613" s="1">
        <f>IFERROR(__xludf.DUMMYFUNCTION("""COMPUTED_VALUE"""),820758.0)</f>
        <v>820758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IFERROR(__xludf.DUMMYFUNCTION("""COMPUTED_VALUE"""),5.16)</f>
        <v>5.16</v>
      </c>
      <c r="C1614" s="1">
        <f>IFERROR(__xludf.DUMMYFUNCTION("""COMPUTED_VALUE"""),5.19)</f>
        <v>5.19</v>
      </c>
      <c r="D1614" s="1">
        <f>IFERROR(__xludf.DUMMYFUNCTION("""COMPUTED_VALUE"""),5.11)</f>
        <v>5.11</v>
      </c>
      <c r="E1614" s="1">
        <f>IFERROR(__xludf.DUMMYFUNCTION("""COMPUTED_VALUE"""),5.14)</f>
        <v>5.14</v>
      </c>
      <c r="F1614" s="1">
        <f>IFERROR(__xludf.DUMMYFUNCTION("""COMPUTED_VALUE"""),1703110.0)</f>
        <v>1703110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IFERROR(__xludf.DUMMYFUNCTION("""COMPUTED_VALUE"""),5.02)</f>
        <v>5.02</v>
      </c>
      <c r="C1615" s="1">
        <f>IFERROR(__xludf.DUMMYFUNCTION("""COMPUTED_VALUE"""),5.11)</f>
        <v>5.11</v>
      </c>
      <c r="D1615" s="1">
        <f>IFERROR(__xludf.DUMMYFUNCTION("""COMPUTED_VALUE"""),5.01)</f>
        <v>5.01</v>
      </c>
      <c r="E1615" s="1">
        <f>IFERROR(__xludf.DUMMYFUNCTION("""COMPUTED_VALUE"""),5.1)</f>
        <v>5.1</v>
      </c>
      <c r="F1615" s="1">
        <f>IFERROR(__xludf.DUMMYFUNCTION("""COMPUTED_VALUE"""),1109017.0)</f>
        <v>1109017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IFERROR(__xludf.DUMMYFUNCTION("""COMPUTED_VALUE"""),5.06)</f>
        <v>5.06</v>
      </c>
      <c r="C1616" s="1">
        <f>IFERROR(__xludf.DUMMYFUNCTION("""COMPUTED_VALUE"""),5.12)</f>
        <v>5.12</v>
      </c>
      <c r="D1616" s="1">
        <f>IFERROR(__xludf.DUMMYFUNCTION("""COMPUTED_VALUE"""),5.05)</f>
        <v>5.05</v>
      </c>
      <c r="E1616" s="1">
        <f>IFERROR(__xludf.DUMMYFUNCTION("""COMPUTED_VALUE"""),5.11)</f>
        <v>5.11</v>
      </c>
      <c r="F1616" s="1">
        <f>IFERROR(__xludf.DUMMYFUNCTION("""COMPUTED_VALUE"""),1144567.0)</f>
        <v>1144567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IFERROR(__xludf.DUMMYFUNCTION("""COMPUTED_VALUE"""),5.02)</f>
        <v>5.02</v>
      </c>
      <c r="C1617" s="1">
        <f>IFERROR(__xludf.DUMMYFUNCTION("""COMPUTED_VALUE"""),5.03)</f>
        <v>5.03</v>
      </c>
      <c r="D1617" s="1">
        <f>IFERROR(__xludf.DUMMYFUNCTION("""COMPUTED_VALUE"""),4.95)</f>
        <v>4.95</v>
      </c>
      <c r="E1617" s="1">
        <f>IFERROR(__xludf.DUMMYFUNCTION("""COMPUTED_VALUE"""),5.02)</f>
        <v>5.02</v>
      </c>
      <c r="F1617" s="1">
        <f>IFERROR(__xludf.DUMMYFUNCTION("""COMPUTED_VALUE"""),1357051.0)</f>
        <v>1357051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IFERROR(__xludf.DUMMYFUNCTION("""COMPUTED_VALUE"""),4.98)</f>
        <v>4.98</v>
      </c>
      <c r="C1618" s="1">
        <f>IFERROR(__xludf.DUMMYFUNCTION("""COMPUTED_VALUE"""),5.06)</f>
        <v>5.06</v>
      </c>
      <c r="D1618" s="1">
        <f>IFERROR(__xludf.DUMMYFUNCTION("""COMPUTED_VALUE"""),4.98)</f>
        <v>4.98</v>
      </c>
      <c r="E1618" s="1">
        <f>IFERROR(__xludf.DUMMYFUNCTION("""COMPUTED_VALUE"""),5.02)</f>
        <v>5.02</v>
      </c>
      <c r="F1618" s="1">
        <f>IFERROR(__xludf.DUMMYFUNCTION("""COMPUTED_VALUE"""),1092191.0)</f>
        <v>1092191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IFERROR(__xludf.DUMMYFUNCTION("""COMPUTED_VALUE"""),5.04)</f>
        <v>5.04</v>
      </c>
      <c r="C1619" s="1">
        <f>IFERROR(__xludf.DUMMYFUNCTION("""COMPUTED_VALUE"""),5.08)</f>
        <v>5.08</v>
      </c>
      <c r="D1619" s="1">
        <f>IFERROR(__xludf.DUMMYFUNCTION("""COMPUTED_VALUE"""),5.0)</f>
        <v>5</v>
      </c>
      <c r="E1619" s="1">
        <f>IFERROR(__xludf.DUMMYFUNCTION("""COMPUTED_VALUE"""),5.02)</f>
        <v>5.02</v>
      </c>
      <c r="F1619" s="1">
        <f>IFERROR(__xludf.DUMMYFUNCTION("""COMPUTED_VALUE"""),1801758.0)</f>
        <v>1801758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IFERROR(__xludf.DUMMYFUNCTION("""COMPUTED_VALUE"""),4.96)</f>
        <v>4.96</v>
      </c>
      <c r="C1620" s="1">
        <f>IFERROR(__xludf.DUMMYFUNCTION("""COMPUTED_VALUE"""),4.98)</f>
        <v>4.98</v>
      </c>
      <c r="D1620" s="1">
        <f>IFERROR(__xludf.DUMMYFUNCTION("""COMPUTED_VALUE"""),4.93)</f>
        <v>4.93</v>
      </c>
      <c r="E1620" s="1">
        <f>IFERROR(__xludf.DUMMYFUNCTION("""COMPUTED_VALUE"""),4.97)</f>
        <v>4.97</v>
      </c>
      <c r="F1620" s="1">
        <f>IFERROR(__xludf.DUMMYFUNCTION("""COMPUTED_VALUE"""),983918.0)</f>
        <v>983918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IFERROR(__xludf.DUMMYFUNCTION("""COMPUTED_VALUE"""),4.86)</f>
        <v>4.86</v>
      </c>
      <c r="C1621" s="1">
        <f>IFERROR(__xludf.DUMMYFUNCTION("""COMPUTED_VALUE"""),4.89)</f>
        <v>4.89</v>
      </c>
      <c r="D1621" s="1">
        <f>IFERROR(__xludf.DUMMYFUNCTION("""COMPUTED_VALUE"""),4.85)</f>
        <v>4.85</v>
      </c>
      <c r="E1621" s="1">
        <f>IFERROR(__xludf.DUMMYFUNCTION("""COMPUTED_VALUE"""),4.87)</f>
        <v>4.87</v>
      </c>
      <c r="F1621" s="1">
        <f>IFERROR(__xludf.DUMMYFUNCTION("""COMPUTED_VALUE"""),1227758.0)</f>
        <v>1227758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IFERROR(__xludf.DUMMYFUNCTION("""COMPUTED_VALUE"""),4.65)</f>
        <v>4.65</v>
      </c>
      <c r="C1622" s="1">
        <f>IFERROR(__xludf.DUMMYFUNCTION("""COMPUTED_VALUE"""),4.66)</f>
        <v>4.66</v>
      </c>
      <c r="D1622" s="1">
        <f>IFERROR(__xludf.DUMMYFUNCTION("""COMPUTED_VALUE"""),4.59)</f>
        <v>4.59</v>
      </c>
      <c r="E1622" s="1">
        <f>IFERROR(__xludf.DUMMYFUNCTION("""COMPUTED_VALUE"""),4.62)</f>
        <v>4.62</v>
      </c>
      <c r="F1622" s="1">
        <f>IFERROR(__xludf.DUMMYFUNCTION("""COMPUTED_VALUE"""),2187169.0)</f>
        <v>2187169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IFERROR(__xludf.DUMMYFUNCTION("""COMPUTED_VALUE"""),4.42)</f>
        <v>4.42</v>
      </c>
      <c r="C1623" s="1">
        <f>IFERROR(__xludf.DUMMYFUNCTION("""COMPUTED_VALUE"""),4.5)</f>
        <v>4.5</v>
      </c>
      <c r="D1623" s="1">
        <f>IFERROR(__xludf.DUMMYFUNCTION("""COMPUTED_VALUE"""),4.42)</f>
        <v>4.42</v>
      </c>
      <c r="E1623" s="1">
        <f>IFERROR(__xludf.DUMMYFUNCTION("""COMPUTED_VALUE"""),4.46)</f>
        <v>4.46</v>
      </c>
      <c r="F1623" s="1">
        <f>IFERROR(__xludf.DUMMYFUNCTION("""COMPUTED_VALUE"""),2218177.0)</f>
        <v>2218177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IFERROR(__xludf.DUMMYFUNCTION("""COMPUTED_VALUE"""),4.39)</f>
        <v>4.39</v>
      </c>
      <c r="C1624" s="1">
        <f>IFERROR(__xludf.DUMMYFUNCTION("""COMPUTED_VALUE"""),4.43)</f>
        <v>4.43</v>
      </c>
      <c r="D1624" s="1">
        <f>IFERROR(__xludf.DUMMYFUNCTION("""COMPUTED_VALUE"""),4.33)</f>
        <v>4.33</v>
      </c>
      <c r="E1624" s="1">
        <f>IFERROR(__xludf.DUMMYFUNCTION("""COMPUTED_VALUE"""),4.37)</f>
        <v>4.37</v>
      </c>
      <c r="F1624" s="1">
        <f>IFERROR(__xludf.DUMMYFUNCTION("""COMPUTED_VALUE"""),2397675.0)</f>
        <v>2397675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IFERROR(__xludf.DUMMYFUNCTION("""COMPUTED_VALUE"""),4.4)</f>
        <v>4.4</v>
      </c>
      <c r="C1625" s="1">
        <f>IFERROR(__xludf.DUMMYFUNCTION("""COMPUTED_VALUE"""),4.44)</f>
        <v>4.44</v>
      </c>
      <c r="D1625" s="1">
        <f>IFERROR(__xludf.DUMMYFUNCTION("""COMPUTED_VALUE"""),4.37)</f>
        <v>4.37</v>
      </c>
      <c r="E1625" s="1">
        <f>IFERROR(__xludf.DUMMYFUNCTION("""COMPUTED_VALUE"""),4.37)</f>
        <v>4.37</v>
      </c>
      <c r="F1625" s="1">
        <f>IFERROR(__xludf.DUMMYFUNCTION("""COMPUTED_VALUE"""),1720113.0)</f>
        <v>1720113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IFERROR(__xludf.DUMMYFUNCTION("""COMPUTED_VALUE"""),4.28)</f>
        <v>4.28</v>
      </c>
      <c r="C1626" s="1">
        <f>IFERROR(__xludf.DUMMYFUNCTION("""COMPUTED_VALUE"""),4.34)</f>
        <v>4.34</v>
      </c>
      <c r="D1626" s="1">
        <f>IFERROR(__xludf.DUMMYFUNCTION("""COMPUTED_VALUE"""),4.2)</f>
        <v>4.2</v>
      </c>
      <c r="E1626" s="1">
        <f>IFERROR(__xludf.DUMMYFUNCTION("""COMPUTED_VALUE"""),4.34)</f>
        <v>4.34</v>
      </c>
      <c r="F1626" s="1">
        <f>IFERROR(__xludf.DUMMYFUNCTION("""COMPUTED_VALUE"""),2148384.0)</f>
        <v>2148384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IFERROR(__xludf.DUMMYFUNCTION("""COMPUTED_VALUE"""),4.42)</f>
        <v>4.42</v>
      </c>
      <c r="C1627" s="1">
        <f>IFERROR(__xludf.DUMMYFUNCTION("""COMPUTED_VALUE"""),4.51)</f>
        <v>4.51</v>
      </c>
      <c r="D1627" s="1">
        <f>IFERROR(__xludf.DUMMYFUNCTION("""COMPUTED_VALUE"""),4.33)</f>
        <v>4.33</v>
      </c>
      <c r="E1627" s="1">
        <f>IFERROR(__xludf.DUMMYFUNCTION("""COMPUTED_VALUE"""),4.42)</f>
        <v>4.42</v>
      </c>
      <c r="F1627" s="1">
        <f>IFERROR(__xludf.DUMMYFUNCTION("""COMPUTED_VALUE"""),2316558.0)</f>
        <v>2316558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IFERROR(__xludf.DUMMYFUNCTION("""COMPUTED_VALUE"""),4.66)</f>
        <v>4.66</v>
      </c>
      <c r="C1628" s="1">
        <f>IFERROR(__xludf.DUMMYFUNCTION("""COMPUTED_VALUE"""),4.68)</f>
        <v>4.68</v>
      </c>
      <c r="D1628" s="1">
        <f>IFERROR(__xludf.DUMMYFUNCTION("""COMPUTED_VALUE"""),4.62)</f>
        <v>4.62</v>
      </c>
      <c r="E1628" s="1">
        <f>IFERROR(__xludf.DUMMYFUNCTION("""COMPUTED_VALUE"""),4.64)</f>
        <v>4.64</v>
      </c>
      <c r="F1628" s="1">
        <f>IFERROR(__xludf.DUMMYFUNCTION("""COMPUTED_VALUE"""),1916762.0)</f>
        <v>1916762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IFERROR(__xludf.DUMMYFUNCTION("""COMPUTED_VALUE"""),4.73)</f>
        <v>4.73</v>
      </c>
      <c r="C1629" s="1">
        <f>IFERROR(__xludf.DUMMYFUNCTION("""COMPUTED_VALUE"""),4.78)</f>
        <v>4.78</v>
      </c>
      <c r="D1629" s="1">
        <f>IFERROR(__xludf.DUMMYFUNCTION("""COMPUTED_VALUE"""),4.67)</f>
        <v>4.67</v>
      </c>
      <c r="E1629" s="1">
        <f>IFERROR(__xludf.DUMMYFUNCTION("""COMPUTED_VALUE"""),4.73)</f>
        <v>4.73</v>
      </c>
      <c r="F1629" s="1">
        <f>IFERROR(__xludf.DUMMYFUNCTION("""COMPUTED_VALUE"""),1091918.0)</f>
        <v>1091918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IFERROR(__xludf.DUMMYFUNCTION("""COMPUTED_VALUE"""),4.8)</f>
        <v>4.8</v>
      </c>
      <c r="C1630" s="1">
        <f>IFERROR(__xludf.DUMMYFUNCTION("""COMPUTED_VALUE"""),4.84)</f>
        <v>4.84</v>
      </c>
      <c r="D1630" s="1">
        <f>IFERROR(__xludf.DUMMYFUNCTION("""COMPUTED_VALUE"""),4.76)</f>
        <v>4.76</v>
      </c>
      <c r="E1630" s="1">
        <f>IFERROR(__xludf.DUMMYFUNCTION("""COMPUTED_VALUE"""),4.76)</f>
        <v>4.76</v>
      </c>
      <c r="F1630" s="1">
        <f>IFERROR(__xludf.DUMMYFUNCTION("""COMPUTED_VALUE"""),1795409.0)</f>
        <v>1795409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IFERROR(__xludf.DUMMYFUNCTION("""COMPUTED_VALUE"""),4.96)</f>
        <v>4.96</v>
      </c>
      <c r="C1631" s="1">
        <f>IFERROR(__xludf.DUMMYFUNCTION("""COMPUTED_VALUE"""),4.97)</f>
        <v>4.97</v>
      </c>
      <c r="D1631" s="1">
        <f>IFERROR(__xludf.DUMMYFUNCTION("""COMPUTED_VALUE"""),4.89)</f>
        <v>4.89</v>
      </c>
      <c r="E1631" s="1">
        <f>IFERROR(__xludf.DUMMYFUNCTION("""COMPUTED_VALUE"""),4.97)</f>
        <v>4.97</v>
      </c>
      <c r="F1631" s="1">
        <f>IFERROR(__xludf.DUMMYFUNCTION("""COMPUTED_VALUE"""),1794009.0)</f>
        <v>1794009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IFERROR(__xludf.DUMMYFUNCTION("""COMPUTED_VALUE"""),4.27)</f>
        <v>4.27</v>
      </c>
      <c r="C1632" s="1">
        <f>IFERROR(__xludf.DUMMYFUNCTION("""COMPUTED_VALUE"""),4.42)</f>
        <v>4.42</v>
      </c>
      <c r="D1632" s="1">
        <f>IFERROR(__xludf.DUMMYFUNCTION("""COMPUTED_VALUE"""),4.25)</f>
        <v>4.25</v>
      </c>
      <c r="E1632" s="1">
        <f>IFERROR(__xludf.DUMMYFUNCTION("""COMPUTED_VALUE"""),4.29)</f>
        <v>4.29</v>
      </c>
      <c r="F1632" s="1">
        <f>IFERROR(__xludf.DUMMYFUNCTION("""COMPUTED_VALUE"""),2774672.0)</f>
        <v>2774672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IFERROR(__xludf.DUMMYFUNCTION("""COMPUTED_VALUE"""),4.05)</f>
        <v>4.05</v>
      </c>
      <c r="C1633" s="1">
        <f>IFERROR(__xludf.DUMMYFUNCTION("""COMPUTED_VALUE"""),4.05)</f>
        <v>4.05</v>
      </c>
      <c r="D1633" s="1">
        <f>IFERROR(__xludf.DUMMYFUNCTION("""COMPUTED_VALUE"""),3.97)</f>
        <v>3.97</v>
      </c>
      <c r="E1633" s="1">
        <f>IFERROR(__xludf.DUMMYFUNCTION("""COMPUTED_VALUE"""),4.03)</f>
        <v>4.03</v>
      </c>
      <c r="F1633" s="1">
        <f>IFERROR(__xludf.DUMMYFUNCTION("""COMPUTED_VALUE"""),3721606.0)</f>
        <v>3721606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IFERROR(__xludf.DUMMYFUNCTION("""COMPUTED_VALUE"""),4.03)</f>
        <v>4.03</v>
      </c>
      <c r="C1634" s="1">
        <f>IFERROR(__xludf.DUMMYFUNCTION("""COMPUTED_VALUE"""),4.05)</f>
        <v>4.05</v>
      </c>
      <c r="D1634" s="1">
        <f>IFERROR(__xludf.DUMMYFUNCTION("""COMPUTED_VALUE"""),3.95)</f>
        <v>3.95</v>
      </c>
      <c r="E1634" s="1">
        <f>IFERROR(__xludf.DUMMYFUNCTION("""COMPUTED_VALUE"""),4.04)</f>
        <v>4.04</v>
      </c>
      <c r="F1634" s="1">
        <f>IFERROR(__xludf.DUMMYFUNCTION("""COMPUTED_VALUE"""),3977428.0)</f>
        <v>3977428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IFERROR(__xludf.DUMMYFUNCTION("""COMPUTED_VALUE"""),3.92)</f>
        <v>3.92</v>
      </c>
      <c r="C1635" s="1">
        <f>IFERROR(__xludf.DUMMYFUNCTION("""COMPUTED_VALUE"""),3.98)</f>
        <v>3.98</v>
      </c>
      <c r="D1635" s="1">
        <f>IFERROR(__xludf.DUMMYFUNCTION("""COMPUTED_VALUE"""),3.91)</f>
        <v>3.91</v>
      </c>
      <c r="E1635" s="1">
        <f>IFERROR(__xludf.DUMMYFUNCTION("""COMPUTED_VALUE"""),3.97)</f>
        <v>3.97</v>
      </c>
      <c r="F1635" s="1">
        <f>IFERROR(__xludf.DUMMYFUNCTION("""COMPUTED_VALUE"""),3077737.0)</f>
        <v>3077737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IFERROR(__xludf.DUMMYFUNCTION("""COMPUTED_VALUE"""),3.93)</f>
        <v>3.93</v>
      </c>
      <c r="C1636" s="1">
        <f>IFERROR(__xludf.DUMMYFUNCTION("""COMPUTED_VALUE"""),4.04)</f>
        <v>4.04</v>
      </c>
      <c r="D1636" s="1">
        <f>IFERROR(__xludf.DUMMYFUNCTION("""COMPUTED_VALUE"""),3.91)</f>
        <v>3.91</v>
      </c>
      <c r="E1636" s="1">
        <f>IFERROR(__xludf.DUMMYFUNCTION("""COMPUTED_VALUE"""),4.01)</f>
        <v>4.01</v>
      </c>
      <c r="F1636" s="1">
        <f>IFERROR(__xludf.DUMMYFUNCTION("""COMPUTED_VALUE"""),2690839.0)</f>
        <v>2690839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IFERROR(__xludf.DUMMYFUNCTION("""COMPUTED_VALUE"""),3.97)</f>
        <v>3.97</v>
      </c>
      <c r="C1637" s="1">
        <f>IFERROR(__xludf.DUMMYFUNCTION("""COMPUTED_VALUE"""),4.02)</f>
        <v>4.02</v>
      </c>
      <c r="D1637" s="1">
        <f>IFERROR(__xludf.DUMMYFUNCTION("""COMPUTED_VALUE"""),3.96)</f>
        <v>3.96</v>
      </c>
      <c r="E1637" s="1">
        <f>IFERROR(__xludf.DUMMYFUNCTION("""COMPUTED_VALUE"""),4.0)</f>
        <v>4</v>
      </c>
      <c r="F1637" s="1">
        <f>IFERROR(__xludf.DUMMYFUNCTION("""COMPUTED_VALUE"""),3172921.0)</f>
        <v>3172921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IFERROR(__xludf.DUMMYFUNCTION("""COMPUTED_VALUE"""),3.65)</f>
        <v>3.65</v>
      </c>
      <c r="C1638" s="1">
        <f>IFERROR(__xludf.DUMMYFUNCTION("""COMPUTED_VALUE"""),3.66)</f>
        <v>3.66</v>
      </c>
      <c r="D1638" s="1">
        <f>IFERROR(__xludf.DUMMYFUNCTION("""COMPUTED_VALUE"""),3.56)</f>
        <v>3.56</v>
      </c>
      <c r="E1638" s="1">
        <f>IFERROR(__xludf.DUMMYFUNCTION("""COMPUTED_VALUE"""),3.57)</f>
        <v>3.57</v>
      </c>
      <c r="F1638" s="1">
        <f>IFERROR(__xludf.DUMMYFUNCTION("""COMPUTED_VALUE"""),4466263.0)</f>
        <v>4466263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IFERROR(__xludf.DUMMYFUNCTION("""COMPUTED_VALUE"""),3.4)</f>
        <v>3.4</v>
      </c>
      <c r="C1639" s="1">
        <f>IFERROR(__xludf.DUMMYFUNCTION("""COMPUTED_VALUE"""),3.46)</f>
        <v>3.46</v>
      </c>
      <c r="D1639" s="1">
        <f>IFERROR(__xludf.DUMMYFUNCTION("""COMPUTED_VALUE"""),3.36)</f>
        <v>3.36</v>
      </c>
      <c r="E1639" s="1">
        <f>IFERROR(__xludf.DUMMYFUNCTION("""COMPUTED_VALUE"""),3.46)</f>
        <v>3.46</v>
      </c>
      <c r="F1639" s="1">
        <f>IFERROR(__xludf.DUMMYFUNCTION("""COMPUTED_VALUE"""),4450234.0)</f>
        <v>4450234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IFERROR(__xludf.DUMMYFUNCTION("""COMPUTED_VALUE"""),3.53)</f>
        <v>3.53</v>
      </c>
      <c r="C1640" s="1">
        <f>IFERROR(__xludf.DUMMYFUNCTION("""COMPUTED_VALUE"""),3.55)</f>
        <v>3.55</v>
      </c>
      <c r="D1640" s="1">
        <f>IFERROR(__xludf.DUMMYFUNCTION("""COMPUTED_VALUE"""),3.5)</f>
        <v>3.5</v>
      </c>
      <c r="E1640" s="1">
        <f>IFERROR(__xludf.DUMMYFUNCTION("""COMPUTED_VALUE"""),3.52)</f>
        <v>3.52</v>
      </c>
      <c r="F1640" s="1">
        <f>IFERROR(__xludf.DUMMYFUNCTION("""COMPUTED_VALUE"""),2226944.0)</f>
        <v>2226944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IFERROR(__xludf.DUMMYFUNCTION("""COMPUTED_VALUE"""),3.69)</f>
        <v>3.69</v>
      </c>
      <c r="C1641" s="1">
        <f>IFERROR(__xludf.DUMMYFUNCTION("""COMPUTED_VALUE"""),3.69)</f>
        <v>3.69</v>
      </c>
      <c r="D1641" s="1">
        <f>IFERROR(__xludf.DUMMYFUNCTION("""COMPUTED_VALUE"""),3.63)</f>
        <v>3.63</v>
      </c>
      <c r="E1641" s="1">
        <f>IFERROR(__xludf.DUMMYFUNCTION("""COMPUTED_VALUE"""),3.67)</f>
        <v>3.67</v>
      </c>
      <c r="F1641" s="1">
        <f>IFERROR(__xludf.DUMMYFUNCTION("""COMPUTED_VALUE"""),1667391.0)</f>
        <v>1667391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IFERROR(__xludf.DUMMYFUNCTION("""COMPUTED_VALUE"""),3.75)</f>
        <v>3.75</v>
      </c>
      <c r="C1642" s="1">
        <f>IFERROR(__xludf.DUMMYFUNCTION("""COMPUTED_VALUE"""),3.77)</f>
        <v>3.77</v>
      </c>
      <c r="D1642" s="1">
        <f>IFERROR(__xludf.DUMMYFUNCTION("""COMPUTED_VALUE"""),3.71)</f>
        <v>3.71</v>
      </c>
      <c r="E1642" s="1">
        <f>IFERROR(__xludf.DUMMYFUNCTION("""COMPUTED_VALUE"""),3.77)</f>
        <v>3.77</v>
      </c>
      <c r="F1642" s="1">
        <f>IFERROR(__xludf.DUMMYFUNCTION("""COMPUTED_VALUE"""),1103598.0)</f>
        <v>1103598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IFERROR(__xludf.DUMMYFUNCTION("""COMPUTED_VALUE"""),3.84)</f>
        <v>3.84</v>
      </c>
      <c r="C1643" s="1">
        <f>IFERROR(__xludf.DUMMYFUNCTION("""COMPUTED_VALUE"""),3.86)</f>
        <v>3.86</v>
      </c>
      <c r="D1643" s="1">
        <f>IFERROR(__xludf.DUMMYFUNCTION("""COMPUTED_VALUE"""),3.81)</f>
        <v>3.81</v>
      </c>
      <c r="E1643" s="1">
        <f>IFERROR(__xludf.DUMMYFUNCTION("""COMPUTED_VALUE"""),3.85)</f>
        <v>3.85</v>
      </c>
      <c r="F1643" s="1">
        <f>IFERROR(__xludf.DUMMYFUNCTION("""COMPUTED_VALUE"""),1782875.0)</f>
        <v>1782875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IFERROR(__xludf.DUMMYFUNCTION("""COMPUTED_VALUE"""),3.91)</f>
        <v>3.91</v>
      </c>
      <c r="C1644" s="1">
        <f>IFERROR(__xludf.DUMMYFUNCTION("""COMPUTED_VALUE"""),3.91)</f>
        <v>3.91</v>
      </c>
      <c r="D1644" s="1">
        <f>IFERROR(__xludf.DUMMYFUNCTION("""COMPUTED_VALUE"""),3.85)</f>
        <v>3.85</v>
      </c>
      <c r="E1644" s="1">
        <f>IFERROR(__xludf.DUMMYFUNCTION("""COMPUTED_VALUE"""),3.9)</f>
        <v>3.9</v>
      </c>
      <c r="F1644" s="1">
        <f>IFERROR(__xludf.DUMMYFUNCTION("""COMPUTED_VALUE"""),1704694.0)</f>
        <v>1704694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IFERROR(__xludf.DUMMYFUNCTION("""COMPUTED_VALUE"""),3.92)</f>
        <v>3.92</v>
      </c>
      <c r="C1645" s="1">
        <f>IFERROR(__xludf.DUMMYFUNCTION("""COMPUTED_VALUE"""),3.93)</f>
        <v>3.93</v>
      </c>
      <c r="D1645" s="1">
        <f>IFERROR(__xludf.DUMMYFUNCTION("""COMPUTED_VALUE"""),3.88)</f>
        <v>3.88</v>
      </c>
      <c r="E1645" s="1">
        <f>IFERROR(__xludf.DUMMYFUNCTION("""COMPUTED_VALUE"""),3.91)</f>
        <v>3.91</v>
      </c>
      <c r="F1645" s="1">
        <f>IFERROR(__xludf.DUMMYFUNCTION("""COMPUTED_VALUE"""),2239820.0)</f>
        <v>2239820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IFERROR(__xludf.DUMMYFUNCTION("""COMPUTED_VALUE"""),3.88)</f>
        <v>3.88</v>
      </c>
      <c r="C1646" s="1">
        <f>IFERROR(__xludf.DUMMYFUNCTION("""COMPUTED_VALUE"""),3.88)</f>
        <v>3.88</v>
      </c>
      <c r="D1646" s="1">
        <f>IFERROR(__xludf.DUMMYFUNCTION("""COMPUTED_VALUE"""),3.83)</f>
        <v>3.83</v>
      </c>
      <c r="E1646" s="1">
        <f>IFERROR(__xludf.DUMMYFUNCTION("""COMPUTED_VALUE"""),3.87)</f>
        <v>3.87</v>
      </c>
      <c r="F1646" s="1">
        <f>IFERROR(__xludf.DUMMYFUNCTION("""COMPUTED_VALUE"""),1613030.0)</f>
        <v>1613030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IFERROR(__xludf.DUMMYFUNCTION("""COMPUTED_VALUE"""),3.86)</f>
        <v>3.86</v>
      </c>
      <c r="C1647" s="1">
        <f>IFERROR(__xludf.DUMMYFUNCTION("""COMPUTED_VALUE"""),3.95)</f>
        <v>3.95</v>
      </c>
      <c r="D1647" s="1">
        <f>IFERROR(__xludf.DUMMYFUNCTION("""COMPUTED_VALUE"""),3.83)</f>
        <v>3.83</v>
      </c>
      <c r="E1647" s="1">
        <f>IFERROR(__xludf.DUMMYFUNCTION("""COMPUTED_VALUE"""),3.91)</f>
        <v>3.91</v>
      </c>
      <c r="F1647" s="1">
        <f>IFERROR(__xludf.DUMMYFUNCTION("""COMPUTED_VALUE"""),2536929.0)</f>
        <v>2536929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IFERROR(__xludf.DUMMYFUNCTION("""COMPUTED_VALUE"""),3.84)</f>
        <v>3.84</v>
      </c>
      <c r="C1648" s="1">
        <f>IFERROR(__xludf.DUMMYFUNCTION("""COMPUTED_VALUE"""),3.87)</f>
        <v>3.87</v>
      </c>
      <c r="D1648" s="1">
        <f>IFERROR(__xludf.DUMMYFUNCTION("""COMPUTED_VALUE"""),3.83)</f>
        <v>3.83</v>
      </c>
      <c r="E1648" s="1">
        <f>IFERROR(__xludf.DUMMYFUNCTION("""COMPUTED_VALUE"""),3.85)</f>
        <v>3.85</v>
      </c>
      <c r="F1648" s="1">
        <f>IFERROR(__xludf.DUMMYFUNCTION("""COMPUTED_VALUE"""),1516571.0)</f>
        <v>1516571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IFERROR(__xludf.DUMMYFUNCTION("""COMPUTED_VALUE"""),3.91)</f>
        <v>3.91</v>
      </c>
      <c r="C1649" s="1">
        <f>IFERROR(__xludf.DUMMYFUNCTION("""COMPUTED_VALUE"""),3.95)</f>
        <v>3.95</v>
      </c>
      <c r="D1649" s="1">
        <f>IFERROR(__xludf.DUMMYFUNCTION("""COMPUTED_VALUE"""),3.89)</f>
        <v>3.89</v>
      </c>
      <c r="E1649" s="1">
        <f>IFERROR(__xludf.DUMMYFUNCTION("""COMPUTED_VALUE"""),3.91)</f>
        <v>3.91</v>
      </c>
      <c r="F1649" s="1">
        <f>IFERROR(__xludf.DUMMYFUNCTION("""COMPUTED_VALUE"""),1221029.0)</f>
        <v>1221029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IFERROR(__xludf.DUMMYFUNCTION("""COMPUTED_VALUE"""),3.93)</f>
        <v>3.93</v>
      </c>
      <c r="C1650" s="1">
        <f>IFERROR(__xludf.DUMMYFUNCTION("""COMPUTED_VALUE"""),3.96)</f>
        <v>3.96</v>
      </c>
      <c r="D1650" s="1">
        <f>IFERROR(__xludf.DUMMYFUNCTION("""COMPUTED_VALUE"""),3.9)</f>
        <v>3.9</v>
      </c>
      <c r="E1650" s="1">
        <f>IFERROR(__xludf.DUMMYFUNCTION("""COMPUTED_VALUE"""),3.9)</f>
        <v>3.9</v>
      </c>
      <c r="F1650" s="1">
        <f>IFERROR(__xludf.DUMMYFUNCTION("""COMPUTED_VALUE"""),944058.0)</f>
        <v>944058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IFERROR(__xludf.DUMMYFUNCTION("""COMPUTED_VALUE"""),3.89)</f>
        <v>3.89</v>
      </c>
      <c r="C1651" s="1">
        <f>IFERROR(__xludf.DUMMYFUNCTION("""COMPUTED_VALUE"""),3.91)</f>
        <v>3.91</v>
      </c>
      <c r="D1651" s="1">
        <f>IFERROR(__xludf.DUMMYFUNCTION("""COMPUTED_VALUE"""),3.85)</f>
        <v>3.85</v>
      </c>
      <c r="E1651" s="1">
        <f>IFERROR(__xludf.DUMMYFUNCTION("""COMPUTED_VALUE"""),3.86)</f>
        <v>3.86</v>
      </c>
      <c r="F1651" s="1">
        <f>IFERROR(__xludf.DUMMYFUNCTION("""COMPUTED_VALUE"""),1211447.0)</f>
        <v>1211447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IFERROR(__xludf.DUMMYFUNCTION("""COMPUTED_VALUE"""),3.9)</f>
        <v>3.9</v>
      </c>
      <c r="C1652" s="1">
        <f>IFERROR(__xludf.DUMMYFUNCTION("""COMPUTED_VALUE"""),3.92)</f>
        <v>3.92</v>
      </c>
      <c r="D1652" s="1">
        <f>IFERROR(__xludf.DUMMYFUNCTION("""COMPUTED_VALUE"""),3.88)</f>
        <v>3.88</v>
      </c>
      <c r="E1652" s="1">
        <f>IFERROR(__xludf.DUMMYFUNCTION("""COMPUTED_VALUE"""),3.91)</f>
        <v>3.91</v>
      </c>
      <c r="F1652" s="1">
        <f>IFERROR(__xludf.DUMMYFUNCTION("""COMPUTED_VALUE"""),811115.0)</f>
        <v>811115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IFERROR(__xludf.DUMMYFUNCTION("""COMPUTED_VALUE"""),3.92)</f>
        <v>3.92</v>
      </c>
      <c r="C1653" s="1">
        <f>IFERROR(__xludf.DUMMYFUNCTION("""COMPUTED_VALUE"""),3.96)</f>
        <v>3.96</v>
      </c>
      <c r="D1653" s="1">
        <f>IFERROR(__xludf.DUMMYFUNCTION("""COMPUTED_VALUE"""),3.9)</f>
        <v>3.9</v>
      </c>
      <c r="E1653" s="1">
        <f>IFERROR(__xludf.DUMMYFUNCTION("""COMPUTED_VALUE"""),3.95)</f>
        <v>3.95</v>
      </c>
      <c r="F1653" s="1">
        <f>IFERROR(__xludf.DUMMYFUNCTION("""COMPUTED_VALUE"""),2563842.0)</f>
        <v>2563842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IFERROR(__xludf.DUMMYFUNCTION("""COMPUTED_VALUE"""),4.07)</f>
        <v>4.07</v>
      </c>
      <c r="C1654" s="1">
        <f>IFERROR(__xludf.DUMMYFUNCTION("""COMPUTED_VALUE"""),4.07)</f>
        <v>4.07</v>
      </c>
      <c r="D1654" s="1">
        <f>IFERROR(__xludf.DUMMYFUNCTION("""COMPUTED_VALUE"""),3.99)</f>
        <v>3.99</v>
      </c>
      <c r="E1654" s="1">
        <f>IFERROR(__xludf.DUMMYFUNCTION("""COMPUTED_VALUE"""),4.03)</f>
        <v>4.03</v>
      </c>
      <c r="F1654" s="1">
        <f>IFERROR(__xludf.DUMMYFUNCTION("""COMPUTED_VALUE"""),1613518.0)</f>
        <v>1613518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IFERROR(__xludf.DUMMYFUNCTION("""COMPUTED_VALUE"""),4.01)</f>
        <v>4.01</v>
      </c>
      <c r="C1655" s="1">
        <f>IFERROR(__xludf.DUMMYFUNCTION("""COMPUTED_VALUE"""),4.02)</f>
        <v>4.02</v>
      </c>
      <c r="D1655" s="1">
        <f>IFERROR(__xludf.DUMMYFUNCTION("""COMPUTED_VALUE"""),3.98)</f>
        <v>3.98</v>
      </c>
      <c r="E1655" s="1">
        <f>IFERROR(__xludf.DUMMYFUNCTION("""COMPUTED_VALUE"""),4.0)</f>
        <v>4</v>
      </c>
      <c r="F1655" s="1">
        <f>IFERROR(__xludf.DUMMYFUNCTION("""COMPUTED_VALUE"""),1547377.0)</f>
        <v>1547377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IFERROR(__xludf.DUMMYFUNCTION("""COMPUTED_VALUE"""),4.12)</f>
        <v>4.12</v>
      </c>
      <c r="C1656" s="1">
        <f>IFERROR(__xludf.DUMMYFUNCTION("""COMPUTED_VALUE"""),4.13)</f>
        <v>4.13</v>
      </c>
      <c r="D1656" s="1">
        <f>IFERROR(__xludf.DUMMYFUNCTION("""COMPUTED_VALUE"""),4.08)</f>
        <v>4.08</v>
      </c>
      <c r="E1656" s="1">
        <f>IFERROR(__xludf.DUMMYFUNCTION("""COMPUTED_VALUE"""),4.09)</f>
        <v>4.09</v>
      </c>
      <c r="F1656" s="1">
        <f>IFERROR(__xludf.DUMMYFUNCTION("""COMPUTED_VALUE"""),1052384.0)</f>
        <v>1052384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IFERROR(__xludf.DUMMYFUNCTION("""COMPUTED_VALUE"""),4.02)</f>
        <v>4.02</v>
      </c>
      <c r="C1657" s="1">
        <f>IFERROR(__xludf.DUMMYFUNCTION("""COMPUTED_VALUE"""),4.03)</f>
        <v>4.03</v>
      </c>
      <c r="D1657" s="1">
        <f>IFERROR(__xludf.DUMMYFUNCTION("""COMPUTED_VALUE"""),3.96)</f>
        <v>3.96</v>
      </c>
      <c r="E1657" s="1">
        <f>IFERROR(__xludf.DUMMYFUNCTION("""COMPUTED_VALUE"""),3.96)</f>
        <v>3.96</v>
      </c>
      <c r="F1657" s="1">
        <f>IFERROR(__xludf.DUMMYFUNCTION("""COMPUTED_VALUE"""),1843511.0)</f>
        <v>1843511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IFERROR(__xludf.DUMMYFUNCTION("""COMPUTED_VALUE"""),3.89)</f>
        <v>3.89</v>
      </c>
      <c r="C1658" s="1">
        <f>IFERROR(__xludf.DUMMYFUNCTION("""COMPUTED_VALUE"""),3.9)</f>
        <v>3.9</v>
      </c>
      <c r="D1658" s="1">
        <f>IFERROR(__xludf.DUMMYFUNCTION("""COMPUTED_VALUE"""),3.85)</f>
        <v>3.85</v>
      </c>
      <c r="E1658" s="1">
        <f>IFERROR(__xludf.DUMMYFUNCTION("""COMPUTED_VALUE"""),3.88)</f>
        <v>3.88</v>
      </c>
      <c r="F1658" s="1">
        <f>IFERROR(__xludf.DUMMYFUNCTION("""COMPUTED_VALUE"""),1823956.0)</f>
        <v>1823956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IFERROR(__xludf.DUMMYFUNCTION("""COMPUTED_VALUE"""),3.85)</f>
        <v>3.85</v>
      </c>
      <c r="C1659" s="1">
        <f>IFERROR(__xludf.DUMMYFUNCTION("""COMPUTED_VALUE"""),3.93)</f>
        <v>3.93</v>
      </c>
      <c r="D1659" s="1">
        <f>IFERROR(__xludf.DUMMYFUNCTION("""COMPUTED_VALUE"""),3.83)</f>
        <v>3.83</v>
      </c>
      <c r="E1659" s="1">
        <f>IFERROR(__xludf.DUMMYFUNCTION("""COMPUTED_VALUE"""),3.93)</f>
        <v>3.93</v>
      </c>
      <c r="F1659" s="1">
        <f>IFERROR(__xludf.DUMMYFUNCTION("""COMPUTED_VALUE"""),1444289.0)</f>
        <v>1444289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IFERROR(__xludf.DUMMYFUNCTION("""COMPUTED_VALUE"""),3.94)</f>
        <v>3.94</v>
      </c>
      <c r="C1660" s="1">
        <f>IFERROR(__xludf.DUMMYFUNCTION("""COMPUTED_VALUE"""),3.95)</f>
        <v>3.95</v>
      </c>
      <c r="D1660" s="1">
        <f>IFERROR(__xludf.DUMMYFUNCTION("""COMPUTED_VALUE"""),3.9)</f>
        <v>3.9</v>
      </c>
      <c r="E1660" s="1">
        <f>IFERROR(__xludf.DUMMYFUNCTION("""COMPUTED_VALUE"""),3.95)</f>
        <v>3.95</v>
      </c>
      <c r="F1660" s="1">
        <f>IFERROR(__xludf.DUMMYFUNCTION("""COMPUTED_VALUE"""),1651680.0)</f>
        <v>1651680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IFERROR(__xludf.DUMMYFUNCTION("""COMPUTED_VALUE"""),4.0)</f>
        <v>4</v>
      </c>
      <c r="C1661" s="1">
        <f>IFERROR(__xludf.DUMMYFUNCTION("""COMPUTED_VALUE"""),4.1)</f>
        <v>4.1</v>
      </c>
      <c r="D1661" s="1">
        <f>IFERROR(__xludf.DUMMYFUNCTION("""COMPUTED_VALUE"""),4.0)</f>
        <v>4</v>
      </c>
      <c r="E1661" s="1">
        <f>IFERROR(__xludf.DUMMYFUNCTION("""COMPUTED_VALUE"""),4.1)</f>
        <v>4.1</v>
      </c>
      <c r="F1661" s="1">
        <f>IFERROR(__xludf.DUMMYFUNCTION("""COMPUTED_VALUE"""),1019190.0)</f>
        <v>1019190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IFERROR(__xludf.DUMMYFUNCTION("""COMPUTED_VALUE"""),4.18)</f>
        <v>4.18</v>
      </c>
      <c r="C1662" s="1">
        <f>IFERROR(__xludf.DUMMYFUNCTION("""COMPUTED_VALUE"""),4.19)</f>
        <v>4.19</v>
      </c>
      <c r="D1662" s="1">
        <f>IFERROR(__xludf.DUMMYFUNCTION("""COMPUTED_VALUE"""),4.13)</f>
        <v>4.13</v>
      </c>
      <c r="E1662" s="1">
        <f>IFERROR(__xludf.DUMMYFUNCTION("""COMPUTED_VALUE"""),4.18)</f>
        <v>4.18</v>
      </c>
      <c r="F1662" s="1">
        <f>IFERROR(__xludf.DUMMYFUNCTION("""COMPUTED_VALUE"""),1481550.0)</f>
        <v>1481550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IFERROR(__xludf.DUMMYFUNCTION("""COMPUTED_VALUE"""),4.2)</f>
        <v>4.2</v>
      </c>
      <c r="C1663" s="1">
        <f>IFERROR(__xludf.DUMMYFUNCTION("""COMPUTED_VALUE"""),4.25)</f>
        <v>4.25</v>
      </c>
      <c r="D1663" s="1">
        <f>IFERROR(__xludf.DUMMYFUNCTION("""COMPUTED_VALUE"""),4.2)</f>
        <v>4.2</v>
      </c>
      <c r="E1663" s="1">
        <f>IFERROR(__xludf.DUMMYFUNCTION("""COMPUTED_VALUE"""),4.23)</f>
        <v>4.23</v>
      </c>
      <c r="F1663" s="1">
        <f>IFERROR(__xludf.DUMMYFUNCTION("""COMPUTED_VALUE"""),1071397.0)</f>
        <v>1071397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IFERROR(__xludf.DUMMYFUNCTION("""COMPUTED_VALUE"""),4.3)</f>
        <v>4.3</v>
      </c>
      <c r="C1664" s="1">
        <f>IFERROR(__xludf.DUMMYFUNCTION("""COMPUTED_VALUE"""),4.34)</f>
        <v>4.34</v>
      </c>
      <c r="D1664" s="1">
        <f>IFERROR(__xludf.DUMMYFUNCTION("""COMPUTED_VALUE"""),4.29)</f>
        <v>4.29</v>
      </c>
      <c r="E1664" s="1">
        <f>IFERROR(__xludf.DUMMYFUNCTION("""COMPUTED_VALUE"""),4.32)</f>
        <v>4.32</v>
      </c>
      <c r="F1664" s="1">
        <f>IFERROR(__xludf.DUMMYFUNCTION("""COMPUTED_VALUE"""),1833408.0)</f>
        <v>1833408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IFERROR(__xludf.DUMMYFUNCTION("""COMPUTED_VALUE"""),4.33)</f>
        <v>4.33</v>
      </c>
      <c r="C1665" s="1">
        <f>IFERROR(__xludf.DUMMYFUNCTION("""COMPUTED_VALUE"""),4.37)</f>
        <v>4.37</v>
      </c>
      <c r="D1665" s="1">
        <f>IFERROR(__xludf.DUMMYFUNCTION("""COMPUTED_VALUE"""),4.27)</f>
        <v>4.27</v>
      </c>
      <c r="E1665" s="1">
        <f>IFERROR(__xludf.DUMMYFUNCTION("""COMPUTED_VALUE"""),4.27)</f>
        <v>4.27</v>
      </c>
      <c r="F1665" s="1">
        <f>IFERROR(__xludf.DUMMYFUNCTION("""COMPUTED_VALUE"""),1679511.0)</f>
        <v>1679511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IFERROR(__xludf.DUMMYFUNCTION("""COMPUTED_VALUE"""),4.16)</f>
        <v>4.16</v>
      </c>
      <c r="C1666" s="1">
        <f>IFERROR(__xludf.DUMMYFUNCTION("""COMPUTED_VALUE"""),4.17)</f>
        <v>4.17</v>
      </c>
      <c r="D1666" s="1">
        <f>IFERROR(__xludf.DUMMYFUNCTION("""COMPUTED_VALUE"""),4.13)</f>
        <v>4.13</v>
      </c>
      <c r="E1666" s="1">
        <f>IFERROR(__xludf.DUMMYFUNCTION("""COMPUTED_VALUE"""),4.16)</f>
        <v>4.16</v>
      </c>
      <c r="F1666" s="1">
        <f>IFERROR(__xludf.DUMMYFUNCTION("""COMPUTED_VALUE"""),975056.0)</f>
        <v>975056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IFERROR(__xludf.DUMMYFUNCTION("""COMPUTED_VALUE"""),4.16)</f>
        <v>4.16</v>
      </c>
      <c r="C1667" s="1">
        <f>IFERROR(__xludf.DUMMYFUNCTION("""COMPUTED_VALUE"""),4.21)</f>
        <v>4.21</v>
      </c>
      <c r="D1667" s="1">
        <f>IFERROR(__xludf.DUMMYFUNCTION("""COMPUTED_VALUE"""),4.16)</f>
        <v>4.16</v>
      </c>
      <c r="E1667" s="1">
        <f>IFERROR(__xludf.DUMMYFUNCTION("""COMPUTED_VALUE"""),4.2)</f>
        <v>4.2</v>
      </c>
      <c r="F1667" s="1">
        <f>IFERROR(__xludf.DUMMYFUNCTION("""COMPUTED_VALUE"""),2032539.0)</f>
        <v>2032539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IFERROR(__xludf.DUMMYFUNCTION("""COMPUTED_VALUE"""),4.15)</f>
        <v>4.15</v>
      </c>
      <c r="C1668" s="1">
        <f>IFERROR(__xludf.DUMMYFUNCTION("""COMPUTED_VALUE"""),4.18)</f>
        <v>4.18</v>
      </c>
      <c r="D1668" s="1">
        <f>IFERROR(__xludf.DUMMYFUNCTION("""COMPUTED_VALUE"""),4.13)</f>
        <v>4.13</v>
      </c>
      <c r="E1668" s="1">
        <f>IFERROR(__xludf.DUMMYFUNCTION("""COMPUTED_VALUE"""),4.17)</f>
        <v>4.17</v>
      </c>
      <c r="F1668" s="1">
        <f>IFERROR(__xludf.DUMMYFUNCTION("""COMPUTED_VALUE"""),1386513.0)</f>
        <v>1386513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IFERROR(__xludf.DUMMYFUNCTION("""COMPUTED_VALUE"""),4.12)</f>
        <v>4.12</v>
      </c>
      <c r="C1669" s="1">
        <f>IFERROR(__xludf.DUMMYFUNCTION("""COMPUTED_VALUE"""),4.31)</f>
        <v>4.31</v>
      </c>
      <c r="D1669" s="1">
        <f>IFERROR(__xludf.DUMMYFUNCTION("""COMPUTED_VALUE"""),4.09)</f>
        <v>4.09</v>
      </c>
      <c r="E1669" s="1">
        <f>IFERROR(__xludf.DUMMYFUNCTION("""COMPUTED_VALUE"""),4.21)</f>
        <v>4.21</v>
      </c>
      <c r="F1669" s="1">
        <f>IFERROR(__xludf.DUMMYFUNCTION("""COMPUTED_VALUE"""),3742098.0)</f>
        <v>3742098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IFERROR(__xludf.DUMMYFUNCTION("""COMPUTED_VALUE"""),4.02)</f>
        <v>4.02</v>
      </c>
      <c r="C1670" s="1">
        <f>IFERROR(__xludf.DUMMYFUNCTION("""COMPUTED_VALUE"""),4.05)</f>
        <v>4.05</v>
      </c>
      <c r="D1670" s="1">
        <f>IFERROR(__xludf.DUMMYFUNCTION("""COMPUTED_VALUE"""),4.0)</f>
        <v>4</v>
      </c>
      <c r="E1670" s="1">
        <f>IFERROR(__xludf.DUMMYFUNCTION("""COMPUTED_VALUE"""),4.05)</f>
        <v>4.05</v>
      </c>
      <c r="F1670" s="1">
        <f>IFERROR(__xludf.DUMMYFUNCTION("""COMPUTED_VALUE"""),1471283.0)</f>
        <v>1471283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IFERROR(__xludf.DUMMYFUNCTION("""COMPUTED_VALUE"""),3.86)</f>
        <v>3.86</v>
      </c>
      <c r="C1671" s="1">
        <f>IFERROR(__xludf.DUMMYFUNCTION("""COMPUTED_VALUE"""),3.92)</f>
        <v>3.92</v>
      </c>
      <c r="D1671" s="1">
        <f>IFERROR(__xludf.DUMMYFUNCTION("""COMPUTED_VALUE"""),3.85)</f>
        <v>3.85</v>
      </c>
      <c r="E1671" s="1">
        <f>IFERROR(__xludf.DUMMYFUNCTION("""COMPUTED_VALUE"""),3.91)</f>
        <v>3.91</v>
      </c>
      <c r="F1671" s="1">
        <f>IFERROR(__xludf.DUMMYFUNCTION("""COMPUTED_VALUE"""),1844607.0)</f>
        <v>1844607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IFERROR(__xludf.DUMMYFUNCTION("""COMPUTED_VALUE"""),3.9)</f>
        <v>3.9</v>
      </c>
      <c r="C1672" s="1">
        <f>IFERROR(__xludf.DUMMYFUNCTION("""COMPUTED_VALUE"""),3.93)</f>
        <v>3.93</v>
      </c>
      <c r="D1672" s="1">
        <f>IFERROR(__xludf.DUMMYFUNCTION("""COMPUTED_VALUE"""),3.89)</f>
        <v>3.89</v>
      </c>
      <c r="E1672" s="1">
        <f>IFERROR(__xludf.DUMMYFUNCTION("""COMPUTED_VALUE"""),3.9)</f>
        <v>3.9</v>
      </c>
      <c r="F1672" s="1">
        <f>IFERROR(__xludf.DUMMYFUNCTION("""COMPUTED_VALUE"""),3085804.0)</f>
        <v>3085804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IFERROR(__xludf.DUMMYFUNCTION("""COMPUTED_VALUE"""),4.01)</f>
        <v>4.01</v>
      </c>
      <c r="C1673" s="1">
        <f>IFERROR(__xludf.DUMMYFUNCTION("""COMPUTED_VALUE"""),4.03)</f>
        <v>4.03</v>
      </c>
      <c r="D1673" s="1">
        <f>IFERROR(__xludf.DUMMYFUNCTION("""COMPUTED_VALUE"""),3.98)</f>
        <v>3.98</v>
      </c>
      <c r="E1673" s="1">
        <f>IFERROR(__xludf.DUMMYFUNCTION("""COMPUTED_VALUE"""),3.99)</f>
        <v>3.99</v>
      </c>
      <c r="F1673" s="1">
        <f>IFERROR(__xludf.DUMMYFUNCTION("""COMPUTED_VALUE"""),2583133.0)</f>
        <v>2583133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IFERROR(__xludf.DUMMYFUNCTION("""COMPUTED_VALUE"""),3.98)</f>
        <v>3.98</v>
      </c>
      <c r="C1674" s="1">
        <f>IFERROR(__xludf.DUMMYFUNCTION("""COMPUTED_VALUE"""),4.0)</f>
        <v>4</v>
      </c>
      <c r="D1674" s="1">
        <f>IFERROR(__xludf.DUMMYFUNCTION("""COMPUTED_VALUE"""),3.95)</f>
        <v>3.95</v>
      </c>
      <c r="E1674" s="1">
        <f>IFERROR(__xludf.DUMMYFUNCTION("""COMPUTED_VALUE"""),3.95)</f>
        <v>3.95</v>
      </c>
      <c r="F1674" s="1">
        <f>IFERROR(__xludf.DUMMYFUNCTION("""COMPUTED_VALUE"""),2328532.0)</f>
        <v>2328532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IFERROR(__xludf.DUMMYFUNCTION("""COMPUTED_VALUE"""),3.86)</f>
        <v>3.86</v>
      </c>
      <c r="C1675" s="1">
        <f>IFERROR(__xludf.DUMMYFUNCTION("""COMPUTED_VALUE"""),3.91)</f>
        <v>3.91</v>
      </c>
      <c r="D1675" s="1">
        <f>IFERROR(__xludf.DUMMYFUNCTION("""COMPUTED_VALUE"""),3.86)</f>
        <v>3.86</v>
      </c>
      <c r="E1675" s="1">
        <f>IFERROR(__xludf.DUMMYFUNCTION("""COMPUTED_VALUE"""),3.9)</f>
        <v>3.9</v>
      </c>
      <c r="F1675" s="1">
        <f>IFERROR(__xludf.DUMMYFUNCTION("""COMPUTED_VALUE"""),1879384.0)</f>
        <v>1879384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IFERROR(__xludf.DUMMYFUNCTION("""COMPUTED_VALUE"""),3.88)</f>
        <v>3.88</v>
      </c>
      <c r="C1676" s="1">
        <f>IFERROR(__xludf.DUMMYFUNCTION("""COMPUTED_VALUE"""),3.93)</f>
        <v>3.93</v>
      </c>
      <c r="D1676" s="1">
        <f>IFERROR(__xludf.DUMMYFUNCTION("""COMPUTED_VALUE"""),3.77)</f>
        <v>3.77</v>
      </c>
      <c r="E1676" s="1">
        <f>IFERROR(__xludf.DUMMYFUNCTION("""COMPUTED_VALUE"""),3.84)</f>
        <v>3.84</v>
      </c>
      <c r="F1676" s="1">
        <f>IFERROR(__xludf.DUMMYFUNCTION("""COMPUTED_VALUE"""),3847710.0)</f>
        <v>3847710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IFERROR(__xludf.DUMMYFUNCTION("""COMPUTED_VALUE"""),3.84)</f>
        <v>3.84</v>
      </c>
      <c r="C1677" s="1">
        <f>IFERROR(__xludf.DUMMYFUNCTION("""COMPUTED_VALUE"""),3.9)</f>
        <v>3.9</v>
      </c>
      <c r="D1677" s="1">
        <f>IFERROR(__xludf.DUMMYFUNCTION("""COMPUTED_VALUE"""),3.84)</f>
        <v>3.84</v>
      </c>
      <c r="E1677" s="1">
        <f>IFERROR(__xludf.DUMMYFUNCTION("""COMPUTED_VALUE"""),3.9)</f>
        <v>3.9</v>
      </c>
      <c r="F1677" s="1">
        <f>IFERROR(__xludf.DUMMYFUNCTION("""COMPUTED_VALUE"""),1279877.0)</f>
        <v>1279877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IFERROR(__xludf.DUMMYFUNCTION("""COMPUTED_VALUE"""),3.92)</f>
        <v>3.92</v>
      </c>
      <c r="C1678" s="1">
        <f>IFERROR(__xludf.DUMMYFUNCTION("""COMPUTED_VALUE"""),3.98)</f>
        <v>3.98</v>
      </c>
      <c r="D1678" s="1">
        <f>IFERROR(__xludf.DUMMYFUNCTION("""COMPUTED_VALUE"""),3.91)</f>
        <v>3.91</v>
      </c>
      <c r="E1678" s="1">
        <f>IFERROR(__xludf.DUMMYFUNCTION("""COMPUTED_VALUE"""),3.97)</f>
        <v>3.97</v>
      </c>
      <c r="F1678" s="1">
        <f>IFERROR(__xludf.DUMMYFUNCTION("""COMPUTED_VALUE"""),1633802.0)</f>
        <v>1633802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IFERROR(__xludf.DUMMYFUNCTION("""COMPUTED_VALUE"""),4.13)</f>
        <v>4.13</v>
      </c>
      <c r="C1679" s="1">
        <f>IFERROR(__xludf.DUMMYFUNCTION("""COMPUTED_VALUE"""),4.17)</f>
        <v>4.17</v>
      </c>
      <c r="D1679" s="1">
        <f>IFERROR(__xludf.DUMMYFUNCTION("""COMPUTED_VALUE"""),4.08)</f>
        <v>4.08</v>
      </c>
      <c r="E1679" s="1">
        <f>IFERROR(__xludf.DUMMYFUNCTION("""COMPUTED_VALUE"""),4.09)</f>
        <v>4.09</v>
      </c>
      <c r="F1679" s="1">
        <f>IFERROR(__xludf.DUMMYFUNCTION("""COMPUTED_VALUE"""),3189895.0)</f>
        <v>3189895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IFERROR(__xludf.DUMMYFUNCTION("""COMPUTED_VALUE"""),4.13)</f>
        <v>4.13</v>
      </c>
      <c r="C1680" s="1">
        <f>IFERROR(__xludf.DUMMYFUNCTION("""COMPUTED_VALUE"""),4.14)</f>
        <v>4.14</v>
      </c>
      <c r="D1680" s="1">
        <f>IFERROR(__xludf.DUMMYFUNCTION("""COMPUTED_VALUE"""),4.04)</f>
        <v>4.04</v>
      </c>
      <c r="E1680" s="1">
        <f>IFERROR(__xludf.DUMMYFUNCTION("""COMPUTED_VALUE"""),4.09)</f>
        <v>4.09</v>
      </c>
      <c r="F1680" s="1">
        <f>IFERROR(__xludf.DUMMYFUNCTION("""COMPUTED_VALUE"""),1034695.0)</f>
        <v>1034695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IFERROR(__xludf.DUMMYFUNCTION("""COMPUTED_VALUE"""),4.11)</f>
        <v>4.11</v>
      </c>
      <c r="C1681" s="1">
        <f>IFERROR(__xludf.DUMMYFUNCTION("""COMPUTED_VALUE"""),4.16)</f>
        <v>4.16</v>
      </c>
      <c r="D1681" s="1">
        <f>IFERROR(__xludf.DUMMYFUNCTION("""COMPUTED_VALUE"""),4.08)</f>
        <v>4.08</v>
      </c>
      <c r="E1681" s="1">
        <f>IFERROR(__xludf.DUMMYFUNCTION("""COMPUTED_VALUE"""),4.14)</f>
        <v>4.14</v>
      </c>
      <c r="F1681" s="1">
        <f>IFERROR(__xludf.DUMMYFUNCTION("""COMPUTED_VALUE"""),1128516.0)</f>
        <v>1128516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IFERROR(__xludf.DUMMYFUNCTION("""COMPUTED_VALUE"""),4.1)</f>
        <v>4.1</v>
      </c>
      <c r="C1682" s="1">
        <f>IFERROR(__xludf.DUMMYFUNCTION("""COMPUTED_VALUE"""),4.12)</f>
        <v>4.12</v>
      </c>
      <c r="D1682" s="1">
        <f>IFERROR(__xludf.DUMMYFUNCTION("""COMPUTED_VALUE"""),4.03)</f>
        <v>4.03</v>
      </c>
      <c r="E1682" s="1">
        <f>IFERROR(__xludf.DUMMYFUNCTION("""COMPUTED_VALUE"""),4.11)</f>
        <v>4.11</v>
      </c>
      <c r="F1682" s="1">
        <f>IFERROR(__xludf.DUMMYFUNCTION("""COMPUTED_VALUE"""),4513528.0)</f>
        <v>4513528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IFERROR(__xludf.DUMMYFUNCTION("""COMPUTED_VALUE"""),4.1)</f>
        <v>4.1</v>
      </c>
      <c r="C1683" s="1">
        <f>IFERROR(__xludf.DUMMYFUNCTION("""COMPUTED_VALUE"""),4.12)</f>
        <v>4.12</v>
      </c>
      <c r="D1683" s="1">
        <f>IFERROR(__xludf.DUMMYFUNCTION("""COMPUTED_VALUE"""),4.06)</f>
        <v>4.06</v>
      </c>
      <c r="E1683" s="1">
        <f>IFERROR(__xludf.DUMMYFUNCTION("""COMPUTED_VALUE"""),4.06)</f>
        <v>4.06</v>
      </c>
      <c r="F1683" s="1">
        <f>IFERROR(__xludf.DUMMYFUNCTION("""COMPUTED_VALUE"""),2551031.0)</f>
        <v>2551031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IFERROR(__xludf.DUMMYFUNCTION("""COMPUTED_VALUE"""),4.02)</f>
        <v>4.02</v>
      </c>
      <c r="C1684" s="1">
        <f>IFERROR(__xludf.DUMMYFUNCTION("""COMPUTED_VALUE"""),4.12)</f>
        <v>4.12</v>
      </c>
      <c r="D1684" s="1">
        <f>IFERROR(__xludf.DUMMYFUNCTION("""COMPUTED_VALUE"""),4.01)</f>
        <v>4.01</v>
      </c>
      <c r="E1684" s="1">
        <f>IFERROR(__xludf.DUMMYFUNCTION("""COMPUTED_VALUE"""),4.1)</f>
        <v>4.1</v>
      </c>
      <c r="F1684" s="1">
        <f>IFERROR(__xludf.DUMMYFUNCTION("""COMPUTED_VALUE"""),1074486.0)</f>
        <v>1074486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IFERROR(__xludf.DUMMYFUNCTION("""COMPUTED_VALUE"""),4.12)</f>
        <v>4.12</v>
      </c>
      <c r="C1685" s="1">
        <f>IFERROR(__xludf.DUMMYFUNCTION("""COMPUTED_VALUE"""),4.17)</f>
        <v>4.17</v>
      </c>
      <c r="D1685" s="1">
        <f>IFERROR(__xludf.DUMMYFUNCTION("""COMPUTED_VALUE"""),4.09)</f>
        <v>4.09</v>
      </c>
      <c r="E1685" s="1">
        <f>IFERROR(__xludf.DUMMYFUNCTION("""COMPUTED_VALUE"""),4.1)</f>
        <v>4.1</v>
      </c>
      <c r="F1685" s="1">
        <f>IFERROR(__xludf.DUMMYFUNCTION("""COMPUTED_VALUE"""),1409854.0)</f>
        <v>1409854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IFERROR(__xludf.DUMMYFUNCTION("""COMPUTED_VALUE"""),3.97)</f>
        <v>3.97</v>
      </c>
      <c r="C1686" s="1">
        <f>IFERROR(__xludf.DUMMYFUNCTION("""COMPUTED_VALUE"""),4.07)</f>
        <v>4.07</v>
      </c>
      <c r="D1686" s="1">
        <f>IFERROR(__xludf.DUMMYFUNCTION("""COMPUTED_VALUE"""),3.96)</f>
        <v>3.96</v>
      </c>
      <c r="E1686" s="1">
        <f>IFERROR(__xludf.DUMMYFUNCTION("""COMPUTED_VALUE"""),4.05)</f>
        <v>4.05</v>
      </c>
      <c r="F1686" s="1">
        <f>IFERROR(__xludf.DUMMYFUNCTION("""COMPUTED_VALUE"""),2053597.0)</f>
        <v>2053597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IFERROR(__xludf.DUMMYFUNCTION("""COMPUTED_VALUE"""),3.93)</f>
        <v>3.93</v>
      </c>
      <c r="C1687" s="1">
        <f>IFERROR(__xludf.DUMMYFUNCTION("""COMPUTED_VALUE"""),3.94)</f>
        <v>3.94</v>
      </c>
      <c r="D1687" s="1">
        <f>IFERROR(__xludf.DUMMYFUNCTION("""COMPUTED_VALUE"""),3.85)</f>
        <v>3.85</v>
      </c>
      <c r="E1687" s="1">
        <f>IFERROR(__xludf.DUMMYFUNCTION("""COMPUTED_VALUE"""),3.87)</f>
        <v>3.87</v>
      </c>
      <c r="F1687" s="1">
        <f>IFERROR(__xludf.DUMMYFUNCTION("""COMPUTED_VALUE"""),3850190.0)</f>
        <v>3850190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IFERROR(__xludf.DUMMYFUNCTION("""COMPUTED_VALUE"""),3.82)</f>
        <v>3.82</v>
      </c>
      <c r="C1688" s="1">
        <f>IFERROR(__xludf.DUMMYFUNCTION("""COMPUTED_VALUE"""),3.85)</f>
        <v>3.85</v>
      </c>
      <c r="D1688" s="1">
        <f>IFERROR(__xludf.DUMMYFUNCTION("""COMPUTED_VALUE"""),3.8)</f>
        <v>3.8</v>
      </c>
      <c r="E1688" s="1">
        <f>IFERROR(__xludf.DUMMYFUNCTION("""COMPUTED_VALUE"""),3.81)</f>
        <v>3.81</v>
      </c>
      <c r="F1688" s="1">
        <f>IFERROR(__xludf.DUMMYFUNCTION("""COMPUTED_VALUE"""),2874689.0)</f>
        <v>2874689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IFERROR(__xludf.DUMMYFUNCTION("""COMPUTED_VALUE"""),3.81)</f>
        <v>3.81</v>
      </c>
      <c r="C1689" s="1">
        <f>IFERROR(__xludf.DUMMYFUNCTION("""COMPUTED_VALUE"""),3.86)</f>
        <v>3.86</v>
      </c>
      <c r="D1689" s="1">
        <f>IFERROR(__xludf.DUMMYFUNCTION("""COMPUTED_VALUE"""),3.8)</f>
        <v>3.8</v>
      </c>
      <c r="E1689" s="1">
        <f>IFERROR(__xludf.DUMMYFUNCTION("""COMPUTED_VALUE"""),3.85)</f>
        <v>3.85</v>
      </c>
      <c r="F1689" s="1">
        <f>IFERROR(__xludf.DUMMYFUNCTION("""COMPUTED_VALUE"""),3614156.0)</f>
        <v>3614156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IFERROR(__xludf.DUMMYFUNCTION("""COMPUTED_VALUE"""),3.74)</f>
        <v>3.74</v>
      </c>
      <c r="C1690" s="1">
        <f>IFERROR(__xludf.DUMMYFUNCTION("""COMPUTED_VALUE"""),3.75)</f>
        <v>3.75</v>
      </c>
      <c r="D1690" s="1">
        <f>IFERROR(__xludf.DUMMYFUNCTION("""COMPUTED_VALUE"""),3.7)</f>
        <v>3.7</v>
      </c>
      <c r="E1690" s="1">
        <f>IFERROR(__xludf.DUMMYFUNCTION("""COMPUTED_VALUE"""),3.74)</f>
        <v>3.74</v>
      </c>
      <c r="F1690" s="1">
        <f>IFERROR(__xludf.DUMMYFUNCTION("""COMPUTED_VALUE"""),2052056.0)</f>
        <v>2052056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IFERROR(__xludf.DUMMYFUNCTION("""COMPUTED_VALUE"""),3.77)</f>
        <v>3.77</v>
      </c>
      <c r="C1691" s="1">
        <f>IFERROR(__xludf.DUMMYFUNCTION("""COMPUTED_VALUE"""),3.8)</f>
        <v>3.8</v>
      </c>
      <c r="D1691" s="1">
        <f>IFERROR(__xludf.DUMMYFUNCTION("""COMPUTED_VALUE"""),3.76)</f>
        <v>3.76</v>
      </c>
      <c r="E1691" s="1">
        <f>IFERROR(__xludf.DUMMYFUNCTION("""COMPUTED_VALUE"""),3.77)</f>
        <v>3.77</v>
      </c>
      <c r="F1691" s="1">
        <f>IFERROR(__xludf.DUMMYFUNCTION("""COMPUTED_VALUE"""),1839856.0)</f>
        <v>1839856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IFERROR(__xludf.DUMMYFUNCTION("""COMPUTED_VALUE"""),3.81)</f>
        <v>3.81</v>
      </c>
      <c r="C1692" s="1">
        <f>IFERROR(__xludf.DUMMYFUNCTION("""COMPUTED_VALUE"""),3.83)</f>
        <v>3.83</v>
      </c>
      <c r="D1692" s="1">
        <f>IFERROR(__xludf.DUMMYFUNCTION("""COMPUTED_VALUE"""),3.8)</f>
        <v>3.8</v>
      </c>
      <c r="E1692" s="1">
        <f>IFERROR(__xludf.DUMMYFUNCTION("""COMPUTED_VALUE"""),3.81)</f>
        <v>3.81</v>
      </c>
      <c r="F1692" s="1">
        <f>IFERROR(__xludf.DUMMYFUNCTION("""COMPUTED_VALUE"""),849161.0)</f>
        <v>849161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IFERROR(__xludf.DUMMYFUNCTION("""COMPUTED_VALUE"""),3.9)</f>
        <v>3.9</v>
      </c>
      <c r="C1693" s="1">
        <f>IFERROR(__xludf.DUMMYFUNCTION("""COMPUTED_VALUE"""),3.94)</f>
        <v>3.94</v>
      </c>
      <c r="D1693" s="1">
        <f>IFERROR(__xludf.DUMMYFUNCTION("""COMPUTED_VALUE"""),3.9)</f>
        <v>3.9</v>
      </c>
      <c r="E1693" s="1">
        <f>IFERROR(__xludf.DUMMYFUNCTION("""COMPUTED_VALUE"""),3.93)</f>
        <v>3.93</v>
      </c>
      <c r="F1693" s="1">
        <f>IFERROR(__xludf.DUMMYFUNCTION("""COMPUTED_VALUE"""),1223121.0)</f>
        <v>1223121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IFERROR(__xludf.DUMMYFUNCTION("""COMPUTED_VALUE"""),4.02)</f>
        <v>4.02</v>
      </c>
      <c r="C1694" s="1">
        <f>IFERROR(__xludf.DUMMYFUNCTION("""COMPUTED_VALUE"""),4.04)</f>
        <v>4.04</v>
      </c>
      <c r="D1694" s="1">
        <f>IFERROR(__xludf.DUMMYFUNCTION("""COMPUTED_VALUE"""),3.96)</f>
        <v>3.96</v>
      </c>
      <c r="E1694" s="1">
        <f>IFERROR(__xludf.DUMMYFUNCTION("""COMPUTED_VALUE"""),3.98)</f>
        <v>3.98</v>
      </c>
      <c r="F1694" s="1">
        <f>IFERROR(__xludf.DUMMYFUNCTION("""COMPUTED_VALUE"""),1336852.0)</f>
        <v>1336852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IFERROR(__xludf.DUMMYFUNCTION("""COMPUTED_VALUE"""),4.01)</f>
        <v>4.01</v>
      </c>
      <c r="C1695" s="1">
        <f>IFERROR(__xludf.DUMMYFUNCTION("""COMPUTED_VALUE"""),4.02)</f>
        <v>4.02</v>
      </c>
      <c r="D1695" s="1">
        <f>IFERROR(__xludf.DUMMYFUNCTION("""COMPUTED_VALUE"""),3.99)</f>
        <v>3.99</v>
      </c>
      <c r="E1695" s="1">
        <f>IFERROR(__xludf.DUMMYFUNCTION("""COMPUTED_VALUE"""),4.0)</f>
        <v>4</v>
      </c>
      <c r="F1695" s="1">
        <f>IFERROR(__xludf.DUMMYFUNCTION("""COMPUTED_VALUE"""),921550.0)</f>
        <v>921550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IFERROR(__xludf.DUMMYFUNCTION("""COMPUTED_VALUE"""),3.92)</f>
        <v>3.92</v>
      </c>
      <c r="C1696" s="1">
        <f>IFERROR(__xludf.DUMMYFUNCTION("""COMPUTED_VALUE"""),3.93)</f>
        <v>3.93</v>
      </c>
      <c r="D1696" s="1">
        <f>IFERROR(__xludf.DUMMYFUNCTION("""COMPUTED_VALUE"""),3.89)</f>
        <v>3.89</v>
      </c>
      <c r="E1696" s="1">
        <f>IFERROR(__xludf.DUMMYFUNCTION("""COMPUTED_VALUE"""),3.9)</f>
        <v>3.9</v>
      </c>
      <c r="F1696" s="1">
        <f>IFERROR(__xludf.DUMMYFUNCTION("""COMPUTED_VALUE"""),1275763.0)</f>
        <v>1275763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IFERROR(__xludf.DUMMYFUNCTION("""COMPUTED_VALUE"""),3.77)</f>
        <v>3.77</v>
      </c>
      <c r="C1697" s="1">
        <f>IFERROR(__xludf.DUMMYFUNCTION("""COMPUTED_VALUE"""),3.84)</f>
        <v>3.84</v>
      </c>
      <c r="D1697" s="1">
        <f>IFERROR(__xludf.DUMMYFUNCTION("""COMPUTED_VALUE"""),3.77)</f>
        <v>3.77</v>
      </c>
      <c r="E1697" s="1">
        <f>IFERROR(__xludf.DUMMYFUNCTION("""COMPUTED_VALUE"""),3.84)</f>
        <v>3.84</v>
      </c>
      <c r="F1697" s="1">
        <f>IFERROR(__xludf.DUMMYFUNCTION("""COMPUTED_VALUE"""),2370834.0)</f>
        <v>2370834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IFERROR(__xludf.DUMMYFUNCTION("""COMPUTED_VALUE"""),3.9)</f>
        <v>3.9</v>
      </c>
      <c r="C1698" s="1">
        <f>IFERROR(__xludf.DUMMYFUNCTION("""COMPUTED_VALUE"""),3.91)</f>
        <v>3.91</v>
      </c>
      <c r="D1698" s="1">
        <f>IFERROR(__xludf.DUMMYFUNCTION("""COMPUTED_VALUE"""),3.83)</f>
        <v>3.83</v>
      </c>
      <c r="E1698" s="1">
        <f>IFERROR(__xludf.DUMMYFUNCTION("""COMPUTED_VALUE"""),3.91)</f>
        <v>3.91</v>
      </c>
      <c r="F1698" s="1">
        <f>IFERROR(__xludf.DUMMYFUNCTION("""COMPUTED_VALUE"""),1135125.0)</f>
        <v>1135125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IFERROR(__xludf.DUMMYFUNCTION("""COMPUTED_VALUE"""),3.89)</f>
        <v>3.89</v>
      </c>
      <c r="C1699" s="1">
        <f>IFERROR(__xludf.DUMMYFUNCTION("""COMPUTED_VALUE"""),3.91)</f>
        <v>3.91</v>
      </c>
      <c r="D1699" s="1">
        <f>IFERROR(__xludf.DUMMYFUNCTION("""COMPUTED_VALUE"""),3.76)</f>
        <v>3.76</v>
      </c>
      <c r="E1699" s="1">
        <f>IFERROR(__xludf.DUMMYFUNCTION("""COMPUTED_VALUE"""),3.78)</f>
        <v>3.78</v>
      </c>
      <c r="F1699" s="1">
        <f>IFERROR(__xludf.DUMMYFUNCTION("""COMPUTED_VALUE"""),2056188.0)</f>
        <v>2056188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IFERROR(__xludf.DUMMYFUNCTION("""COMPUTED_VALUE"""),3.83)</f>
        <v>3.83</v>
      </c>
      <c r="C1700" s="1">
        <f>IFERROR(__xludf.DUMMYFUNCTION("""COMPUTED_VALUE"""),3.88)</f>
        <v>3.88</v>
      </c>
      <c r="D1700" s="1">
        <f>IFERROR(__xludf.DUMMYFUNCTION("""COMPUTED_VALUE"""),3.8)</f>
        <v>3.8</v>
      </c>
      <c r="E1700" s="1">
        <f>IFERROR(__xludf.DUMMYFUNCTION("""COMPUTED_VALUE"""),3.86)</f>
        <v>3.86</v>
      </c>
      <c r="F1700" s="1">
        <f>IFERROR(__xludf.DUMMYFUNCTION("""COMPUTED_VALUE"""),2540390.0)</f>
        <v>2540390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IFERROR(__xludf.DUMMYFUNCTION("""COMPUTED_VALUE"""),3.85)</f>
        <v>3.85</v>
      </c>
      <c r="C1701" s="1">
        <f>IFERROR(__xludf.DUMMYFUNCTION("""COMPUTED_VALUE"""),3.87)</f>
        <v>3.87</v>
      </c>
      <c r="D1701" s="1">
        <f>IFERROR(__xludf.DUMMYFUNCTION("""COMPUTED_VALUE"""),3.83)</f>
        <v>3.83</v>
      </c>
      <c r="E1701" s="1">
        <f>IFERROR(__xludf.DUMMYFUNCTION("""COMPUTED_VALUE"""),3.85)</f>
        <v>3.85</v>
      </c>
      <c r="F1701" s="1">
        <f>IFERROR(__xludf.DUMMYFUNCTION("""COMPUTED_VALUE"""),1596269.0)</f>
        <v>1596269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IFERROR(__xludf.DUMMYFUNCTION("""COMPUTED_VALUE"""),3.9)</f>
        <v>3.9</v>
      </c>
      <c r="C1702" s="1">
        <f>IFERROR(__xludf.DUMMYFUNCTION("""COMPUTED_VALUE"""),3.91)</f>
        <v>3.91</v>
      </c>
      <c r="D1702" s="1">
        <f>IFERROR(__xludf.DUMMYFUNCTION("""COMPUTED_VALUE"""),3.86)</f>
        <v>3.86</v>
      </c>
      <c r="E1702" s="1">
        <f>IFERROR(__xludf.DUMMYFUNCTION("""COMPUTED_VALUE"""),3.88)</f>
        <v>3.88</v>
      </c>
      <c r="F1702" s="1">
        <f>IFERROR(__xludf.DUMMYFUNCTION("""COMPUTED_VALUE"""),1497233.0)</f>
        <v>1497233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IFERROR(__xludf.DUMMYFUNCTION("""COMPUTED_VALUE"""),4.1)</f>
        <v>4.1</v>
      </c>
      <c r="C1703" s="1">
        <f>IFERROR(__xludf.DUMMYFUNCTION("""COMPUTED_VALUE"""),4.12)</f>
        <v>4.12</v>
      </c>
      <c r="D1703" s="1">
        <f>IFERROR(__xludf.DUMMYFUNCTION("""COMPUTED_VALUE"""),4.05)</f>
        <v>4.05</v>
      </c>
      <c r="E1703" s="1">
        <f>IFERROR(__xludf.DUMMYFUNCTION("""COMPUTED_VALUE"""),4.1)</f>
        <v>4.1</v>
      </c>
      <c r="F1703" s="1">
        <f>IFERROR(__xludf.DUMMYFUNCTION("""COMPUTED_VALUE"""),2783064.0)</f>
        <v>2783064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IFERROR(__xludf.DUMMYFUNCTION("""COMPUTED_VALUE"""),4.21)</f>
        <v>4.21</v>
      </c>
      <c r="C1704" s="1">
        <f>IFERROR(__xludf.DUMMYFUNCTION("""COMPUTED_VALUE"""),4.22)</f>
        <v>4.22</v>
      </c>
      <c r="D1704" s="1">
        <f>IFERROR(__xludf.DUMMYFUNCTION("""COMPUTED_VALUE"""),4.13)</f>
        <v>4.13</v>
      </c>
      <c r="E1704" s="1">
        <f>IFERROR(__xludf.DUMMYFUNCTION("""COMPUTED_VALUE"""),4.15)</f>
        <v>4.15</v>
      </c>
      <c r="F1704" s="1">
        <f>IFERROR(__xludf.DUMMYFUNCTION("""COMPUTED_VALUE"""),2080100.0)</f>
        <v>2080100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IFERROR(__xludf.DUMMYFUNCTION("""COMPUTED_VALUE"""),4.17)</f>
        <v>4.17</v>
      </c>
      <c r="C1705" s="1">
        <f>IFERROR(__xludf.DUMMYFUNCTION("""COMPUTED_VALUE"""),4.18)</f>
        <v>4.18</v>
      </c>
      <c r="D1705" s="1">
        <f>IFERROR(__xludf.DUMMYFUNCTION("""COMPUTED_VALUE"""),4.08)</f>
        <v>4.08</v>
      </c>
      <c r="E1705" s="1">
        <f>IFERROR(__xludf.DUMMYFUNCTION("""COMPUTED_VALUE"""),4.12)</f>
        <v>4.12</v>
      </c>
      <c r="F1705" s="1">
        <f>IFERROR(__xludf.DUMMYFUNCTION("""COMPUTED_VALUE"""),1454232.0)</f>
        <v>1454232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IFERROR(__xludf.DUMMYFUNCTION("""COMPUTED_VALUE"""),4.1)</f>
        <v>4.1</v>
      </c>
      <c r="C1706" s="1">
        <f>IFERROR(__xludf.DUMMYFUNCTION("""COMPUTED_VALUE"""),4.12)</f>
        <v>4.12</v>
      </c>
      <c r="D1706" s="1">
        <f>IFERROR(__xludf.DUMMYFUNCTION("""COMPUTED_VALUE"""),4.08)</f>
        <v>4.08</v>
      </c>
      <c r="E1706" s="1">
        <f>IFERROR(__xludf.DUMMYFUNCTION("""COMPUTED_VALUE"""),4.08)</f>
        <v>4.08</v>
      </c>
      <c r="F1706" s="1">
        <f>IFERROR(__xludf.DUMMYFUNCTION("""COMPUTED_VALUE"""),3347563.0)</f>
        <v>3347563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IFERROR(__xludf.DUMMYFUNCTION("""COMPUTED_VALUE"""),4.13)</f>
        <v>4.13</v>
      </c>
      <c r="C1707" s="1">
        <f>IFERROR(__xludf.DUMMYFUNCTION("""COMPUTED_VALUE"""),4.14)</f>
        <v>4.14</v>
      </c>
      <c r="D1707" s="1">
        <f>IFERROR(__xludf.DUMMYFUNCTION("""COMPUTED_VALUE"""),4.07)</f>
        <v>4.07</v>
      </c>
      <c r="E1707" s="1">
        <f>IFERROR(__xludf.DUMMYFUNCTION("""COMPUTED_VALUE"""),4.09)</f>
        <v>4.09</v>
      </c>
      <c r="F1707" s="1">
        <f>IFERROR(__xludf.DUMMYFUNCTION("""COMPUTED_VALUE"""),2052558.0)</f>
        <v>2052558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IFERROR(__xludf.DUMMYFUNCTION("""COMPUTED_VALUE"""),4.26)</f>
        <v>4.26</v>
      </c>
      <c r="C1708" s="1">
        <f>IFERROR(__xludf.DUMMYFUNCTION("""COMPUTED_VALUE"""),4.29)</f>
        <v>4.29</v>
      </c>
      <c r="D1708" s="1">
        <f>IFERROR(__xludf.DUMMYFUNCTION("""COMPUTED_VALUE"""),4.2)</f>
        <v>4.2</v>
      </c>
      <c r="E1708" s="1">
        <f>IFERROR(__xludf.DUMMYFUNCTION("""COMPUTED_VALUE"""),4.22)</f>
        <v>4.22</v>
      </c>
      <c r="F1708" s="1">
        <f>IFERROR(__xludf.DUMMYFUNCTION("""COMPUTED_VALUE"""),5609553.0)</f>
        <v>5609553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IFERROR(__xludf.DUMMYFUNCTION("""COMPUTED_VALUE"""),4.04)</f>
        <v>4.04</v>
      </c>
      <c r="C1709" s="1">
        <f>IFERROR(__xludf.DUMMYFUNCTION("""COMPUTED_VALUE"""),4.06)</f>
        <v>4.06</v>
      </c>
      <c r="D1709" s="1">
        <f>IFERROR(__xludf.DUMMYFUNCTION("""COMPUTED_VALUE"""),4.0)</f>
        <v>4</v>
      </c>
      <c r="E1709" s="1">
        <f>IFERROR(__xludf.DUMMYFUNCTION("""COMPUTED_VALUE"""),4.02)</f>
        <v>4.02</v>
      </c>
      <c r="F1709" s="1">
        <f>IFERROR(__xludf.DUMMYFUNCTION("""COMPUTED_VALUE"""),2686602.0)</f>
        <v>2686602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IFERROR(__xludf.DUMMYFUNCTION("""COMPUTED_VALUE"""),4.13)</f>
        <v>4.13</v>
      </c>
      <c r="C1710" s="1">
        <f>IFERROR(__xludf.DUMMYFUNCTION("""COMPUTED_VALUE"""),4.16)</f>
        <v>4.16</v>
      </c>
      <c r="D1710" s="1">
        <f>IFERROR(__xludf.DUMMYFUNCTION("""COMPUTED_VALUE"""),4.06)</f>
        <v>4.06</v>
      </c>
      <c r="E1710" s="1">
        <f>IFERROR(__xludf.DUMMYFUNCTION("""COMPUTED_VALUE"""),4.06)</f>
        <v>4.06</v>
      </c>
      <c r="F1710" s="1">
        <f>IFERROR(__xludf.DUMMYFUNCTION("""COMPUTED_VALUE"""),1611715.0)</f>
        <v>1611715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IFERROR(__xludf.DUMMYFUNCTION("""COMPUTED_VALUE"""),4.15)</f>
        <v>4.15</v>
      </c>
      <c r="C1711" s="1">
        <f>IFERROR(__xludf.DUMMYFUNCTION("""COMPUTED_VALUE"""),4.16)</f>
        <v>4.16</v>
      </c>
      <c r="D1711" s="1">
        <f>IFERROR(__xludf.DUMMYFUNCTION("""COMPUTED_VALUE"""),4.1)</f>
        <v>4.1</v>
      </c>
      <c r="E1711" s="1">
        <f>IFERROR(__xludf.DUMMYFUNCTION("""COMPUTED_VALUE"""),4.12)</f>
        <v>4.12</v>
      </c>
      <c r="F1711" s="1">
        <f>IFERROR(__xludf.DUMMYFUNCTION("""COMPUTED_VALUE"""),1384776.0)</f>
        <v>1384776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IFERROR(__xludf.DUMMYFUNCTION("""COMPUTED_VALUE"""),4.15)</f>
        <v>4.15</v>
      </c>
      <c r="C1712" s="1">
        <f>IFERROR(__xludf.DUMMYFUNCTION("""COMPUTED_VALUE"""),4.17)</f>
        <v>4.17</v>
      </c>
      <c r="D1712" s="1">
        <f>IFERROR(__xludf.DUMMYFUNCTION("""COMPUTED_VALUE"""),4.13)</f>
        <v>4.13</v>
      </c>
      <c r="E1712" s="1">
        <f>IFERROR(__xludf.DUMMYFUNCTION("""COMPUTED_VALUE"""),4.15)</f>
        <v>4.15</v>
      </c>
      <c r="F1712" s="1">
        <f>IFERROR(__xludf.DUMMYFUNCTION("""COMPUTED_VALUE"""),1374522.0)</f>
        <v>1374522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IFERROR(__xludf.DUMMYFUNCTION("""COMPUTED_VALUE"""),4.17)</f>
        <v>4.17</v>
      </c>
      <c r="C1713" s="1">
        <f>IFERROR(__xludf.DUMMYFUNCTION("""COMPUTED_VALUE"""),4.21)</f>
        <v>4.21</v>
      </c>
      <c r="D1713" s="1">
        <f>IFERROR(__xludf.DUMMYFUNCTION("""COMPUTED_VALUE"""),4.16)</f>
        <v>4.16</v>
      </c>
      <c r="E1713" s="1">
        <f>IFERROR(__xludf.DUMMYFUNCTION("""COMPUTED_VALUE"""),4.19)</f>
        <v>4.19</v>
      </c>
      <c r="F1713" s="1">
        <f>IFERROR(__xludf.DUMMYFUNCTION("""COMPUTED_VALUE"""),1066353.0)</f>
        <v>1066353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IFERROR(__xludf.DUMMYFUNCTION("""COMPUTED_VALUE"""),4.2)</f>
        <v>4.2</v>
      </c>
      <c r="C1714" s="1">
        <f>IFERROR(__xludf.DUMMYFUNCTION("""COMPUTED_VALUE"""),4.24)</f>
        <v>4.24</v>
      </c>
      <c r="D1714" s="1">
        <f>IFERROR(__xludf.DUMMYFUNCTION("""COMPUTED_VALUE"""),4.19)</f>
        <v>4.19</v>
      </c>
      <c r="E1714" s="1">
        <f>IFERROR(__xludf.DUMMYFUNCTION("""COMPUTED_VALUE"""),4.22)</f>
        <v>4.22</v>
      </c>
      <c r="F1714" s="1">
        <f>IFERROR(__xludf.DUMMYFUNCTION("""COMPUTED_VALUE"""),1167008.0)</f>
        <v>1167008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IFERROR(__xludf.DUMMYFUNCTION("""COMPUTED_VALUE"""),4.17)</f>
        <v>4.17</v>
      </c>
      <c r="C1715" s="1">
        <f>IFERROR(__xludf.DUMMYFUNCTION("""COMPUTED_VALUE"""),4.24)</f>
        <v>4.24</v>
      </c>
      <c r="D1715" s="1">
        <f>IFERROR(__xludf.DUMMYFUNCTION("""COMPUTED_VALUE"""),4.16)</f>
        <v>4.16</v>
      </c>
      <c r="E1715" s="1">
        <f>IFERROR(__xludf.DUMMYFUNCTION("""COMPUTED_VALUE"""),4.24)</f>
        <v>4.24</v>
      </c>
      <c r="F1715" s="1">
        <f>IFERROR(__xludf.DUMMYFUNCTION("""COMPUTED_VALUE"""),2462988.0)</f>
        <v>2462988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IFERROR(__xludf.DUMMYFUNCTION("""COMPUTED_VALUE"""),4.29)</f>
        <v>4.29</v>
      </c>
      <c r="C1716" s="1">
        <f>IFERROR(__xludf.DUMMYFUNCTION("""COMPUTED_VALUE"""),4.32)</f>
        <v>4.32</v>
      </c>
      <c r="D1716" s="1">
        <f>IFERROR(__xludf.DUMMYFUNCTION("""COMPUTED_VALUE"""),4.27)</f>
        <v>4.27</v>
      </c>
      <c r="E1716" s="1">
        <f>IFERROR(__xludf.DUMMYFUNCTION("""COMPUTED_VALUE"""),4.32)</f>
        <v>4.32</v>
      </c>
      <c r="F1716" s="1">
        <f>IFERROR(__xludf.DUMMYFUNCTION("""COMPUTED_VALUE"""),2327720.0)</f>
        <v>2327720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IFERROR(__xludf.DUMMYFUNCTION("""COMPUTED_VALUE"""),4.28)</f>
        <v>4.28</v>
      </c>
      <c r="C1717" s="1">
        <f>IFERROR(__xludf.DUMMYFUNCTION("""COMPUTED_VALUE"""),4.39)</f>
        <v>4.39</v>
      </c>
      <c r="D1717" s="1">
        <f>IFERROR(__xludf.DUMMYFUNCTION("""COMPUTED_VALUE"""),4.27)</f>
        <v>4.27</v>
      </c>
      <c r="E1717" s="1">
        <f>IFERROR(__xludf.DUMMYFUNCTION("""COMPUTED_VALUE"""),4.37)</f>
        <v>4.37</v>
      </c>
      <c r="F1717" s="1">
        <f>IFERROR(__xludf.DUMMYFUNCTION("""COMPUTED_VALUE"""),8253085.0)</f>
        <v>8253085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IFERROR(__xludf.DUMMYFUNCTION("""COMPUTED_VALUE"""),4.32)</f>
        <v>4.32</v>
      </c>
      <c r="C1718" s="1">
        <f>IFERROR(__xludf.DUMMYFUNCTION("""COMPUTED_VALUE"""),4.39)</f>
        <v>4.39</v>
      </c>
      <c r="D1718" s="1">
        <f>IFERROR(__xludf.DUMMYFUNCTION("""COMPUTED_VALUE"""),4.32)</f>
        <v>4.32</v>
      </c>
      <c r="E1718" s="1">
        <f>IFERROR(__xludf.DUMMYFUNCTION("""COMPUTED_VALUE"""),4.37)</f>
        <v>4.37</v>
      </c>
      <c r="F1718" s="1">
        <f>IFERROR(__xludf.DUMMYFUNCTION("""COMPUTED_VALUE"""),2911663.0)</f>
        <v>2911663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IFERROR(__xludf.DUMMYFUNCTION("""COMPUTED_VALUE"""),4.38)</f>
        <v>4.38</v>
      </c>
      <c r="C1719" s="1">
        <f>IFERROR(__xludf.DUMMYFUNCTION("""COMPUTED_VALUE"""),4.42)</f>
        <v>4.42</v>
      </c>
      <c r="D1719" s="1">
        <f>IFERROR(__xludf.DUMMYFUNCTION("""COMPUTED_VALUE"""),4.36)</f>
        <v>4.36</v>
      </c>
      <c r="E1719" s="1">
        <f>IFERROR(__xludf.DUMMYFUNCTION("""COMPUTED_VALUE"""),4.41)</f>
        <v>4.41</v>
      </c>
      <c r="F1719" s="1">
        <f>IFERROR(__xludf.DUMMYFUNCTION("""COMPUTED_VALUE"""),2043368.0)</f>
        <v>2043368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IFERROR(__xludf.DUMMYFUNCTION("""COMPUTED_VALUE"""),4.39)</f>
        <v>4.39</v>
      </c>
      <c r="C1720" s="1">
        <f>IFERROR(__xludf.DUMMYFUNCTION("""COMPUTED_VALUE"""),4.41)</f>
        <v>4.41</v>
      </c>
      <c r="D1720" s="1">
        <f>IFERROR(__xludf.DUMMYFUNCTION("""COMPUTED_VALUE"""),4.33)</f>
        <v>4.33</v>
      </c>
      <c r="E1720" s="1">
        <f>IFERROR(__xludf.DUMMYFUNCTION("""COMPUTED_VALUE"""),4.37)</f>
        <v>4.37</v>
      </c>
      <c r="F1720" s="1">
        <f>IFERROR(__xludf.DUMMYFUNCTION("""COMPUTED_VALUE"""),2713038.0)</f>
        <v>2713038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IFERROR(__xludf.DUMMYFUNCTION("""COMPUTED_VALUE"""),4.34)</f>
        <v>4.34</v>
      </c>
      <c r="C1721" s="1">
        <f>IFERROR(__xludf.DUMMYFUNCTION("""COMPUTED_VALUE"""),4.35)</f>
        <v>4.35</v>
      </c>
      <c r="D1721" s="1">
        <f>IFERROR(__xludf.DUMMYFUNCTION("""COMPUTED_VALUE"""),4.31)</f>
        <v>4.31</v>
      </c>
      <c r="E1721" s="1">
        <f>IFERROR(__xludf.DUMMYFUNCTION("""COMPUTED_VALUE"""),4.34)</f>
        <v>4.34</v>
      </c>
      <c r="F1721" s="1">
        <f>IFERROR(__xludf.DUMMYFUNCTION("""COMPUTED_VALUE"""),1913261.0)</f>
        <v>1913261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IFERROR(__xludf.DUMMYFUNCTION("""COMPUTED_VALUE"""),4.37)</f>
        <v>4.37</v>
      </c>
      <c r="C1722" s="1">
        <f>IFERROR(__xludf.DUMMYFUNCTION("""COMPUTED_VALUE"""),4.37)</f>
        <v>4.37</v>
      </c>
      <c r="D1722" s="1">
        <f>IFERROR(__xludf.DUMMYFUNCTION("""COMPUTED_VALUE"""),4.3)</f>
        <v>4.3</v>
      </c>
      <c r="E1722" s="1">
        <f>IFERROR(__xludf.DUMMYFUNCTION("""COMPUTED_VALUE"""),4.34)</f>
        <v>4.34</v>
      </c>
      <c r="F1722" s="1">
        <f>IFERROR(__xludf.DUMMYFUNCTION("""COMPUTED_VALUE"""),2885881.0)</f>
        <v>2885881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IFERROR(__xludf.DUMMYFUNCTION("""COMPUTED_VALUE"""),4.29)</f>
        <v>4.29</v>
      </c>
      <c r="C1723" s="1">
        <f>IFERROR(__xludf.DUMMYFUNCTION("""COMPUTED_VALUE"""),4.31)</f>
        <v>4.31</v>
      </c>
      <c r="D1723" s="1">
        <f>IFERROR(__xludf.DUMMYFUNCTION("""COMPUTED_VALUE"""),4.22)</f>
        <v>4.22</v>
      </c>
      <c r="E1723" s="1">
        <f>IFERROR(__xludf.DUMMYFUNCTION("""COMPUTED_VALUE"""),4.24)</f>
        <v>4.24</v>
      </c>
      <c r="F1723" s="1">
        <f>IFERROR(__xludf.DUMMYFUNCTION("""COMPUTED_VALUE"""),2093148.0)</f>
        <v>2093148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IFERROR(__xludf.DUMMYFUNCTION("""COMPUTED_VALUE"""),4.31)</f>
        <v>4.31</v>
      </c>
      <c r="C1724" s="1">
        <f>IFERROR(__xludf.DUMMYFUNCTION("""COMPUTED_VALUE"""),4.34)</f>
        <v>4.34</v>
      </c>
      <c r="D1724" s="1">
        <f>IFERROR(__xludf.DUMMYFUNCTION("""COMPUTED_VALUE"""),4.27)</f>
        <v>4.27</v>
      </c>
      <c r="E1724" s="1">
        <f>IFERROR(__xludf.DUMMYFUNCTION("""COMPUTED_VALUE"""),4.28)</f>
        <v>4.28</v>
      </c>
      <c r="F1724" s="1">
        <f>IFERROR(__xludf.DUMMYFUNCTION("""COMPUTED_VALUE"""),1754560.0)</f>
        <v>1754560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IFERROR(__xludf.DUMMYFUNCTION("""COMPUTED_VALUE"""),4.25)</f>
        <v>4.25</v>
      </c>
      <c r="C1725" s="1">
        <f>IFERROR(__xludf.DUMMYFUNCTION("""COMPUTED_VALUE"""),4.28)</f>
        <v>4.28</v>
      </c>
      <c r="D1725" s="1">
        <f>IFERROR(__xludf.DUMMYFUNCTION("""COMPUTED_VALUE"""),4.22)</f>
        <v>4.22</v>
      </c>
      <c r="E1725" s="1">
        <f>IFERROR(__xludf.DUMMYFUNCTION("""COMPUTED_VALUE"""),4.22)</f>
        <v>4.22</v>
      </c>
      <c r="F1725" s="1">
        <f>IFERROR(__xludf.DUMMYFUNCTION("""COMPUTED_VALUE"""),1308737.0)</f>
        <v>1308737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IFERROR(__xludf.DUMMYFUNCTION("""COMPUTED_VALUE"""),4.34)</f>
        <v>4.34</v>
      </c>
      <c r="C1726" s="1">
        <f>IFERROR(__xludf.DUMMYFUNCTION("""COMPUTED_VALUE"""),4.36)</f>
        <v>4.36</v>
      </c>
      <c r="D1726" s="1">
        <f>IFERROR(__xludf.DUMMYFUNCTION("""COMPUTED_VALUE"""),4.32)</f>
        <v>4.32</v>
      </c>
      <c r="E1726" s="1">
        <f>IFERROR(__xludf.DUMMYFUNCTION("""COMPUTED_VALUE"""),4.36)</f>
        <v>4.36</v>
      </c>
      <c r="F1726" s="1">
        <f>IFERROR(__xludf.DUMMYFUNCTION("""COMPUTED_VALUE"""),1129902.0)</f>
        <v>1129902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IFERROR(__xludf.DUMMYFUNCTION("""COMPUTED_VALUE"""),4.28)</f>
        <v>4.28</v>
      </c>
      <c r="C1727" s="1">
        <f>IFERROR(__xludf.DUMMYFUNCTION("""COMPUTED_VALUE"""),4.41)</f>
        <v>4.41</v>
      </c>
      <c r="D1727" s="1">
        <f>IFERROR(__xludf.DUMMYFUNCTION("""COMPUTED_VALUE"""),4.27)</f>
        <v>4.27</v>
      </c>
      <c r="E1727" s="1">
        <f>IFERROR(__xludf.DUMMYFUNCTION("""COMPUTED_VALUE"""),4.37)</f>
        <v>4.37</v>
      </c>
      <c r="F1727" s="1">
        <f>IFERROR(__xludf.DUMMYFUNCTION("""COMPUTED_VALUE"""),2073845.0)</f>
        <v>2073845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IFERROR(__xludf.DUMMYFUNCTION("""COMPUTED_VALUE"""),4.43)</f>
        <v>4.43</v>
      </c>
      <c r="C1728" s="1">
        <f>IFERROR(__xludf.DUMMYFUNCTION("""COMPUTED_VALUE"""),4.62)</f>
        <v>4.62</v>
      </c>
      <c r="D1728" s="1">
        <f>IFERROR(__xludf.DUMMYFUNCTION("""COMPUTED_VALUE"""),4.43)</f>
        <v>4.43</v>
      </c>
      <c r="E1728" s="1">
        <f>IFERROR(__xludf.DUMMYFUNCTION("""COMPUTED_VALUE"""),4.57)</f>
        <v>4.57</v>
      </c>
      <c r="F1728" s="1">
        <f>IFERROR(__xludf.DUMMYFUNCTION("""COMPUTED_VALUE"""),2582427.0)</f>
        <v>2582427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IFERROR(__xludf.DUMMYFUNCTION("""COMPUTED_VALUE"""),5.03)</f>
        <v>5.03</v>
      </c>
      <c r="C1729" s="1">
        <f>IFERROR(__xludf.DUMMYFUNCTION("""COMPUTED_VALUE"""),5.19)</f>
        <v>5.19</v>
      </c>
      <c r="D1729" s="1">
        <f>IFERROR(__xludf.DUMMYFUNCTION("""COMPUTED_VALUE"""),5.03)</f>
        <v>5.03</v>
      </c>
      <c r="E1729" s="1">
        <f>IFERROR(__xludf.DUMMYFUNCTION("""COMPUTED_VALUE"""),5.15)</f>
        <v>5.15</v>
      </c>
      <c r="F1729" s="1">
        <f>IFERROR(__xludf.DUMMYFUNCTION("""COMPUTED_VALUE"""),4488362.0)</f>
        <v>4488362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IFERROR(__xludf.DUMMYFUNCTION("""COMPUTED_VALUE"""),5.08)</f>
        <v>5.08</v>
      </c>
      <c r="C1730" s="1">
        <f>IFERROR(__xludf.DUMMYFUNCTION("""COMPUTED_VALUE"""),5.12)</f>
        <v>5.12</v>
      </c>
      <c r="D1730" s="1">
        <f>IFERROR(__xludf.DUMMYFUNCTION("""COMPUTED_VALUE"""),5.05)</f>
        <v>5.05</v>
      </c>
      <c r="E1730" s="1">
        <f>IFERROR(__xludf.DUMMYFUNCTION("""COMPUTED_VALUE"""),5.11)</f>
        <v>5.11</v>
      </c>
      <c r="F1730" s="1">
        <f>IFERROR(__xludf.DUMMYFUNCTION("""COMPUTED_VALUE"""),2337814.0)</f>
        <v>2337814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IFERROR(__xludf.DUMMYFUNCTION("""COMPUTED_VALUE"""),5.21)</f>
        <v>5.21</v>
      </c>
      <c r="C1731" s="1">
        <f>IFERROR(__xludf.DUMMYFUNCTION("""COMPUTED_VALUE"""),5.26)</f>
        <v>5.26</v>
      </c>
      <c r="D1731" s="1">
        <f>IFERROR(__xludf.DUMMYFUNCTION("""COMPUTED_VALUE"""),5.2)</f>
        <v>5.2</v>
      </c>
      <c r="E1731" s="1">
        <f>IFERROR(__xludf.DUMMYFUNCTION("""COMPUTED_VALUE"""),5.24)</f>
        <v>5.24</v>
      </c>
      <c r="F1731" s="1">
        <f>IFERROR(__xludf.DUMMYFUNCTION("""COMPUTED_VALUE"""),3086957.0)</f>
        <v>3086957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IFERROR(__xludf.DUMMYFUNCTION("""COMPUTED_VALUE"""),5.18)</f>
        <v>5.18</v>
      </c>
      <c r="C1732" s="1">
        <f>IFERROR(__xludf.DUMMYFUNCTION("""COMPUTED_VALUE"""),5.21)</f>
        <v>5.21</v>
      </c>
      <c r="D1732" s="1">
        <f>IFERROR(__xludf.DUMMYFUNCTION("""COMPUTED_VALUE"""),5.11)</f>
        <v>5.11</v>
      </c>
      <c r="E1732" s="1">
        <f>IFERROR(__xludf.DUMMYFUNCTION("""COMPUTED_VALUE"""),5.2)</f>
        <v>5.2</v>
      </c>
      <c r="F1732" s="1">
        <f>IFERROR(__xludf.DUMMYFUNCTION("""COMPUTED_VALUE"""),2017412.0)</f>
        <v>2017412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IFERROR(__xludf.DUMMYFUNCTION("""COMPUTED_VALUE"""),5.13)</f>
        <v>5.13</v>
      </c>
      <c r="C1733" s="1">
        <f>IFERROR(__xludf.DUMMYFUNCTION("""COMPUTED_VALUE"""),5.15)</f>
        <v>5.15</v>
      </c>
      <c r="D1733" s="1">
        <f>IFERROR(__xludf.DUMMYFUNCTION("""COMPUTED_VALUE"""),5.05)</f>
        <v>5.05</v>
      </c>
      <c r="E1733" s="1">
        <f>IFERROR(__xludf.DUMMYFUNCTION("""COMPUTED_VALUE"""),5.06)</f>
        <v>5.06</v>
      </c>
      <c r="F1733" s="1">
        <f>IFERROR(__xludf.DUMMYFUNCTION("""COMPUTED_VALUE"""),3011099.0)</f>
        <v>3011099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IFERROR(__xludf.DUMMYFUNCTION("""COMPUTED_VALUE"""),5.08)</f>
        <v>5.08</v>
      </c>
      <c r="C1734" s="1">
        <f>IFERROR(__xludf.DUMMYFUNCTION("""COMPUTED_VALUE"""),5.15)</f>
        <v>5.15</v>
      </c>
      <c r="D1734" s="1">
        <f>IFERROR(__xludf.DUMMYFUNCTION("""COMPUTED_VALUE"""),5.07)</f>
        <v>5.07</v>
      </c>
      <c r="E1734" s="1">
        <f>IFERROR(__xludf.DUMMYFUNCTION("""COMPUTED_VALUE"""),5.12)</f>
        <v>5.12</v>
      </c>
      <c r="F1734" s="1">
        <f>IFERROR(__xludf.DUMMYFUNCTION("""COMPUTED_VALUE"""),2823833.0)</f>
        <v>2823833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IFERROR(__xludf.DUMMYFUNCTION("""COMPUTED_VALUE"""),5.1)</f>
        <v>5.1</v>
      </c>
      <c r="C1735" s="1">
        <f>IFERROR(__xludf.DUMMYFUNCTION("""COMPUTED_VALUE"""),5.13)</f>
        <v>5.13</v>
      </c>
      <c r="D1735" s="1">
        <f>IFERROR(__xludf.DUMMYFUNCTION("""COMPUTED_VALUE"""),5.06)</f>
        <v>5.06</v>
      </c>
      <c r="E1735" s="1">
        <f>IFERROR(__xludf.DUMMYFUNCTION("""COMPUTED_VALUE"""),5.07)</f>
        <v>5.07</v>
      </c>
      <c r="F1735" s="1">
        <f>IFERROR(__xludf.DUMMYFUNCTION("""COMPUTED_VALUE"""),2135336.0)</f>
        <v>2135336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IFERROR(__xludf.DUMMYFUNCTION("""COMPUTED_VALUE"""),5.08)</f>
        <v>5.08</v>
      </c>
      <c r="C1736" s="1">
        <f>IFERROR(__xludf.DUMMYFUNCTION("""COMPUTED_VALUE"""),5.09)</f>
        <v>5.09</v>
      </c>
      <c r="D1736" s="1">
        <f>IFERROR(__xludf.DUMMYFUNCTION("""COMPUTED_VALUE"""),5.04)</f>
        <v>5.04</v>
      </c>
      <c r="E1736" s="1">
        <f>IFERROR(__xludf.DUMMYFUNCTION("""COMPUTED_VALUE"""),5.08)</f>
        <v>5.08</v>
      </c>
      <c r="F1736" s="1">
        <f>IFERROR(__xludf.DUMMYFUNCTION("""COMPUTED_VALUE"""),1992592.0)</f>
        <v>1992592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IFERROR(__xludf.DUMMYFUNCTION("""COMPUTED_VALUE"""),5.16)</f>
        <v>5.16</v>
      </c>
      <c r="C1737" s="1">
        <f>IFERROR(__xludf.DUMMYFUNCTION("""COMPUTED_VALUE"""),5.19)</f>
        <v>5.19</v>
      </c>
      <c r="D1737" s="1">
        <f>IFERROR(__xludf.DUMMYFUNCTION("""COMPUTED_VALUE"""),5.14)</f>
        <v>5.14</v>
      </c>
      <c r="E1737" s="1">
        <f>IFERROR(__xludf.DUMMYFUNCTION("""COMPUTED_VALUE"""),5.19)</f>
        <v>5.19</v>
      </c>
      <c r="F1737" s="1">
        <f>IFERROR(__xludf.DUMMYFUNCTION("""COMPUTED_VALUE"""),1811384.0)</f>
        <v>1811384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IFERROR(__xludf.DUMMYFUNCTION("""COMPUTED_VALUE"""),5.09)</f>
        <v>5.09</v>
      </c>
      <c r="C1738" s="1">
        <f>IFERROR(__xludf.DUMMYFUNCTION("""COMPUTED_VALUE"""),5.14)</f>
        <v>5.14</v>
      </c>
      <c r="D1738" s="1">
        <f>IFERROR(__xludf.DUMMYFUNCTION("""COMPUTED_VALUE"""),5.07)</f>
        <v>5.07</v>
      </c>
      <c r="E1738" s="1">
        <f>IFERROR(__xludf.DUMMYFUNCTION("""COMPUTED_VALUE"""),5.12)</f>
        <v>5.12</v>
      </c>
      <c r="F1738" s="1">
        <f>IFERROR(__xludf.DUMMYFUNCTION("""COMPUTED_VALUE"""),1721582.0)</f>
        <v>1721582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IFERROR(__xludf.DUMMYFUNCTION("""COMPUTED_VALUE"""),5.12)</f>
        <v>5.12</v>
      </c>
      <c r="C1739" s="1">
        <f>IFERROR(__xludf.DUMMYFUNCTION("""COMPUTED_VALUE"""),5.15)</f>
        <v>5.15</v>
      </c>
      <c r="D1739" s="1">
        <f>IFERROR(__xludf.DUMMYFUNCTION("""COMPUTED_VALUE"""),5.1)</f>
        <v>5.1</v>
      </c>
      <c r="E1739" s="1">
        <f>IFERROR(__xludf.DUMMYFUNCTION("""COMPUTED_VALUE"""),5.14)</f>
        <v>5.14</v>
      </c>
      <c r="F1739" s="1">
        <f>IFERROR(__xludf.DUMMYFUNCTION("""COMPUTED_VALUE"""),1072472.0)</f>
        <v>1072472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IFERROR(__xludf.DUMMYFUNCTION("""COMPUTED_VALUE"""),5.05)</f>
        <v>5.05</v>
      </c>
      <c r="C1740" s="1">
        <f>IFERROR(__xludf.DUMMYFUNCTION("""COMPUTED_VALUE"""),5.07)</f>
        <v>5.07</v>
      </c>
      <c r="D1740" s="1">
        <f>IFERROR(__xludf.DUMMYFUNCTION("""COMPUTED_VALUE"""),5.0)</f>
        <v>5</v>
      </c>
      <c r="E1740" s="1">
        <f>IFERROR(__xludf.DUMMYFUNCTION("""COMPUTED_VALUE"""),5.01)</f>
        <v>5.01</v>
      </c>
      <c r="F1740" s="1">
        <f>IFERROR(__xludf.DUMMYFUNCTION("""COMPUTED_VALUE"""),2211169.0)</f>
        <v>2211169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IFERROR(__xludf.DUMMYFUNCTION("""COMPUTED_VALUE"""),5.07)</f>
        <v>5.07</v>
      </c>
      <c r="C1741" s="1">
        <f>IFERROR(__xludf.DUMMYFUNCTION("""COMPUTED_VALUE"""),5.1)</f>
        <v>5.1</v>
      </c>
      <c r="D1741" s="1">
        <f>IFERROR(__xludf.DUMMYFUNCTION("""COMPUTED_VALUE"""),5.04)</f>
        <v>5.04</v>
      </c>
      <c r="E1741" s="1">
        <f>IFERROR(__xludf.DUMMYFUNCTION("""COMPUTED_VALUE"""),5.09)</f>
        <v>5.09</v>
      </c>
      <c r="F1741" s="1">
        <f>IFERROR(__xludf.DUMMYFUNCTION("""COMPUTED_VALUE"""),1729623.0)</f>
        <v>1729623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IFERROR(__xludf.DUMMYFUNCTION("""COMPUTED_VALUE"""),5.09)</f>
        <v>5.09</v>
      </c>
      <c r="C1742" s="1">
        <f>IFERROR(__xludf.DUMMYFUNCTION("""COMPUTED_VALUE"""),5.15)</f>
        <v>5.15</v>
      </c>
      <c r="D1742" s="1">
        <f>IFERROR(__xludf.DUMMYFUNCTION("""COMPUTED_VALUE"""),5.08)</f>
        <v>5.08</v>
      </c>
      <c r="E1742" s="1">
        <f>IFERROR(__xludf.DUMMYFUNCTION("""COMPUTED_VALUE"""),5.1)</f>
        <v>5.1</v>
      </c>
      <c r="F1742" s="1">
        <f>IFERROR(__xludf.DUMMYFUNCTION("""COMPUTED_VALUE"""),1923566.0)</f>
        <v>1923566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IFERROR(__xludf.DUMMYFUNCTION("""COMPUTED_VALUE"""),5.09)</f>
        <v>5.09</v>
      </c>
      <c r="C1743" s="1">
        <f>IFERROR(__xludf.DUMMYFUNCTION("""COMPUTED_VALUE"""),5.15)</f>
        <v>5.15</v>
      </c>
      <c r="D1743" s="1">
        <f>IFERROR(__xludf.DUMMYFUNCTION("""COMPUTED_VALUE"""),5.06)</f>
        <v>5.06</v>
      </c>
      <c r="E1743" s="1">
        <f>IFERROR(__xludf.DUMMYFUNCTION("""COMPUTED_VALUE"""),5.11)</f>
        <v>5.11</v>
      </c>
      <c r="F1743" s="1">
        <f>IFERROR(__xludf.DUMMYFUNCTION("""COMPUTED_VALUE"""),3431100.0)</f>
        <v>3431100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IFERROR(__xludf.DUMMYFUNCTION("""COMPUTED_VALUE"""),5.1)</f>
        <v>5.1</v>
      </c>
      <c r="C1744" s="1">
        <f>IFERROR(__xludf.DUMMYFUNCTION("""COMPUTED_VALUE"""),5.14)</f>
        <v>5.14</v>
      </c>
      <c r="D1744" s="1">
        <f>IFERROR(__xludf.DUMMYFUNCTION("""COMPUTED_VALUE"""),5.08)</f>
        <v>5.08</v>
      </c>
      <c r="E1744" s="1">
        <f>IFERROR(__xludf.DUMMYFUNCTION("""COMPUTED_VALUE"""),5.1)</f>
        <v>5.1</v>
      </c>
      <c r="F1744" s="1">
        <f>IFERROR(__xludf.DUMMYFUNCTION("""COMPUTED_VALUE"""),1095267.0)</f>
        <v>1095267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IFERROR(__xludf.DUMMYFUNCTION("""COMPUTED_VALUE"""),5.27)</f>
        <v>5.27</v>
      </c>
      <c r="C1745" s="1">
        <f>IFERROR(__xludf.DUMMYFUNCTION("""COMPUTED_VALUE"""),5.37)</f>
        <v>5.37</v>
      </c>
      <c r="D1745" s="1">
        <f>IFERROR(__xludf.DUMMYFUNCTION("""COMPUTED_VALUE"""),5.26)</f>
        <v>5.26</v>
      </c>
      <c r="E1745" s="1">
        <f>IFERROR(__xludf.DUMMYFUNCTION("""COMPUTED_VALUE"""),5.37)</f>
        <v>5.37</v>
      </c>
      <c r="F1745" s="1">
        <f>IFERROR(__xludf.DUMMYFUNCTION("""COMPUTED_VALUE"""),1994138.0)</f>
        <v>1994138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IFERROR(__xludf.DUMMYFUNCTION("""COMPUTED_VALUE"""),5.34)</f>
        <v>5.34</v>
      </c>
      <c r="C1746" s="1">
        <f>IFERROR(__xludf.DUMMYFUNCTION("""COMPUTED_VALUE"""),5.47)</f>
        <v>5.47</v>
      </c>
      <c r="D1746" s="1">
        <f>IFERROR(__xludf.DUMMYFUNCTION("""COMPUTED_VALUE"""),5.33)</f>
        <v>5.33</v>
      </c>
      <c r="E1746" s="1">
        <f>IFERROR(__xludf.DUMMYFUNCTION("""COMPUTED_VALUE"""),5.44)</f>
        <v>5.44</v>
      </c>
      <c r="F1746" s="1">
        <f>IFERROR(__xludf.DUMMYFUNCTION("""COMPUTED_VALUE"""),2549551.0)</f>
        <v>2549551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IFERROR(__xludf.DUMMYFUNCTION("""COMPUTED_VALUE"""),5.56)</f>
        <v>5.56</v>
      </c>
      <c r="C1747" s="1">
        <f>IFERROR(__xludf.DUMMYFUNCTION("""COMPUTED_VALUE"""),5.72)</f>
        <v>5.72</v>
      </c>
      <c r="D1747" s="1">
        <f>IFERROR(__xludf.DUMMYFUNCTION("""COMPUTED_VALUE"""),5.56)</f>
        <v>5.56</v>
      </c>
      <c r="E1747" s="1">
        <f>IFERROR(__xludf.DUMMYFUNCTION("""COMPUTED_VALUE"""),5.71)</f>
        <v>5.71</v>
      </c>
      <c r="F1747" s="1">
        <f>IFERROR(__xludf.DUMMYFUNCTION("""COMPUTED_VALUE"""),2901729.0)</f>
        <v>2901729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IFERROR(__xludf.DUMMYFUNCTION("""COMPUTED_VALUE"""),5.59)</f>
        <v>5.59</v>
      </c>
      <c r="C1748" s="1">
        <f>IFERROR(__xludf.DUMMYFUNCTION("""COMPUTED_VALUE"""),5.72)</f>
        <v>5.72</v>
      </c>
      <c r="D1748" s="1">
        <f>IFERROR(__xludf.DUMMYFUNCTION("""COMPUTED_VALUE"""),5.59)</f>
        <v>5.59</v>
      </c>
      <c r="E1748" s="1">
        <f>IFERROR(__xludf.DUMMYFUNCTION("""COMPUTED_VALUE"""),5.68)</f>
        <v>5.68</v>
      </c>
      <c r="F1748" s="1">
        <f>IFERROR(__xludf.DUMMYFUNCTION("""COMPUTED_VALUE"""),3631509.0)</f>
        <v>3631509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IFERROR(__xludf.DUMMYFUNCTION("""COMPUTED_VALUE"""),5.52)</f>
        <v>5.52</v>
      </c>
      <c r="C1749" s="1">
        <f>IFERROR(__xludf.DUMMYFUNCTION("""COMPUTED_VALUE"""),5.57)</f>
        <v>5.57</v>
      </c>
      <c r="D1749" s="1">
        <f>IFERROR(__xludf.DUMMYFUNCTION("""COMPUTED_VALUE"""),5.5)</f>
        <v>5.5</v>
      </c>
      <c r="E1749" s="1">
        <f>IFERROR(__xludf.DUMMYFUNCTION("""COMPUTED_VALUE"""),5.57)</f>
        <v>5.57</v>
      </c>
      <c r="F1749" s="1">
        <f>IFERROR(__xludf.DUMMYFUNCTION("""COMPUTED_VALUE"""),2557640.0)</f>
        <v>2557640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IFERROR(__xludf.DUMMYFUNCTION("""COMPUTED_VALUE"""),5.58)</f>
        <v>5.58</v>
      </c>
      <c r="C1750" s="1">
        <f>IFERROR(__xludf.DUMMYFUNCTION("""COMPUTED_VALUE"""),5.59)</f>
        <v>5.59</v>
      </c>
      <c r="D1750" s="1">
        <f>IFERROR(__xludf.DUMMYFUNCTION("""COMPUTED_VALUE"""),5.54)</f>
        <v>5.54</v>
      </c>
      <c r="E1750" s="1">
        <f>IFERROR(__xludf.DUMMYFUNCTION("""COMPUTED_VALUE"""),5.55)</f>
        <v>5.55</v>
      </c>
      <c r="F1750" s="1">
        <f>IFERROR(__xludf.DUMMYFUNCTION("""COMPUTED_VALUE"""),1428605.0)</f>
        <v>1428605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IFERROR(__xludf.DUMMYFUNCTION("""COMPUTED_VALUE"""),5.58)</f>
        <v>5.58</v>
      </c>
      <c r="C1751" s="1">
        <f>IFERROR(__xludf.DUMMYFUNCTION("""COMPUTED_VALUE"""),5.6)</f>
        <v>5.6</v>
      </c>
      <c r="D1751" s="1">
        <f>IFERROR(__xludf.DUMMYFUNCTION("""COMPUTED_VALUE"""),5.55)</f>
        <v>5.55</v>
      </c>
      <c r="E1751" s="1">
        <f>IFERROR(__xludf.DUMMYFUNCTION("""COMPUTED_VALUE"""),5.59)</f>
        <v>5.59</v>
      </c>
      <c r="F1751" s="1">
        <f>IFERROR(__xludf.DUMMYFUNCTION("""COMPUTED_VALUE"""),1718194.0)</f>
        <v>1718194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IFERROR(__xludf.DUMMYFUNCTION("""COMPUTED_VALUE"""),5.56)</f>
        <v>5.56</v>
      </c>
      <c r="C1752" s="1">
        <f>IFERROR(__xludf.DUMMYFUNCTION("""COMPUTED_VALUE"""),5.61)</f>
        <v>5.61</v>
      </c>
      <c r="D1752" s="1">
        <f>IFERROR(__xludf.DUMMYFUNCTION("""COMPUTED_VALUE"""),5.5)</f>
        <v>5.5</v>
      </c>
      <c r="E1752" s="1">
        <f>IFERROR(__xludf.DUMMYFUNCTION("""COMPUTED_VALUE"""),5.52)</f>
        <v>5.52</v>
      </c>
      <c r="F1752" s="1">
        <f>IFERROR(__xludf.DUMMYFUNCTION("""COMPUTED_VALUE"""),1955573.0)</f>
        <v>1955573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IFERROR(__xludf.DUMMYFUNCTION("""COMPUTED_VALUE"""),5.49)</f>
        <v>5.49</v>
      </c>
      <c r="C1753" s="1">
        <f>IFERROR(__xludf.DUMMYFUNCTION("""COMPUTED_VALUE"""),5.51)</f>
        <v>5.51</v>
      </c>
      <c r="D1753" s="1">
        <f>IFERROR(__xludf.DUMMYFUNCTION("""COMPUTED_VALUE"""),5.45)</f>
        <v>5.45</v>
      </c>
      <c r="E1753" s="1">
        <f>IFERROR(__xludf.DUMMYFUNCTION("""COMPUTED_VALUE"""),5.47)</f>
        <v>5.47</v>
      </c>
      <c r="F1753" s="1">
        <f>IFERROR(__xludf.DUMMYFUNCTION("""COMPUTED_VALUE"""),1663366.0)</f>
        <v>1663366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IFERROR(__xludf.DUMMYFUNCTION("""COMPUTED_VALUE"""),5.53)</f>
        <v>5.53</v>
      </c>
      <c r="C1754" s="1">
        <f>IFERROR(__xludf.DUMMYFUNCTION("""COMPUTED_VALUE"""),5.56)</f>
        <v>5.56</v>
      </c>
      <c r="D1754" s="1">
        <f>IFERROR(__xludf.DUMMYFUNCTION("""COMPUTED_VALUE"""),5.5)</f>
        <v>5.5</v>
      </c>
      <c r="E1754" s="1">
        <f>IFERROR(__xludf.DUMMYFUNCTION("""COMPUTED_VALUE"""),5.52)</f>
        <v>5.52</v>
      </c>
      <c r="F1754" s="1">
        <f>IFERROR(__xludf.DUMMYFUNCTION("""COMPUTED_VALUE"""),1512787.0)</f>
        <v>1512787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IFERROR(__xludf.DUMMYFUNCTION("""COMPUTED_VALUE"""),5.46)</f>
        <v>5.46</v>
      </c>
      <c r="C1755" s="1">
        <f>IFERROR(__xludf.DUMMYFUNCTION("""COMPUTED_VALUE"""),5.49)</f>
        <v>5.49</v>
      </c>
      <c r="D1755" s="1">
        <f>IFERROR(__xludf.DUMMYFUNCTION("""COMPUTED_VALUE"""),5.44)</f>
        <v>5.44</v>
      </c>
      <c r="E1755" s="1">
        <f>IFERROR(__xludf.DUMMYFUNCTION("""COMPUTED_VALUE"""),5.45)</f>
        <v>5.45</v>
      </c>
      <c r="F1755" s="1">
        <f>IFERROR(__xludf.DUMMYFUNCTION("""COMPUTED_VALUE"""),2127149.0)</f>
        <v>2127149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IFERROR(__xludf.DUMMYFUNCTION("""COMPUTED_VALUE"""),5.46)</f>
        <v>5.46</v>
      </c>
      <c r="C1756" s="1">
        <f>IFERROR(__xludf.DUMMYFUNCTION("""COMPUTED_VALUE"""),5.5)</f>
        <v>5.5</v>
      </c>
      <c r="D1756" s="1">
        <f>IFERROR(__xludf.DUMMYFUNCTION("""COMPUTED_VALUE"""),5.46)</f>
        <v>5.46</v>
      </c>
      <c r="E1756" s="1">
        <f>IFERROR(__xludf.DUMMYFUNCTION("""COMPUTED_VALUE"""),5.47)</f>
        <v>5.47</v>
      </c>
      <c r="F1756" s="1">
        <f>IFERROR(__xludf.DUMMYFUNCTION("""COMPUTED_VALUE"""),2560285.0)</f>
        <v>2560285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IFERROR(__xludf.DUMMYFUNCTION("""COMPUTED_VALUE"""),5.52)</f>
        <v>5.52</v>
      </c>
      <c r="C1757" s="1">
        <f>IFERROR(__xludf.DUMMYFUNCTION("""COMPUTED_VALUE"""),5.55)</f>
        <v>5.55</v>
      </c>
      <c r="D1757" s="1">
        <f>IFERROR(__xludf.DUMMYFUNCTION("""COMPUTED_VALUE"""),5.5)</f>
        <v>5.5</v>
      </c>
      <c r="E1757" s="1">
        <f>IFERROR(__xludf.DUMMYFUNCTION("""COMPUTED_VALUE"""),5.53)</f>
        <v>5.53</v>
      </c>
      <c r="F1757" s="1">
        <f>IFERROR(__xludf.DUMMYFUNCTION("""COMPUTED_VALUE"""),1323799.0)</f>
        <v>1323799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IFERROR(__xludf.DUMMYFUNCTION("""COMPUTED_VALUE"""),5.54)</f>
        <v>5.54</v>
      </c>
      <c r="C1758" s="1">
        <f>IFERROR(__xludf.DUMMYFUNCTION("""COMPUTED_VALUE"""),5.57)</f>
        <v>5.57</v>
      </c>
      <c r="D1758" s="1">
        <f>IFERROR(__xludf.DUMMYFUNCTION("""COMPUTED_VALUE"""),5.51)</f>
        <v>5.51</v>
      </c>
      <c r="E1758" s="1">
        <f>IFERROR(__xludf.DUMMYFUNCTION("""COMPUTED_VALUE"""),5.54)</f>
        <v>5.54</v>
      </c>
      <c r="F1758" s="1">
        <f>IFERROR(__xludf.DUMMYFUNCTION("""COMPUTED_VALUE"""),1601186.0)</f>
        <v>1601186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IFERROR(__xludf.DUMMYFUNCTION("""COMPUTED_VALUE"""),5.53)</f>
        <v>5.53</v>
      </c>
      <c r="C1759" s="1">
        <f>IFERROR(__xludf.DUMMYFUNCTION("""COMPUTED_VALUE"""),5.57)</f>
        <v>5.57</v>
      </c>
      <c r="D1759" s="1">
        <f>IFERROR(__xludf.DUMMYFUNCTION("""COMPUTED_VALUE"""),5.51)</f>
        <v>5.51</v>
      </c>
      <c r="E1759" s="1">
        <f>IFERROR(__xludf.DUMMYFUNCTION("""COMPUTED_VALUE"""),5.56)</f>
        <v>5.56</v>
      </c>
      <c r="F1759" s="1">
        <f>IFERROR(__xludf.DUMMYFUNCTION("""COMPUTED_VALUE"""),875994.0)</f>
        <v>875994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IFERROR(__xludf.DUMMYFUNCTION("""COMPUTED_VALUE"""),5.54)</f>
        <v>5.54</v>
      </c>
      <c r="C1760" s="1">
        <f>IFERROR(__xludf.DUMMYFUNCTION("""COMPUTED_VALUE"""),5.56)</f>
        <v>5.56</v>
      </c>
      <c r="D1760" s="1">
        <f>IFERROR(__xludf.DUMMYFUNCTION("""COMPUTED_VALUE"""),5.51)</f>
        <v>5.51</v>
      </c>
      <c r="E1760" s="1">
        <f>IFERROR(__xludf.DUMMYFUNCTION("""COMPUTED_VALUE"""),5.55)</f>
        <v>5.55</v>
      </c>
      <c r="F1760" s="1">
        <f>IFERROR(__xludf.DUMMYFUNCTION("""COMPUTED_VALUE"""),966499.0)</f>
        <v>966499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IFERROR(__xludf.DUMMYFUNCTION("""COMPUTED_VALUE"""),5.49)</f>
        <v>5.49</v>
      </c>
      <c r="C1761" s="1">
        <f>IFERROR(__xludf.DUMMYFUNCTION("""COMPUTED_VALUE"""),5.5)</f>
        <v>5.5</v>
      </c>
      <c r="D1761" s="1">
        <f>IFERROR(__xludf.DUMMYFUNCTION("""COMPUTED_VALUE"""),5.45)</f>
        <v>5.45</v>
      </c>
      <c r="E1761" s="1">
        <f>IFERROR(__xludf.DUMMYFUNCTION("""COMPUTED_VALUE"""),5.46)</f>
        <v>5.46</v>
      </c>
      <c r="F1761" s="1">
        <f>IFERROR(__xludf.DUMMYFUNCTION("""COMPUTED_VALUE"""),811080.0)</f>
        <v>811080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IFERROR(__xludf.DUMMYFUNCTION("""COMPUTED_VALUE"""),5.47)</f>
        <v>5.47</v>
      </c>
      <c r="C1762" s="1">
        <f>IFERROR(__xludf.DUMMYFUNCTION("""COMPUTED_VALUE"""),5.5)</f>
        <v>5.5</v>
      </c>
      <c r="D1762" s="1">
        <f>IFERROR(__xludf.DUMMYFUNCTION("""COMPUTED_VALUE"""),5.46)</f>
        <v>5.46</v>
      </c>
      <c r="E1762" s="1">
        <f>IFERROR(__xludf.DUMMYFUNCTION("""COMPUTED_VALUE"""),5.47)</f>
        <v>5.47</v>
      </c>
      <c r="F1762" s="1">
        <f>IFERROR(__xludf.DUMMYFUNCTION("""COMPUTED_VALUE"""),898413.0)</f>
        <v>898413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IFERROR(__xludf.DUMMYFUNCTION("""COMPUTED_VALUE"""),5.54)</f>
        <v>5.54</v>
      </c>
      <c r="C1763" s="1">
        <f>IFERROR(__xludf.DUMMYFUNCTION("""COMPUTED_VALUE"""),5.57)</f>
        <v>5.57</v>
      </c>
      <c r="D1763" s="1">
        <f>IFERROR(__xludf.DUMMYFUNCTION("""COMPUTED_VALUE"""),5.5)</f>
        <v>5.5</v>
      </c>
      <c r="E1763" s="1">
        <f>IFERROR(__xludf.DUMMYFUNCTION("""COMPUTED_VALUE"""),5.53)</f>
        <v>5.53</v>
      </c>
      <c r="F1763" s="1">
        <f>IFERROR(__xludf.DUMMYFUNCTION("""COMPUTED_VALUE"""),1654173.0)</f>
        <v>1654173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IFERROR(__xludf.DUMMYFUNCTION("""COMPUTED_VALUE"""),5.59)</f>
        <v>5.59</v>
      </c>
      <c r="C1764" s="1">
        <f>IFERROR(__xludf.DUMMYFUNCTION("""COMPUTED_VALUE"""),5.64)</f>
        <v>5.64</v>
      </c>
      <c r="D1764" s="1">
        <f>IFERROR(__xludf.DUMMYFUNCTION("""COMPUTED_VALUE"""),5.56)</f>
        <v>5.56</v>
      </c>
      <c r="E1764" s="1">
        <f>IFERROR(__xludf.DUMMYFUNCTION("""COMPUTED_VALUE"""),5.64)</f>
        <v>5.64</v>
      </c>
      <c r="F1764" s="1">
        <f>IFERROR(__xludf.DUMMYFUNCTION("""COMPUTED_VALUE"""),1777925.0)</f>
        <v>1777925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IFERROR(__xludf.DUMMYFUNCTION("""COMPUTED_VALUE"""),5.62)</f>
        <v>5.62</v>
      </c>
      <c r="C1765" s="1">
        <f>IFERROR(__xludf.DUMMYFUNCTION("""COMPUTED_VALUE"""),5.71)</f>
        <v>5.71</v>
      </c>
      <c r="D1765" s="1">
        <f>IFERROR(__xludf.DUMMYFUNCTION("""COMPUTED_VALUE"""),5.62)</f>
        <v>5.62</v>
      </c>
      <c r="E1765" s="1">
        <f>IFERROR(__xludf.DUMMYFUNCTION("""COMPUTED_VALUE"""),5.69)</f>
        <v>5.69</v>
      </c>
      <c r="F1765" s="1">
        <f>IFERROR(__xludf.DUMMYFUNCTION("""COMPUTED_VALUE"""),1779255.0)</f>
        <v>1779255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IFERROR(__xludf.DUMMYFUNCTION("""COMPUTED_VALUE"""),5.69)</f>
        <v>5.69</v>
      </c>
      <c r="C1766" s="1">
        <f>IFERROR(__xludf.DUMMYFUNCTION("""COMPUTED_VALUE"""),5.7)</f>
        <v>5.7</v>
      </c>
      <c r="D1766" s="1">
        <f>IFERROR(__xludf.DUMMYFUNCTION("""COMPUTED_VALUE"""),5.63)</f>
        <v>5.63</v>
      </c>
      <c r="E1766" s="1">
        <f>IFERROR(__xludf.DUMMYFUNCTION("""COMPUTED_VALUE"""),5.66)</f>
        <v>5.66</v>
      </c>
      <c r="F1766" s="1">
        <f>IFERROR(__xludf.DUMMYFUNCTION("""COMPUTED_VALUE"""),1822147.0)</f>
        <v>1822147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IFERROR(__xludf.DUMMYFUNCTION("""COMPUTED_VALUE"""),5.61)</f>
        <v>5.61</v>
      </c>
      <c r="C1767" s="1">
        <f>IFERROR(__xludf.DUMMYFUNCTION("""COMPUTED_VALUE"""),5.68)</f>
        <v>5.68</v>
      </c>
      <c r="D1767" s="1">
        <f>IFERROR(__xludf.DUMMYFUNCTION("""COMPUTED_VALUE"""),5.6)</f>
        <v>5.6</v>
      </c>
      <c r="E1767" s="1">
        <f>IFERROR(__xludf.DUMMYFUNCTION("""COMPUTED_VALUE"""),5.64)</f>
        <v>5.64</v>
      </c>
      <c r="F1767" s="1">
        <f>IFERROR(__xludf.DUMMYFUNCTION("""COMPUTED_VALUE"""),3164732.0)</f>
        <v>3164732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IFERROR(__xludf.DUMMYFUNCTION("""COMPUTED_VALUE"""),5.52)</f>
        <v>5.52</v>
      </c>
      <c r="C1768" s="1">
        <f>IFERROR(__xludf.DUMMYFUNCTION("""COMPUTED_VALUE"""),5.52)</f>
        <v>5.52</v>
      </c>
      <c r="D1768" s="1">
        <f>IFERROR(__xludf.DUMMYFUNCTION("""COMPUTED_VALUE"""),5.44)</f>
        <v>5.44</v>
      </c>
      <c r="E1768" s="1">
        <f>IFERROR(__xludf.DUMMYFUNCTION("""COMPUTED_VALUE"""),5.44)</f>
        <v>5.44</v>
      </c>
      <c r="F1768" s="1">
        <f>IFERROR(__xludf.DUMMYFUNCTION("""COMPUTED_VALUE"""),2675934.0)</f>
        <v>2675934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IFERROR(__xludf.DUMMYFUNCTION("""COMPUTED_VALUE"""),5.46)</f>
        <v>5.46</v>
      </c>
      <c r="C1769" s="1">
        <f>IFERROR(__xludf.DUMMYFUNCTION("""COMPUTED_VALUE"""),5.51)</f>
        <v>5.51</v>
      </c>
      <c r="D1769" s="1">
        <f>IFERROR(__xludf.DUMMYFUNCTION("""COMPUTED_VALUE"""),5.45)</f>
        <v>5.45</v>
      </c>
      <c r="E1769" s="1">
        <f>IFERROR(__xludf.DUMMYFUNCTION("""COMPUTED_VALUE"""),5.47)</f>
        <v>5.47</v>
      </c>
      <c r="F1769" s="1">
        <f>IFERROR(__xludf.DUMMYFUNCTION("""COMPUTED_VALUE"""),1157071.0)</f>
        <v>1157071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IFERROR(__xludf.DUMMYFUNCTION("""COMPUTED_VALUE"""),5.47)</f>
        <v>5.47</v>
      </c>
      <c r="C1770" s="1">
        <f>IFERROR(__xludf.DUMMYFUNCTION("""COMPUTED_VALUE"""),5.58)</f>
        <v>5.58</v>
      </c>
      <c r="D1770" s="1">
        <f>IFERROR(__xludf.DUMMYFUNCTION("""COMPUTED_VALUE"""),5.45)</f>
        <v>5.45</v>
      </c>
      <c r="E1770" s="1">
        <f>IFERROR(__xludf.DUMMYFUNCTION("""COMPUTED_VALUE"""),5.58)</f>
        <v>5.58</v>
      </c>
      <c r="F1770" s="1">
        <f>IFERROR(__xludf.DUMMYFUNCTION("""COMPUTED_VALUE"""),1691892.0)</f>
        <v>1691892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IFERROR(__xludf.DUMMYFUNCTION("""COMPUTED_VALUE"""),5.53)</f>
        <v>5.53</v>
      </c>
      <c r="C1771" s="1">
        <f>IFERROR(__xludf.DUMMYFUNCTION("""COMPUTED_VALUE"""),5.53)</f>
        <v>5.53</v>
      </c>
      <c r="D1771" s="1">
        <f>IFERROR(__xludf.DUMMYFUNCTION("""COMPUTED_VALUE"""),5.44)</f>
        <v>5.44</v>
      </c>
      <c r="E1771" s="1">
        <f>IFERROR(__xludf.DUMMYFUNCTION("""COMPUTED_VALUE"""),5.47)</f>
        <v>5.47</v>
      </c>
      <c r="F1771" s="1">
        <f>IFERROR(__xludf.DUMMYFUNCTION("""COMPUTED_VALUE"""),1871988.0)</f>
        <v>1871988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IFERROR(__xludf.DUMMYFUNCTION("""COMPUTED_VALUE"""),5.56)</f>
        <v>5.56</v>
      </c>
      <c r="C1772" s="1">
        <f>IFERROR(__xludf.DUMMYFUNCTION("""COMPUTED_VALUE"""),5.6)</f>
        <v>5.6</v>
      </c>
      <c r="D1772" s="1">
        <f>IFERROR(__xludf.DUMMYFUNCTION("""COMPUTED_VALUE"""),5.51)</f>
        <v>5.51</v>
      </c>
      <c r="E1772" s="1">
        <f>IFERROR(__xludf.DUMMYFUNCTION("""COMPUTED_VALUE"""),5.52)</f>
        <v>5.52</v>
      </c>
      <c r="F1772" s="1">
        <f>IFERROR(__xludf.DUMMYFUNCTION("""COMPUTED_VALUE"""),1959343.0)</f>
        <v>1959343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IFERROR(__xludf.DUMMYFUNCTION("""COMPUTED_VALUE"""),5.52)</f>
        <v>5.52</v>
      </c>
      <c r="C1773" s="1">
        <f>IFERROR(__xludf.DUMMYFUNCTION("""COMPUTED_VALUE"""),5.53)</f>
        <v>5.53</v>
      </c>
      <c r="D1773" s="1">
        <f>IFERROR(__xludf.DUMMYFUNCTION("""COMPUTED_VALUE"""),5.41)</f>
        <v>5.41</v>
      </c>
      <c r="E1773" s="1">
        <f>IFERROR(__xludf.DUMMYFUNCTION("""COMPUTED_VALUE"""),5.43)</f>
        <v>5.43</v>
      </c>
      <c r="F1773" s="1">
        <f>IFERROR(__xludf.DUMMYFUNCTION("""COMPUTED_VALUE"""),1824391.0)</f>
        <v>1824391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IFERROR(__xludf.DUMMYFUNCTION("""COMPUTED_VALUE"""),5.33)</f>
        <v>5.33</v>
      </c>
      <c r="C1774" s="1">
        <f>IFERROR(__xludf.DUMMYFUNCTION("""COMPUTED_VALUE"""),5.35)</f>
        <v>5.35</v>
      </c>
      <c r="D1774" s="1">
        <f>IFERROR(__xludf.DUMMYFUNCTION("""COMPUTED_VALUE"""),5.29)</f>
        <v>5.29</v>
      </c>
      <c r="E1774" s="1">
        <f>IFERROR(__xludf.DUMMYFUNCTION("""COMPUTED_VALUE"""),5.32)</f>
        <v>5.32</v>
      </c>
      <c r="F1774" s="1">
        <f>IFERROR(__xludf.DUMMYFUNCTION("""COMPUTED_VALUE"""),2152417.0)</f>
        <v>2152417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IFERROR(__xludf.DUMMYFUNCTION("""COMPUTED_VALUE"""),5.41)</f>
        <v>5.41</v>
      </c>
      <c r="C1775" s="1">
        <f>IFERROR(__xludf.DUMMYFUNCTION("""COMPUTED_VALUE"""),5.43)</f>
        <v>5.43</v>
      </c>
      <c r="D1775" s="1">
        <f>IFERROR(__xludf.DUMMYFUNCTION("""COMPUTED_VALUE"""),5.33)</f>
        <v>5.33</v>
      </c>
      <c r="E1775" s="1">
        <f>IFERROR(__xludf.DUMMYFUNCTION("""COMPUTED_VALUE"""),5.39)</f>
        <v>5.39</v>
      </c>
      <c r="F1775" s="1">
        <f>IFERROR(__xludf.DUMMYFUNCTION("""COMPUTED_VALUE"""),1599092.0)</f>
        <v>1599092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IFERROR(__xludf.DUMMYFUNCTION("""COMPUTED_VALUE"""),5.35)</f>
        <v>5.35</v>
      </c>
      <c r="C1776" s="1">
        <f>IFERROR(__xludf.DUMMYFUNCTION("""COMPUTED_VALUE"""),5.39)</f>
        <v>5.39</v>
      </c>
      <c r="D1776" s="1">
        <f>IFERROR(__xludf.DUMMYFUNCTION("""COMPUTED_VALUE"""),5.35)</f>
        <v>5.35</v>
      </c>
      <c r="E1776" s="1">
        <f>IFERROR(__xludf.DUMMYFUNCTION("""COMPUTED_VALUE"""),5.38)</f>
        <v>5.38</v>
      </c>
      <c r="F1776" s="1">
        <f>IFERROR(__xludf.DUMMYFUNCTION("""COMPUTED_VALUE"""),1296133.0)</f>
        <v>1296133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IFERROR(__xludf.DUMMYFUNCTION("""COMPUTED_VALUE"""),5.38)</f>
        <v>5.38</v>
      </c>
      <c r="C1777" s="1">
        <f>IFERROR(__xludf.DUMMYFUNCTION("""COMPUTED_VALUE"""),5.39)</f>
        <v>5.39</v>
      </c>
      <c r="D1777" s="1">
        <f>IFERROR(__xludf.DUMMYFUNCTION("""COMPUTED_VALUE"""),5.3)</f>
        <v>5.3</v>
      </c>
      <c r="E1777" s="1">
        <f>IFERROR(__xludf.DUMMYFUNCTION("""COMPUTED_VALUE"""),5.33)</f>
        <v>5.33</v>
      </c>
      <c r="F1777" s="1">
        <f>IFERROR(__xludf.DUMMYFUNCTION("""COMPUTED_VALUE"""),908326.0)</f>
        <v>908326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IFERROR(__xludf.DUMMYFUNCTION("""COMPUTED_VALUE"""),5.4)</f>
        <v>5.4</v>
      </c>
      <c r="C1778" s="1">
        <f>IFERROR(__xludf.DUMMYFUNCTION("""COMPUTED_VALUE"""),5.46)</f>
        <v>5.46</v>
      </c>
      <c r="D1778" s="1">
        <f>IFERROR(__xludf.DUMMYFUNCTION("""COMPUTED_VALUE"""),5.4)</f>
        <v>5.4</v>
      </c>
      <c r="E1778" s="1">
        <f>IFERROR(__xludf.DUMMYFUNCTION("""COMPUTED_VALUE"""),5.44)</f>
        <v>5.44</v>
      </c>
      <c r="F1778" s="1">
        <f>IFERROR(__xludf.DUMMYFUNCTION("""COMPUTED_VALUE"""),1407151.0)</f>
        <v>1407151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IFERROR(__xludf.DUMMYFUNCTION("""COMPUTED_VALUE"""),5.58)</f>
        <v>5.58</v>
      </c>
      <c r="C1779" s="1">
        <f>IFERROR(__xludf.DUMMYFUNCTION("""COMPUTED_VALUE"""),5.65)</f>
        <v>5.65</v>
      </c>
      <c r="D1779" s="1">
        <f>IFERROR(__xludf.DUMMYFUNCTION("""COMPUTED_VALUE"""),5.57)</f>
        <v>5.57</v>
      </c>
      <c r="E1779" s="1">
        <f>IFERROR(__xludf.DUMMYFUNCTION("""COMPUTED_VALUE"""),5.65)</f>
        <v>5.65</v>
      </c>
      <c r="F1779" s="1">
        <f>IFERROR(__xludf.DUMMYFUNCTION("""COMPUTED_VALUE"""),1862763.0)</f>
        <v>1862763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IFERROR(__xludf.DUMMYFUNCTION("""COMPUTED_VALUE"""),5.61)</f>
        <v>5.61</v>
      </c>
      <c r="C1780" s="1">
        <f>IFERROR(__xludf.DUMMYFUNCTION("""COMPUTED_VALUE"""),5.63)</f>
        <v>5.63</v>
      </c>
      <c r="D1780" s="1">
        <f>IFERROR(__xludf.DUMMYFUNCTION("""COMPUTED_VALUE"""),5.56)</f>
        <v>5.56</v>
      </c>
      <c r="E1780" s="1">
        <f>IFERROR(__xludf.DUMMYFUNCTION("""COMPUTED_VALUE"""),5.59)</f>
        <v>5.59</v>
      </c>
      <c r="F1780" s="1">
        <f>IFERROR(__xludf.DUMMYFUNCTION("""COMPUTED_VALUE"""),1239688.0)</f>
        <v>1239688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IFERROR(__xludf.DUMMYFUNCTION("""COMPUTED_VALUE"""),5.58)</f>
        <v>5.58</v>
      </c>
      <c r="C1781" s="1">
        <f>IFERROR(__xludf.DUMMYFUNCTION("""COMPUTED_VALUE"""),5.59)</f>
        <v>5.59</v>
      </c>
      <c r="D1781" s="1">
        <f>IFERROR(__xludf.DUMMYFUNCTION("""COMPUTED_VALUE"""),5.54)</f>
        <v>5.54</v>
      </c>
      <c r="E1781" s="1">
        <f>IFERROR(__xludf.DUMMYFUNCTION("""COMPUTED_VALUE"""),5.56)</f>
        <v>5.56</v>
      </c>
      <c r="F1781" s="1">
        <f>IFERROR(__xludf.DUMMYFUNCTION("""COMPUTED_VALUE"""),1359028.0)</f>
        <v>1359028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IFERROR(__xludf.DUMMYFUNCTION("""COMPUTED_VALUE"""),5.46)</f>
        <v>5.46</v>
      </c>
      <c r="C1782" s="1">
        <f>IFERROR(__xludf.DUMMYFUNCTION("""COMPUTED_VALUE"""),5.47)</f>
        <v>5.47</v>
      </c>
      <c r="D1782" s="1">
        <f>IFERROR(__xludf.DUMMYFUNCTION("""COMPUTED_VALUE"""),5.41)</f>
        <v>5.41</v>
      </c>
      <c r="E1782" s="1">
        <f>IFERROR(__xludf.DUMMYFUNCTION("""COMPUTED_VALUE"""),5.46)</f>
        <v>5.46</v>
      </c>
      <c r="F1782" s="1">
        <f>IFERROR(__xludf.DUMMYFUNCTION("""COMPUTED_VALUE"""),1485289.0)</f>
        <v>1485289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IFERROR(__xludf.DUMMYFUNCTION("""COMPUTED_VALUE"""),5.55)</f>
        <v>5.55</v>
      </c>
      <c r="C1783" s="1">
        <f>IFERROR(__xludf.DUMMYFUNCTION("""COMPUTED_VALUE"""),5.55)</f>
        <v>5.55</v>
      </c>
      <c r="D1783" s="1">
        <f>IFERROR(__xludf.DUMMYFUNCTION("""COMPUTED_VALUE"""),5.43)</f>
        <v>5.43</v>
      </c>
      <c r="E1783" s="1">
        <f>IFERROR(__xludf.DUMMYFUNCTION("""COMPUTED_VALUE"""),5.48)</f>
        <v>5.48</v>
      </c>
      <c r="F1783" s="1">
        <f>IFERROR(__xludf.DUMMYFUNCTION("""COMPUTED_VALUE"""),1499318.0)</f>
        <v>1499318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IFERROR(__xludf.DUMMYFUNCTION("""COMPUTED_VALUE"""),5.59)</f>
        <v>5.59</v>
      </c>
      <c r="C1784" s="1">
        <f>IFERROR(__xludf.DUMMYFUNCTION("""COMPUTED_VALUE"""),5.59)</f>
        <v>5.59</v>
      </c>
      <c r="D1784" s="1">
        <f>IFERROR(__xludf.DUMMYFUNCTION("""COMPUTED_VALUE"""),5.52)</f>
        <v>5.52</v>
      </c>
      <c r="E1784" s="1">
        <f>IFERROR(__xludf.DUMMYFUNCTION("""COMPUTED_VALUE"""),5.55)</f>
        <v>5.55</v>
      </c>
      <c r="F1784" s="1">
        <f>IFERROR(__xludf.DUMMYFUNCTION("""COMPUTED_VALUE"""),1445745.0)</f>
        <v>1445745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IFERROR(__xludf.DUMMYFUNCTION("""COMPUTED_VALUE"""),5.49)</f>
        <v>5.49</v>
      </c>
      <c r="C1785" s="1">
        <f>IFERROR(__xludf.DUMMYFUNCTION("""COMPUTED_VALUE"""),5.52)</f>
        <v>5.52</v>
      </c>
      <c r="D1785" s="1">
        <f>IFERROR(__xludf.DUMMYFUNCTION("""COMPUTED_VALUE"""),5.47)</f>
        <v>5.47</v>
      </c>
      <c r="E1785" s="1">
        <f>IFERROR(__xludf.DUMMYFUNCTION("""COMPUTED_VALUE"""),5.49)</f>
        <v>5.49</v>
      </c>
      <c r="F1785" s="1">
        <f>IFERROR(__xludf.DUMMYFUNCTION("""COMPUTED_VALUE"""),1146290.0)</f>
        <v>1146290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IFERROR(__xludf.DUMMYFUNCTION("""COMPUTED_VALUE"""),5.62)</f>
        <v>5.62</v>
      </c>
      <c r="C1786" s="1">
        <f>IFERROR(__xludf.DUMMYFUNCTION("""COMPUTED_VALUE"""),5.65)</f>
        <v>5.65</v>
      </c>
      <c r="D1786" s="1">
        <f>IFERROR(__xludf.DUMMYFUNCTION("""COMPUTED_VALUE"""),5.61)</f>
        <v>5.61</v>
      </c>
      <c r="E1786" s="1">
        <f>IFERROR(__xludf.DUMMYFUNCTION("""COMPUTED_VALUE"""),5.62)</f>
        <v>5.62</v>
      </c>
      <c r="F1786" s="1">
        <f>IFERROR(__xludf.DUMMYFUNCTION("""COMPUTED_VALUE"""),1189916.0)</f>
        <v>1189916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IFERROR(__xludf.DUMMYFUNCTION("""COMPUTED_VALUE"""),5.5)</f>
        <v>5.5</v>
      </c>
      <c r="C1787" s="1">
        <f>IFERROR(__xludf.DUMMYFUNCTION("""COMPUTED_VALUE"""),5.54)</f>
        <v>5.54</v>
      </c>
      <c r="D1787" s="1">
        <f>IFERROR(__xludf.DUMMYFUNCTION("""COMPUTED_VALUE"""),5.48)</f>
        <v>5.48</v>
      </c>
      <c r="E1787" s="1">
        <f>IFERROR(__xludf.DUMMYFUNCTION("""COMPUTED_VALUE"""),5.49)</f>
        <v>5.49</v>
      </c>
      <c r="F1787" s="1">
        <f>IFERROR(__xludf.DUMMYFUNCTION("""COMPUTED_VALUE"""),1042705.0)</f>
        <v>1042705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IFERROR(__xludf.DUMMYFUNCTION("""COMPUTED_VALUE"""),5.47)</f>
        <v>5.47</v>
      </c>
      <c r="C1788" s="1">
        <f>IFERROR(__xludf.DUMMYFUNCTION("""COMPUTED_VALUE"""),5.49)</f>
        <v>5.49</v>
      </c>
      <c r="D1788" s="1">
        <f>IFERROR(__xludf.DUMMYFUNCTION("""COMPUTED_VALUE"""),5.45)</f>
        <v>5.45</v>
      </c>
      <c r="E1788" s="1">
        <f>IFERROR(__xludf.DUMMYFUNCTION("""COMPUTED_VALUE"""),5.47)</f>
        <v>5.47</v>
      </c>
      <c r="F1788" s="1">
        <f>IFERROR(__xludf.DUMMYFUNCTION("""COMPUTED_VALUE"""),2403698.0)</f>
        <v>2403698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IFERROR(__xludf.DUMMYFUNCTION("""COMPUTED_VALUE"""),5.36)</f>
        <v>5.36</v>
      </c>
      <c r="C1789" s="1">
        <f>IFERROR(__xludf.DUMMYFUNCTION("""COMPUTED_VALUE"""),5.44)</f>
        <v>5.44</v>
      </c>
      <c r="D1789" s="1">
        <f>IFERROR(__xludf.DUMMYFUNCTION("""COMPUTED_VALUE"""),5.31)</f>
        <v>5.31</v>
      </c>
      <c r="E1789" s="1">
        <f>IFERROR(__xludf.DUMMYFUNCTION("""COMPUTED_VALUE"""),5.43)</f>
        <v>5.43</v>
      </c>
      <c r="F1789" s="1">
        <f>IFERROR(__xludf.DUMMYFUNCTION("""COMPUTED_VALUE"""),2261916.0)</f>
        <v>2261916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IFERROR(__xludf.DUMMYFUNCTION("""COMPUTED_VALUE"""),5.46)</f>
        <v>5.46</v>
      </c>
      <c r="C1790" s="1">
        <f>IFERROR(__xludf.DUMMYFUNCTION("""COMPUTED_VALUE"""),5.55)</f>
        <v>5.55</v>
      </c>
      <c r="D1790" s="1">
        <f>IFERROR(__xludf.DUMMYFUNCTION("""COMPUTED_VALUE"""),5.46)</f>
        <v>5.46</v>
      </c>
      <c r="E1790" s="1">
        <f>IFERROR(__xludf.DUMMYFUNCTION("""COMPUTED_VALUE"""),5.54)</f>
        <v>5.54</v>
      </c>
      <c r="F1790" s="1">
        <f>IFERROR(__xludf.DUMMYFUNCTION("""COMPUTED_VALUE"""),2721712.0)</f>
        <v>2721712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IFERROR(__xludf.DUMMYFUNCTION("""COMPUTED_VALUE"""),5.51)</f>
        <v>5.51</v>
      </c>
      <c r="C1791" s="1">
        <f>IFERROR(__xludf.DUMMYFUNCTION("""COMPUTED_VALUE"""),5.54)</f>
        <v>5.54</v>
      </c>
      <c r="D1791" s="1">
        <f>IFERROR(__xludf.DUMMYFUNCTION("""COMPUTED_VALUE"""),5.49)</f>
        <v>5.49</v>
      </c>
      <c r="E1791" s="1">
        <f>IFERROR(__xludf.DUMMYFUNCTION("""COMPUTED_VALUE"""),5.54)</f>
        <v>5.54</v>
      </c>
      <c r="F1791" s="1">
        <f>IFERROR(__xludf.DUMMYFUNCTION("""COMPUTED_VALUE"""),2370611.0)</f>
        <v>2370611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IFERROR(__xludf.DUMMYFUNCTION("""COMPUTED_VALUE"""),5.57)</f>
        <v>5.57</v>
      </c>
      <c r="C1792" s="1">
        <f>IFERROR(__xludf.DUMMYFUNCTION("""COMPUTED_VALUE"""),5.62)</f>
        <v>5.62</v>
      </c>
      <c r="D1792" s="1">
        <f>IFERROR(__xludf.DUMMYFUNCTION("""COMPUTED_VALUE"""),5.56)</f>
        <v>5.56</v>
      </c>
      <c r="E1792" s="1">
        <f>IFERROR(__xludf.DUMMYFUNCTION("""COMPUTED_VALUE"""),5.58)</f>
        <v>5.58</v>
      </c>
      <c r="F1792" s="1">
        <f>IFERROR(__xludf.DUMMYFUNCTION("""COMPUTED_VALUE"""),1132278.0)</f>
        <v>1132278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IFERROR(__xludf.DUMMYFUNCTION("""COMPUTED_VALUE"""),5.58)</f>
        <v>5.58</v>
      </c>
      <c r="C1793" s="1">
        <f>IFERROR(__xludf.DUMMYFUNCTION("""COMPUTED_VALUE"""),5.64)</f>
        <v>5.64</v>
      </c>
      <c r="D1793" s="1">
        <f>IFERROR(__xludf.DUMMYFUNCTION("""COMPUTED_VALUE"""),5.56)</f>
        <v>5.56</v>
      </c>
      <c r="E1793" s="1">
        <f>IFERROR(__xludf.DUMMYFUNCTION("""COMPUTED_VALUE"""),5.63)</f>
        <v>5.63</v>
      </c>
      <c r="F1793" s="1">
        <f>IFERROR(__xludf.DUMMYFUNCTION("""COMPUTED_VALUE"""),1907261.0)</f>
        <v>1907261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IFERROR(__xludf.DUMMYFUNCTION("""COMPUTED_VALUE"""),5.64)</f>
        <v>5.64</v>
      </c>
      <c r="C1794" s="1">
        <f>IFERROR(__xludf.DUMMYFUNCTION("""COMPUTED_VALUE"""),5.7)</f>
        <v>5.7</v>
      </c>
      <c r="D1794" s="1">
        <f>IFERROR(__xludf.DUMMYFUNCTION("""COMPUTED_VALUE"""),5.64)</f>
        <v>5.64</v>
      </c>
      <c r="E1794" s="1">
        <f>IFERROR(__xludf.DUMMYFUNCTION("""COMPUTED_VALUE"""),5.68)</f>
        <v>5.68</v>
      </c>
      <c r="F1794" s="1">
        <f>IFERROR(__xludf.DUMMYFUNCTION("""COMPUTED_VALUE"""),2243291.0)</f>
        <v>2243291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IFERROR(__xludf.DUMMYFUNCTION("""COMPUTED_VALUE"""),5.67)</f>
        <v>5.67</v>
      </c>
      <c r="C1795" s="1">
        <f>IFERROR(__xludf.DUMMYFUNCTION("""COMPUTED_VALUE"""),5.69)</f>
        <v>5.69</v>
      </c>
      <c r="D1795" s="1">
        <f>IFERROR(__xludf.DUMMYFUNCTION("""COMPUTED_VALUE"""),5.63)</f>
        <v>5.63</v>
      </c>
      <c r="E1795" s="1">
        <f>IFERROR(__xludf.DUMMYFUNCTION("""COMPUTED_VALUE"""),5.69)</f>
        <v>5.69</v>
      </c>
      <c r="F1795" s="1">
        <f>IFERROR(__xludf.DUMMYFUNCTION("""COMPUTED_VALUE"""),1559542.0)</f>
        <v>1559542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IFERROR(__xludf.DUMMYFUNCTION("""COMPUTED_VALUE"""),5.38)</f>
        <v>5.38</v>
      </c>
      <c r="C1796" s="1">
        <f>IFERROR(__xludf.DUMMYFUNCTION("""COMPUTED_VALUE"""),5.45)</f>
        <v>5.45</v>
      </c>
      <c r="D1796" s="1">
        <f>IFERROR(__xludf.DUMMYFUNCTION("""COMPUTED_VALUE"""),5.35)</f>
        <v>5.35</v>
      </c>
      <c r="E1796" s="1">
        <f>IFERROR(__xludf.DUMMYFUNCTION("""COMPUTED_VALUE"""),5.38)</f>
        <v>5.38</v>
      </c>
      <c r="F1796" s="1">
        <f>IFERROR(__xludf.DUMMYFUNCTION("""COMPUTED_VALUE"""),4905801.0)</f>
        <v>4905801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IFERROR(__xludf.DUMMYFUNCTION("""COMPUTED_VALUE"""),5.42)</f>
        <v>5.42</v>
      </c>
      <c r="C1797" s="1">
        <f>IFERROR(__xludf.DUMMYFUNCTION("""COMPUTED_VALUE"""),5.48)</f>
        <v>5.48</v>
      </c>
      <c r="D1797" s="1">
        <f>IFERROR(__xludf.DUMMYFUNCTION("""COMPUTED_VALUE"""),5.42)</f>
        <v>5.42</v>
      </c>
      <c r="E1797" s="1">
        <f>IFERROR(__xludf.DUMMYFUNCTION("""COMPUTED_VALUE"""),5.48)</f>
        <v>5.48</v>
      </c>
      <c r="F1797" s="1">
        <f>IFERROR(__xludf.DUMMYFUNCTION("""COMPUTED_VALUE"""),1832400.0)</f>
        <v>1832400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IFERROR(__xludf.DUMMYFUNCTION("""COMPUTED_VALUE"""),5.39)</f>
        <v>5.39</v>
      </c>
      <c r="C1798" s="1">
        <f>IFERROR(__xludf.DUMMYFUNCTION("""COMPUTED_VALUE"""),5.47)</f>
        <v>5.47</v>
      </c>
      <c r="D1798" s="1">
        <f>IFERROR(__xludf.DUMMYFUNCTION("""COMPUTED_VALUE"""),5.39)</f>
        <v>5.39</v>
      </c>
      <c r="E1798" s="1">
        <f>IFERROR(__xludf.DUMMYFUNCTION("""COMPUTED_VALUE"""),5.46)</f>
        <v>5.46</v>
      </c>
      <c r="F1798" s="1">
        <f>IFERROR(__xludf.DUMMYFUNCTION("""COMPUTED_VALUE"""),1928667.0)</f>
        <v>1928667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IFERROR(__xludf.DUMMYFUNCTION("""COMPUTED_VALUE"""),5.39)</f>
        <v>5.39</v>
      </c>
      <c r="C1799" s="1">
        <f>IFERROR(__xludf.DUMMYFUNCTION("""COMPUTED_VALUE"""),5.4)</f>
        <v>5.4</v>
      </c>
      <c r="D1799" s="1">
        <f>IFERROR(__xludf.DUMMYFUNCTION("""COMPUTED_VALUE"""),5.32)</f>
        <v>5.32</v>
      </c>
      <c r="E1799" s="1">
        <f>IFERROR(__xludf.DUMMYFUNCTION("""COMPUTED_VALUE"""),5.35)</f>
        <v>5.35</v>
      </c>
      <c r="F1799" s="1">
        <f>IFERROR(__xludf.DUMMYFUNCTION("""COMPUTED_VALUE"""),2316004.0)</f>
        <v>2316004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IFERROR(__xludf.DUMMYFUNCTION("""COMPUTED_VALUE"""),5.22)</f>
        <v>5.22</v>
      </c>
      <c r="C1800" s="1">
        <f>IFERROR(__xludf.DUMMYFUNCTION("""COMPUTED_VALUE"""),5.3)</f>
        <v>5.3</v>
      </c>
      <c r="D1800" s="1">
        <f>IFERROR(__xludf.DUMMYFUNCTION("""COMPUTED_VALUE"""),5.22)</f>
        <v>5.22</v>
      </c>
      <c r="E1800" s="1">
        <f>IFERROR(__xludf.DUMMYFUNCTION("""COMPUTED_VALUE"""),5.28)</f>
        <v>5.28</v>
      </c>
      <c r="F1800" s="1">
        <f>IFERROR(__xludf.DUMMYFUNCTION("""COMPUTED_VALUE"""),1791686.0)</f>
        <v>1791686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IFERROR(__xludf.DUMMYFUNCTION("""COMPUTED_VALUE"""),5.31)</f>
        <v>5.31</v>
      </c>
      <c r="C1801" s="1">
        <f>IFERROR(__xludf.DUMMYFUNCTION("""COMPUTED_VALUE"""),5.34)</f>
        <v>5.34</v>
      </c>
      <c r="D1801" s="1">
        <f>IFERROR(__xludf.DUMMYFUNCTION("""COMPUTED_VALUE"""),5.29)</f>
        <v>5.29</v>
      </c>
      <c r="E1801" s="1">
        <f>IFERROR(__xludf.DUMMYFUNCTION("""COMPUTED_VALUE"""),5.34)</f>
        <v>5.34</v>
      </c>
      <c r="F1801" s="1">
        <f>IFERROR(__xludf.DUMMYFUNCTION("""COMPUTED_VALUE"""),813163.0)</f>
        <v>813163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IFERROR(__xludf.DUMMYFUNCTION("""COMPUTED_VALUE"""),5.3)</f>
        <v>5.3</v>
      </c>
      <c r="C1802" s="1">
        <f>IFERROR(__xludf.DUMMYFUNCTION("""COMPUTED_VALUE"""),5.37)</f>
        <v>5.37</v>
      </c>
      <c r="D1802" s="1">
        <f>IFERROR(__xludf.DUMMYFUNCTION("""COMPUTED_VALUE"""),5.3)</f>
        <v>5.3</v>
      </c>
      <c r="E1802" s="1">
        <f>IFERROR(__xludf.DUMMYFUNCTION("""COMPUTED_VALUE"""),5.34)</f>
        <v>5.34</v>
      </c>
      <c r="F1802" s="1">
        <f>IFERROR(__xludf.DUMMYFUNCTION("""COMPUTED_VALUE"""),1364210.0)</f>
        <v>1364210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IFERROR(__xludf.DUMMYFUNCTION("""COMPUTED_VALUE"""),5.48)</f>
        <v>5.48</v>
      </c>
      <c r="C1803" s="1">
        <f>IFERROR(__xludf.DUMMYFUNCTION("""COMPUTED_VALUE"""),5.52)</f>
        <v>5.52</v>
      </c>
      <c r="D1803" s="1">
        <f>IFERROR(__xludf.DUMMYFUNCTION("""COMPUTED_VALUE"""),5.45)</f>
        <v>5.45</v>
      </c>
      <c r="E1803" s="1">
        <f>IFERROR(__xludf.DUMMYFUNCTION("""COMPUTED_VALUE"""),5.48)</f>
        <v>5.48</v>
      </c>
      <c r="F1803" s="1">
        <f>IFERROR(__xludf.DUMMYFUNCTION("""COMPUTED_VALUE"""),1604556.0)</f>
        <v>1604556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IFERROR(__xludf.DUMMYFUNCTION("""COMPUTED_VALUE"""),5.48)</f>
        <v>5.48</v>
      </c>
      <c r="C1804" s="1">
        <f>IFERROR(__xludf.DUMMYFUNCTION("""COMPUTED_VALUE"""),5.51)</f>
        <v>5.51</v>
      </c>
      <c r="D1804" s="1">
        <f>IFERROR(__xludf.DUMMYFUNCTION("""COMPUTED_VALUE"""),5.46)</f>
        <v>5.46</v>
      </c>
      <c r="E1804" s="1">
        <f>IFERROR(__xludf.DUMMYFUNCTION("""COMPUTED_VALUE"""),5.47)</f>
        <v>5.47</v>
      </c>
      <c r="F1804" s="1">
        <f>IFERROR(__xludf.DUMMYFUNCTION("""COMPUTED_VALUE"""),3261758.0)</f>
        <v>3261758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IFERROR(__xludf.DUMMYFUNCTION("""COMPUTED_VALUE"""),5.61)</f>
        <v>5.61</v>
      </c>
      <c r="C1805" s="1">
        <f>IFERROR(__xludf.DUMMYFUNCTION("""COMPUTED_VALUE"""),5.69)</f>
        <v>5.69</v>
      </c>
      <c r="D1805" s="1">
        <f>IFERROR(__xludf.DUMMYFUNCTION("""COMPUTED_VALUE"""),5.59)</f>
        <v>5.59</v>
      </c>
      <c r="E1805" s="1">
        <f>IFERROR(__xludf.DUMMYFUNCTION("""COMPUTED_VALUE"""),5.67)</f>
        <v>5.67</v>
      </c>
      <c r="F1805" s="1">
        <f>IFERROR(__xludf.DUMMYFUNCTION("""COMPUTED_VALUE"""),2950096.0)</f>
        <v>2950096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IFERROR(__xludf.DUMMYFUNCTION("""COMPUTED_VALUE"""),5.64)</f>
        <v>5.64</v>
      </c>
      <c r="C1806" s="1">
        <f>IFERROR(__xludf.DUMMYFUNCTION("""COMPUTED_VALUE"""),5.65)</f>
        <v>5.65</v>
      </c>
      <c r="D1806" s="1">
        <f>IFERROR(__xludf.DUMMYFUNCTION("""COMPUTED_VALUE"""),5.58)</f>
        <v>5.58</v>
      </c>
      <c r="E1806" s="1">
        <f>IFERROR(__xludf.DUMMYFUNCTION("""COMPUTED_VALUE"""),5.62)</f>
        <v>5.62</v>
      </c>
      <c r="F1806" s="1">
        <f>IFERROR(__xludf.DUMMYFUNCTION("""COMPUTED_VALUE"""),3186014.0)</f>
        <v>3186014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IFERROR(__xludf.DUMMYFUNCTION("""COMPUTED_VALUE"""),5.61)</f>
        <v>5.61</v>
      </c>
      <c r="C1807" s="1">
        <f>IFERROR(__xludf.DUMMYFUNCTION("""COMPUTED_VALUE"""),5.65)</f>
        <v>5.65</v>
      </c>
      <c r="D1807" s="1">
        <f>IFERROR(__xludf.DUMMYFUNCTION("""COMPUTED_VALUE"""),5.58)</f>
        <v>5.58</v>
      </c>
      <c r="E1807" s="1">
        <f>IFERROR(__xludf.DUMMYFUNCTION("""COMPUTED_VALUE"""),5.63)</f>
        <v>5.63</v>
      </c>
      <c r="F1807" s="1">
        <f>IFERROR(__xludf.DUMMYFUNCTION("""COMPUTED_VALUE"""),1908865.0)</f>
        <v>1908865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IFERROR(__xludf.DUMMYFUNCTION("""COMPUTED_VALUE"""),5.67)</f>
        <v>5.67</v>
      </c>
      <c r="C1808" s="1">
        <f>IFERROR(__xludf.DUMMYFUNCTION("""COMPUTED_VALUE"""),5.68)</f>
        <v>5.68</v>
      </c>
      <c r="D1808" s="1">
        <f>IFERROR(__xludf.DUMMYFUNCTION("""COMPUTED_VALUE"""),5.61)</f>
        <v>5.61</v>
      </c>
      <c r="E1808" s="1">
        <f>IFERROR(__xludf.DUMMYFUNCTION("""COMPUTED_VALUE"""),5.61)</f>
        <v>5.61</v>
      </c>
      <c r="F1808" s="1">
        <f>IFERROR(__xludf.DUMMYFUNCTION("""COMPUTED_VALUE"""),1484375.0)</f>
        <v>1484375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IFERROR(__xludf.DUMMYFUNCTION("""COMPUTED_VALUE"""),5.69)</f>
        <v>5.69</v>
      </c>
      <c r="C1809" s="1">
        <f>IFERROR(__xludf.DUMMYFUNCTION("""COMPUTED_VALUE"""),5.71)</f>
        <v>5.71</v>
      </c>
      <c r="D1809" s="1">
        <f>IFERROR(__xludf.DUMMYFUNCTION("""COMPUTED_VALUE"""),5.65)</f>
        <v>5.65</v>
      </c>
      <c r="E1809" s="1">
        <f>IFERROR(__xludf.DUMMYFUNCTION("""COMPUTED_VALUE"""),5.67)</f>
        <v>5.67</v>
      </c>
      <c r="F1809" s="1">
        <f>IFERROR(__xludf.DUMMYFUNCTION("""COMPUTED_VALUE"""),1516298.0)</f>
        <v>1516298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IFERROR(__xludf.DUMMYFUNCTION("""COMPUTED_VALUE"""),5.75)</f>
        <v>5.75</v>
      </c>
      <c r="C1810" s="1">
        <f>IFERROR(__xludf.DUMMYFUNCTION("""COMPUTED_VALUE"""),5.78)</f>
        <v>5.78</v>
      </c>
      <c r="D1810" s="1">
        <f>IFERROR(__xludf.DUMMYFUNCTION("""COMPUTED_VALUE"""),5.71)</f>
        <v>5.71</v>
      </c>
      <c r="E1810" s="1">
        <f>IFERROR(__xludf.DUMMYFUNCTION("""COMPUTED_VALUE"""),5.76)</f>
        <v>5.76</v>
      </c>
      <c r="F1810" s="1">
        <f>IFERROR(__xludf.DUMMYFUNCTION("""COMPUTED_VALUE"""),1678846.0)</f>
        <v>1678846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IFERROR(__xludf.DUMMYFUNCTION("""COMPUTED_VALUE"""),5.79)</f>
        <v>5.79</v>
      </c>
      <c r="C1811" s="1">
        <f>IFERROR(__xludf.DUMMYFUNCTION("""COMPUTED_VALUE"""),5.82)</f>
        <v>5.82</v>
      </c>
      <c r="D1811" s="1">
        <f>IFERROR(__xludf.DUMMYFUNCTION("""COMPUTED_VALUE"""),5.75)</f>
        <v>5.75</v>
      </c>
      <c r="E1811" s="1">
        <f>IFERROR(__xludf.DUMMYFUNCTION("""COMPUTED_VALUE"""),5.77)</f>
        <v>5.77</v>
      </c>
      <c r="F1811" s="1">
        <f>IFERROR(__xludf.DUMMYFUNCTION("""COMPUTED_VALUE"""),952798.0)</f>
        <v>952798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IFERROR(__xludf.DUMMYFUNCTION("""COMPUTED_VALUE"""),5.69)</f>
        <v>5.69</v>
      </c>
      <c r="C1812" s="1">
        <f>IFERROR(__xludf.DUMMYFUNCTION("""COMPUTED_VALUE"""),5.7)</f>
        <v>5.7</v>
      </c>
      <c r="D1812" s="1">
        <f>IFERROR(__xludf.DUMMYFUNCTION("""COMPUTED_VALUE"""),5.65)</f>
        <v>5.65</v>
      </c>
      <c r="E1812" s="1">
        <f>IFERROR(__xludf.DUMMYFUNCTION("""COMPUTED_VALUE"""),5.69)</f>
        <v>5.69</v>
      </c>
      <c r="F1812" s="1">
        <f>IFERROR(__xludf.DUMMYFUNCTION("""COMPUTED_VALUE"""),1387121.0)</f>
        <v>1387121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IFERROR(__xludf.DUMMYFUNCTION("""COMPUTED_VALUE"""),5.71)</f>
        <v>5.71</v>
      </c>
      <c r="C1813" s="1">
        <f>IFERROR(__xludf.DUMMYFUNCTION("""COMPUTED_VALUE"""),5.74)</f>
        <v>5.74</v>
      </c>
      <c r="D1813" s="1">
        <f>IFERROR(__xludf.DUMMYFUNCTION("""COMPUTED_VALUE"""),5.69)</f>
        <v>5.69</v>
      </c>
      <c r="E1813" s="1">
        <f>IFERROR(__xludf.DUMMYFUNCTION("""COMPUTED_VALUE"""),5.7)</f>
        <v>5.7</v>
      </c>
      <c r="F1813" s="1">
        <f>IFERROR(__xludf.DUMMYFUNCTION("""COMPUTED_VALUE"""),1685634.0)</f>
        <v>1685634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IFERROR(__xludf.DUMMYFUNCTION("""COMPUTED_VALUE"""),5.77)</f>
        <v>5.77</v>
      </c>
      <c r="C1814" s="1">
        <f>IFERROR(__xludf.DUMMYFUNCTION("""COMPUTED_VALUE"""),5.84)</f>
        <v>5.84</v>
      </c>
      <c r="D1814" s="1">
        <f>IFERROR(__xludf.DUMMYFUNCTION("""COMPUTED_VALUE"""),5.75)</f>
        <v>5.75</v>
      </c>
      <c r="E1814" s="1">
        <f>IFERROR(__xludf.DUMMYFUNCTION("""COMPUTED_VALUE"""),5.84)</f>
        <v>5.84</v>
      </c>
      <c r="F1814" s="1">
        <f>IFERROR(__xludf.DUMMYFUNCTION("""COMPUTED_VALUE"""),2211088.0)</f>
        <v>2211088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IFERROR(__xludf.DUMMYFUNCTION("""COMPUTED_VALUE"""),5.82)</f>
        <v>5.82</v>
      </c>
      <c r="C1815" s="1">
        <f>IFERROR(__xludf.DUMMYFUNCTION("""COMPUTED_VALUE"""),5.82)</f>
        <v>5.82</v>
      </c>
      <c r="D1815" s="1">
        <f>IFERROR(__xludf.DUMMYFUNCTION("""COMPUTED_VALUE"""),5.74)</f>
        <v>5.74</v>
      </c>
      <c r="E1815" s="1">
        <f>IFERROR(__xludf.DUMMYFUNCTION("""COMPUTED_VALUE"""),5.75)</f>
        <v>5.75</v>
      </c>
      <c r="F1815" s="1">
        <f>IFERROR(__xludf.DUMMYFUNCTION("""COMPUTED_VALUE"""),1409308.0)</f>
        <v>1409308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IFERROR(__xludf.DUMMYFUNCTION("""COMPUTED_VALUE"""),5.71)</f>
        <v>5.71</v>
      </c>
      <c r="C1816" s="1">
        <f>IFERROR(__xludf.DUMMYFUNCTION("""COMPUTED_VALUE"""),5.74)</f>
        <v>5.74</v>
      </c>
      <c r="D1816" s="1">
        <f>IFERROR(__xludf.DUMMYFUNCTION("""COMPUTED_VALUE"""),5.68)</f>
        <v>5.68</v>
      </c>
      <c r="E1816" s="1">
        <f>IFERROR(__xludf.DUMMYFUNCTION("""COMPUTED_VALUE"""),5.69)</f>
        <v>5.69</v>
      </c>
      <c r="F1816" s="1">
        <f>IFERROR(__xludf.DUMMYFUNCTION("""COMPUTED_VALUE"""),798846.0)</f>
        <v>798846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IFERROR(__xludf.DUMMYFUNCTION("""COMPUTED_VALUE"""),5.83)</f>
        <v>5.83</v>
      </c>
      <c r="C1817" s="1">
        <f>IFERROR(__xludf.DUMMYFUNCTION("""COMPUTED_VALUE"""),5.83)</f>
        <v>5.83</v>
      </c>
      <c r="D1817" s="1">
        <f>IFERROR(__xludf.DUMMYFUNCTION("""COMPUTED_VALUE"""),5.63)</f>
        <v>5.63</v>
      </c>
      <c r="E1817" s="1">
        <f>IFERROR(__xludf.DUMMYFUNCTION("""COMPUTED_VALUE"""),5.64)</f>
        <v>5.64</v>
      </c>
      <c r="F1817" s="1">
        <f>IFERROR(__xludf.DUMMYFUNCTION("""COMPUTED_VALUE"""),1689168.0)</f>
        <v>1689168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IFERROR(__xludf.DUMMYFUNCTION("""COMPUTED_VALUE"""),5.55)</f>
        <v>5.55</v>
      </c>
      <c r="C1818" s="1">
        <f>IFERROR(__xludf.DUMMYFUNCTION("""COMPUTED_VALUE"""),5.58)</f>
        <v>5.58</v>
      </c>
      <c r="D1818" s="1">
        <f>IFERROR(__xludf.DUMMYFUNCTION("""COMPUTED_VALUE"""),5.51)</f>
        <v>5.51</v>
      </c>
      <c r="E1818" s="1">
        <f>IFERROR(__xludf.DUMMYFUNCTION("""COMPUTED_VALUE"""),5.55)</f>
        <v>5.55</v>
      </c>
      <c r="F1818" s="1">
        <f>IFERROR(__xludf.DUMMYFUNCTION("""COMPUTED_VALUE"""),1416736.0)</f>
        <v>1416736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IFERROR(__xludf.DUMMYFUNCTION("""COMPUTED_VALUE"""),5.51)</f>
        <v>5.51</v>
      </c>
      <c r="C1819" s="1">
        <f>IFERROR(__xludf.DUMMYFUNCTION("""COMPUTED_VALUE"""),5.58)</f>
        <v>5.58</v>
      </c>
      <c r="D1819" s="1">
        <f>IFERROR(__xludf.DUMMYFUNCTION("""COMPUTED_VALUE"""),5.5)</f>
        <v>5.5</v>
      </c>
      <c r="E1819" s="1">
        <f>IFERROR(__xludf.DUMMYFUNCTION("""COMPUTED_VALUE"""),5.54)</f>
        <v>5.54</v>
      </c>
      <c r="F1819" s="1">
        <f>IFERROR(__xludf.DUMMYFUNCTION("""COMPUTED_VALUE"""),1071424.0)</f>
        <v>1071424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IFERROR(__xludf.DUMMYFUNCTION("""COMPUTED_VALUE"""),5.32)</f>
        <v>5.32</v>
      </c>
      <c r="C1820" s="1">
        <f>IFERROR(__xludf.DUMMYFUNCTION("""COMPUTED_VALUE"""),5.33)</f>
        <v>5.33</v>
      </c>
      <c r="D1820" s="1">
        <f>IFERROR(__xludf.DUMMYFUNCTION("""COMPUTED_VALUE"""),5.25)</f>
        <v>5.25</v>
      </c>
      <c r="E1820" s="1">
        <f>IFERROR(__xludf.DUMMYFUNCTION("""COMPUTED_VALUE"""),5.28)</f>
        <v>5.28</v>
      </c>
      <c r="F1820" s="1">
        <f>IFERROR(__xludf.DUMMYFUNCTION("""COMPUTED_VALUE"""),3376784.0)</f>
        <v>3376784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IFERROR(__xludf.DUMMYFUNCTION("""COMPUTED_VALUE"""),5.2)</f>
        <v>5.2</v>
      </c>
      <c r="C1821" s="1">
        <f>IFERROR(__xludf.DUMMYFUNCTION("""COMPUTED_VALUE"""),5.23)</f>
        <v>5.23</v>
      </c>
      <c r="D1821" s="1">
        <f>IFERROR(__xludf.DUMMYFUNCTION("""COMPUTED_VALUE"""),5.17)</f>
        <v>5.17</v>
      </c>
      <c r="E1821" s="1">
        <f>IFERROR(__xludf.DUMMYFUNCTION("""COMPUTED_VALUE"""),5.23)</f>
        <v>5.23</v>
      </c>
      <c r="F1821" s="1">
        <f>IFERROR(__xludf.DUMMYFUNCTION("""COMPUTED_VALUE"""),2093530.0)</f>
        <v>2093530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IFERROR(__xludf.DUMMYFUNCTION("""COMPUTED_VALUE"""),5.22)</f>
        <v>5.22</v>
      </c>
      <c r="C1822" s="1">
        <f>IFERROR(__xludf.DUMMYFUNCTION("""COMPUTED_VALUE"""),5.27)</f>
        <v>5.27</v>
      </c>
      <c r="D1822" s="1">
        <f>IFERROR(__xludf.DUMMYFUNCTION("""COMPUTED_VALUE"""),5.2)</f>
        <v>5.2</v>
      </c>
      <c r="E1822" s="1">
        <f>IFERROR(__xludf.DUMMYFUNCTION("""COMPUTED_VALUE"""),5.24)</f>
        <v>5.24</v>
      </c>
      <c r="F1822" s="1">
        <f>IFERROR(__xludf.DUMMYFUNCTION("""COMPUTED_VALUE"""),1910757.0)</f>
        <v>1910757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IFERROR(__xludf.DUMMYFUNCTION("""COMPUTED_VALUE"""),5.14)</f>
        <v>5.14</v>
      </c>
      <c r="C1823" s="1">
        <f>IFERROR(__xludf.DUMMYFUNCTION("""COMPUTED_VALUE"""),5.17)</f>
        <v>5.17</v>
      </c>
      <c r="D1823" s="1">
        <f>IFERROR(__xludf.DUMMYFUNCTION("""COMPUTED_VALUE"""),5.1)</f>
        <v>5.1</v>
      </c>
      <c r="E1823" s="1">
        <f>IFERROR(__xludf.DUMMYFUNCTION("""COMPUTED_VALUE"""),5.16)</f>
        <v>5.16</v>
      </c>
      <c r="F1823" s="1">
        <f>IFERROR(__xludf.DUMMYFUNCTION("""COMPUTED_VALUE"""),1453853.0)</f>
        <v>1453853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IFERROR(__xludf.DUMMYFUNCTION("""COMPUTED_VALUE"""),5.17)</f>
        <v>5.17</v>
      </c>
      <c r="C1824" s="1">
        <f>IFERROR(__xludf.DUMMYFUNCTION("""COMPUTED_VALUE"""),5.19)</f>
        <v>5.19</v>
      </c>
      <c r="D1824" s="1">
        <f>IFERROR(__xludf.DUMMYFUNCTION("""COMPUTED_VALUE"""),5.14)</f>
        <v>5.14</v>
      </c>
      <c r="E1824" s="1">
        <f>IFERROR(__xludf.DUMMYFUNCTION("""COMPUTED_VALUE"""),5.19)</f>
        <v>5.19</v>
      </c>
      <c r="F1824" s="1">
        <f>IFERROR(__xludf.DUMMYFUNCTION("""COMPUTED_VALUE"""),2413686.0)</f>
        <v>2413686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IFERROR(__xludf.DUMMYFUNCTION("""COMPUTED_VALUE"""),5.13)</f>
        <v>5.13</v>
      </c>
      <c r="C1825" s="1">
        <f>IFERROR(__xludf.DUMMYFUNCTION("""COMPUTED_VALUE"""),5.16)</f>
        <v>5.16</v>
      </c>
      <c r="D1825" s="1">
        <f>IFERROR(__xludf.DUMMYFUNCTION("""COMPUTED_VALUE"""),5.11)</f>
        <v>5.11</v>
      </c>
      <c r="E1825" s="1">
        <f>IFERROR(__xludf.DUMMYFUNCTION("""COMPUTED_VALUE"""),5.13)</f>
        <v>5.13</v>
      </c>
      <c r="F1825" s="1">
        <f>IFERROR(__xludf.DUMMYFUNCTION("""COMPUTED_VALUE"""),1108974.0)</f>
        <v>1108974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IFERROR(__xludf.DUMMYFUNCTION("""COMPUTED_VALUE"""),5.12)</f>
        <v>5.12</v>
      </c>
      <c r="C1826" s="1">
        <f>IFERROR(__xludf.DUMMYFUNCTION("""COMPUTED_VALUE"""),5.12)</f>
        <v>5.12</v>
      </c>
      <c r="D1826" s="1">
        <f>IFERROR(__xludf.DUMMYFUNCTION("""COMPUTED_VALUE"""),5.03)</f>
        <v>5.03</v>
      </c>
      <c r="E1826" s="1">
        <f>IFERROR(__xludf.DUMMYFUNCTION("""COMPUTED_VALUE"""),5.09)</f>
        <v>5.09</v>
      </c>
      <c r="F1826" s="1">
        <f>IFERROR(__xludf.DUMMYFUNCTION("""COMPUTED_VALUE"""),1347398.0)</f>
        <v>1347398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IFERROR(__xludf.DUMMYFUNCTION("""COMPUTED_VALUE"""),5.05)</f>
        <v>5.05</v>
      </c>
      <c r="C1827" s="1">
        <f>IFERROR(__xludf.DUMMYFUNCTION("""COMPUTED_VALUE"""),5.07)</f>
        <v>5.07</v>
      </c>
      <c r="D1827" s="1">
        <f>IFERROR(__xludf.DUMMYFUNCTION("""COMPUTED_VALUE"""),5.01)</f>
        <v>5.01</v>
      </c>
      <c r="E1827" s="1">
        <f>IFERROR(__xludf.DUMMYFUNCTION("""COMPUTED_VALUE"""),5.07)</f>
        <v>5.07</v>
      </c>
      <c r="F1827" s="1">
        <f>IFERROR(__xludf.DUMMYFUNCTION("""COMPUTED_VALUE"""),1120446.0)</f>
        <v>1120446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IFERROR(__xludf.DUMMYFUNCTION("""COMPUTED_VALUE"""),5.05)</f>
        <v>5.05</v>
      </c>
      <c r="C1828" s="1">
        <f>IFERROR(__xludf.DUMMYFUNCTION("""COMPUTED_VALUE"""),5.06)</f>
        <v>5.06</v>
      </c>
      <c r="D1828" s="1">
        <f>IFERROR(__xludf.DUMMYFUNCTION("""COMPUTED_VALUE"""),4.95)</f>
        <v>4.95</v>
      </c>
      <c r="E1828" s="1">
        <f>IFERROR(__xludf.DUMMYFUNCTION("""COMPUTED_VALUE"""),4.96)</f>
        <v>4.96</v>
      </c>
      <c r="F1828" s="1">
        <f>IFERROR(__xludf.DUMMYFUNCTION("""COMPUTED_VALUE"""),3601706.0)</f>
        <v>3601706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IFERROR(__xludf.DUMMYFUNCTION("""COMPUTED_VALUE"""),4.95)</f>
        <v>4.95</v>
      </c>
      <c r="C1829" s="1">
        <f>IFERROR(__xludf.DUMMYFUNCTION("""COMPUTED_VALUE"""),5.01)</f>
        <v>5.01</v>
      </c>
      <c r="D1829" s="1">
        <f>IFERROR(__xludf.DUMMYFUNCTION("""COMPUTED_VALUE"""),4.93)</f>
        <v>4.93</v>
      </c>
      <c r="E1829" s="1">
        <f>IFERROR(__xludf.DUMMYFUNCTION("""COMPUTED_VALUE"""),5.0)</f>
        <v>5</v>
      </c>
      <c r="F1829" s="1">
        <f>IFERROR(__xludf.DUMMYFUNCTION("""COMPUTED_VALUE"""),1438902.0)</f>
        <v>1438902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IFERROR(__xludf.DUMMYFUNCTION("""COMPUTED_VALUE"""),4.92)</f>
        <v>4.92</v>
      </c>
      <c r="C1830" s="1">
        <f>IFERROR(__xludf.DUMMYFUNCTION("""COMPUTED_VALUE"""),4.93)</f>
        <v>4.93</v>
      </c>
      <c r="D1830" s="1">
        <f>IFERROR(__xludf.DUMMYFUNCTION("""COMPUTED_VALUE"""),4.84)</f>
        <v>4.84</v>
      </c>
      <c r="E1830" s="1">
        <f>IFERROR(__xludf.DUMMYFUNCTION("""COMPUTED_VALUE"""),4.89)</f>
        <v>4.89</v>
      </c>
      <c r="F1830" s="1">
        <f>IFERROR(__xludf.DUMMYFUNCTION("""COMPUTED_VALUE"""),3197136.0)</f>
        <v>3197136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IFERROR(__xludf.DUMMYFUNCTION("""COMPUTED_VALUE"""),4.88)</f>
        <v>4.88</v>
      </c>
      <c r="C1831" s="1">
        <f>IFERROR(__xludf.DUMMYFUNCTION("""COMPUTED_VALUE"""),4.93)</f>
        <v>4.93</v>
      </c>
      <c r="D1831" s="1">
        <f>IFERROR(__xludf.DUMMYFUNCTION("""COMPUTED_VALUE"""),4.88)</f>
        <v>4.88</v>
      </c>
      <c r="E1831" s="1">
        <f>IFERROR(__xludf.DUMMYFUNCTION("""COMPUTED_VALUE"""),4.91)</f>
        <v>4.91</v>
      </c>
      <c r="F1831" s="1">
        <f>IFERROR(__xludf.DUMMYFUNCTION("""COMPUTED_VALUE"""),1321308.0)</f>
        <v>1321308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IFERROR(__xludf.DUMMYFUNCTION("""COMPUTED_VALUE"""),4.91)</f>
        <v>4.91</v>
      </c>
      <c r="C1832" s="1">
        <f>IFERROR(__xludf.DUMMYFUNCTION("""COMPUTED_VALUE"""),4.94)</f>
        <v>4.94</v>
      </c>
      <c r="D1832" s="1">
        <f>IFERROR(__xludf.DUMMYFUNCTION("""COMPUTED_VALUE"""),4.85)</f>
        <v>4.85</v>
      </c>
      <c r="E1832" s="1">
        <f>IFERROR(__xludf.DUMMYFUNCTION("""COMPUTED_VALUE"""),4.93)</f>
        <v>4.93</v>
      </c>
      <c r="F1832" s="1">
        <f>IFERROR(__xludf.DUMMYFUNCTION("""COMPUTED_VALUE"""),2846921.0)</f>
        <v>2846921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IFERROR(__xludf.DUMMYFUNCTION("""COMPUTED_VALUE"""),4.9)</f>
        <v>4.9</v>
      </c>
      <c r="C1833" s="1">
        <f>IFERROR(__xludf.DUMMYFUNCTION("""COMPUTED_VALUE"""),4.91)</f>
        <v>4.91</v>
      </c>
      <c r="D1833" s="1">
        <f>IFERROR(__xludf.DUMMYFUNCTION("""COMPUTED_VALUE"""),4.85)</f>
        <v>4.85</v>
      </c>
      <c r="E1833" s="1">
        <f>IFERROR(__xludf.DUMMYFUNCTION("""COMPUTED_VALUE"""),4.89)</f>
        <v>4.89</v>
      </c>
      <c r="F1833" s="1">
        <f>IFERROR(__xludf.DUMMYFUNCTION("""COMPUTED_VALUE"""),1440436.0)</f>
        <v>1440436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IFERROR(__xludf.DUMMYFUNCTION("""COMPUTED_VALUE"""),4.81)</f>
        <v>4.81</v>
      </c>
      <c r="C1834" s="1">
        <f>IFERROR(__xludf.DUMMYFUNCTION("""COMPUTED_VALUE"""),4.86)</f>
        <v>4.86</v>
      </c>
      <c r="D1834" s="1">
        <f>IFERROR(__xludf.DUMMYFUNCTION("""COMPUTED_VALUE"""),4.8)</f>
        <v>4.8</v>
      </c>
      <c r="E1834" s="1">
        <f>IFERROR(__xludf.DUMMYFUNCTION("""COMPUTED_VALUE"""),4.83)</f>
        <v>4.83</v>
      </c>
      <c r="F1834" s="1">
        <f>IFERROR(__xludf.DUMMYFUNCTION("""COMPUTED_VALUE"""),1560368.0)</f>
        <v>1560368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IFERROR(__xludf.DUMMYFUNCTION("""COMPUTED_VALUE"""),4.86)</f>
        <v>4.86</v>
      </c>
      <c r="C1835" s="1">
        <f>IFERROR(__xludf.DUMMYFUNCTION("""COMPUTED_VALUE"""),4.91)</f>
        <v>4.91</v>
      </c>
      <c r="D1835" s="1">
        <f>IFERROR(__xludf.DUMMYFUNCTION("""COMPUTED_VALUE"""),4.84)</f>
        <v>4.84</v>
      </c>
      <c r="E1835" s="1">
        <f>IFERROR(__xludf.DUMMYFUNCTION("""COMPUTED_VALUE"""),4.9)</f>
        <v>4.9</v>
      </c>
      <c r="F1835" s="1">
        <f>IFERROR(__xludf.DUMMYFUNCTION("""COMPUTED_VALUE"""),1119297.0)</f>
        <v>1119297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IFERROR(__xludf.DUMMYFUNCTION("""COMPUTED_VALUE"""),4.78)</f>
        <v>4.78</v>
      </c>
      <c r="C1836" s="1">
        <f>IFERROR(__xludf.DUMMYFUNCTION("""COMPUTED_VALUE"""),4.8)</f>
        <v>4.8</v>
      </c>
      <c r="D1836" s="1">
        <f>IFERROR(__xludf.DUMMYFUNCTION("""COMPUTED_VALUE"""),4.73)</f>
        <v>4.73</v>
      </c>
      <c r="E1836" s="1">
        <f>IFERROR(__xludf.DUMMYFUNCTION("""COMPUTED_VALUE"""),4.79)</f>
        <v>4.79</v>
      </c>
      <c r="F1836" s="1">
        <f>IFERROR(__xludf.DUMMYFUNCTION("""COMPUTED_VALUE"""),2114421.0)</f>
        <v>2114421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IFERROR(__xludf.DUMMYFUNCTION("""COMPUTED_VALUE"""),4.85)</f>
        <v>4.85</v>
      </c>
      <c r="C1837" s="1">
        <f>IFERROR(__xludf.DUMMYFUNCTION("""COMPUTED_VALUE"""),4.89)</f>
        <v>4.89</v>
      </c>
      <c r="D1837" s="1">
        <f>IFERROR(__xludf.DUMMYFUNCTION("""COMPUTED_VALUE"""),4.84)</f>
        <v>4.84</v>
      </c>
      <c r="E1837" s="1">
        <f>IFERROR(__xludf.DUMMYFUNCTION("""COMPUTED_VALUE"""),4.86)</f>
        <v>4.86</v>
      </c>
      <c r="F1837" s="1">
        <f>IFERROR(__xludf.DUMMYFUNCTION("""COMPUTED_VALUE"""),2804737.0)</f>
        <v>2804737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IFERROR(__xludf.DUMMYFUNCTION("""COMPUTED_VALUE"""),4.91)</f>
        <v>4.91</v>
      </c>
      <c r="C1838" s="1">
        <f>IFERROR(__xludf.DUMMYFUNCTION("""COMPUTED_VALUE"""),4.95)</f>
        <v>4.95</v>
      </c>
      <c r="D1838" s="1">
        <f>IFERROR(__xludf.DUMMYFUNCTION("""COMPUTED_VALUE"""),4.89)</f>
        <v>4.89</v>
      </c>
      <c r="E1838" s="1">
        <f>IFERROR(__xludf.DUMMYFUNCTION("""COMPUTED_VALUE"""),4.92)</f>
        <v>4.92</v>
      </c>
      <c r="F1838" s="1">
        <f>IFERROR(__xludf.DUMMYFUNCTION("""COMPUTED_VALUE"""),2448551.0)</f>
        <v>2448551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IFERROR(__xludf.DUMMYFUNCTION("""COMPUTED_VALUE"""),5.02)</f>
        <v>5.02</v>
      </c>
      <c r="C1839" s="1">
        <f>IFERROR(__xludf.DUMMYFUNCTION("""COMPUTED_VALUE"""),5.05)</f>
        <v>5.05</v>
      </c>
      <c r="D1839" s="1">
        <f>IFERROR(__xludf.DUMMYFUNCTION("""COMPUTED_VALUE"""),4.96)</f>
        <v>4.96</v>
      </c>
      <c r="E1839" s="1">
        <f>IFERROR(__xludf.DUMMYFUNCTION("""COMPUTED_VALUE"""),4.96)</f>
        <v>4.96</v>
      </c>
      <c r="F1839" s="1">
        <f>IFERROR(__xludf.DUMMYFUNCTION("""COMPUTED_VALUE"""),1994804.0)</f>
        <v>1994804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IFERROR(__xludf.DUMMYFUNCTION("""COMPUTED_VALUE"""),5.19)</f>
        <v>5.19</v>
      </c>
      <c r="C1840" s="1">
        <f>IFERROR(__xludf.DUMMYFUNCTION("""COMPUTED_VALUE"""),5.21)</f>
        <v>5.21</v>
      </c>
      <c r="D1840" s="1">
        <f>IFERROR(__xludf.DUMMYFUNCTION("""COMPUTED_VALUE"""),5.16)</f>
        <v>5.16</v>
      </c>
      <c r="E1840" s="1">
        <f>IFERROR(__xludf.DUMMYFUNCTION("""COMPUTED_VALUE"""),5.19)</f>
        <v>5.19</v>
      </c>
      <c r="F1840" s="1">
        <f>IFERROR(__xludf.DUMMYFUNCTION("""COMPUTED_VALUE"""),1934661.0)</f>
        <v>1934661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IFERROR(__xludf.DUMMYFUNCTION("""COMPUTED_VALUE"""),5.19)</f>
        <v>5.19</v>
      </c>
      <c r="C1841" s="1">
        <f>IFERROR(__xludf.DUMMYFUNCTION("""COMPUTED_VALUE"""),5.23)</f>
        <v>5.23</v>
      </c>
      <c r="D1841" s="1">
        <f>IFERROR(__xludf.DUMMYFUNCTION("""COMPUTED_VALUE"""),5.18)</f>
        <v>5.18</v>
      </c>
      <c r="E1841" s="1">
        <f>IFERROR(__xludf.DUMMYFUNCTION("""COMPUTED_VALUE"""),5.2)</f>
        <v>5.2</v>
      </c>
      <c r="F1841" s="1">
        <f>IFERROR(__xludf.DUMMYFUNCTION("""COMPUTED_VALUE"""),1579630.0)</f>
        <v>1579630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IFERROR(__xludf.DUMMYFUNCTION("""COMPUTED_VALUE"""),5.14)</f>
        <v>5.14</v>
      </c>
      <c r="C1842" s="1">
        <f>IFERROR(__xludf.DUMMYFUNCTION("""COMPUTED_VALUE"""),5.2)</f>
        <v>5.2</v>
      </c>
      <c r="D1842" s="1">
        <f>IFERROR(__xludf.DUMMYFUNCTION("""COMPUTED_VALUE"""),5.14)</f>
        <v>5.14</v>
      </c>
      <c r="E1842" s="1">
        <f>IFERROR(__xludf.DUMMYFUNCTION("""COMPUTED_VALUE"""),5.16)</f>
        <v>5.16</v>
      </c>
      <c r="F1842" s="1">
        <f>IFERROR(__xludf.DUMMYFUNCTION("""COMPUTED_VALUE"""),997411.0)</f>
        <v>997411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IFERROR(__xludf.DUMMYFUNCTION("""COMPUTED_VALUE"""),5.11)</f>
        <v>5.11</v>
      </c>
      <c r="C1843" s="1">
        <f>IFERROR(__xludf.DUMMYFUNCTION("""COMPUTED_VALUE"""),5.13)</f>
        <v>5.13</v>
      </c>
      <c r="D1843" s="1">
        <f>IFERROR(__xludf.DUMMYFUNCTION("""COMPUTED_VALUE"""),5.05)</f>
        <v>5.05</v>
      </c>
      <c r="E1843" s="1">
        <f>IFERROR(__xludf.DUMMYFUNCTION("""COMPUTED_VALUE"""),5.11)</f>
        <v>5.11</v>
      </c>
      <c r="F1843" s="1">
        <f>IFERROR(__xludf.DUMMYFUNCTION("""COMPUTED_VALUE"""),1313820.0)</f>
        <v>1313820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IFERROR(__xludf.DUMMYFUNCTION("""COMPUTED_VALUE"""),5.14)</f>
        <v>5.14</v>
      </c>
      <c r="C1844" s="1">
        <f>IFERROR(__xludf.DUMMYFUNCTION("""COMPUTED_VALUE"""),5.15)</f>
        <v>5.15</v>
      </c>
      <c r="D1844" s="1">
        <f>IFERROR(__xludf.DUMMYFUNCTION("""COMPUTED_VALUE"""),5.11)</f>
        <v>5.11</v>
      </c>
      <c r="E1844" s="1">
        <f>IFERROR(__xludf.DUMMYFUNCTION("""COMPUTED_VALUE"""),5.15)</f>
        <v>5.15</v>
      </c>
      <c r="F1844" s="1">
        <f>IFERROR(__xludf.DUMMYFUNCTION("""COMPUTED_VALUE"""),1580444.0)</f>
        <v>1580444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IFERROR(__xludf.DUMMYFUNCTION("""COMPUTED_VALUE"""),5.17)</f>
        <v>5.17</v>
      </c>
      <c r="C1845" s="1">
        <f>IFERROR(__xludf.DUMMYFUNCTION("""COMPUTED_VALUE"""),5.26)</f>
        <v>5.26</v>
      </c>
      <c r="D1845" s="1">
        <f>IFERROR(__xludf.DUMMYFUNCTION("""COMPUTED_VALUE"""),5.16)</f>
        <v>5.16</v>
      </c>
      <c r="E1845" s="1">
        <f>IFERROR(__xludf.DUMMYFUNCTION("""COMPUTED_VALUE"""),5.24)</f>
        <v>5.24</v>
      </c>
      <c r="F1845" s="1">
        <f>IFERROR(__xludf.DUMMYFUNCTION("""COMPUTED_VALUE"""),2112723.0)</f>
        <v>2112723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IFERROR(__xludf.DUMMYFUNCTION("""COMPUTED_VALUE"""),5.19)</f>
        <v>5.19</v>
      </c>
      <c r="C1846" s="1">
        <f>IFERROR(__xludf.DUMMYFUNCTION("""COMPUTED_VALUE"""),5.2)</f>
        <v>5.2</v>
      </c>
      <c r="D1846" s="1">
        <f>IFERROR(__xludf.DUMMYFUNCTION("""COMPUTED_VALUE"""),5.16)</f>
        <v>5.16</v>
      </c>
      <c r="E1846" s="1">
        <f>IFERROR(__xludf.DUMMYFUNCTION("""COMPUTED_VALUE"""),5.17)</f>
        <v>5.17</v>
      </c>
      <c r="F1846" s="1">
        <f>IFERROR(__xludf.DUMMYFUNCTION("""COMPUTED_VALUE"""),1875254.0)</f>
        <v>1875254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IFERROR(__xludf.DUMMYFUNCTION("""COMPUTED_VALUE"""),5.15)</f>
        <v>5.15</v>
      </c>
      <c r="C1847" s="1">
        <f>IFERROR(__xludf.DUMMYFUNCTION("""COMPUTED_VALUE"""),5.21)</f>
        <v>5.21</v>
      </c>
      <c r="D1847" s="1">
        <f>IFERROR(__xludf.DUMMYFUNCTION("""COMPUTED_VALUE"""),5.14)</f>
        <v>5.14</v>
      </c>
      <c r="E1847" s="1">
        <f>IFERROR(__xludf.DUMMYFUNCTION("""COMPUTED_VALUE"""),5.18)</f>
        <v>5.18</v>
      </c>
      <c r="F1847" s="1">
        <f>IFERROR(__xludf.DUMMYFUNCTION("""COMPUTED_VALUE"""),1298872.0)</f>
        <v>1298872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IFERROR(__xludf.DUMMYFUNCTION("""COMPUTED_VALUE"""),5.31)</f>
        <v>5.31</v>
      </c>
      <c r="C1848" s="1">
        <f>IFERROR(__xludf.DUMMYFUNCTION("""COMPUTED_VALUE"""),5.34)</f>
        <v>5.34</v>
      </c>
      <c r="D1848" s="1">
        <f>IFERROR(__xludf.DUMMYFUNCTION("""COMPUTED_VALUE"""),5.26)</f>
        <v>5.26</v>
      </c>
      <c r="E1848" s="1">
        <f>IFERROR(__xludf.DUMMYFUNCTION("""COMPUTED_VALUE"""),5.3)</f>
        <v>5.3</v>
      </c>
      <c r="F1848" s="1">
        <f>IFERROR(__xludf.DUMMYFUNCTION("""COMPUTED_VALUE"""),1534538.0)</f>
        <v>1534538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IFERROR(__xludf.DUMMYFUNCTION("""COMPUTED_VALUE"""),5.4)</f>
        <v>5.4</v>
      </c>
      <c r="C1849" s="1">
        <f>IFERROR(__xludf.DUMMYFUNCTION("""COMPUTED_VALUE"""),5.4)</f>
        <v>5.4</v>
      </c>
      <c r="D1849" s="1">
        <f>IFERROR(__xludf.DUMMYFUNCTION("""COMPUTED_VALUE"""),5.36)</f>
        <v>5.36</v>
      </c>
      <c r="E1849" s="1">
        <f>IFERROR(__xludf.DUMMYFUNCTION("""COMPUTED_VALUE"""),5.4)</f>
        <v>5.4</v>
      </c>
      <c r="F1849" s="1">
        <f>IFERROR(__xludf.DUMMYFUNCTION("""COMPUTED_VALUE"""),1785897.0)</f>
        <v>1785897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IFERROR(__xludf.DUMMYFUNCTION("""COMPUTED_VALUE"""),5.36)</f>
        <v>5.36</v>
      </c>
      <c r="C1850" s="1">
        <f>IFERROR(__xludf.DUMMYFUNCTION("""COMPUTED_VALUE"""),5.39)</f>
        <v>5.39</v>
      </c>
      <c r="D1850" s="1">
        <f>IFERROR(__xludf.DUMMYFUNCTION("""COMPUTED_VALUE"""),5.34)</f>
        <v>5.34</v>
      </c>
      <c r="E1850" s="1">
        <f>IFERROR(__xludf.DUMMYFUNCTION("""COMPUTED_VALUE"""),5.35)</f>
        <v>5.35</v>
      </c>
      <c r="F1850" s="1">
        <f>IFERROR(__xludf.DUMMYFUNCTION("""COMPUTED_VALUE"""),2403277.0)</f>
        <v>2403277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IFERROR(__xludf.DUMMYFUNCTION("""COMPUTED_VALUE"""),5.37)</f>
        <v>5.37</v>
      </c>
      <c r="C1851" s="1">
        <f>IFERROR(__xludf.DUMMYFUNCTION("""COMPUTED_VALUE"""),5.38)</f>
        <v>5.38</v>
      </c>
      <c r="D1851" s="1">
        <f>IFERROR(__xludf.DUMMYFUNCTION("""COMPUTED_VALUE"""),5.31)</f>
        <v>5.31</v>
      </c>
      <c r="E1851" s="1">
        <f>IFERROR(__xludf.DUMMYFUNCTION("""COMPUTED_VALUE"""),5.33)</f>
        <v>5.33</v>
      </c>
      <c r="F1851" s="1">
        <f>IFERROR(__xludf.DUMMYFUNCTION("""COMPUTED_VALUE"""),1376430.0)</f>
        <v>1376430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IFERROR(__xludf.DUMMYFUNCTION("""COMPUTED_VALUE"""),5.32)</f>
        <v>5.32</v>
      </c>
      <c r="C1852" s="1">
        <f>IFERROR(__xludf.DUMMYFUNCTION("""COMPUTED_VALUE"""),5.38)</f>
        <v>5.38</v>
      </c>
      <c r="D1852" s="1">
        <f>IFERROR(__xludf.DUMMYFUNCTION("""COMPUTED_VALUE"""),5.31)</f>
        <v>5.31</v>
      </c>
      <c r="E1852" s="1">
        <f>IFERROR(__xludf.DUMMYFUNCTION("""COMPUTED_VALUE"""),5.34)</f>
        <v>5.34</v>
      </c>
      <c r="F1852" s="1">
        <f>IFERROR(__xludf.DUMMYFUNCTION("""COMPUTED_VALUE"""),1550847.0)</f>
        <v>1550847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IFERROR(__xludf.DUMMYFUNCTION("""COMPUTED_VALUE"""),5.03)</f>
        <v>5.03</v>
      </c>
      <c r="C1853" s="1">
        <f>IFERROR(__xludf.DUMMYFUNCTION("""COMPUTED_VALUE"""),5.05)</f>
        <v>5.05</v>
      </c>
      <c r="D1853" s="1">
        <f>IFERROR(__xludf.DUMMYFUNCTION("""COMPUTED_VALUE"""),4.96)</f>
        <v>4.96</v>
      </c>
      <c r="E1853" s="1">
        <f>IFERROR(__xludf.DUMMYFUNCTION("""COMPUTED_VALUE"""),4.96)</f>
        <v>4.96</v>
      </c>
      <c r="F1853" s="1">
        <f>IFERROR(__xludf.DUMMYFUNCTION("""COMPUTED_VALUE"""),3753197.0)</f>
        <v>3753197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IFERROR(__xludf.DUMMYFUNCTION("""COMPUTED_VALUE"""),4.99)</f>
        <v>4.99</v>
      </c>
      <c r="C1854" s="1">
        <f>IFERROR(__xludf.DUMMYFUNCTION("""COMPUTED_VALUE"""),5.01)</f>
        <v>5.01</v>
      </c>
      <c r="D1854" s="1">
        <f>IFERROR(__xludf.DUMMYFUNCTION("""COMPUTED_VALUE"""),4.95)</f>
        <v>4.95</v>
      </c>
      <c r="E1854" s="1">
        <f>IFERROR(__xludf.DUMMYFUNCTION("""COMPUTED_VALUE"""),5.0)</f>
        <v>5</v>
      </c>
      <c r="F1854" s="1">
        <f>IFERROR(__xludf.DUMMYFUNCTION("""COMPUTED_VALUE"""),2025153.0)</f>
        <v>2025153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IFERROR(__xludf.DUMMYFUNCTION("""COMPUTED_VALUE"""),4.98)</f>
        <v>4.98</v>
      </c>
      <c r="C1855" s="1">
        <f>IFERROR(__xludf.DUMMYFUNCTION("""COMPUTED_VALUE"""),5.05)</f>
        <v>5.05</v>
      </c>
      <c r="D1855" s="1">
        <f>IFERROR(__xludf.DUMMYFUNCTION("""COMPUTED_VALUE"""),4.97)</f>
        <v>4.97</v>
      </c>
      <c r="E1855" s="1">
        <f>IFERROR(__xludf.DUMMYFUNCTION("""COMPUTED_VALUE"""),5.02)</f>
        <v>5.02</v>
      </c>
      <c r="F1855" s="1">
        <f>IFERROR(__xludf.DUMMYFUNCTION("""COMPUTED_VALUE"""),1655786.0)</f>
        <v>1655786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IFERROR(__xludf.DUMMYFUNCTION("""COMPUTED_VALUE"""),5.04)</f>
        <v>5.04</v>
      </c>
      <c r="C1856" s="1">
        <f>IFERROR(__xludf.DUMMYFUNCTION("""COMPUTED_VALUE"""),5.07)</f>
        <v>5.07</v>
      </c>
      <c r="D1856" s="1">
        <f>IFERROR(__xludf.DUMMYFUNCTION("""COMPUTED_VALUE"""),5.01)</f>
        <v>5.01</v>
      </c>
      <c r="E1856" s="1">
        <f>IFERROR(__xludf.DUMMYFUNCTION("""COMPUTED_VALUE"""),5.02)</f>
        <v>5.02</v>
      </c>
      <c r="F1856" s="1">
        <f>IFERROR(__xludf.DUMMYFUNCTION("""COMPUTED_VALUE"""),2673529.0)</f>
        <v>2673529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IFERROR(__xludf.DUMMYFUNCTION("""COMPUTED_VALUE"""),4.87)</f>
        <v>4.87</v>
      </c>
      <c r="C1857" s="1">
        <f>IFERROR(__xludf.DUMMYFUNCTION("""COMPUTED_VALUE"""),4.9)</f>
        <v>4.9</v>
      </c>
      <c r="D1857" s="1">
        <f>IFERROR(__xludf.DUMMYFUNCTION("""COMPUTED_VALUE"""),4.83)</f>
        <v>4.83</v>
      </c>
      <c r="E1857" s="1">
        <f>IFERROR(__xludf.DUMMYFUNCTION("""COMPUTED_VALUE"""),4.84)</f>
        <v>4.84</v>
      </c>
      <c r="F1857" s="1">
        <f>IFERROR(__xludf.DUMMYFUNCTION("""COMPUTED_VALUE"""),3673814.0)</f>
        <v>3673814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IFERROR(__xludf.DUMMYFUNCTION("""COMPUTED_VALUE"""),4.83)</f>
        <v>4.83</v>
      </c>
      <c r="C1858" s="1">
        <f>IFERROR(__xludf.DUMMYFUNCTION("""COMPUTED_VALUE"""),4.92)</f>
        <v>4.92</v>
      </c>
      <c r="D1858" s="1">
        <f>IFERROR(__xludf.DUMMYFUNCTION("""COMPUTED_VALUE"""),4.83)</f>
        <v>4.83</v>
      </c>
      <c r="E1858" s="1">
        <f>IFERROR(__xludf.DUMMYFUNCTION("""COMPUTED_VALUE"""),4.91)</f>
        <v>4.91</v>
      </c>
      <c r="F1858" s="1">
        <f>IFERROR(__xludf.DUMMYFUNCTION("""COMPUTED_VALUE"""),2426770.0)</f>
        <v>2426770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IFERROR(__xludf.DUMMYFUNCTION("""COMPUTED_VALUE"""),4.96)</f>
        <v>4.96</v>
      </c>
      <c r="C1859" s="1">
        <f>IFERROR(__xludf.DUMMYFUNCTION("""COMPUTED_VALUE"""),4.98)</f>
        <v>4.98</v>
      </c>
      <c r="D1859" s="1">
        <f>IFERROR(__xludf.DUMMYFUNCTION("""COMPUTED_VALUE"""),4.92)</f>
        <v>4.92</v>
      </c>
      <c r="E1859" s="1">
        <f>IFERROR(__xludf.DUMMYFUNCTION("""COMPUTED_VALUE"""),4.93)</f>
        <v>4.93</v>
      </c>
      <c r="F1859" s="1">
        <f>IFERROR(__xludf.DUMMYFUNCTION("""COMPUTED_VALUE"""),2958598.0)</f>
        <v>2958598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IFERROR(__xludf.DUMMYFUNCTION("""COMPUTED_VALUE"""),5.08)</f>
        <v>5.08</v>
      </c>
      <c r="C1860" s="1">
        <f>IFERROR(__xludf.DUMMYFUNCTION("""COMPUTED_VALUE"""),5.15)</f>
        <v>5.15</v>
      </c>
      <c r="D1860" s="1">
        <f>IFERROR(__xludf.DUMMYFUNCTION("""COMPUTED_VALUE"""),5.07)</f>
        <v>5.07</v>
      </c>
      <c r="E1860" s="1">
        <f>IFERROR(__xludf.DUMMYFUNCTION("""COMPUTED_VALUE"""),5.13)</f>
        <v>5.13</v>
      </c>
      <c r="F1860" s="1">
        <f>IFERROR(__xludf.DUMMYFUNCTION("""COMPUTED_VALUE"""),3296876.0)</f>
        <v>3296876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IFERROR(__xludf.DUMMYFUNCTION("""COMPUTED_VALUE"""),5.02)</f>
        <v>5.02</v>
      </c>
      <c r="C1861" s="1">
        <f>IFERROR(__xludf.DUMMYFUNCTION("""COMPUTED_VALUE"""),5.03)</f>
        <v>5.03</v>
      </c>
      <c r="D1861" s="1">
        <f>IFERROR(__xludf.DUMMYFUNCTION("""COMPUTED_VALUE"""),4.96)</f>
        <v>4.96</v>
      </c>
      <c r="E1861" s="1">
        <f>IFERROR(__xludf.DUMMYFUNCTION("""COMPUTED_VALUE"""),5.0)</f>
        <v>5</v>
      </c>
      <c r="F1861" s="1">
        <f>IFERROR(__xludf.DUMMYFUNCTION("""COMPUTED_VALUE"""),2661756.0)</f>
        <v>2661756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IFERROR(__xludf.DUMMYFUNCTION("""COMPUTED_VALUE"""),4.98)</f>
        <v>4.98</v>
      </c>
      <c r="C1862" s="1">
        <f>IFERROR(__xludf.DUMMYFUNCTION("""COMPUTED_VALUE"""),5.0)</f>
        <v>5</v>
      </c>
      <c r="D1862" s="1">
        <f>IFERROR(__xludf.DUMMYFUNCTION("""COMPUTED_VALUE"""),4.96)</f>
        <v>4.96</v>
      </c>
      <c r="E1862" s="1">
        <f>IFERROR(__xludf.DUMMYFUNCTION("""COMPUTED_VALUE"""),4.97)</f>
        <v>4.97</v>
      </c>
      <c r="F1862" s="1">
        <f>IFERROR(__xludf.DUMMYFUNCTION("""COMPUTED_VALUE"""),1507275.0)</f>
        <v>1507275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IFERROR(__xludf.DUMMYFUNCTION("""COMPUTED_VALUE"""),4.95)</f>
        <v>4.95</v>
      </c>
      <c r="C1863" s="1">
        <f>IFERROR(__xludf.DUMMYFUNCTION("""COMPUTED_VALUE"""),4.97)</f>
        <v>4.97</v>
      </c>
      <c r="D1863" s="1">
        <f>IFERROR(__xludf.DUMMYFUNCTION("""COMPUTED_VALUE"""),4.93)</f>
        <v>4.93</v>
      </c>
      <c r="E1863" s="1">
        <f>IFERROR(__xludf.DUMMYFUNCTION("""COMPUTED_VALUE"""),4.95)</f>
        <v>4.95</v>
      </c>
      <c r="F1863" s="1">
        <f>IFERROR(__xludf.DUMMYFUNCTION("""COMPUTED_VALUE"""),1320529.0)</f>
        <v>1320529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IFERROR(__xludf.DUMMYFUNCTION("""COMPUTED_VALUE"""),4.92)</f>
        <v>4.92</v>
      </c>
      <c r="C1864" s="1">
        <f>IFERROR(__xludf.DUMMYFUNCTION("""COMPUTED_VALUE"""),4.93)</f>
        <v>4.93</v>
      </c>
      <c r="D1864" s="1">
        <f>IFERROR(__xludf.DUMMYFUNCTION("""COMPUTED_VALUE"""),4.89)</f>
        <v>4.89</v>
      </c>
      <c r="E1864" s="1">
        <f>IFERROR(__xludf.DUMMYFUNCTION("""COMPUTED_VALUE"""),4.91)</f>
        <v>4.91</v>
      </c>
      <c r="F1864" s="1">
        <f>IFERROR(__xludf.DUMMYFUNCTION("""COMPUTED_VALUE"""),1576349.0)</f>
        <v>1576349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IFERROR(__xludf.DUMMYFUNCTION("""COMPUTED_VALUE"""),4.96)</f>
        <v>4.96</v>
      </c>
      <c r="C1865" s="1">
        <f>IFERROR(__xludf.DUMMYFUNCTION("""COMPUTED_VALUE"""),4.96)</f>
        <v>4.96</v>
      </c>
      <c r="D1865" s="1">
        <f>IFERROR(__xludf.DUMMYFUNCTION("""COMPUTED_VALUE"""),4.91)</f>
        <v>4.91</v>
      </c>
      <c r="E1865" s="1">
        <f>IFERROR(__xludf.DUMMYFUNCTION("""COMPUTED_VALUE"""),4.93)</f>
        <v>4.93</v>
      </c>
      <c r="F1865" s="1">
        <f>IFERROR(__xludf.DUMMYFUNCTION("""COMPUTED_VALUE"""),2049784.0)</f>
        <v>2049784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IFERROR(__xludf.DUMMYFUNCTION("""COMPUTED_VALUE"""),4.95)</f>
        <v>4.95</v>
      </c>
      <c r="C1866" s="1">
        <f>IFERROR(__xludf.DUMMYFUNCTION("""COMPUTED_VALUE"""),4.97)</f>
        <v>4.97</v>
      </c>
      <c r="D1866" s="1">
        <f>IFERROR(__xludf.DUMMYFUNCTION("""COMPUTED_VALUE"""),4.92)</f>
        <v>4.92</v>
      </c>
      <c r="E1866" s="1">
        <f>IFERROR(__xludf.DUMMYFUNCTION("""COMPUTED_VALUE"""),4.95)</f>
        <v>4.95</v>
      </c>
      <c r="F1866" s="1">
        <f>IFERROR(__xludf.DUMMYFUNCTION("""COMPUTED_VALUE"""),1900814.0)</f>
        <v>1900814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IFERROR(__xludf.DUMMYFUNCTION("""COMPUTED_VALUE"""),5.0)</f>
        <v>5</v>
      </c>
      <c r="C1867" s="1">
        <f>IFERROR(__xludf.DUMMYFUNCTION("""COMPUTED_VALUE"""),5.08)</f>
        <v>5.08</v>
      </c>
      <c r="D1867" s="1">
        <f>IFERROR(__xludf.DUMMYFUNCTION("""COMPUTED_VALUE"""),4.99)</f>
        <v>4.99</v>
      </c>
      <c r="E1867" s="1">
        <f>IFERROR(__xludf.DUMMYFUNCTION("""COMPUTED_VALUE"""),5.05)</f>
        <v>5.05</v>
      </c>
      <c r="F1867" s="1">
        <f>IFERROR(__xludf.DUMMYFUNCTION("""COMPUTED_VALUE"""),1650823.0)</f>
        <v>1650823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IFERROR(__xludf.DUMMYFUNCTION("""COMPUTED_VALUE"""),5.02)</f>
        <v>5.02</v>
      </c>
      <c r="C1868" s="1">
        <f>IFERROR(__xludf.DUMMYFUNCTION("""COMPUTED_VALUE"""),5.04)</f>
        <v>5.04</v>
      </c>
      <c r="D1868" s="1">
        <f>IFERROR(__xludf.DUMMYFUNCTION("""COMPUTED_VALUE"""),4.96)</f>
        <v>4.96</v>
      </c>
      <c r="E1868" s="1">
        <f>IFERROR(__xludf.DUMMYFUNCTION("""COMPUTED_VALUE"""),4.96)</f>
        <v>4.96</v>
      </c>
      <c r="F1868" s="1">
        <f>IFERROR(__xludf.DUMMYFUNCTION("""COMPUTED_VALUE"""),1115024.0)</f>
        <v>1115024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IFERROR(__xludf.DUMMYFUNCTION("""COMPUTED_VALUE"""),4.93)</f>
        <v>4.93</v>
      </c>
      <c r="C1869" s="1">
        <f>IFERROR(__xludf.DUMMYFUNCTION("""COMPUTED_VALUE"""),4.96)</f>
        <v>4.96</v>
      </c>
      <c r="D1869" s="1">
        <f>IFERROR(__xludf.DUMMYFUNCTION("""COMPUTED_VALUE"""),4.9)</f>
        <v>4.9</v>
      </c>
      <c r="E1869" s="1">
        <f>IFERROR(__xludf.DUMMYFUNCTION("""COMPUTED_VALUE"""),4.95)</f>
        <v>4.95</v>
      </c>
      <c r="F1869" s="1">
        <f>IFERROR(__xludf.DUMMYFUNCTION("""COMPUTED_VALUE"""),2023622.0)</f>
        <v>2023622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IFERROR(__xludf.DUMMYFUNCTION("""COMPUTED_VALUE"""),4.82)</f>
        <v>4.82</v>
      </c>
      <c r="C1870" s="1">
        <f>IFERROR(__xludf.DUMMYFUNCTION("""COMPUTED_VALUE"""),4.87)</f>
        <v>4.87</v>
      </c>
      <c r="D1870" s="1">
        <f>IFERROR(__xludf.DUMMYFUNCTION("""COMPUTED_VALUE"""),4.81)</f>
        <v>4.81</v>
      </c>
      <c r="E1870" s="1">
        <f>IFERROR(__xludf.DUMMYFUNCTION("""COMPUTED_VALUE"""),4.86)</f>
        <v>4.86</v>
      </c>
      <c r="F1870" s="1">
        <f>IFERROR(__xludf.DUMMYFUNCTION("""COMPUTED_VALUE"""),4143078.0)</f>
        <v>4143078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IFERROR(__xludf.DUMMYFUNCTION("""COMPUTED_VALUE"""),4.9)</f>
        <v>4.9</v>
      </c>
      <c r="C1871" s="1">
        <f>IFERROR(__xludf.DUMMYFUNCTION("""COMPUTED_VALUE"""),4.92)</f>
        <v>4.92</v>
      </c>
      <c r="D1871" s="1">
        <f>IFERROR(__xludf.DUMMYFUNCTION("""COMPUTED_VALUE"""),4.85)</f>
        <v>4.85</v>
      </c>
      <c r="E1871" s="1">
        <f>IFERROR(__xludf.DUMMYFUNCTION("""COMPUTED_VALUE"""),4.87)</f>
        <v>4.87</v>
      </c>
      <c r="F1871" s="1">
        <f>IFERROR(__xludf.DUMMYFUNCTION("""COMPUTED_VALUE"""),1156946.0)</f>
        <v>1156946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IFERROR(__xludf.DUMMYFUNCTION("""COMPUTED_VALUE"""),4.9)</f>
        <v>4.9</v>
      </c>
      <c r="C1872" s="1">
        <f>IFERROR(__xludf.DUMMYFUNCTION("""COMPUTED_VALUE"""),4.95)</f>
        <v>4.95</v>
      </c>
      <c r="D1872" s="1">
        <f>IFERROR(__xludf.DUMMYFUNCTION("""COMPUTED_VALUE"""),4.89)</f>
        <v>4.89</v>
      </c>
      <c r="E1872" s="1">
        <f>IFERROR(__xludf.DUMMYFUNCTION("""COMPUTED_VALUE"""),4.93)</f>
        <v>4.93</v>
      </c>
      <c r="F1872" s="1">
        <f>IFERROR(__xludf.DUMMYFUNCTION("""COMPUTED_VALUE"""),1211286.0)</f>
        <v>1211286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IFERROR(__xludf.DUMMYFUNCTION("""COMPUTED_VALUE"""),4.99)</f>
        <v>4.99</v>
      </c>
      <c r="C1873" s="1">
        <f>IFERROR(__xludf.DUMMYFUNCTION("""COMPUTED_VALUE"""),5.08)</f>
        <v>5.08</v>
      </c>
      <c r="D1873" s="1">
        <f>IFERROR(__xludf.DUMMYFUNCTION("""COMPUTED_VALUE"""),4.99)</f>
        <v>4.99</v>
      </c>
      <c r="E1873" s="1">
        <f>IFERROR(__xludf.DUMMYFUNCTION("""COMPUTED_VALUE"""),5.06)</f>
        <v>5.06</v>
      </c>
      <c r="F1873" s="1">
        <f>IFERROR(__xludf.DUMMYFUNCTION("""COMPUTED_VALUE"""),2156201.0)</f>
        <v>2156201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IFERROR(__xludf.DUMMYFUNCTION("""COMPUTED_VALUE"""),5.11)</f>
        <v>5.11</v>
      </c>
      <c r="C1874" s="1">
        <f>IFERROR(__xludf.DUMMYFUNCTION("""COMPUTED_VALUE"""),5.13)</f>
        <v>5.13</v>
      </c>
      <c r="D1874" s="1">
        <f>IFERROR(__xludf.DUMMYFUNCTION("""COMPUTED_VALUE"""),5.07)</f>
        <v>5.07</v>
      </c>
      <c r="E1874" s="1">
        <f>IFERROR(__xludf.DUMMYFUNCTION("""COMPUTED_VALUE"""),5.1)</f>
        <v>5.1</v>
      </c>
      <c r="F1874" s="1">
        <f>IFERROR(__xludf.DUMMYFUNCTION("""COMPUTED_VALUE"""),1698274.0)</f>
        <v>1698274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IFERROR(__xludf.DUMMYFUNCTION("""COMPUTED_VALUE"""),5.14)</f>
        <v>5.14</v>
      </c>
      <c r="C1875" s="1">
        <f>IFERROR(__xludf.DUMMYFUNCTION("""COMPUTED_VALUE"""),5.15)</f>
        <v>5.15</v>
      </c>
      <c r="D1875" s="1">
        <f>IFERROR(__xludf.DUMMYFUNCTION("""COMPUTED_VALUE"""),5.12)</f>
        <v>5.12</v>
      </c>
      <c r="E1875" s="1">
        <f>IFERROR(__xludf.DUMMYFUNCTION("""COMPUTED_VALUE"""),5.12)</f>
        <v>5.12</v>
      </c>
      <c r="F1875" s="1">
        <f>IFERROR(__xludf.DUMMYFUNCTION("""COMPUTED_VALUE"""),988306.0)</f>
        <v>988306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IFERROR(__xludf.DUMMYFUNCTION("""COMPUTED_VALUE"""),5.12)</f>
        <v>5.12</v>
      </c>
      <c r="C1876" s="1">
        <f>IFERROR(__xludf.DUMMYFUNCTION("""COMPUTED_VALUE"""),5.12)</f>
        <v>5.12</v>
      </c>
      <c r="D1876" s="1">
        <f>IFERROR(__xludf.DUMMYFUNCTION("""COMPUTED_VALUE"""),5.06)</f>
        <v>5.06</v>
      </c>
      <c r="E1876" s="1">
        <f>IFERROR(__xludf.DUMMYFUNCTION("""COMPUTED_VALUE"""),5.09)</f>
        <v>5.09</v>
      </c>
      <c r="F1876" s="1">
        <f>IFERROR(__xludf.DUMMYFUNCTION("""COMPUTED_VALUE"""),1383252.0)</f>
        <v>1383252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IFERROR(__xludf.DUMMYFUNCTION("""COMPUTED_VALUE"""),4.96)</f>
        <v>4.96</v>
      </c>
      <c r="C1877" s="1">
        <f>IFERROR(__xludf.DUMMYFUNCTION("""COMPUTED_VALUE"""),5.0)</f>
        <v>5</v>
      </c>
      <c r="D1877" s="1">
        <f>IFERROR(__xludf.DUMMYFUNCTION("""COMPUTED_VALUE"""),4.94)</f>
        <v>4.94</v>
      </c>
      <c r="E1877" s="1">
        <f>IFERROR(__xludf.DUMMYFUNCTION("""COMPUTED_VALUE"""),4.98)</f>
        <v>4.98</v>
      </c>
      <c r="F1877" s="1">
        <f>IFERROR(__xludf.DUMMYFUNCTION("""COMPUTED_VALUE"""),1363189.0)</f>
        <v>1363189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IFERROR(__xludf.DUMMYFUNCTION("""COMPUTED_VALUE"""),4.97)</f>
        <v>4.97</v>
      </c>
      <c r="C1878" s="1">
        <f>IFERROR(__xludf.DUMMYFUNCTION("""COMPUTED_VALUE"""),5.03)</f>
        <v>5.03</v>
      </c>
      <c r="D1878" s="1">
        <f>IFERROR(__xludf.DUMMYFUNCTION("""COMPUTED_VALUE"""),4.96)</f>
        <v>4.96</v>
      </c>
      <c r="E1878" s="1">
        <f>IFERROR(__xludf.DUMMYFUNCTION("""COMPUTED_VALUE"""),5.03)</f>
        <v>5.03</v>
      </c>
      <c r="F1878" s="1">
        <f>IFERROR(__xludf.DUMMYFUNCTION("""COMPUTED_VALUE"""),806937.0)</f>
        <v>806937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IFERROR(__xludf.DUMMYFUNCTION("""COMPUTED_VALUE"""),5.04)</f>
        <v>5.04</v>
      </c>
      <c r="C1879" s="1">
        <f>IFERROR(__xludf.DUMMYFUNCTION("""COMPUTED_VALUE"""),5.05)</f>
        <v>5.05</v>
      </c>
      <c r="D1879" s="1">
        <f>IFERROR(__xludf.DUMMYFUNCTION("""COMPUTED_VALUE"""),5.01)</f>
        <v>5.01</v>
      </c>
      <c r="E1879" s="1">
        <f>IFERROR(__xludf.DUMMYFUNCTION("""COMPUTED_VALUE"""),5.03)</f>
        <v>5.03</v>
      </c>
      <c r="F1879" s="1">
        <f>IFERROR(__xludf.DUMMYFUNCTION("""COMPUTED_VALUE"""),4025835.0)</f>
        <v>4025835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IFERROR(__xludf.DUMMYFUNCTION("""COMPUTED_VALUE"""),5.0)</f>
        <v>5</v>
      </c>
      <c r="C1880" s="1">
        <f>IFERROR(__xludf.DUMMYFUNCTION("""COMPUTED_VALUE"""),5.01)</f>
        <v>5.01</v>
      </c>
      <c r="D1880" s="1">
        <f>IFERROR(__xludf.DUMMYFUNCTION("""COMPUTED_VALUE"""),4.93)</f>
        <v>4.93</v>
      </c>
      <c r="E1880" s="1">
        <f>IFERROR(__xludf.DUMMYFUNCTION("""COMPUTED_VALUE"""),4.94)</f>
        <v>4.94</v>
      </c>
      <c r="F1880" s="1">
        <f>IFERROR(__xludf.DUMMYFUNCTION("""COMPUTED_VALUE"""),1217993.0)</f>
        <v>1217993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IFERROR(__xludf.DUMMYFUNCTION("""COMPUTED_VALUE"""),4.87)</f>
        <v>4.87</v>
      </c>
      <c r="C1881" s="1">
        <f>IFERROR(__xludf.DUMMYFUNCTION("""COMPUTED_VALUE"""),4.93)</f>
        <v>4.93</v>
      </c>
      <c r="D1881" s="1">
        <f>IFERROR(__xludf.DUMMYFUNCTION("""COMPUTED_VALUE"""),4.86)</f>
        <v>4.86</v>
      </c>
      <c r="E1881" s="1">
        <f>IFERROR(__xludf.DUMMYFUNCTION("""COMPUTED_VALUE"""),4.91)</f>
        <v>4.91</v>
      </c>
      <c r="F1881" s="1">
        <f>IFERROR(__xludf.DUMMYFUNCTION("""COMPUTED_VALUE"""),1664568.0)</f>
        <v>1664568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IFERROR(__xludf.DUMMYFUNCTION("""COMPUTED_VALUE"""),4.88)</f>
        <v>4.88</v>
      </c>
      <c r="C1882" s="1">
        <f>IFERROR(__xludf.DUMMYFUNCTION("""COMPUTED_VALUE"""),4.91)</f>
        <v>4.91</v>
      </c>
      <c r="D1882" s="1">
        <f>IFERROR(__xludf.DUMMYFUNCTION("""COMPUTED_VALUE"""),4.86)</f>
        <v>4.86</v>
      </c>
      <c r="E1882" s="1">
        <f>IFERROR(__xludf.DUMMYFUNCTION("""COMPUTED_VALUE"""),4.9)</f>
        <v>4.9</v>
      </c>
      <c r="F1882" s="1">
        <f>IFERROR(__xludf.DUMMYFUNCTION("""COMPUTED_VALUE"""),1150031.0)</f>
        <v>1150031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IFERROR(__xludf.DUMMYFUNCTION("""COMPUTED_VALUE"""),4.84)</f>
        <v>4.84</v>
      </c>
      <c r="C1883" s="1">
        <f>IFERROR(__xludf.DUMMYFUNCTION("""COMPUTED_VALUE"""),4.89)</f>
        <v>4.89</v>
      </c>
      <c r="D1883" s="1">
        <f>IFERROR(__xludf.DUMMYFUNCTION("""COMPUTED_VALUE"""),4.82)</f>
        <v>4.82</v>
      </c>
      <c r="E1883" s="1">
        <f>IFERROR(__xludf.DUMMYFUNCTION("""COMPUTED_VALUE"""),4.87)</f>
        <v>4.87</v>
      </c>
      <c r="F1883" s="1">
        <f>IFERROR(__xludf.DUMMYFUNCTION("""COMPUTED_VALUE"""),1268934.0)</f>
        <v>1268934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IFERROR(__xludf.DUMMYFUNCTION("""COMPUTED_VALUE"""),4.95)</f>
        <v>4.95</v>
      </c>
      <c r="C1884" s="1">
        <f>IFERROR(__xludf.DUMMYFUNCTION("""COMPUTED_VALUE"""),4.95)</f>
        <v>4.95</v>
      </c>
      <c r="D1884" s="1">
        <f>IFERROR(__xludf.DUMMYFUNCTION("""COMPUTED_VALUE"""),4.89)</f>
        <v>4.89</v>
      </c>
      <c r="E1884" s="1">
        <f>IFERROR(__xludf.DUMMYFUNCTION("""COMPUTED_VALUE"""),4.9)</f>
        <v>4.9</v>
      </c>
      <c r="F1884" s="1">
        <f>IFERROR(__xludf.DUMMYFUNCTION("""COMPUTED_VALUE"""),1740346.0)</f>
        <v>1740346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IFERROR(__xludf.DUMMYFUNCTION("""COMPUTED_VALUE"""),4.87)</f>
        <v>4.87</v>
      </c>
      <c r="C1885" s="1">
        <f>IFERROR(__xludf.DUMMYFUNCTION("""COMPUTED_VALUE"""),4.92)</f>
        <v>4.92</v>
      </c>
      <c r="D1885" s="1">
        <f>IFERROR(__xludf.DUMMYFUNCTION("""COMPUTED_VALUE"""),4.87)</f>
        <v>4.87</v>
      </c>
      <c r="E1885" s="1">
        <f>IFERROR(__xludf.DUMMYFUNCTION("""COMPUTED_VALUE"""),4.92)</f>
        <v>4.92</v>
      </c>
      <c r="F1885" s="1">
        <f>IFERROR(__xludf.DUMMYFUNCTION("""COMPUTED_VALUE"""),1116420.0)</f>
        <v>1116420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IFERROR(__xludf.DUMMYFUNCTION("""COMPUTED_VALUE"""),4.91)</f>
        <v>4.91</v>
      </c>
      <c r="C1886" s="1">
        <f>IFERROR(__xludf.DUMMYFUNCTION("""COMPUTED_VALUE"""),4.98)</f>
        <v>4.98</v>
      </c>
      <c r="D1886" s="1">
        <f>IFERROR(__xludf.DUMMYFUNCTION("""COMPUTED_VALUE"""),4.89)</f>
        <v>4.89</v>
      </c>
      <c r="E1886" s="1">
        <f>IFERROR(__xludf.DUMMYFUNCTION("""COMPUTED_VALUE"""),4.97)</f>
        <v>4.97</v>
      </c>
      <c r="F1886" s="1">
        <f>IFERROR(__xludf.DUMMYFUNCTION("""COMPUTED_VALUE"""),2740999.0)</f>
        <v>2740999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IFERROR(__xludf.DUMMYFUNCTION("""COMPUTED_VALUE"""),5.18)</f>
        <v>5.18</v>
      </c>
      <c r="C1887" s="1">
        <f>IFERROR(__xludf.DUMMYFUNCTION("""COMPUTED_VALUE"""),5.21)</f>
        <v>5.21</v>
      </c>
      <c r="D1887" s="1">
        <f>IFERROR(__xludf.DUMMYFUNCTION("""COMPUTED_VALUE"""),5.12)</f>
        <v>5.12</v>
      </c>
      <c r="E1887" s="1">
        <f>IFERROR(__xludf.DUMMYFUNCTION("""COMPUTED_VALUE"""),5.19)</f>
        <v>5.19</v>
      </c>
      <c r="F1887" s="1">
        <f>IFERROR(__xludf.DUMMYFUNCTION("""COMPUTED_VALUE"""),3333231.0)</f>
        <v>3333231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IFERROR(__xludf.DUMMYFUNCTION("""COMPUTED_VALUE"""),5.15)</f>
        <v>5.15</v>
      </c>
      <c r="C1888" s="1">
        <f>IFERROR(__xludf.DUMMYFUNCTION("""COMPUTED_VALUE"""),5.16)</f>
        <v>5.16</v>
      </c>
      <c r="D1888" s="1">
        <f>IFERROR(__xludf.DUMMYFUNCTION("""COMPUTED_VALUE"""),5.08)</f>
        <v>5.08</v>
      </c>
      <c r="E1888" s="1">
        <f>IFERROR(__xludf.DUMMYFUNCTION("""COMPUTED_VALUE"""),5.11)</f>
        <v>5.11</v>
      </c>
      <c r="F1888" s="1">
        <f>IFERROR(__xludf.DUMMYFUNCTION("""COMPUTED_VALUE"""),2175073.0)</f>
        <v>2175073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IFERROR(__xludf.DUMMYFUNCTION("""COMPUTED_VALUE"""),5.22)</f>
        <v>5.22</v>
      </c>
      <c r="C1889" s="1">
        <f>IFERROR(__xludf.DUMMYFUNCTION("""COMPUTED_VALUE"""),5.26)</f>
        <v>5.26</v>
      </c>
      <c r="D1889" s="1">
        <f>IFERROR(__xludf.DUMMYFUNCTION("""COMPUTED_VALUE"""),5.2)</f>
        <v>5.2</v>
      </c>
      <c r="E1889" s="1">
        <f>IFERROR(__xludf.DUMMYFUNCTION("""COMPUTED_VALUE"""),5.2)</f>
        <v>5.2</v>
      </c>
      <c r="F1889" s="1">
        <f>IFERROR(__xludf.DUMMYFUNCTION("""COMPUTED_VALUE"""),1003341.0)</f>
        <v>1003341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IFERROR(__xludf.DUMMYFUNCTION("""COMPUTED_VALUE"""),5.28)</f>
        <v>5.28</v>
      </c>
      <c r="C1890" s="1">
        <f>IFERROR(__xludf.DUMMYFUNCTION("""COMPUTED_VALUE"""),5.28)</f>
        <v>5.28</v>
      </c>
      <c r="D1890" s="1">
        <f>IFERROR(__xludf.DUMMYFUNCTION("""COMPUTED_VALUE"""),5.23)</f>
        <v>5.23</v>
      </c>
      <c r="E1890" s="1">
        <f>IFERROR(__xludf.DUMMYFUNCTION("""COMPUTED_VALUE"""),5.25)</f>
        <v>5.25</v>
      </c>
      <c r="F1890" s="1">
        <f>IFERROR(__xludf.DUMMYFUNCTION("""COMPUTED_VALUE"""),1409424.0)</f>
        <v>1409424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IFERROR(__xludf.DUMMYFUNCTION("""COMPUTED_VALUE"""),5.3)</f>
        <v>5.3</v>
      </c>
      <c r="C1891" s="1">
        <f>IFERROR(__xludf.DUMMYFUNCTION("""COMPUTED_VALUE"""),5.35)</f>
        <v>5.35</v>
      </c>
      <c r="D1891" s="1">
        <f>IFERROR(__xludf.DUMMYFUNCTION("""COMPUTED_VALUE"""),5.28)</f>
        <v>5.28</v>
      </c>
      <c r="E1891" s="1">
        <f>IFERROR(__xludf.DUMMYFUNCTION("""COMPUTED_VALUE"""),5.3)</f>
        <v>5.3</v>
      </c>
      <c r="F1891" s="1">
        <f>IFERROR(__xludf.DUMMYFUNCTION("""COMPUTED_VALUE"""),2118808.0)</f>
        <v>2118808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IFERROR(__xludf.DUMMYFUNCTION("""COMPUTED_VALUE"""),5.43)</f>
        <v>5.43</v>
      </c>
      <c r="C1892" s="1">
        <f>IFERROR(__xludf.DUMMYFUNCTION("""COMPUTED_VALUE"""),5.47)</f>
        <v>5.47</v>
      </c>
      <c r="D1892" s="1">
        <f>IFERROR(__xludf.DUMMYFUNCTION("""COMPUTED_VALUE"""),5.42)</f>
        <v>5.42</v>
      </c>
      <c r="E1892" s="1">
        <f>IFERROR(__xludf.DUMMYFUNCTION("""COMPUTED_VALUE"""),5.44)</f>
        <v>5.44</v>
      </c>
      <c r="F1892" s="1">
        <f>IFERROR(__xludf.DUMMYFUNCTION("""COMPUTED_VALUE"""),2199011.0)</f>
        <v>2199011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IFERROR(__xludf.DUMMYFUNCTION("""COMPUTED_VALUE"""),5.49)</f>
        <v>5.49</v>
      </c>
      <c r="C1893" s="1">
        <f>IFERROR(__xludf.DUMMYFUNCTION("""COMPUTED_VALUE"""),5.52)</f>
        <v>5.52</v>
      </c>
      <c r="D1893" s="1">
        <f>IFERROR(__xludf.DUMMYFUNCTION("""COMPUTED_VALUE"""),5.46)</f>
        <v>5.46</v>
      </c>
      <c r="E1893" s="1">
        <f>IFERROR(__xludf.DUMMYFUNCTION("""COMPUTED_VALUE"""),5.46)</f>
        <v>5.46</v>
      </c>
      <c r="F1893" s="1">
        <f>IFERROR(__xludf.DUMMYFUNCTION("""COMPUTED_VALUE"""),1571894.0)</f>
        <v>1571894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IFERROR(__xludf.DUMMYFUNCTION("""COMPUTED_VALUE"""),5.51)</f>
        <v>5.51</v>
      </c>
      <c r="C1894" s="1">
        <f>IFERROR(__xludf.DUMMYFUNCTION("""COMPUTED_VALUE"""),5.52)</f>
        <v>5.52</v>
      </c>
      <c r="D1894" s="1">
        <f>IFERROR(__xludf.DUMMYFUNCTION("""COMPUTED_VALUE"""),5.46)</f>
        <v>5.46</v>
      </c>
      <c r="E1894" s="1">
        <f>IFERROR(__xludf.DUMMYFUNCTION("""COMPUTED_VALUE"""),5.5)</f>
        <v>5.5</v>
      </c>
      <c r="F1894" s="1">
        <f>IFERROR(__xludf.DUMMYFUNCTION("""COMPUTED_VALUE"""),1970065.0)</f>
        <v>1970065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IFERROR(__xludf.DUMMYFUNCTION("""COMPUTED_VALUE"""),5.48)</f>
        <v>5.48</v>
      </c>
      <c r="C1895" s="1">
        <f>IFERROR(__xludf.DUMMYFUNCTION("""COMPUTED_VALUE"""),5.48)</f>
        <v>5.48</v>
      </c>
      <c r="D1895" s="1">
        <f>IFERROR(__xludf.DUMMYFUNCTION("""COMPUTED_VALUE"""),5.41)</f>
        <v>5.41</v>
      </c>
      <c r="E1895" s="1">
        <f>IFERROR(__xludf.DUMMYFUNCTION("""COMPUTED_VALUE"""),5.42)</f>
        <v>5.42</v>
      </c>
      <c r="F1895" s="1">
        <f>IFERROR(__xludf.DUMMYFUNCTION("""COMPUTED_VALUE"""),1467379.0)</f>
        <v>1467379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IFERROR(__xludf.DUMMYFUNCTION("""COMPUTED_VALUE"""),5.45)</f>
        <v>5.45</v>
      </c>
      <c r="C1896" s="1">
        <f>IFERROR(__xludf.DUMMYFUNCTION("""COMPUTED_VALUE"""),5.48)</f>
        <v>5.48</v>
      </c>
      <c r="D1896" s="1">
        <f>IFERROR(__xludf.DUMMYFUNCTION("""COMPUTED_VALUE"""),5.44)</f>
        <v>5.44</v>
      </c>
      <c r="E1896" s="1">
        <f>IFERROR(__xludf.DUMMYFUNCTION("""COMPUTED_VALUE"""),5.46)</f>
        <v>5.46</v>
      </c>
      <c r="F1896" s="1">
        <f>IFERROR(__xludf.DUMMYFUNCTION("""COMPUTED_VALUE"""),1384747.0)</f>
        <v>1384747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IFERROR(__xludf.DUMMYFUNCTION("""COMPUTED_VALUE"""),5.41)</f>
        <v>5.41</v>
      </c>
      <c r="C1897" s="1">
        <f>IFERROR(__xludf.DUMMYFUNCTION("""COMPUTED_VALUE"""),5.47)</f>
        <v>5.47</v>
      </c>
      <c r="D1897" s="1">
        <f>IFERROR(__xludf.DUMMYFUNCTION("""COMPUTED_VALUE"""),5.4)</f>
        <v>5.4</v>
      </c>
      <c r="E1897" s="1">
        <f>IFERROR(__xludf.DUMMYFUNCTION("""COMPUTED_VALUE"""),5.45)</f>
        <v>5.45</v>
      </c>
      <c r="F1897" s="1">
        <f>IFERROR(__xludf.DUMMYFUNCTION("""COMPUTED_VALUE"""),1102698.0)</f>
        <v>1102698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IFERROR(__xludf.DUMMYFUNCTION("""COMPUTED_VALUE"""),5.44)</f>
        <v>5.44</v>
      </c>
      <c r="C1898" s="1">
        <f>IFERROR(__xludf.DUMMYFUNCTION("""COMPUTED_VALUE"""),5.45)</f>
        <v>5.45</v>
      </c>
      <c r="D1898" s="1">
        <f>IFERROR(__xludf.DUMMYFUNCTION("""COMPUTED_VALUE"""),5.43)</f>
        <v>5.43</v>
      </c>
      <c r="E1898" s="1">
        <f>IFERROR(__xludf.DUMMYFUNCTION("""COMPUTED_VALUE"""),5.43)</f>
        <v>5.43</v>
      </c>
      <c r="F1898" s="1">
        <f>IFERROR(__xludf.DUMMYFUNCTION("""COMPUTED_VALUE"""),1033934.0)</f>
        <v>1033934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IFERROR(__xludf.DUMMYFUNCTION("""COMPUTED_VALUE"""),5.32)</f>
        <v>5.32</v>
      </c>
      <c r="C1899" s="1">
        <f>IFERROR(__xludf.DUMMYFUNCTION("""COMPUTED_VALUE"""),5.35)</f>
        <v>5.35</v>
      </c>
      <c r="D1899" s="1">
        <f>IFERROR(__xludf.DUMMYFUNCTION("""COMPUTED_VALUE"""),5.3)</f>
        <v>5.3</v>
      </c>
      <c r="E1899" s="1">
        <f>IFERROR(__xludf.DUMMYFUNCTION("""COMPUTED_VALUE"""),5.33)</f>
        <v>5.33</v>
      </c>
      <c r="F1899" s="1">
        <f>IFERROR(__xludf.DUMMYFUNCTION("""COMPUTED_VALUE"""),1157099.0)</f>
        <v>1157099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IFERROR(__xludf.DUMMYFUNCTION("""COMPUTED_VALUE"""),5.29)</f>
        <v>5.29</v>
      </c>
      <c r="C1900" s="1">
        <f>IFERROR(__xludf.DUMMYFUNCTION("""COMPUTED_VALUE"""),5.34)</f>
        <v>5.34</v>
      </c>
      <c r="D1900" s="1">
        <f>IFERROR(__xludf.DUMMYFUNCTION("""COMPUTED_VALUE"""),5.29)</f>
        <v>5.29</v>
      </c>
      <c r="E1900" s="1">
        <f>IFERROR(__xludf.DUMMYFUNCTION("""COMPUTED_VALUE"""),5.34)</f>
        <v>5.34</v>
      </c>
      <c r="F1900" s="1">
        <f>IFERROR(__xludf.DUMMYFUNCTION("""COMPUTED_VALUE"""),886323.0)</f>
        <v>886323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IFERROR(__xludf.DUMMYFUNCTION("""COMPUTED_VALUE"""),5.42)</f>
        <v>5.42</v>
      </c>
      <c r="C1901" s="1">
        <f>IFERROR(__xludf.DUMMYFUNCTION("""COMPUTED_VALUE"""),5.44)</f>
        <v>5.44</v>
      </c>
      <c r="D1901" s="1">
        <f>IFERROR(__xludf.DUMMYFUNCTION("""COMPUTED_VALUE"""),5.38)</f>
        <v>5.38</v>
      </c>
      <c r="E1901" s="1">
        <f>IFERROR(__xludf.DUMMYFUNCTION("""COMPUTED_VALUE"""),5.39)</f>
        <v>5.39</v>
      </c>
      <c r="F1901" s="1">
        <f>IFERROR(__xludf.DUMMYFUNCTION("""COMPUTED_VALUE"""),1125323.0)</f>
        <v>1125323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IFERROR(__xludf.DUMMYFUNCTION("""COMPUTED_VALUE"""),5.37)</f>
        <v>5.37</v>
      </c>
      <c r="C1902" s="1">
        <f>IFERROR(__xludf.DUMMYFUNCTION("""COMPUTED_VALUE"""),5.39)</f>
        <v>5.39</v>
      </c>
      <c r="D1902" s="1">
        <f>IFERROR(__xludf.DUMMYFUNCTION("""COMPUTED_VALUE"""),5.33)</f>
        <v>5.33</v>
      </c>
      <c r="E1902" s="1">
        <f>IFERROR(__xludf.DUMMYFUNCTION("""COMPUTED_VALUE"""),5.37)</f>
        <v>5.37</v>
      </c>
      <c r="F1902" s="1">
        <f>IFERROR(__xludf.DUMMYFUNCTION("""COMPUTED_VALUE"""),919784.0)</f>
        <v>919784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IFERROR(__xludf.DUMMYFUNCTION("""COMPUTED_VALUE"""),5.42)</f>
        <v>5.42</v>
      </c>
      <c r="C1903" s="1">
        <f>IFERROR(__xludf.DUMMYFUNCTION("""COMPUTED_VALUE"""),5.44)</f>
        <v>5.44</v>
      </c>
      <c r="D1903" s="1">
        <f>IFERROR(__xludf.DUMMYFUNCTION("""COMPUTED_VALUE"""),5.4)</f>
        <v>5.4</v>
      </c>
      <c r="E1903" s="1">
        <f>IFERROR(__xludf.DUMMYFUNCTION("""COMPUTED_VALUE"""),5.43)</f>
        <v>5.43</v>
      </c>
      <c r="F1903" s="1">
        <f>IFERROR(__xludf.DUMMYFUNCTION("""COMPUTED_VALUE"""),819436.0)</f>
        <v>819436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IFERROR(__xludf.DUMMYFUNCTION("""COMPUTED_VALUE"""),5.52)</f>
        <v>5.52</v>
      </c>
      <c r="C1904" s="1">
        <f>IFERROR(__xludf.DUMMYFUNCTION("""COMPUTED_VALUE"""),5.55)</f>
        <v>5.55</v>
      </c>
      <c r="D1904" s="1">
        <f>IFERROR(__xludf.DUMMYFUNCTION("""COMPUTED_VALUE"""),5.51)</f>
        <v>5.51</v>
      </c>
      <c r="E1904" s="1">
        <f>IFERROR(__xludf.DUMMYFUNCTION("""COMPUTED_VALUE"""),5.51)</f>
        <v>5.51</v>
      </c>
      <c r="F1904" s="1">
        <f>IFERROR(__xludf.DUMMYFUNCTION("""COMPUTED_VALUE"""),1234650.0)</f>
        <v>1234650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IFERROR(__xludf.DUMMYFUNCTION("""COMPUTED_VALUE"""),5.53)</f>
        <v>5.53</v>
      </c>
      <c r="C1905" s="1">
        <f>IFERROR(__xludf.DUMMYFUNCTION("""COMPUTED_VALUE"""),5.53)</f>
        <v>5.53</v>
      </c>
      <c r="D1905" s="1">
        <f>IFERROR(__xludf.DUMMYFUNCTION("""COMPUTED_VALUE"""),5.5)</f>
        <v>5.5</v>
      </c>
      <c r="E1905" s="1">
        <f>IFERROR(__xludf.DUMMYFUNCTION("""COMPUTED_VALUE"""),5.51)</f>
        <v>5.51</v>
      </c>
      <c r="F1905" s="1">
        <f>IFERROR(__xludf.DUMMYFUNCTION("""COMPUTED_VALUE"""),1341042.0)</f>
        <v>1341042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IFERROR(__xludf.DUMMYFUNCTION("""COMPUTED_VALUE"""),5.53)</f>
        <v>5.53</v>
      </c>
      <c r="C1906" s="1">
        <f>IFERROR(__xludf.DUMMYFUNCTION("""COMPUTED_VALUE"""),5.54)</f>
        <v>5.54</v>
      </c>
      <c r="D1906" s="1">
        <f>IFERROR(__xludf.DUMMYFUNCTION("""COMPUTED_VALUE"""),5.49)</f>
        <v>5.49</v>
      </c>
      <c r="E1906" s="1">
        <f>IFERROR(__xludf.DUMMYFUNCTION("""COMPUTED_VALUE"""),5.51)</f>
        <v>5.51</v>
      </c>
      <c r="F1906" s="1">
        <f>IFERROR(__xludf.DUMMYFUNCTION("""COMPUTED_VALUE"""),1210946.0)</f>
        <v>1210946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IFERROR(__xludf.DUMMYFUNCTION("""COMPUTED_VALUE"""),5.5)</f>
        <v>5.5</v>
      </c>
      <c r="C1907" s="1">
        <f>IFERROR(__xludf.DUMMYFUNCTION("""COMPUTED_VALUE"""),5.55)</f>
        <v>5.55</v>
      </c>
      <c r="D1907" s="1">
        <f>IFERROR(__xludf.DUMMYFUNCTION("""COMPUTED_VALUE"""),5.49)</f>
        <v>5.49</v>
      </c>
      <c r="E1907" s="1">
        <f>IFERROR(__xludf.DUMMYFUNCTION("""COMPUTED_VALUE"""),5.55)</f>
        <v>5.55</v>
      </c>
      <c r="F1907" s="1">
        <f>IFERROR(__xludf.DUMMYFUNCTION("""COMPUTED_VALUE"""),745729.0)</f>
        <v>745729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IFERROR(__xludf.DUMMYFUNCTION("""COMPUTED_VALUE"""),5.53)</f>
        <v>5.53</v>
      </c>
      <c r="C1908" s="1">
        <f>IFERROR(__xludf.DUMMYFUNCTION("""COMPUTED_VALUE"""),5.58)</f>
        <v>5.58</v>
      </c>
      <c r="D1908" s="1">
        <f>IFERROR(__xludf.DUMMYFUNCTION("""COMPUTED_VALUE"""),5.53)</f>
        <v>5.53</v>
      </c>
      <c r="E1908" s="1">
        <f>IFERROR(__xludf.DUMMYFUNCTION("""COMPUTED_VALUE"""),5.57)</f>
        <v>5.57</v>
      </c>
      <c r="F1908" s="1">
        <f>IFERROR(__xludf.DUMMYFUNCTION("""COMPUTED_VALUE"""),978646.0)</f>
        <v>978646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IFERROR(__xludf.DUMMYFUNCTION("""COMPUTED_VALUE"""),5.6)</f>
        <v>5.6</v>
      </c>
      <c r="C1909" s="1">
        <f>IFERROR(__xludf.DUMMYFUNCTION("""COMPUTED_VALUE"""),5.62)</f>
        <v>5.62</v>
      </c>
      <c r="D1909" s="1">
        <f>IFERROR(__xludf.DUMMYFUNCTION("""COMPUTED_VALUE"""),5.58)</f>
        <v>5.58</v>
      </c>
      <c r="E1909" s="1">
        <f>IFERROR(__xludf.DUMMYFUNCTION("""COMPUTED_VALUE"""),5.58)</f>
        <v>5.58</v>
      </c>
      <c r="F1909" s="1">
        <f>IFERROR(__xludf.DUMMYFUNCTION("""COMPUTED_VALUE"""),1491403.0)</f>
        <v>1491403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IFERROR(__xludf.DUMMYFUNCTION("""COMPUTED_VALUE"""),5.63)</f>
        <v>5.63</v>
      </c>
      <c r="C1910" s="1">
        <f>IFERROR(__xludf.DUMMYFUNCTION("""COMPUTED_VALUE"""),5.65)</f>
        <v>5.65</v>
      </c>
      <c r="D1910" s="1">
        <f>IFERROR(__xludf.DUMMYFUNCTION("""COMPUTED_VALUE"""),5.6)</f>
        <v>5.6</v>
      </c>
      <c r="E1910" s="1">
        <f>IFERROR(__xludf.DUMMYFUNCTION("""COMPUTED_VALUE"""),5.61)</f>
        <v>5.61</v>
      </c>
      <c r="F1910" s="1">
        <f>IFERROR(__xludf.DUMMYFUNCTION("""COMPUTED_VALUE"""),1835822.0)</f>
        <v>1835822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IFERROR(__xludf.DUMMYFUNCTION("""COMPUTED_VALUE"""),5.62)</f>
        <v>5.62</v>
      </c>
      <c r="C1911" s="1">
        <f>IFERROR(__xludf.DUMMYFUNCTION("""COMPUTED_VALUE"""),5.64)</f>
        <v>5.64</v>
      </c>
      <c r="D1911" s="1">
        <f>IFERROR(__xludf.DUMMYFUNCTION("""COMPUTED_VALUE"""),5.6)</f>
        <v>5.6</v>
      </c>
      <c r="E1911" s="1">
        <f>IFERROR(__xludf.DUMMYFUNCTION("""COMPUTED_VALUE"""),5.62)</f>
        <v>5.62</v>
      </c>
      <c r="F1911" s="1">
        <f>IFERROR(__xludf.DUMMYFUNCTION("""COMPUTED_VALUE"""),1169058.0)</f>
        <v>1169058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IFERROR(__xludf.DUMMYFUNCTION("""COMPUTED_VALUE"""),5.62)</f>
        <v>5.62</v>
      </c>
      <c r="C1912" s="1">
        <f>IFERROR(__xludf.DUMMYFUNCTION("""COMPUTED_VALUE"""),5.66)</f>
        <v>5.66</v>
      </c>
      <c r="D1912" s="1">
        <f>IFERROR(__xludf.DUMMYFUNCTION("""COMPUTED_VALUE"""),5.61)</f>
        <v>5.61</v>
      </c>
      <c r="E1912" s="1">
        <f>IFERROR(__xludf.DUMMYFUNCTION("""COMPUTED_VALUE"""),5.64)</f>
        <v>5.64</v>
      </c>
      <c r="F1912" s="1">
        <f>IFERROR(__xludf.DUMMYFUNCTION("""COMPUTED_VALUE"""),1450221.0)</f>
        <v>1450221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IFERROR(__xludf.DUMMYFUNCTION("""COMPUTED_VALUE"""),5.67)</f>
        <v>5.67</v>
      </c>
      <c r="C1913" s="1">
        <f>IFERROR(__xludf.DUMMYFUNCTION("""COMPUTED_VALUE"""),5.68)</f>
        <v>5.68</v>
      </c>
      <c r="D1913" s="1">
        <f>IFERROR(__xludf.DUMMYFUNCTION("""COMPUTED_VALUE"""),5.66)</f>
        <v>5.66</v>
      </c>
      <c r="E1913" s="1">
        <f>IFERROR(__xludf.DUMMYFUNCTION("""COMPUTED_VALUE"""),5.67)</f>
        <v>5.67</v>
      </c>
      <c r="F1913" s="1">
        <f>IFERROR(__xludf.DUMMYFUNCTION("""COMPUTED_VALUE"""),800445.0)</f>
        <v>800445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IFERROR(__xludf.DUMMYFUNCTION("""COMPUTED_VALUE"""),5.73)</f>
        <v>5.73</v>
      </c>
      <c r="C1914" s="1">
        <f>IFERROR(__xludf.DUMMYFUNCTION("""COMPUTED_VALUE"""),5.75)</f>
        <v>5.75</v>
      </c>
      <c r="D1914" s="1">
        <f>IFERROR(__xludf.DUMMYFUNCTION("""COMPUTED_VALUE"""),5.7)</f>
        <v>5.7</v>
      </c>
      <c r="E1914" s="1">
        <f>IFERROR(__xludf.DUMMYFUNCTION("""COMPUTED_VALUE"""),5.71)</f>
        <v>5.71</v>
      </c>
      <c r="F1914" s="1">
        <f>IFERROR(__xludf.DUMMYFUNCTION("""COMPUTED_VALUE"""),1176058.0)</f>
        <v>1176058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IFERROR(__xludf.DUMMYFUNCTION("""COMPUTED_VALUE"""),5.62)</f>
        <v>5.62</v>
      </c>
      <c r="C1915" s="1">
        <f>IFERROR(__xludf.DUMMYFUNCTION("""COMPUTED_VALUE"""),5.68)</f>
        <v>5.68</v>
      </c>
      <c r="D1915" s="1">
        <f>IFERROR(__xludf.DUMMYFUNCTION("""COMPUTED_VALUE"""),5.61)</f>
        <v>5.61</v>
      </c>
      <c r="E1915" s="1">
        <f>IFERROR(__xludf.DUMMYFUNCTION("""COMPUTED_VALUE"""),5.67)</f>
        <v>5.67</v>
      </c>
      <c r="F1915" s="1">
        <f>IFERROR(__xludf.DUMMYFUNCTION("""COMPUTED_VALUE"""),1590161.0)</f>
        <v>1590161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IFERROR(__xludf.DUMMYFUNCTION("""COMPUTED_VALUE"""),6.02)</f>
        <v>6.02</v>
      </c>
      <c r="C1916" s="1">
        <f>IFERROR(__xludf.DUMMYFUNCTION("""COMPUTED_VALUE"""),6.03)</f>
        <v>6.03</v>
      </c>
      <c r="D1916" s="1">
        <f>IFERROR(__xludf.DUMMYFUNCTION("""COMPUTED_VALUE"""),5.93)</f>
        <v>5.93</v>
      </c>
      <c r="E1916" s="1">
        <f>IFERROR(__xludf.DUMMYFUNCTION("""COMPUTED_VALUE"""),5.94)</f>
        <v>5.94</v>
      </c>
      <c r="F1916" s="1">
        <f>IFERROR(__xludf.DUMMYFUNCTION("""COMPUTED_VALUE"""),3852064.0)</f>
        <v>3852064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IFERROR(__xludf.DUMMYFUNCTION("""COMPUTED_VALUE"""),5.86)</f>
        <v>5.86</v>
      </c>
      <c r="C1917" s="1">
        <f>IFERROR(__xludf.DUMMYFUNCTION("""COMPUTED_VALUE"""),5.88)</f>
        <v>5.88</v>
      </c>
      <c r="D1917" s="1">
        <f>IFERROR(__xludf.DUMMYFUNCTION("""COMPUTED_VALUE"""),5.8)</f>
        <v>5.8</v>
      </c>
      <c r="E1917" s="1">
        <f>IFERROR(__xludf.DUMMYFUNCTION("""COMPUTED_VALUE"""),5.85)</f>
        <v>5.85</v>
      </c>
      <c r="F1917" s="1">
        <f>IFERROR(__xludf.DUMMYFUNCTION("""COMPUTED_VALUE"""),2649570.0)</f>
        <v>2649570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IFERROR(__xludf.DUMMYFUNCTION("""COMPUTED_VALUE"""),5.91)</f>
        <v>5.91</v>
      </c>
      <c r="C1918" s="1">
        <f>IFERROR(__xludf.DUMMYFUNCTION("""COMPUTED_VALUE"""),5.92)</f>
        <v>5.92</v>
      </c>
      <c r="D1918" s="1">
        <f>IFERROR(__xludf.DUMMYFUNCTION("""COMPUTED_VALUE"""),5.85)</f>
        <v>5.85</v>
      </c>
      <c r="E1918" s="1">
        <f>IFERROR(__xludf.DUMMYFUNCTION("""COMPUTED_VALUE"""),5.87)</f>
        <v>5.87</v>
      </c>
      <c r="F1918" s="1">
        <f>IFERROR(__xludf.DUMMYFUNCTION("""COMPUTED_VALUE"""),1590414.0)</f>
        <v>1590414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IFERROR(__xludf.DUMMYFUNCTION("""COMPUTED_VALUE"""),5.9)</f>
        <v>5.9</v>
      </c>
      <c r="C1919" s="1">
        <f>IFERROR(__xludf.DUMMYFUNCTION("""COMPUTED_VALUE"""),5.96)</f>
        <v>5.96</v>
      </c>
      <c r="D1919" s="1">
        <f>IFERROR(__xludf.DUMMYFUNCTION("""COMPUTED_VALUE"""),5.87)</f>
        <v>5.87</v>
      </c>
      <c r="E1919" s="1">
        <f>IFERROR(__xludf.DUMMYFUNCTION("""COMPUTED_VALUE"""),5.93)</f>
        <v>5.93</v>
      </c>
      <c r="F1919" s="1">
        <f>IFERROR(__xludf.DUMMYFUNCTION("""COMPUTED_VALUE"""),2485918.0)</f>
        <v>2485918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IFERROR(__xludf.DUMMYFUNCTION("""COMPUTED_VALUE"""),6.03)</f>
        <v>6.03</v>
      </c>
      <c r="C1920" s="1">
        <f>IFERROR(__xludf.DUMMYFUNCTION("""COMPUTED_VALUE"""),6.06)</f>
        <v>6.06</v>
      </c>
      <c r="D1920" s="1">
        <f>IFERROR(__xludf.DUMMYFUNCTION("""COMPUTED_VALUE"""),6.01)</f>
        <v>6.01</v>
      </c>
      <c r="E1920" s="1">
        <f>IFERROR(__xludf.DUMMYFUNCTION("""COMPUTED_VALUE"""),6.03)</f>
        <v>6.03</v>
      </c>
      <c r="F1920" s="1">
        <f>IFERROR(__xludf.DUMMYFUNCTION("""COMPUTED_VALUE"""),1885920.0)</f>
        <v>1885920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IFERROR(__xludf.DUMMYFUNCTION("""COMPUTED_VALUE"""),5.8)</f>
        <v>5.8</v>
      </c>
      <c r="C1921" s="1">
        <f>IFERROR(__xludf.DUMMYFUNCTION("""COMPUTED_VALUE"""),5.82)</f>
        <v>5.82</v>
      </c>
      <c r="D1921" s="1">
        <f>IFERROR(__xludf.DUMMYFUNCTION("""COMPUTED_VALUE"""),5.73)</f>
        <v>5.73</v>
      </c>
      <c r="E1921" s="1">
        <f>IFERROR(__xludf.DUMMYFUNCTION("""COMPUTED_VALUE"""),5.74)</f>
        <v>5.74</v>
      </c>
      <c r="F1921" s="1">
        <f>IFERROR(__xludf.DUMMYFUNCTION("""COMPUTED_VALUE"""),2417659.0)</f>
        <v>2417659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IFERROR(__xludf.DUMMYFUNCTION("""COMPUTED_VALUE"""),5.76)</f>
        <v>5.76</v>
      </c>
      <c r="C1922" s="1">
        <f>IFERROR(__xludf.DUMMYFUNCTION("""COMPUTED_VALUE"""),5.82)</f>
        <v>5.82</v>
      </c>
      <c r="D1922" s="1">
        <f>IFERROR(__xludf.DUMMYFUNCTION("""COMPUTED_VALUE"""),5.74)</f>
        <v>5.74</v>
      </c>
      <c r="E1922" s="1">
        <f>IFERROR(__xludf.DUMMYFUNCTION("""COMPUTED_VALUE"""),5.79)</f>
        <v>5.79</v>
      </c>
      <c r="F1922" s="1">
        <f>IFERROR(__xludf.DUMMYFUNCTION("""COMPUTED_VALUE"""),1843516.0)</f>
        <v>1843516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IFERROR(__xludf.DUMMYFUNCTION("""COMPUTED_VALUE"""),5.76)</f>
        <v>5.76</v>
      </c>
      <c r="C1923" s="1">
        <f>IFERROR(__xludf.DUMMYFUNCTION("""COMPUTED_VALUE"""),5.76)</f>
        <v>5.76</v>
      </c>
      <c r="D1923" s="1">
        <f>IFERROR(__xludf.DUMMYFUNCTION("""COMPUTED_VALUE"""),5.69)</f>
        <v>5.69</v>
      </c>
      <c r="E1923" s="1">
        <f>IFERROR(__xludf.DUMMYFUNCTION("""COMPUTED_VALUE"""),5.73)</f>
        <v>5.73</v>
      </c>
      <c r="F1923" s="1">
        <f>IFERROR(__xludf.DUMMYFUNCTION("""COMPUTED_VALUE"""),4476415.0)</f>
        <v>4476415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IFERROR(__xludf.DUMMYFUNCTION("""COMPUTED_VALUE"""),5.76)</f>
        <v>5.76</v>
      </c>
      <c r="C1924" s="1">
        <f>IFERROR(__xludf.DUMMYFUNCTION("""COMPUTED_VALUE"""),5.81)</f>
        <v>5.81</v>
      </c>
      <c r="D1924" s="1">
        <f>IFERROR(__xludf.DUMMYFUNCTION("""COMPUTED_VALUE"""),5.76)</f>
        <v>5.76</v>
      </c>
      <c r="E1924" s="1">
        <f>IFERROR(__xludf.DUMMYFUNCTION("""COMPUTED_VALUE"""),5.79)</f>
        <v>5.79</v>
      </c>
      <c r="F1924" s="1">
        <f>IFERROR(__xludf.DUMMYFUNCTION("""COMPUTED_VALUE"""),2237215.0)</f>
        <v>2237215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IFERROR(__xludf.DUMMYFUNCTION("""COMPUTED_VALUE"""),5.72)</f>
        <v>5.72</v>
      </c>
      <c r="C1925" s="1">
        <f>IFERROR(__xludf.DUMMYFUNCTION("""COMPUTED_VALUE"""),5.77)</f>
        <v>5.77</v>
      </c>
      <c r="D1925" s="1">
        <f>IFERROR(__xludf.DUMMYFUNCTION("""COMPUTED_VALUE"""),5.71)</f>
        <v>5.71</v>
      </c>
      <c r="E1925" s="1">
        <f>IFERROR(__xludf.DUMMYFUNCTION("""COMPUTED_VALUE"""),5.75)</f>
        <v>5.75</v>
      </c>
      <c r="F1925" s="1">
        <f>IFERROR(__xludf.DUMMYFUNCTION("""COMPUTED_VALUE"""),1380770.0)</f>
        <v>1380770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IFERROR(__xludf.DUMMYFUNCTION("""COMPUTED_VALUE"""),5.82)</f>
        <v>5.82</v>
      </c>
      <c r="C1926" s="1">
        <f>IFERROR(__xludf.DUMMYFUNCTION("""COMPUTED_VALUE"""),5.84)</f>
        <v>5.84</v>
      </c>
      <c r="D1926" s="1">
        <f>IFERROR(__xludf.DUMMYFUNCTION("""COMPUTED_VALUE"""),5.79)</f>
        <v>5.79</v>
      </c>
      <c r="E1926" s="1">
        <f>IFERROR(__xludf.DUMMYFUNCTION("""COMPUTED_VALUE"""),5.81)</f>
        <v>5.81</v>
      </c>
      <c r="F1926" s="1">
        <f>IFERROR(__xludf.DUMMYFUNCTION("""COMPUTED_VALUE"""),898792.0)</f>
        <v>898792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IFERROR(__xludf.DUMMYFUNCTION("""COMPUTED_VALUE"""),5.85)</f>
        <v>5.85</v>
      </c>
      <c r="C1927" s="1">
        <f>IFERROR(__xludf.DUMMYFUNCTION("""COMPUTED_VALUE"""),5.89)</f>
        <v>5.89</v>
      </c>
      <c r="D1927" s="1">
        <f>IFERROR(__xludf.DUMMYFUNCTION("""COMPUTED_VALUE"""),5.85)</f>
        <v>5.85</v>
      </c>
      <c r="E1927" s="1">
        <f>IFERROR(__xludf.DUMMYFUNCTION("""COMPUTED_VALUE"""),5.87)</f>
        <v>5.87</v>
      </c>
      <c r="F1927" s="1">
        <f>IFERROR(__xludf.DUMMYFUNCTION("""COMPUTED_VALUE"""),1087452.0)</f>
        <v>1087452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IFERROR(__xludf.DUMMYFUNCTION("""COMPUTED_VALUE"""),5.85)</f>
        <v>5.85</v>
      </c>
      <c r="C1928" s="1">
        <f>IFERROR(__xludf.DUMMYFUNCTION("""COMPUTED_VALUE"""),5.86)</f>
        <v>5.86</v>
      </c>
      <c r="D1928" s="1">
        <f>IFERROR(__xludf.DUMMYFUNCTION("""COMPUTED_VALUE"""),5.81)</f>
        <v>5.81</v>
      </c>
      <c r="E1928" s="1">
        <f>IFERROR(__xludf.DUMMYFUNCTION("""COMPUTED_VALUE"""),5.84)</f>
        <v>5.84</v>
      </c>
      <c r="F1928" s="1">
        <f>IFERROR(__xludf.DUMMYFUNCTION("""COMPUTED_VALUE"""),782039.0)</f>
        <v>782039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IFERROR(__xludf.DUMMYFUNCTION("""COMPUTED_VALUE"""),5.62)</f>
        <v>5.62</v>
      </c>
      <c r="C1929" s="1">
        <f>IFERROR(__xludf.DUMMYFUNCTION("""COMPUTED_VALUE"""),5.68)</f>
        <v>5.68</v>
      </c>
      <c r="D1929" s="1">
        <f>IFERROR(__xludf.DUMMYFUNCTION("""COMPUTED_VALUE"""),5.61)</f>
        <v>5.61</v>
      </c>
      <c r="E1929" s="1">
        <f>IFERROR(__xludf.DUMMYFUNCTION("""COMPUTED_VALUE"""),5.67)</f>
        <v>5.67</v>
      </c>
      <c r="F1929" s="1">
        <f>IFERROR(__xludf.DUMMYFUNCTION("""COMPUTED_VALUE"""),1714992.0)</f>
        <v>1714992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IFERROR(__xludf.DUMMYFUNCTION("""COMPUTED_VALUE"""),5.64)</f>
        <v>5.64</v>
      </c>
      <c r="C1930" s="1">
        <f>IFERROR(__xludf.DUMMYFUNCTION("""COMPUTED_VALUE"""),5.67)</f>
        <v>5.67</v>
      </c>
      <c r="D1930" s="1">
        <f>IFERROR(__xludf.DUMMYFUNCTION("""COMPUTED_VALUE"""),5.63)</f>
        <v>5.63</v>
      </c>
      <c r="E1930" s="1">
        <f>IFERROR(__xludf.DUMMYFUNCTION("""COMPUTED_VALUE"""),5.65)</f>
        <v>5.65</v>
      </c>
      <c r="F1930" s="1">
        <f>IFERROR(__xludf.DUMMYFUNCTION("""COMPUTED_VALUE"""),969140.0)</f>
        <v>969140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IFERROR(__xludf.DUMMYFUNCTION("""COMPUTED_VALUE"""),5.67)</f>
        <v>5.67</v>
      </c>
      <c r="C1931" s="1">
        <f>IFERROR(__xludf.DUMMYFUNCTION("""COMPUTED_VALUE"""),5.7)</f>
        <v>5.7</v>
      </c>
      <c r="D1931" s="1">
        <f>IFERROR(__xludf.DUMMYFUNCTION("""COMPUTED_VALUE"""),5.66)</f>
        <v>5.66</v>
      </c>
      <c r="E1931" s="1">
        <f>IFERROR(__xludf.DUMMYFUNCTION("""COMPUTED_VALUE"""),5.7)</f>
        <v>5.7</v>
      </c>
      <c r="F1931" s="1">
        <f>IFERROR(__xludf.DUMMYFUNCTION("""COMPUTED_VALUE"""),838965.0)</f>
        <v>838965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IFERROR(__xludf.DUMMYFUNCTION("""COMPUTED_VALUE"""),5.69)</f>
        <v>5.69</v>
      </c>
      <c r="C1932" s="1">
        <f>IFERROR(__xludf.DUMMYFUNCTION("""COMPUTED_VALUE"""),5.74)</f>
        <v>5.74</v>
      </c>
      <c r="D1932" s="1">
        <f>IFERROR(__xludf.DUMMYFUNCTION("""COMPUTED_VALUE"""),5.69)</f>
        <v>5.69</v>
      </c>
      <c r="E1932" s="1">
        <f>IFERROR(__xludf.DUMMYFUNCTION("""COMPUTED_VALUE"""),5.73)</f>
        <v>5.73</v>
      </c>
      <c r="F1932" s="1">
        <f>IFERROR(__xludf.DUMMYFUNCTION("""COMPUTED_VALUE"""),946837.0)</f>
        <v>946837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IFERROR(__xludf.DUMMYFUNCTION("""COMPUTED_VALUE"""),5.61)</f>
        <v>5.61</v>
      </c>
      <c r="C1933" s="1">
        <f>IFERROR(__xludf.DUMMYFUNCTION("""COMPUTED_VALUE"""),5.63)</f>
        <v>5.63</v>
      </c>
      <c r="D1933" s="1">
        <f>IFERROR(__xludf.DUMMYFUNCTION("""COMPUTED_VALUE"""),5.49)</f>
        <v>5.49</v>
      </c>
      <c r="E1933" s="1">
        <f>IFERROR(__xludf.DUMMYFUNCTION("""COMPUTED_VALUE"""),5.53)</f>
        <v>5.53</v>
      </c>
      <c r="F1933" s="1">
        <f>IFERROR(__xludf.DUMMYFUNCTION("""COMPUTED_VALUE"""),1988630.0)</f>
        <v>1988630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IFERROR(__xludf.DUMMYFUNCTION("""COMPUTED_VALUE"""),5.56)</f>
        <v>5.56</v>
      </c>
      <c r="C1934" s="1">
        <f>IFERROR(__xludf.DUMMYFUNCTION("""COMPUTED_VALUE"""),5.6)</f>
        <v>5.6</v>
      </c>
      <c r="D1934" s="1">
        <f>IFERROR(__xludf.DUMMYFUNCTION("""COMPUTED_VALUE"""),5.54)</f>
        <v>5.54</v>
      </c>
      <c r="E1934" s="1">
        <f>IFERROR(__xludf.DUMMYFUNCTION("""COMPUTED_VALUE"""),5.58)</f>
        <v>5.58</v>
      </c>
      <c r="F1934" s="1">
        <f>IFERROR(__xludf.DUMMYFUNCTION("""COMPUTED_VALUE"""),1713483.0)</f>
        <v>1713483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IFERROR(__xludf.DUMMYFUNCTION("""COMPUTED_VALUE"""),5.61)</f>
        <v>5.61</v>
      </c>
      <c r="C1935" s="1">
        <f>IFERROR(__xludf.DUMMYFUNCTION("""COMPUTED_VALUE"""),5.62)</f>
        <v>5.62</v>
      </c>
      <c r="D1935" s="1">
        <f>IFERROR(__xludf.DUMMYFUNCTION("""COMPUTED_VALUE"""),5.55)</f>
        <v>5.55</v>
      </c>
      <c r="E1935" s="1">
        <f>IFERROR(__xludf.DUMMYFUNCTION("""COMPUTED_VALUE"""),5.56)</f>
        <v>5.56</v>
      </c>
      <c r="F1935" s="1">
        <f>IFERROR(__xludf.DUMMYFUNCTION("""COMPUTED_VALUE"""),1559420.0)</f>
        <v>1559420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IFERROR(__xludf.DUMMYFUNCTION("""COMPUTED_VALUE"""),5.59)</f>
        <v>5.59</v>
      </c>
      <c r="C1936" s="1">
        <f>IFERROR(__xludf.DUMMYFUNCTION("""COMPUTED_VALUE"""),5.62)</f>
        <v>5.62</v>
      </c>
      <c r="D1936" s="1">
        <f>IFERROR(__xludf.DUMMYFUNCTION("""COMPUTED_VALUE"""),5.59)</f>
        <v>5.59</v>
      </c>
      <c r="E1936" s="1">
        <f>IFERROR(__xludf.DUMMYFUNCTION("""COMPUTED_VALUE"""),5.6)</f>
        <v>5.6</v>
      </c>
      <c r="F1936" s="1">
        <f>IFERROR(__xludf.DUMMYFUNCTION("""COMPUTED_VALUE"""),1379219.0)</f>
        <v>1379219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IFERROR(__xludf.DUMMYFUNCTION("""COMPUTED_VALUE"""),5.67)</f>
        <v>5.67</v>
      </c>
      <c r="C1937" s="1">
        <f>IFERROR(__xludf.DUMMYFUNCTION("""COMPUTED_VALUE"""),5.72)</f>
        <v>5.72</v>
      </c>
      <c r="D1937" s="1">
        <f>IFERROR(__xludf.DUMMYFUNCTION("""COMPUTED_VALUE"""),5.67)</f>
        <v>5.67</v>
      </c>
      <c r="E1937" s="1">
        <f>IFERROR(__xludf.DUMMYFUNCTION("""COMPUTED_VALUE"""),5.7)</f>
        <v>5.7</v>
      </c>
      <c r="F1937" s="1">
        <f>IFERROR(__xludf.DUMMYFUNCTION("""COMPUTED_VALUE"""),2481278.0)</f>
        <v>2481278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IFERROR(__xludf.DUMMYFUNCTION("""COMPUTED_VALUE"""),5.87)</f>
        <v>5.87</v>
      </c>
      <c r="C1938" s="1">
        <f>IFERROR(__xludf.DUMMYFUNCTION("""COMPUTED_VALUE"""),5.92)</f>
        <v>5.92</v>
      </c>
      <c r="D1938" s="1">
        <f>IFERROR(__xludf.DUMMYFUNCTION("""COMPUTED_VALUE"""),5.86)</f>
        <v>5.86</v>
      </c>
      <c r="E1938" s="1">
        <f>IFERROR(__xludf.DUMMYFUNCTION("""COMPUTED_VALUE"""),5.87)</f>
        <v>5.87</v>
      </c>
      <c r="F1938" s="1">
        <f>IFERROR(__xludf.DUMMYFUNCTION("""COMPUTED_VALUE"""),3942621.0)</f>
        <v>3942621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IFERROR(__xludf.DUMMYFUNCTION("""COMPUTED_VALUE"""),5.88)</f>
        <v>5.88</v>
      </c>
      <c r="C1939" s="1">
        <f>IFERROR(__xludf.DUMMYFUNCTION("""COMPUTED_VALUE"""),5.91)</f>
        <v>5.91</v>
      </c>
      <c r="D1939" s="1">
        <f>IFERROR(__xludf.DUMMYFUNCTION("""COMPUTED_VALUE"""),5.8)</f>
        <v>5.8</v>
      </c>
      <c r="E1939" s="1">
        <f>IFERROR(__xludf.DUMMYFUNCTION("""COMPUTED_VALUE"""),5.8)</f>
        <v>5.8</v>
      </c>
      <c r="F1939" s="1">
        <f>IFERROR(__xludf.DUMMYFUNCTION("""COMPUTED_VALUE"""),2270811.0)</f>
        <v>2270811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IFERROR(__xludf.DUMMYFUNCTION("""COMPUTED_VALUE"""),5.74)</f>
        <v>5.74</v>
      </c>
      <c r="C1940" s="1">
        <f>IFERROR(__xludf.DUMMYFUNCTION("""COMPUTED_VALUE"""),5.75)</f>
        <v>5.75</v>
      </c>
      <c r="D1940" s="1">
        <f>IFERROR(__xludf.DUMMYFUNCTION("""COMPUTED_VALUE"""),5.7)</f>
        <v>5.7</v>
      </c>
      <c r="E1940" s="1">
        <f>IFERROR(__xludf.DUMMYFUNCTION("""COMPUTED_VALUE"""),5.72)</f>
        <v>5.72</v>
      </c>
      <c r="F1940" s="1">
        <f>IFERROR(__xludf.DUMMYFUNCTION("""COMPUTED_VALUE"""),1444886.0)</f>
        <v>1444886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IFERROR(__xludf.DUMMYFUNCTION("""COMPUTED_VALUE"""),5.68)</f>
        <v>5.68</v>
      </c>
      <c r="C1941" s="1">
        <f>IFERROR(__xludf.DUMMYFUNCTION("""COMPUTED_VALUE"""),5.71)</f>
        <v>5.71</v>
      </c>
      <c r="D1941" s="1">
        <f>IFERROR(__xludf.DUMMYFUNCTION("""COMPUTED_VALUE"""),5.67)</f>
        <v>5.67</v>
      </c>
      <c r="E1941" s="1">
        <f>IFERROR(__xludf.DUMMYFUNCTION("""COMPUTED_VALUE"""),5.69)</f>
        <v>5.69</v>
      </c>
      <c r="F1941" s="1">
        <f>IFERROR(__xludf.DUMMYFUNCTION("""COMPUTED_VALUE"""),923298.0)</f>
        <v>923298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IFERROR(__xludf.DUMMYFUNCTION("""COMPUTED_VALUE"""),5.77)</f>
        <v>5.77</v>
      </c>
      <c r="C1942" s="1">
        <f>IFERROR(__xludf.DUMMYFUNCTION("""COMPUTED_VALUE"""),5.81)</f>
        <v>5.81</v>
      </c>
      <c r="D1942" s="1">
        <f>IFERROR(__xludf.DUMMYFUNCTION("""COMPUTED_VALUE"""),5.77)</f>
        <v>5.77</v>
      </c>
      <c r="E1942" s="1">
        <f>IFERROR(__xludf.DUMMYFUNCTION("""COMPUTED_VALUE"""),5.79)</f>
        <v>5.79</v>
      </c>
      <c r="F1942" s="1">
        <f>IFERROR(__xludf.DUMMYFUNCTION("""COMPUTED_VALUE"""),1304525.0)</f>
        <v>1304525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IFERROR(__xludf.DUMMYFUNCTION("""COMPUTED_VALUE"""),5.78)</f>
        <v>5.78</v>
      </c>
      <c r="C1943" s="1">
        <f>IFERROR(__xludf.DUMMYFUNCTION("""COMPUTED_VALUE"""),5.82)</f>
        <v>5.82</v>
      </c>
      <c r="D1943" s="1">
        <f>IFERROR(__xludf.DUMMYFUNCTION("""COMPUTED_VALUE"""),5.77)</f>
        <v>5.77</v>
      </c>
      <c r="E1943" s="1">
        <f>IFERROR(__xludf.DUMMYFUNCTION("""COMPUTED_VALUE"""),5.81)</f>
        <v>5.81</v>
      </c>
      <c r="F1943" s="1">
        <f>IFERROR(__xludf.DUMMYFUNCTION("""COMPUTED_VALUE"""),743293.0)</f>
        <v>743293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IFERROR(__xludf.DUMMYFUNCTION("""COMPUTED_VALUE"""),5.81)</f>
        <v>5.81</v>
      </c>
      <c r="C1944" s="1">
        <f>IFERROR(__xludf.DUMMYFUNCTION("""COMPUTED_VALUE"""),5.84)</f>
        <v>5.84</v>
      </c>
      <c r="D1944" s="1">
        <f>IFERROR(__xludf.DUMMYFUNCTION("""COMPUTED_VALUE"""),5.78)</f>
        <v>5.78</v>
      </c>
      <c r="E1944" s="1">
        <f>IFERROR(__xludf.DUMMYFUNCTION("""COMPUTED_VALUE"""),5.81)</f>
        <v>5.81</v>
      </c>
      <c r="F1944" s="1">
        <f>IFERROR(__xludf.DUMMYFUNCTION("""COMPUTED_VALUE"""),1459459.0)</f>
        <v>1459459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IFERROR(__xludf.DUMMYFUNCTION("""COMPUTED_VALUE"""),5.87)</f>
        <v>5.87</v>
      </c>
      <c r="C1945" s="1">
        <f>IFERROR(__xludf.DUMMYFUNCTION("""COMPUTED_VALUE"""),5.91)</f>
        <v>5.91</v>
      </c>
      <c r="D1945" s="1">
        <f>IFERROR(__xludf.DUMMYFUNCTION("""COMPUTED_VALUE"""),5.87)</f>
        <v>5.87</v>
      </c>
      <c r="E1945" s="1">
        <f>IFERROR(__xludf.DUMMYFUNCTION("""COMPUTED_VALUE"""),5.88)</f>
        <v>5.88</v>
      </c>
      <c r="F1945" s="1">
        <f>IFERROR(__xludf.DUMMYFUNCTION("""COMPUTED_VALUE"""),1409114.0)</f>
        <v>1409114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IFERROR(__xludf.DUMMYFUNCTION("""COMPUTED_VALUE"""),5.88)</f>
        <v>5.88</v>
      </c>
      <c r="C1946" s="1">
        <f>IFERROR(__xludf.DUMMYFUNCTION("""COMPUTED_VALUE"""),5.95)</f>
        <v>5.95</v>
      </c>
      <c r="D1946" s="1">
        <f>IFERROR(__xludf.DUMMYFUNCTION("""COMPUTED_VALUE"""),5.87)</f>
        <v>5.87</v>
      </c>
      <c r="E1946" s="1">
        <f>IFERROR(__xludf.DUMMYFUNCTION("""COMPUTED_VALUE"""),5.94)</f>
        <v>5.94</v>
      </c>
      <c r="F1946" s="1">
        <f>IFERROR(__xludf.DUMMYFUNCTION("""COMPUTED_VALUE"""),1028774.0)</f>
        <v>1028774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IFERROR(__xludf.DUMMYFUNCTION("""COMPUTED_VALUE"""),5.83)</f>
        <v>5.83</v>
      </c>
      <c r="C1947" s="1">
        <f>IFERROR(__xludf.DUMMYFUNCTION("""COMPUTED_VALUE"""),5.85)</f>
        <v>5.85</v>
      </c>
      <c r="D1947" s="1">
        <f>IFERROR(__xludf.DUMMYFUNCTION("""COMPUTED_VALUE"""),5.76)</f>
        <v>5.76</v>
      </c>
      <c r="E1947" s="1">
        <f>IFERROR(__xludf.DUMMYFUNCTION("""COMPUTED_VALUE"""),5.79)</f>
        <v>5.79</v>
      </c>
      <c r="F1947" s="1">
        <f>IFERROR(__xludf.DUMMYFUNCTION("""COMPUTED_VALUE"""),1512059.0)</f>
        <v>1512059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IFERROR(__xludf.DUMMYFUNCTION("""COMPUTED_VALUE"""),5.78)</f>
        <v>5.78</v>
      </c>
      <c r="C1948" s="1">
        <f>IFERROR(__xludf.DUMMYFUNCTION("""COMPUTED_VALUE"""),5.8)</f>
        <v>5.8</v>
      </c>
      <c r="D1948" s="1">
        <f>IFERROR(__xludf.DUMMYFUNCTION("""COMPUTED_VALUE"""),5.75)</f>
        <v>5.75</v>
      </c>
      <c r="E1948" s="1">
        <f>IFERROR(__xludf.DUMMYFUNCTION("""COMPUTED_VALUE"""),5.77)</f>
        <v>5.77</v>
      </c>
      <c r="F1948" s="1">
        <f>IFERROR(__xludf.DUMMYFUNCTION("""COMPUTED_VALUE"""),1025900.0)</f>
        <v>1025900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IFERROR(__xludf.DUMMYFUNCTION("""COMPUTED_VALUE"""),5.86)</f>
        <v>5.86</v>
      </c>
      <c r="C1949" s="1">
        <f>IFERROR(__xludf.DUMMYFUNCTION("""COMPUTED_VALUE"""),5.88)</f>
        <v>5.88</v>
      </c>
      <c r="D1949" s="1">
        <f>IFERROR(__xludf.DUMMYFUNCTION("""COMPUTED_VALUE"""),5.84)</f>
        <v>5.84</v>
      </c>
      <c r="E1949" s="1">
        <f>IFERROR(__xludf.DUMMYFUNCTION("""COMPUTED_VALUE"""),5.85)</f>
        <v>5.85</v>
      </c>
      <c r="F1949" s="1">
        <f>IFERROR(__xludf.DUMMYFUNCTION("""COMPUTED_VALUE"""),2982211.0)</f>
        <v>2982211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IFERROR(__xludf.DUMMYFUNCTION("""COMPUTED_VALUE"""),5.84)</f>
        <v>5.84</v>
      </c>
      <c r="C1950" s="1">
        <f>IFERROR(__xludf.DUMMYFUNCTION("""COMPUTED_VALUE"""),5.89)</f>
        <v>5.89</v>
      </c>
      <c r="D1950" s="1">
        <f>IFERROR(__xludf.DUMMYFUNCTION("""COMPUTED_VALUE"""),5.81)</f>
        <v>5.81</v>
      </c>
      <c r="E1950" s="1">
        <f>IFERROR(__xludf.DUMMYFUNCTION("""COMPUTED_VALUE"""),5.85)</f>
        <v>5.85</v>
      </c>
      <c r="F1950" s="1">
        <f>IFERROR(__xludf.DUMMYFUNCTION("""COMPUTED_VALUE"""),2876082.0)</f>
        <v>2876082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IFERROR(__xludf.DUMMYFUNCTION("""COMPUTED_VALUE"""),5.84)</f>
        <v>5.84</v>
      </c>
      <c r="C1951" s="1">
        <f>IFERROR(__xludf.DUMMYFUNCTION("""COMPUTED_VALUE"""),5.85)</f>
        <v>5.85</v>
      </c>
      <c r="D1951" s="1">
        <f>IFERROR(__xludf.DUMMYFUNCTION("""COMPUTED_VALUE"""),5.77)</f>
        <v>5.77</v>
      </c>
      <c r="E1951" s="1">
        <f>IFERROR(__xludf.DUMMYFUNCTION("""COMPUTED_VALUE"""),5.79)</f>
        <v>5.79</v>
      </c>
      <c r="F1951" s="1">
        <f>IFERROR(__xludf.DUMMYFUNCTION("""COMPUTED_VALUE"""),7165445.0)</f>
        <v>7165445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IFERROR(__xludf.DUMMYFUNCTION("""COMPUTED_VALUE"""),5.77)</f>
        <v>5.77</v>
      </c>
      <c r="C1952" s="1">
        <f>IFERROR(__xludf.DUMMYFUNCTION("""COMPUTED_VALUE"""),5.78)</f>
        <v>5.78</v>
      </c>
      <c r="D1952" s="1">
        <f>IFERROR(__xludf.DUMMYFUNCTION("""COMPUTED_VALUE"""),5.74)</f>
        <v>5.74</v>
      </c>
      <c r="E1952" s="1">
        <f>IFERROR(__xludf.DUMMYFUNCTION("""COMPUTED_VALUE"""),5.76)</f>
        <v>5.76</v>
      </c>
      <c r="F1952" s="1">
        <f>IFERROR(__xludf.DUMMYFUNCTION("""COMPUTED_VALUE"""),1.3095309E7)</f>
        <v>13095309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IFERROR(__xludf.DUMMYFUNCTION("""COMPUTED_VALUE"""),5.74)</f>
        <v>5.74</v>
      </c>
      <c r="C1953" s="1">
        <f>IFERROR(__xludf.DUMMYFUNCTION("""COMPUTED_VALUE"""),5.75)</f>
        <v>5.75</v>
      </c>
      <c r="D1953" s="1">
        <f>IFERROR(__xludf.DUMMYFUNCTION("""COMPUTED_VALUE"""),5.69)</f>
        <v>5.69</v>
      </c>
      <c r="E1953" s="1">
        <f>IFERROR(__xludf.DUMMYFUNCTION("""COMPUTED_VALUE"""),5.69)</f>
        <v>5.69</v>
      </c>
      <c r="F1953" s="1">
        <f>IFERROR(__xludf.DUMMYFUNCTION("""COMPUTED_VALUE"""),1.5068827E7)</f>
        <v>15068827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IFERROR(__xludf.DUMMYFUNCTION("""COMPUTED_VALUE"""),5.66)</f>
        <v>5.66</v>
      </c>
      <c r="C1954" s="1">
        <f>IFERROR(__xludf.DUMMYFUNCTION("""COMPUTED_VALUE"""),5.67)</f>
        <v>5.67</v>
      </c>
      <c r="D1954" s="1">
        <f>IFERROR(__xludf.DUMMYFUNCTION("""COMPUTED_VALUE"""),5.63)</f>
        <v>5.63</v>
      </c>
      <c r="E1954" s="1">
        <f>IFERROR(__xludf.DUMMYFUNCTION("""COMPUTED_VALUE"""),5.64)</f>
        <v>5.64</v>
      </c>
      <c r="F1954" s="1">
        <f>IFERROR(__xludf.DUMMYFUNCTION("""COMPUTED_VALUE"""),5188189.0)</f>
        <v>5188189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IFERROR(__xludf.DUMMYFUNCTION("""COMPUTED_VALUE"""),5.59)</f>
        <v>5.59</v>
      </c>
      <c r="C1955" s="1">
        <f>IFERROR(__xludf.DUMMYFUNCTION("""COMPUTED_VALUE"""),5.6)</f>
        <v>5.6</v>
      </c>
      <c r="D1955" s="1">
        <f>IFERROR(__xludf.DUMMYFUNCTION("""COMPUTED_VALUE"""),5.52)</f>
        <v>5.52</v>
      </c>
      <c r="E1955" s="1">
        <f>IFERROR(__xludf.DUMMYFUNCTION("""COMPUTED_VALUE"""),5.52)</f>
        <v>5.52</v>
      </c>
      <c r="F1955" s="1">
        <f>IFERROR(__xludf.DUMMYFUNCTION("""COMPUTED_VALUE"""),1.4856666E7)</f>
        <v>14856666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IFERROR(__xludf.DUMMYFUNCTION("""COMPUTED_VALUE"""),5.53)</f>
        <v>5.53</v>
      </c>
      <c r="C1956" s="1">
        <f>IFERROR(__xludf.DUMMYFUNCTION("""COMPUTED_VALUE"""),5.56)</f>
        <v>5.56</v>
      </c>
      <c r="D1956" s="1">
        <f>IFERROR(__xludf.DUMMYFUNCTION("""COMPUTED_VALUE"""),5.51)</f>
        <v>5.51</v>
      </c>
      <c r="E1956" s="1">
        <f>IFERROR(__xludf.DUMMYFUNCTION("""COMPUTED_VALUE"""),5.52)</f>
        <v>5.52</v>
      </c>
      <c r="F1956" s="1">
        <f>IFERROR(__xludf.DUMMYFUNCTION("""COMPUTED_VALUE"""),1.3592631E7)</f>
        <v>13592631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IFERROR(__xludf.DUMMYFUNCTION("""COMPUTED_VALUE"""),5.57)</f>
        <v>5.57</v>
      </c>
      <c r="C1957" s="1">
        <f>IFERROR(__xludf.DUMMYFUNCTION("""COMPUTED_VALUE"""),5.6)</f>
        <v>5.6</v>
      </c>
      <c r="D1957" s="1">
        <f>IFERROR(__xludf.DUMMYFUNCTION("""COMPUTED_VALUE"""),5.5)</f>
        <v>5.5</v>
      </c>
      <c r="E1957" s="1">
        <f>IFERROR(__xludf.DUMMYFUNCTION("""COMPUTED_VALUE"""),5.56)</f>
        <v>5.56</v>
      </c>
      <c r="F1957" s="1">
        <f>IFERROR(__xludf.DUMMYFUNCTION("""COMPUTED_VALUE"""),7185402.0)</f>
        <v>7185402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IFERROR(__xludf.DUMMYFUNCTION("""COMPUTED_VALUE"""),5.63)</f>
        <v>5.63</v>
      </c>
      <c r="C1958" s="1">
        <f>IFERROR(__xludf.DUMMYFUNCTION("""COMPUTED_VALUE"""),5.66)</f>
        <v>5.66</v>
      </c>
      <c r="D1958" s="1">
        <f>IFERROR(__xludf.DUMMYFUNCTION("""COMPUTED_VALUE"""),5.61)</f>
        <v>5.61</v>
      </c>
      <c r="E1958" s="1">
        <f>IFERROR(__xludf.DUMMYFUNCTION("""COMPUTED_VALUE"""),5.66)</f>
        <v>5.66</v>
      </c>
      <c r="F1958" s="1">
        <f>IFERROR(__xludf.DUMMYFUNCTION("""COMPUTED_VALUE"""),3619955.0)</f>
        <v>3619955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IFERROR(__xludf.DUMMYFUNCTION("""COMPUTED_VALUE"""),5.69)</f>
        <v>5.69</v>
      </c>
      <c r="C1959" s="1">
        <f>IFERROR(__xludf.DUMMYFUNCTION("""COMPUTED_VALUE"""),5.7)</f>
        <v>5.7</v>
      </c>
      <c r="D1959" s="1">
        <f>IFERROR(__xludf.DUMMYFUNCTION("""COMPUTED_VALUE"""),5.64)</f>
        <v>5.64</v>
      </c>
      <c r="E1959" s="1">
        <f>IFERROR(__xludf.DUMMYFUNCTION("""COMPUTED_VALUE"""),5.68)</f>
        <v>5.68</v>
      </c>
      <c r="F1959" s="1">
        <f>IFERROR(__xludf.DUMMYFUNCTION("""COMPUTED_VALUE"""),4296541.0)</f>
        <v>4296541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IFERROR(__xludf.DUMMYFUNCTION("""COMPUTED_VALUE"""),5.68)</f>
        <v>5.68</v>
      </c>
      <c r="C1960" s="1">
        <f>IFERROR(__xludf.DUMMYFUNCTION("""COMPUTED_VALUE"""),5.69)</f>
        <v>5.69</v>
      </c>
      <c r="D1960" s="1">
        <f>IFERROR(__xludf.DUMMYFUNCTION("""COMPUTED_VALUE"""),5.66)</f>
        <v>5.66</v>
      </c>
      <c r="E1960" s="1">
        <f>IFERROR(__xludf.DUMMYFUNCTION("""COMPUTED_VALUE"""),5.67)</f>
        <v>5.67</v>
      </c>
      <c r="F1960" s="1">
        <f>IFERROR(__xludf.DUMMYFUNCTION("""COMPUTED_VALUE"""),3504534.0)</f>
        <v>3504534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IFERROR(__xludf.DUMMYFUNCTION("""COMPUTED_VALUE"""),5.72)</f>
        <v>5.72</v>
      </c>
      <c r="C1961" s="1">
        <f>IFERROR(__xludf.DUMMYFUNCTION("""COMPUTED_VALUE"""),5.74)</f>
        <v>5.74</v>
      </c>
      <c r="D1961" s="1">
        <f>IFERROR(__xludf.DUMMYFUNCTION("""COMPUTED_VALUE"""),5.71)</f>
        <v>5.71</v>
      </c>
      <c r="E1961" s="1">
        <f>IFERROR(__xludf.DUMMYFUNCTION("""COMPUTED_VALUE"""),5.72)</f>
        <v>5.72</v>
      </c>
      <c r="F1961" s="1">
        <f>IFERROR(__xludf.DUMMYFUNCTION("""COMPUTED_VALUE"""),1848939.0)</f>
        <v>1848939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IFERROR(__xludf.DUMMYFUNCTION("""COMPUTED_VALUE"""),5.75)</f>
        <v>5.75</v>
      </c>
      <c r="C1962" s="1">
        <f>IFERROR(__xludf.DUMMYFUNCTION("""COMPUTED_VALUE"""),5.78)</f>
        <v>5.78</v>
      </c>
      <c r="D1962" s="1">
        <f>IFERROR(__xludf.DUMMYFUNCTION("""COMPUTED_VALUE"""),5.74)</f>
        <v>5.74</v>
      </c>
      <c r="E1962" s="1">
        <f>IFERROR(__xludf.DUMMYFUNCTION("""COMPUTED_VALUE"""),5.75)</f>
        <v>5.75</v>
      </c>
      <c r="F1962" s="1">
        <f>IFERROR(__xludf.DUMMYFUNCTION("""COMPUTED_VALUE"""),2085465.0)</f>
        <v>2085465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IFERROR(__xludf.DUMMYFUNCTION("""COMPUTED_VALUE"""),5.77)</f>
        <v>5.77</v>
      </c>
      <c r="C1963" s="1">
        <f>IFERROR(__xludf.DUMMYFUNCTION("""COMPUTED_VALUE"""),5.79)</f>
        <v>5.79</v>
      </c>
      <c r="D1963" s="1">
        <f>IFERROR(__xludf.DUMMYFUNCTION("""COMPUTED_VALUE"""),5.76)</f>
        <v>5.76</v>
      </c>
      <c r="E1963" s="1">
        <f>IFERROR(__xludf.DUMMYFUNCTION("""COMPUTED_VALUE"""),5.77)</f>
        <v>5.77</v>
      </c>
      <c r="F1963" s="1">
        <f>IFERROR(__xludf.DUMMYFUNCTION("""COMPUTED_VALUE"""),2307177.0)</f>
        <v>2307177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IFERROR(__xludf.DUMMYFUNCTION("""COMPUTED_VALUE"""),5.82)</f>
        <v>5.82</v>
      </c>
      <c r="C1964" s="1">
        <f>IFERROR(__xludf.DUMMYFUNCTION("""COMPUTED_VALUE"""),5.84)</f>
        <v>5.84</v>
      </c>
      <c r="D1964" s="1">
        <f>IFERROR(__xludf.DUMMYFUNCTION("""COMPUTED_VALUE"""),5.82)</f>
        <v>5.82</v>
      </c>
      <c r="E1964" s="1">
        <f>IFERROR(__xludf.DUMMYFUNCTION("""COMPUTED_VALUE"""),5.82)</f>
        <v>5.82</v>
      </c>
      <c r="F1964" s="1">
        <f>IFERROR(__xludf.DUMMYFUNCTION("""COMPUTED_VALUE"""),1338611.0)</f>
        <v>1338611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IFERROR(__xludf.DUMMYFUNCTION("""COMPUTED_VALUE"""),5.84)</f>
        <v>5.84</v>
      </c>
      <c r="C1965" s="1">
        <f>IFERROR(__xludf.DUMMYFUNCTION("""COMPUTED_VALUE"""),5.91)</f>
        <v>5.91</v>
      </c>
      <c r="D1965" s="1">
        <f>IFERROR(__xludf.DUMMYFUNCTION("""COMPUTED_VALUE"""),5.84)</f>
        <v>5.84</v>
      </c>
      <c r="E1965" s="1">
        <f>IFERROR(__xludf.DUMMYFUNCTION("""COMPUTED_VALUE"""),5.9)</f>
        <v>5.9</v>
      </c>
      <c r="F1965" s="1">
        <f>IFERROR(__xludf.DUMMYFUNCTION("""COMPUTED_VALUE"""),2522333.0)</f>
        <v>2522333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IFERROR(__xludf.DUMMYFUNCTION("""COMPUTED_VALUE"""),5.95)</f>
        <v>5.95</v>
      </c>
      <c r="C1966" s="1">
        <f>IFERROR(__xludf.DUMMYFUNCTION("""COMPUTED_VALUE"""),6.13)</f>
        <v>6.13</v>
      </c>
      <c r="D1966" s="1">
        <f>IFERROR(__xludf.DUMMYFUNCTION("""COMPUTED_VALUE"""),5.81)</f>
        <v>5.81</v>
      </c>
      <c r="E1966" s="1">
        <f>IFERROR(__xludf.DUMMYFUNCTION("""COMPUTED_VALUE"""),5.82)</f>
        <v>5.82</v>
      </c>
      <c r="F1966" s="1">
        <f>IFERROR(__xludf.DUMMYFUNCTION("""COMPUTED_VALUE"""),7016570.0)</f>
        <v>7016570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IFERROR(__xludf.DUMMYFUNCTION("""COMPUTED_VALUE"""),5.91)</f>
        <v>5.91</v>
      </c>
      <c r="C1967" s="1">
        <f>IFERROR(__xludf.DUMMYFUNCTION("""COMPUTED_VALUE"""),5.92)</f>
        <v>5.92</v>
      </c>
      <c r="D1967" s="1">
        <f>IFERROR(__xludf.DUMMYFUNCTION("""COMPUTED_VALUE"""),5.84)</f>
        <v>5.84</v>
      </c>
      <c r="E1967" s="1">
        <f>IFERROR(__xludf.DUMMYFUNCTION("""COMPUTED_VALUE"""),5.86)</f>
        <v>5.86</v>
      </c>
      <c r="F1967" s="1">
        <f>IFERROR(__xludf.DUMMYFUNCTION("""COMPUTED_VALUE"""),2190500.0)</f>
        <v>2190500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IFERROR(__xludf.DUMMYFUNCTION("""COMPUTED_VALUE"""),5.94)</f>
        <v>5.94</v>
      </c>
      <c r="C1968" s="1">
        <f>IFERROR(__xludf.DUMMYFUNCTION("""COMPUTED_VALUE"""),5.97)</f>
        <v>5.97</v>
      </c>
      <c r="D1968" s="1">
        <f>IFERROR(__xludf.DUMMYFUNCTION("""COMPUTED_VALUE"""),5.92)</f>
        <v>5.92</v>
      </c>
      <c r="E1968" s="1">
        <f>IFERROR(__xludf.DUMMYFUNCTION("""COMPUTED_VALUE"""),5.94)</f>
        <v>5.94</v>
      </c>
      <c r="F1968" s="1">
        <f>IFERROR(__xludf.DUMMYFUNCTION("""COMPUTED_VALUE"""),2231260.0)</f>
        <v>2231260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IFERROR(__xludf.DUMMYFUNCTION("""COMPUTED_VALUE"""),5.96)</f>
        <v>5.96</v>
      </c>
      <c r="C1969" s="1">
        <f>IFERROR(__xludf.DUMMYFUNCTION("""COMPUTED_VALUE"""),5.98)</f>
        <v>5.98</v>
      </c>
      <c r="D1969" s="1">
        <f>IFERROR(__xludf.DUMMYFUNCTION("""COMPUTED_VALUE"""),5.9)</f>
        <v>5.9</v>
      </c>
      <c r="E1969" s="1">
        <f>IFERROR(__xludf.DUMMYFUNCTION("""COMPUTED_VALUE"""),5.95)</f>
        <v>5.95</v>
      </c>
      <c r="F1969" s="1">
        <f>IFERROR(__xludf.DUMMYFUNCTION("""COMPUTED_VALUE"""),1929201.0)</f>
        <v>1929201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IFERROR(__xludf.DUMMYFUNCTION("""COMPUTED_VALUE"""),5.97)</f>
        <v>5.97</v>
      </c>
      <c r="C1970" s="1">
        <f>IFERROR(__xludf.DUMMYFUNCTION("""COMPUTED_VALUE"""),5.99)</f>
        <v>5.99</v>
      </c>
      <c r="D1970" s="1">
        <f>IFERROR(__xludf.DUMMYFUNCTION("""COMPUTED_VALUE"""),5.93)</f>
        <v>5.93</v>
      </c>
      <c r="E1970" s="1">
        <f>IFERROR(__xludf.DUMMYFUNCTION("""COMPUTED_VALUE"""),5.94)</f>
        <v>5.94</v>
      </c>
      <c r="F1970" s="1">
        <f>IFERROR(__xludf.DUMMYFUNCTION("""COMPUTED_VALUE"""),1126127.0)</f>
        <v>1126127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IFERROR(__xludf.DUMMYFUNCTION("""COMPUTED_VALUE"""),5.89)</f>
        <v>5.89</v>
      </c>
      <c r="C1971" s="1">
        <f>IFERROR(__xludf.DUMMYFUNCTION("""COMPUTED_VALUE"""),5.9)</f>
        <v>5.9</v>
      </c>
      <c r="D1971" s="1">
        <f>IFERROR(__xludf.DUMMYFUNCTION("""COMPUTED_VALUE"""),5.85)</f>
        <v>5.85</v>
      </c>
      <c r="E1971" s="1">
        <f>IFERROR(__xludf.DUMMYFUNCTION("""COMPUTED_VALUE"""),5.85)</f>
        <v>5.85</v>
      </c>
      <c r="F1971" s="1">
        <f>IFERROR(__xludf.DUMMYFUNCTION("""COMPUTED_VALUE"""),1181001.0)</f>
        <v>1181001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IFERROR(__xludf.DUMMYFUNCTION("""COMPUTED_VALUE"""),5.86)</f>
        <v>5.86</v>
      </c>
      <c r="C1972" s="1">
        <f>IFERROR(__xludf.DUMMYFUNCTION("""COMPUTED_VALUE"""),5.88)</f>
        <v>5.88</v>
      </c>
      <c r="D1972" s="1">
        <f>IFERROR(__xludf.DUMMYFUNCTION("""COMPUTED_VALUE"""),5.83)</f>
        <v>5.83</v>
      </c>
      <c r="E1972" s="1">
        <f>IFERROR(__xludf.DUMMYFUNCTION("""COMPUTED_VALUE"""),5.83)</f>
        <v>5.83</v>
      </c>
      <c r="F1972" s="1">
        <f>IFERROR(__xludf.DUMMYFUNCTION("""COMPUTED_VALUE"""),1136817.0)</f>
        <v>1136817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IFERROR(__xludf.DUMMYFUNCTION("""COMPUTED_VALUE"""),5.87)</f>
        <v>5.87</v>
      </c>
      <c r="C1973" s="1">
        <f>IFERROR(__xludf.DUMMYFUNCTION("""COMPUTED_VALUE"""),5.91)</f>
        <v>5.91</v>
      </c>
      <c r="D1973" s="1">
        <f>IFERROR(__xludf.DUMMYFUNCTION("""COMPUTED_VALUE"""),5.85)</f>
        <v>5.85</v>
      </c>
      <c r="E1973" s="1">
        <f>IFERROR(__xludf.DUMMYFUNCTION("""COMPUTED_VALUE"""),5.87)</f>
        <v>5.87</v>
      </c>
      <c r="F1973" s="1">
        <f>IFERROR(__xludf.DUMMYFUNCTION("""COMPUTED_VALUE"""),1611095.0)</f>
        <v>1611095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IFERROR(__xludf.DUMMYFUNCTION("""COMPUTED_VALUE"""),5.92)</f>
        <v>5.92</v>
      </c>
      <c r="C1974" s="1">
        <f>IFERROR(__xludf.DUMMYFUNCTION("""COMPUTED_VALUE"""),5.97)</f>
        <v>5.97</v>
      </c>
      <c r="D1974" s="1">
        <f>IFERROR(__xludf.DUMMYFUNCTION("""COMPUTED_VALUE"""),5.91)</f>
        <v>5.91</v>
      </c>
      <c r="E1974" s="1">
        <f>IFERROR(__xludf.DUMMYFUNCTION("""COMPUTED_VALUE"""),5.95)</f>
        <v>5.95</v>
      </c>
      <c r="F1974" s="1">
        <f>IFERROR(__xludf.DUMMYFUNCTION("""COMPUTED_VALUE"""),1764803.0)</f>
        <v>1764803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IFERROR(__xludf.DUMMYFUNCTION("""COMPUTED_VALUE"""),5.99)</f>
        <v>5.99</v>
      </c>
      <c r="C1975" s="1">
        <f>IFERROR(__xludf.DUMMYFUNCTION("""COMPUTED_VALUE"""),6.02)</f>
        <v>6.02</v>
      </c>
      <c r="D1975" s="1">
        <f>IFERROR(__xludf.DUMMYFUNCTION("""COMPUTED_VALUE"""),5.98)</f>
        <v>5.98</v>
      </c>
      <c r="E1975" s="1">
        <f>IFERROR(__xludf.DUMMYFUNCTION("""COMPUTED_VALUE"""),6.0)</f>
        <v>6</v>
      </c>
      <c r="F1975" s="1">
        <f>IFERROR(__xludf.DUMMYFUNCTION("""COMPUTED_VALUE"""),2444604.0)</f>
        <v>2444604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IFERROR(__xludf.DUMMYFUNCTION("""COMPUTED_VALUE"""),5.88)</f>
        <v>5.88</v>
      </c>
      <c r="C1976" s="1">
        <f>IFERROR(__xludf.DUMMYFUNCTION("""COMPUTED_VALUE"""),5.91)</f>
        <v>5.91</v>
      </c>
      <c r="D1976" s="1">
        <f>IFERROR(__xludf.DUMMYFUNCTION("""COMPUTED_VALUE"""),5.86)</f>
        <v>5.86</v>
      </c>
      <c r="E1976" s="1">
        <f>IFERROR(__xludf.DUMMYFUNCTION("""COMPUTED_VALUE"""),5.89)</f>
        <v>5.89</v>
      </c>
      <c r="F1976" s="1">
        <f>IFERROR(__xludf.DUMMYFUNCTION("""COMPUTED_VALUE"""),2119712.0)</f>
        <v>2119712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IFERROR(__xludf.DUMMYFUNCTION("""COMPUTED_VALUE"""),5.89)</f>
        <v>5.89</v>
      </c>
      <c r="C1977" s="1">
        <f>IFERROR(__xludf.DUMMYFUNCTION("""COMPUTED_VALUE"""),5.92)</f>
        <v>5.92</v>
      </c>
      <c r="D1977" s="1">
        <f>IFERROR(__xludf.DUMMYFUNCTION("""COMPUTED_VALUE"""),5.89)</f>
        <v>5.89</v>
      </c>
      <c r="E1977" s="1">
        <f>IFERROR(__xludf.DUMMYFUNCTION("""COMPUTED_VALUE"""),5.91)</f>
        <v>5.91</v>
      </c>
      <c r="F1977" s="1">
        <f>IFERROR(__xludf.DUMMYFUNCTION("""COMPUTED_VALUE"""),1332220.0)</f>
        <v>1332220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IFERROR(__xludf.DUMMYFUNCTION("""COMPUTED_VALUE"""),5.94)</f>
        <v>5.94</v>
      </c>
      <c r="C1978" s="1">
        <f>IFERROR(__xludf.DUMMYFUNCTION("""COMPUTED_VALUE"""),5.96)</f>
        <v>5.96</v>
      </c>
      <c r="D1978" s="1">
        <f>IFERROR(__xludf.DUMMYFUNCTION("""COMPUTED_VALUE"""),5.86)</f>
        <v>5.86</v>
      </c>
      <c r="E1978" s="1">
        <f>IFERROR(__xludf.DUMMYFUNCTION("""COMPUTED_VALUE"""),5.89)</f>
        <v>5.89</v>
      </c>
      <c r="F1978" s="1">
        <f>IFERROR(__xludf.DUMMYFUNCTION("""COMPUTED_VALUE"""),2801984.0)</f>
        <v>2801984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IFERROR(__xludf.DUMMYFUNCTION("""COMPUTED_VALUE"""),5.84)</f>
        <v>5.84</v>
      </c>
      <c r="C1979" s="1">
        <f>IFERROR(__xludf.DUMMYFUNCTION("""COMPUTED_VALUE"""),5.88)</f>
        <v>5.88</v>
      </c>
      <c r="D1979" s="1">
        <f>IFERROR(__xludf.DUMMYFUNCTION("""COMPUTED_VALUE"""),5.83)</f>
        <v>5.83</v>
      </c>
      <c r="E1979" s="1">
        <f>IFERROR(__xludf.DUMMYFUNCTION("""COMPUTED_VALUE"""),5.85)</f>
        <v>5.85</v>
      </c>
      <c r="F1979" s="1">
        <f>IFERROR(__xludf.DUMMYFUNCTION("""COMPUTED_VALUE"""),2365377.0)</f>
        <v>2365377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IFERROR(__xludf.DUMMYFUNCTION("""COMPUTED_VALUE"""),6.06)</f>
        <v>6.06</v>
      </c>
      <c r="C1980" s="1">
        <f>IFERROR(__xludf.DUMMYFUNCTION("""COMPUTED_VALUE"""),6.21)</f>
        <v>6.21</v>
      </c>
      <c r="D1980" s="1">
        <f>IFERROR(__xludf.DUMMYFUNCTION("""COMPUTED_VALUE"""),6.06)</f>
        <v>6.06</v>
      </c>
      <c r="E1980" s="1">
        <f>IFERROR(__xludf.DUMMYFUNCTION("""COMPUTED_VALUE"""),6.21)</f>
        <v>6.21</v>
      </c>
      <c r="F1980" s="1">
        <f>IFERROR(__xludf.DUMMYFUNCTION("""COMPUTED_VALUE"""),3787151.0)</f>
        <v>3787151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IFERROR(__xludf.DUMMYFUNCTION("""COMPUTED_VALUE"""),6.09)</f>
        <v>6.09</v>
      </c>
      <c r="C1981" s="1">
        <f>IFERROR(__xludf.DUMMYFUNCTION("""COMPUTED_VALUE"""),6.12)</f>
        <v>6.12</v>
      </c>
      <c r="D1981" s="1">
        <f>IFERROR(__xludf.DUMMYFUNCTION("""COMPUTED_VALUE"""),6.04)</f>
        <v>6.04</v>
      </c>
      <c r="E1981" s="1">
        <f>IFERROR(__xludf.DUMMYFUNCTION("""COMPUTED_VALUE"""),6.07)</f>
        <v>6.07</v>
      </c>
      <c r="F1981" s="1">
        <f>IFERROR(__xludf.DUMMYFUNCTION("""COMPUTED_VALUE"""),2785020.0)</f>
        <v>2785020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IFERROR(__xludf.DUMMYFUNCTION("""COMPUTED_VALUE"""),5.93)</f>
        <v>5.93</v>
      </c>
      <c r="C1982" s="1">
        <f>IFERROR(__xludf.DUMMYFUNCTION("""COMPUTED_VALUE"""),5.99)</f>
        <v>5.99</v>
      </c>
      <c r="D1982" s="1">
        <f>IFERROR(__xludf.DUMMYFUNCTION("""COMPUTED_VALUE"""),5.93)</f>
        <v>5.93</v>
      </c>
      <c r="E1982" s="1">
        <f>IFERROR(__xludf.DUMMYFUNCTION("""COMPUTED_VALUE"""),5.96)</f>
        <v>5.96</v>
      </c>
      <c r="F1982" s="1">
        <f>IFERROR(__xludf.DUMMYFUNCTION("""COMPUTED_VALUE"""),1716905.0)</f>
        <v>1716905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IFERROR(__xludf.DUMMYFUNCTION("""COMPUTED_VALUE"""),5.99)</f>
        <v>5.99</v>
      </c>
      <c r="C1983" s="1">
        <f>IFERROR(__xludf.DUMMYFUNCTION("""COMPUTED_VALUE"""),6.0)</f>
        <v>6</v>
      </c>
      <c r="D1983" s="1">
        <f>IFERROR(__xludf.DUMMYFUNCTION("""COMPUTED_VALUE"""),5.95)</f>
        <v>5.95</v>
      </c>
      <c r="E1983" s="1">
        <f>IFERROR(__xludf.DUMMYFUNCTION("""COMPUTED_VALUE"""),5.97)</f>
        <v>5.97</v>
      </c>
      <c r="F1983" s="1">
        <f>IFERROR(__xludf.DUMMYFUNCTION("""COMPUTED_VALUE"""),1161947.0)</f>
        <v>1161947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IFERROR(__xludf.DUMMYFUNCTION("""COMPUTED_VALUE"""),5.95)</f>
        <v>5.95</v>
      </c>
      <c r="C1984" s="1">
        <f>IFERROR(__xludf.DUMMYFUNCTION("""COMPUTED_VALUE"""),6.03)</f>
        <v>6.03</v>
      </c>
      <c r="D1984" s="1">
        <f>IFERROR(__xludf.DUMMYFUNCTION("""COMPUTED_VALUE"""),5.94)</f>
        <v>5.94</v>
      </c>
      <c r="E1984" s="1">
        <f>IFERROR(__xludf.DUMMYFUNCTION("""COMPUTED_VALUE"""),6.0)</f>
        <v>6</v>
      </c>
      <c r="F1984" s="1">
        <f>IFERROR(__xludf.DUMMYFUNCTION("""COMPUTED_VALUE"""),1661911.0)</f>
        <v>1661911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IFERROR(__xludf.DUMMYFUNCTION("""COMPUTED_VALUE"""),6.03)</f>
        <v>6.03</v>
      </c>
      <c r="C1985" s="1">
        <f>IFERROR(__xludf.DUMMYFUNCTION("""COMPUTED_VALUE"""),6.04)</f>
        <v>6.04</v>
      </c>
      <c r="D1985" s="1">
        <f>IFERROR(__xludf.DUMMYFUNCTION("""COMPUTED_VALUE"""),6.01)</f>
        <v>6.01</v>
      </c>
      <c r="E1985" s="1">
        <f>IFERROR(__xludf.DUMMYFUNCTION("""COMPUTED_VALUE"""),6.01)</f>
        <v>6.01</v>
      </c>
      <c r="F1985" s="1">
        <f>IFERROR(__xludf.DUMMYFUNCTION("""COMPUTED_VALUE"""),842914.0)</f>
        <v>842914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IFERROR(__xludf.DUMMYFUNCTION("""COMPUTED_VALUE"""),6.05)</f>
        <v>6.05</v>
      </c>
      <c r="C1986" s="1">
        <f>IFERROR(__xludf.DUMMYFUNCTION("""COMPUTED_VALUE"""),6.06)</f>
        <v>6.06</v>
      </c>
      <c r="D1986" s="1">
        <f>IFERROR(__xludf.DUMMYFUNCTION("""COMPUTED_VALUE"""),6.02)</f>
        <v>6.02</v>
      </c>
      <c r="E1986" s="1">
        <f>IFERROR(__xludf.DUMMYFUNCTION("""COMPUTED_VALUE"""),6.06)</f>
        <v>6.06</v>
      </c>
      <c r="F1986" s="1">
        <f>IFERROR(__xludf.DUMMYFUNCTION("""COMPUTED_VALUE"""),769589.0)</f>
        <v>769589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IFERROR(__xludf.DUMMYFUNCTION("""COMPUTED_VALUE"""),6.01)</f>
        <v>6.01</v>
      </c>
      <c r="C1987" s="1">
        <f>IFERROR(__xludf.DUMMYFUNCTION("""COMPUTED_VALUE"""),6.01)</f>
        <v>6.01</v>
      </c>
      <c r="D1987" s="1">
        <f>IFERROR(__xludf.DUMMYFUNCTION("""COMPUTED_VALUE"""),5.98)</f>
        <v>5.98</v>
      </c>
      <c r="E1987" s="1">
        <f>IFERROR(__xludf.DUMMYFUNCTION("""COMPUTED_VALUE"""),5.99)</f>
        <v>5.99</v>
      </c>
      <c r="F1987" s="1">
        <f>IFERROR(__xludf.DUMMYFUNCTION("""COMPUTED_VALUE"""),974747.0)</f>
        <v>974747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IFERROR(__xludf.DUMMYFUNCTION("""COMPUTED_VALUE"""),6.03)</f>
        <v>6.03</v>
      </c>
      <c r="C1988" s="1">
        <f>IFERROR(__xludf.DUMMYFUNCTION("""COMPUTED_VALUE"""),6.05)</f>
        <v>6.05</v>
      </c>
      <c r="D1988" s="1">
        <f>IFERROR(__xludf.DUMMYFUNCTION("""COMPUTED_VALUE"""),6.01)</f>
        <v>6.01</v>
      </c>
      <c r="E1988" s="1">
        <f>IFERROR(__xludf.DUMMYFUNCTION("""COMPUTED_VALUE"""),6.02)</f>
        <v>6.02</v>
      </c>
      <c r="F1988" s="1">
        <f>IFERROR(__xludf.DUMMYFUNCTION("""COMPUTED_VALUE"""),1157323.0)</f>
        <v>1157323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IFERROR(__xludf.DUMMYFUNCTION("""COMPUTED_VALUE"""),6.02)</f>
        <v>6.02</v>
      </c>
      <c r="C1989" s="1">
        <f>IFERROR(__xludf.DUMMYFUNCTION("""COMPUTED_VALUE"""),6.04)</f>
        <v>6.04</v>
      </c>
      <c r="D1989" s="1">
        <f>IFERROR(__xludf.DUMMYFUNCTION("""COMPUTED_VALUE"""),5.98)</f>
        <v>5.98</v>
      </c>
      <c r="E1989" s="1">
        <f>IFERROR(__xludf.DUMMYFUNCTION("""COMPUTED_VALUE"""),6.03)</f>
        <v>6.03</v>
      </c>
      <c r="F1989" s="1">
        <f>IFERROR(__xludf.DUMMYFUNCTION("""COMPUTED_VALUE"""),1042503.0)</f>
        <v>1042503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IFERROR(__xludf.DUMMYFUNCTION("""COMPUTED_VALUE"""),6.07)</f>
        <v>6.07</v>
      </c>
      <c r="C1990" s="1">
        <f>IFERROR(__xludf.DUMMYFUNCTION("""COMPUTED_VALUE"""),6.09)</f>
        <v>6.09</v>
      </c>
      <c r="D1990" s="1">
        <f>IFERROR(__xludf.DUMMYFUNCTION("""COMPUTED_VALUE"""),6.06)</f>
        <v>6.06</v>
      </c>
      <c r="E1990" s="1">
        <f>IFERROR(__xludf.DUMMYFUNCTION("""COMPUTED_VALUE"""),6.08)</f>
        <v>6.08</v>
      </c>
      <c r="F1990" s="1">
        <f>IFERROR(__xludf.DUMMYFUNCTION("""COMPUTED_VALUE"""),1162462.0)</f>
        <v>1162462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IFERROR(__xludf.DUMMYFUNCTION("""COMPUTED_VALUE"""),6.05)</f>
        <v>6.05</v>
      </c>
      <c r="C1991" s="1">
        <f>IFERROR(__xludf.DUMMYFUNCTION("""COMPUTED_VALUE"""),6.08)</f>
        <v>6.08</v>
      </c>
      <c r="D1991" s="1">
        <f>IFERROR(__xludf.DUMMYFUNCTION("""COMPUTED_VALUE"""),6.04)</f>
        <v>6.04</v>
      </c>
      <c r="E1991" s="1">
        <f>IFERROR(__xludf.DUMMYFUNCTION("""COMPUTED_VALUE"""),6.05)</f>
        <v>6.05</v>
      </c>
      <c r="F1991" s="1">
        <f>IFERROR(__xludf.DUMMYFUNCTION("""COMPUTED_VALUE"""),796502.0)</f>
        <v>796502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IFERROR(__xludf.DUMMYFUNCTION("""COMPUTED_VALUE"""),6.07)</f>
        <v>6.07</v>
      </c>
      <c r="C1992" s="1">
        <f>IFERROR(__xludf.DUMMYFUNCTION("""COMPUTED_VALUE"""),6.16)</f>
        <v>6.16</v>
      </c>
      <c r="D1992" s="1">
        <f>IFERROR(__xludf.DUMMYFUNCTION("""COMPUTED_VALUE"""),6.06)</f>
        <v>6.06</v>
      </c>
      <c r="E1992" s="1">
        <f>IFERROR(__xludf.DUMMYFUNCTION("""COMPUTED_VALUE"""),6.16)</f>
        <v>6.16</v>
      </c>
      <c r="F1992" s="1">
        <f>IFERROR(__xludf.DUMMYFUNCTION("""COMPUTED_VALUE"""),2763956.0)</f>
        <v>2763956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IFERROR(__xludf.DUMMYFUNCTION("""COMPUTED_VALUE"""),6.2)</f>
        <v>6.2</v>
      </c>
      <c r="C1993" s="1">
        <f>IFERROR(__xludf.DUMMYFUNCTION("""COMPUTED_VALUE"""),6.23)</f>
        <v>6.23</v>
      </c>
      <c r="D1993" s="1">
        <f>IFERROR(__xludf.DUMMYFUNCTION("""COMPUTED_VALUE"""),6.17)</f>
        <v>6.17</v>
      </c>
      <c r="E1993" s="1">
        <f>IFERROR(__xludf.DUMMYFUNCTION("""COMPUTED_VALUE"""),6.23)</f>
        <v>6.23</v>
      </c>
      <c r="F1993" s="1">
        <f>IFERROR(__xludf.DUMMYFUNCTION("""COMPUTED_VALUE"""),8174762.0)</f>
        <v>8174762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IFERROR(__xludf.DUMMYFUNCTION("""COMPUTED_VALUE"""),6.2)</f>
        <v>6.2</v>
      </c>
      <c r="C1994" s="1">
        <f>IFERROR(__xludf.DUMMYFUNCTION("""COMPUTED_VALUE"""),6.24)</f>
        <v>6.24</v>
      </c>
      <c r="D1994" s="1">
        <f>IFERROR(__xludf.DUMMYFUNCTION("""COMPUTED_VALUE"""),6.17)</f>
        <v>6.17</v>
      </c>
      <c r="E1994" s="1">
        <f>IFERROR(__xludf.DUMMYFUNCTION("""COMPUTED_VALUE"""),6.19)</f>
        <v>6.19</v>
      </c>
      <c r="F1994" s="1">
        <f>IFERROR(__xludf.DUMMYFUNCTION("""COMPUTED_VALUE"""),2596545.0)</f>
        <v>2596545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IFERROR(__xludf.DUMMYFUNCTION("""COMPUTED_VALUE"""),6.13)</f>
        <v>6.13</v>
      </c>
      <c r="C1995" s="1">
        <f>IFERROR(__xludf.DUMMYFUNCTION("""COMPUTED_VALUE"""),6.18)</f>
        <v>6.18</v>
      </c>
      <c r="D1995" s="1">
        <f>IFERROR(__xludf.DUMMYFUNCTION("""COMPUTED_VALUE"""),6.07)</f>
        <v>6.07</v>
      </c>
      <c r="E1995" s="1">
        <f>IFERROR(__xludf.DUMMYFUNCTION("""COMPUTED_VALUE"""),6.14)</f>
        <v>6.14</v>
      </c>
      <c r="F1995" s="1">
        <f>IFERROR(__xludf.DUMMYFUNCTION("""COMPUTED_VALUE"""),2667739.0)</f>
        <v>2667739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IFERROR(__xludf.DUMMYFUNCTION("""COMPUTED_VALUE"""),6.2)</f>
        <v>6.2</v>
      </c>
      <c r="C1996" s="1">
        <f>IFERROR(__xludf.DUMMYFUNCTION("""COMPUTED_VALUE"""),6.21)</f>
        <v>6.21</v>
      </c>
      <c r="D1996" s="1">
        <f>IFERROR(__xludf.DUMMYFUNCTION("""COMPUTED_VALUE"""),6.17)</f>
        <v>6.17</v>
      </c>
      <c r="E1996" s="1">
        <f>IFERROR(__xludf.DUMMYFUNCTION("""COMPUTED_VALUE"""),6.18)</f>
        <v>6.18</v>
      </c>
      <c r="F1996" s="1">
        <f>IFERROR(__xludf.DUMMYFUNCTION("""COMPUTED_VALUE"""),3361740.0)</f>
        <v>3361740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IFERROR(__xludf.DUMMYFUNCTION("""COMPUTED_VALUE"""),6.17)</f>
        <v>6.17</v>
      </c>
      <c r="C1997" s="1">
        <f>IFERROR(__xludf.DUMMYFUNCTION("""COMPUTED_VALUE"""),6.17)</f>
        <v>6.17</v>
      </c>
      <c r="D1997" s="1">
        <f>IFERROR(__xludf.DUMMYFUNCTION("""COMPUTED_VALUE"""),6.11)</f>
        <v>6.11</v>
      </c>
      <c r="E1997" s="1">
        <f>IFERROR(__xludf.DUMMYFUNCTION("""COMPUTED_VALUE"""),6.13)</f>
        <v>6.13</v>
      </c>
      <c r="F1997" s="1">
        <f>IFERROR(__xludf.DUMMYFUNCTION("""COMPUTED_VALUE"""),1343556.0)</f>
        <v>1343556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IFERROR(__xludf.DUMMYFUNCTION("""COMPUTED_VALUE"""),6.09)</f>
        <v>6.09</v>
      </c>
      <c r="C1998" s="1">
        <f>IFERROR(__xludf.DUMMYFUNCTION("""COMPUTED_VALUE"""),6.14)</f>
        <v>6.14</v>
      </c>
      <c r="D1998" s="1">
        <f>IFERROR(__xludf.DUMMYFUNCTION("""COMPUTED_VALUE"""),6.09)</f>
        <v>6.09</v>
      </c>
      <c r="E1998" s="1">
        <f>IFERROR(__xludf.DUMMYFUNCTION("""COMPUTED_VALUE"""),6.12)</f>
        <v>6.12</v>
      </c>
      <c r="F1998" s="1">
        <f>IFERROR(__xludf.DUMMYFUNCTION("""COMPUTED_VALUE"""),1081921.0)</f>
        <v>1081921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IFERROR(__xludf.DUMMYFUNCTION("""COMPUTED_VALUE"""),6.09)</f>
        <v>6.09</v>
      </c>
      <c r="C1999" s="1">
        <f>IFERROR(__xludf.DUMMYFUNCTION("""COMPUTED_VALUE"""),6.14)</f>
        <v>6.14</v>
      </c>
      <c r="D1999" s="1">
        <f>IFERROR(__xludf.DUMMYFUNCTION("""COMPUTED_VALUE"""),6.08)</f>
        <v>6.08</v>
      </c>
      <c r="E1999" s="1">
        <f>IFERROR(__xludf.DUMMYFUNCTION("""COMPUTED_VALUE"""),6.12)</f>
        <v>6.12</v>
      </c>
      <c r="F1999" s="1">
        <f>IFERROR(__xludf.DUMMYFUNCTION("""COMPUTED_VALUE"""),1611581.0)</f>
        <v>1611581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IFERROR(__xludf.DUMMYFUNCTION("""COMPUTED_VALUE"""),6.15)</f>
        <v>6.15</v>
      </c>
      <c r="C2000" s="1">
        <f>IFERROR(__xludf.DUMMYFUNCTION("""COMPUTED_VALUE"""),6.19)</f>
        <v>6.19</v>
      </c>
      <c r="D2000" s="1">
        <f>IFERROR(__xludf.DUMMYFUNCTION("""COMPUTED_VALUE"""),6.13)</f>
        <v>6.13</v>
      </c>
      <c r="E2000" s="1">
        <f>IFERROR(__xludf.DUMMYFUNCTION("""COMPUTED_VALUE"""),6.19)</f>
        <v>6.19</v>
      </c>
      <c r="F2000" s="1">
        <f>IFERROR(__xludf.DUMMYFUNCTION("""COMPUTED_VALUE"""),1606452.0)</f>
        <v>1606452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IFERROR(__xludf.DUMMYFUNCTION("""COMPUTED_VALUE"""),6.2)</f>
        <v>6.2</v>
      </c>
      <c r="C2001" s="1">
        <f>IFERROR(__xludf.DUMMYFUNCTION("""COMPUTED_VALUE"""),6.22)</f>
        <v>6.22</v>
      </c>
      <c r="D2001" s="1">
        <f>IFERROR(__xludf.DUMMYFUNCTION("""COMPUTED_VALUE"""),6.19)</f>
        <v>6.19</v>
      </c>
      <c r="E2001" s="1">
        <f>IFERROR(__xludf.DUMMYFUNCTION("""COMPUTED_VALUE"""),6.2)</f>
        <v>6.2</v>
      </c>
      <c r="F2001" s="1">
        <f>IFERROR(__xludf.DUMMYFUNCTION("""COMPUTED_VALUE"""),1166604.0)</f>
        <v>1166604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IFERROR(__xludf.DUMMYFUNCTION("""COMPUTED_VALUE"""),6.17)</f>
        <v>6.17</v>
      </c>
      <c r="C2002" s="1">
        <f>IFERROR(__xludf.DUMMYFUNCTION("""COMPUTED_VALUE"""),6.21)</f>
        <v>6.21</v>
      </c>
      <c r="D2002" s="1">
        <f>IFERROR(__xludf.DUMMYFUNCTION("""COMPUTED_VALUE"""),6.16)</f>
        <v>6.16</v>
      </c>
      <c r="E2002" s="1">
        <f>IFERROR(__xludf.DUMMYFUNCTION("""COMPUTED_VALUE"""),6.2)</f>
        <v>6.2</v>
      </c>
      <c r="F2002" s="1">
        <f>IFERROR(__xludf.DUMMYFUNCTION("""COMPUTED_VALUE"""),765052.0)</f>
        <v>765052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IFERROR(__xludf.DUMMYFUNCTION("""COMPUTED_VALUE"""),6.25)</f>
        <v>6.25</v>
      </c>
      <c r="C2003" s="1">
        <f>IFERROR(__xludf.DUMMYFUNCTION("""COMPUTED_VALUE"""),6.26)</f>
        <v>6.26</v>
      </c>
      <c r="D2003" s="1">
        <f>IFERROR(__xludf.DUMMYFUNCTION("""COMPUTED_VALUE"""),6.21)</f>
        <v>6.21</v>
      </c>
      <c r="E2003" s="1">
        <f>IFERROR(__xludf.DUMMYFUNCTION("""COMPUTED_VALUE"""),6.21)</f>
        <v>6.21</v>
      </c>
      <c r="F2003" s="1">
        <f>IFERROR(__xludf.DUMMYFUNCTION("""COMPUTED_VALUE"""),1483063.0)</f>
        <v>1483063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IFERROR(__xludf.DUMMYFUNCTION("""COMPUTED_VALUE"""),6.26)</f>
        <v>6.26</v>
      </c>
      <c r="C2004" s="1">
        <f>IFERROR(__xludf.DUMMYFUNCTION("""COMPUTED_VALUE"""),6.27)</f>
        <v>6.27</v>
      </c>
      <c r="D2004" s="1">
        <f>IFERROR(__xludf.DUMMYFUNCTION("""COMPUTED_VALUE"""),6.19)</f>
        <v>6.19</v>
      </c>
      <c r="E2004" s="1">
        <f>IFERROR(__xludf.DUMMYFUNCTION("""COMPUTED_VALUE"""),6.21)</f>
        <v>6.21</v>
      </c>
      <c r="F2004" s="1">
        <f>IFERROR(__xludf.DUMMYFUNCTION("""COMPUTED_VALUE"""),1346446.0)</f>
        <v>1346446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IFERROR(__xludf.DUMMYFUNCTION("""COMPUTED_VALUE"""),6.17)</f>
        <v>6.17</v>
      </c>
      <c r="C2005" s="1">
        <f>IFERROR(__xludf.DUMMYFUNCTION("""COMPUTED_VALUE"""),6.21)</f>
        <v>6.21</v>
      </c>
      <c r="D2005" s="1">
        <f>IFERROR(__xludf.DUMMYFUNCTION("""COMPUTED_VALUE"""),6.16)</f>
        <v>6.16</v>
      </c>
      <c r="E2005" s="1">
        <f>IFERROR(__xludf.DUMMYFUNCTION("""COMPUTED_VALUE"""),6.18)</f>
        <v>6.18</v>
      </c>
      <c r="F2005" s="1">
        <f>IFERROR(__xludf.DUMMYFUNCTION("""COMPUTED_VALUE"""),1194811.0)</f>
        <v>1194811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IFERROR(__xludf.DUMMYFUNCTION("""COMPUTED_VALUE"""),6.31)</f>
        <v>6.31</v>
      </c>
      <c r="C2006" s="1">
        <f>IFERROR(__xludf.DUMMYFUNCTION("""COMPUTED_VALUE"""),6.32)</f>
        <v>6.32</v>
      </c>
      <c r="D2006" s="1">
        <f>IFERROR(__xludf.DUMMYFUNCTION("""COMPUTED_VALUE"""),6.27)</f>
        <v>6.27</v>
      </c>
      <c r="E2006" s="1">
        <f>IFERROR(__xludf.DUMMYFUNCTION("""COMPUTED_VALUE"""),6.28)</f>
        <v>6.28</v>
      </c>
      <c r="F2006" s="1">
        <f>IFERROR(__xludf.DUMMYFUNCTION("""COMPUTED_VALUE"""),1809048.0)</f>
        <v>1809048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IFERROR(__xludf.DUMMYFUNCTION("""COMPUTED_VALUE"""),6.35)</f>
        <v>6.35</v>
      </c>
      <c r="C2007" s="1">
        <f>IFERROR(__xludf.DUMMYFUNCTION("""COMPUTED_VALUE"""),6.35)</f>
        <v>6.35</v>
      </c>
      <c r="D2007" s="1">
        <f>IFERROR(__xludf.DUMMYFUNCTION("""COMPUTED_VALUE"""),6.29)</f>
        <v>6.29</v>
      </c>
      <c r="E2007" s="1">
        <f>IFERROR(__xludf.DUMMYFUNCTION("""COMPUTED_VALUE"""),6.31)</f>
        <v>6.31</v>
      </c>
      <c r="F2007" s="1">
        <f>IFERROR(__xludf.DUMMYFUNCTION("""COMPUTED_VALUE"""),1736873.0)</f>
        <v>1736873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IFERROR(__xludf.DUMMYFUNCTION("""COMPUTED_VALUE"""),6.3)</f>
        <v>6.3</v>
      </c>
      <c r="C2008" s="1">
        <f>IFERROR(__xludf.DUMMYFUNCTION("""COMPUTED_VALUE"""),6.32)</f>
        <v>6.32</v>
      </c>
      <c r="D2008" s="1">
        <f>IFERROR(__xludf.DUMMYFUNCTION("""COMPUTED_VALUE"""),6.24)</f>
        <v>6.24</v>
      </c>
      <c r="E2008" s="1">
        <f>IFERROR(__xludf.DUMMYFUNCTION("""COMPUTED_VALUE"""),6.26)</f>
        <v>6.26</v>
      </c>
      <c r="F2008" s="1">
        <f>IFERROR(__xludf.DUMMYFUNCTION("""COMPUTED_VALUE"""),991610.0)</f>
        <v>991610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IFERROR(__xludf.DUMMYFUNCTION("""COMPUTED_VALUE"""),6.24)</f>
        <v>6.24</v>
      </c>
      <c r="C2009" s="1">
        <f>IFERROR(__xludf.DUMMYFUNCTION("""COMPUTED_VALUE"""),6.29)</f>
        <v>6.29</v>
      </c>
      <c r="D2009" s="1">
        <f>IFERROR(__xludf.DUMMYFUNCTION("""COMPUTED_VALUE"""),6.22)</f>
        <v>6.22</v>
      </c>
      <c r="E2009" s="1">
        <f>IFERROR(__xludf.DUMMYFUNCTION("""COMPUTED_VALUE"""),6.26)</f>
        <v>6.26</v>
      </c>
      <c r="F2009" s="1">
        <f>IFERROR(__xludf.DUMMYFUNCTION("""COMPUTED_VALUE"""),769692.0)</f>
        <v>769692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IFERROR(__xludf.DUMMYFUNCTION("""COMPUTED_VALUE"""),6.24)</f>
        <v>6.24</v>
      </c>
      <c r="C2010" s="1">
        <f>IFERROR(__xludf.DUMMYFUNCTION("""COMPUTED_VALUE"""),6.25)</f>
        <v>6.25</v>
      </c>
      <c r="D2010" s="1">
        <f>IFERROR(__xludf.DUMMYFUNCTION("""COMPUTED_VALUE"""),6.21)</f>
        <v>6.21</v>
      </c>
      <c r="E2010" s="1">
        <f>IFERROR(__xludf.DUMMYFUNCTION("""COMPUTED_VALUE"""),6.23)</f>
        <v>6.23</v>
      </c>
      <c r="F2010" s="1">
        <f>IFERROR(__xludf.DUMMYFUNCTION("""COMPUTED_VALUE"""),790586.0)</f>
        <v>790586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IFERROR(__xludf.DUMMYFUNCTION("""COMPUTED_VALUE"""),6.25)</f>
        <v>6.25</v>
      </c>
      <c r="C2011" s="1">
        <f>IFERROR(__xludf.DUMMYFUNCTION("""COMPUTED_VALUE"""),6.27)</f>
        <v>6.27</v>
      </c>
      <c r="D2011" s="1">
        <f>IFERROR(__xludf.DUMMYFUNCTION("""COMPUTED_VALUE"""),6.2)</f>
        <v>6.2</v>
      </c>
      <c r="E2011" s="1">
        <f>IFERROR(__xludf.DUMMYFUNCTION("""COMPUTED_VALUE"""),6.22)</f>
        <v>6.22</v>
      </c>
      <c r="F2011" s="1">
        <f>IFERROR(__xludf.DUMMYFUNCTION("""COMPUTED_VALUE"""),505742.0)</f>
        <v>505742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IFERROR(__xludf.DUMMYFUNCTION("""COMPUTED_VALUE"""),6.25)</f>
        <v>6.25</v>
      </c>
      <c r="C2012" s="1">
        <f>IFERROR(__xludf.DUMMYFUNCTION("""COMPUTED_VALUE"""),6.25)</f>
        <v>6.25</v>
      </c>
      <c r="D2012" s="1">
        <f>IFERROR(__xludf.DUMMYFUNCTION("""COMPUTED_VALUE"""),6.21)</f>
        <v>6.21</v>
      </c>
      <c r="E2012" s="1">
        <f>IFERROR(__xludf.DUMMYFUNCTION("""COMPUTED_VALUE"""),6.22)</f>
        <v>6.22</v>
      </c>
      <c r="F2012" s="1">
        <f>IFERROR(__xludf.DUMMYFUNCTION("""COMPUTED_VALUE"""),849321.0)</f>
        <v>849321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IFERROR(__xludf.DUMMYFUNCTION("""COMPUTED_VALUE"""),6.33)</f>
        <v>6.33</v>
      </c>
      <c r="C2013" s="1">
        <f>IFERROR(__xludf.DUMMYFUNCTION("""COMPUTED_VALUE"""),6.35)</f>
        <v>6.35</v>
      </c>
      <c r="D2013" s="1">
        <f>IFERROR(__xludf.DUMMYFUNCTION("""COMPUTED_VALUE"""),6.29)</f>
        <v>6.29</v>
      </c>
      <c r="E2013" s="1">
        <f>IFERROR(__xludf.DUMMYFUNCTION("""COMPUTED_VALUE"""),6.3)</f>
        <v>6.3</v>
      </c>
      <c r="F2013" s="1">
        <f>IFERROR(__xludf.DUMMYFUNCTION("""COMPUTED_VALUE"""),1082979.0)</f>
        <v>1082979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IFERROR(__xludf.DUMMYFUNCTION("""COMPUTED_VALUE"""),6.33)</f>
        <v>6.33</v>
      </c>
      <c r="C2014" s="1">
        <f>IFERROR(__xludf.DUMMYFUNCTION("""COMPUTED_VALUE"""),6.34)</f>
        <v>6.34</v>
      </c>
      <c r="D2014" s="1">
        <f>IFERROR(__xludf.DUMMYFUNCTION("""COMPUTED_VALUE"""),6.3)</f>
        <v>6.3</v>
      </c>
      <c r="E2014" s="1">
        <f>IFERROR(__xludf.DUMMYFUNCTION("""COMPUTED_VALUE"""),6.3)</f>
        <v>6.3</v>
      </c>
      <c r="F2014" s="1">
        <f>IFERROR(__xludf.DUMMYFUNCTION("""COMPUTED_VALUE"""),690028.0)</f>
        <v>690028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IFERROR(__xludf.DUMMYFUNCTION("""COMPUTED_VALUE"""),6.35)</f>
        <v>6.35</v>
      </c>
      <c r="C2015" s="1">
        <f>IFERROR(__xludf.DUMMYFUNCTION("""COMPUTED_VALUE"""),6.36)</f>
        <v>6.36</v>
      </c>
      <c r="D2015" s="1">
        <f>IFERROR(__xludf.DUMMYFUNCTION("""COMPUTED_VALUE"""),6.32)</f>
        <v>6.32</v>
      </c>
      <c r="E2015" s="1">
        <f>IFERROR(__xludf.DUMMYFUNCTION("""COMPUTED_VALUE"""),6.34)</f>
        <v>6.34</v>
      </c>
      <c r="F2015" s="1">
        <f>IFERROR(__xludf.DUMMYFUNCTION("""COMPUTED_VALUE"""),1449216.0)</f>
        <v>1449216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IFERROR(__xludf.DUMMYFUNCTION("""COMPUTED_VALUE"""),6.35)</f>
        <v>6.35</v>
      </c>
      <c r="C2016" s="1">
        <f>IFERROR(__xludf.DUMMYFUNCTION("""COMPUTED_VALUE"""),6.38)</f>
        <v>6.38</v>
      </c>
      <c r="D2016" s="1">
        <f>IFERROR(__xludf.DUMMYFUNCTION("""COMPUTED_VALUE"""),6.32)</f>
        <v>6.32</v>
      </c>
      <c r="E2016" s="1">
        <f>IFERROR(__xludf.DUMMYFUNCTION("""COMPUTED_VALUE"""),6.34)</f>
        <v>6.34</v>
      </c>
      <c r="F2016" s="1">
        <f>IFERROR(__xludf.DUMMYFUNCTION("""COMPUTED_VALUE"""),1271598.0)</f>
        <v>1271598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IFERROR(__xludf.DUMMYFUNCTION("""COMPUTED_VALUE"""),6.38)</f>
        <v>6.38</v>
      </c>
      <c r="C2017" s="1">
        <f>IFERROR(__xludf.DUMMYFUNCTION("""COMPUTED_VALUE"""),6.44)</f>
        <v>6.44</v>
      </c>
      <c r="D2017" s="1">
        <f>IFERROR(__xludf.DUMMYFUNCTION("""COMPUTED_VALUE"""),6.38)</f>
        <v>6.38</v>
      </c>
      <c r="E2017" s="1">
        <f>IFERROR(__xludf.DUMMYFUNCTION("""COMPUTED_VALUE"""),6.41)</f>
        <v>6.41</v>
      </c>
      <c r="F2017" s="1">
        <f>IFERROR(__xludf.DUMMYFUNCTION("""COMPUTED_VALUE"""),2944129.0)</f>
        <v>2944129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IFERROR(__xludf.DUMMYFUNCTION("""COMPUTED_VALUE"""),6.43)</f>
        <v>6.43</v>
      </c>
      <c r="C2018" s="1">
        <f>IFERROR(__xludf.DUMMYFUNCTION("""COMPUTED_VALUE"""),6.44)</f>
        <v>6.44</v>
      </c>
      <c r="D2018" s="1">
        <f>IFERROR(__xludf.DUMMYFUNCTION("""COMPUTED_VALUE"""),6.37)</f>
        <v>6.37</v>
      </c>
      <c r="E2018" s="1">
        <f>IFERROR(__xludf.DUMMYFUNCTION("""COMPUTED_VALUE"""),6.42)</f>
        <v>6.42</v>
      </c>
      <c r="F2018" s="1">
        <f>IFERROR(__xludf.DUMMYFUNCTION("""COMPUTED_VALUE"""),1582959.0)</f>
        <v>1582959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IFERROR(__xludf.DUMMYFUNCTION("""COMPUTED_VALUE"""),6.42)</f>
        <v>6.42</v>
      </c>
      <c r="C2019" s="1">
        <f>IFERROR(__xludf.DUMMYFUNCTION("""COMPUTED_VALUE"""),6.45)</f>
        <v>6.45</v>
      </c>
      <c r="D2019" s="1">
        <f>IFERROR(__xludf.DUMMYFUNCTION("""COMPUTED_VALUE"""),6.4)</f>
        <v>6.4</v>
      </c>
      <c r="E2019" s="1">
        <f>IFERROR(__xludf.DUMMYFUNCTION("""COMPUTED_VALUE"""),6.43)</f>
        <v>6.43</v>
      </c>
      <c r="F2019" s="1">
        <f>IFERROR(__xludf.DUMMYFUNCTION("""COMPUTED_VALUE"""),1685496.0)</f>
        <v>1685496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IFERROR(__xludf.DUMMYFUNCTION("""COMPUTED_VALUE"""),6.56)</f>
        <v>6.56</v>
      </c>
      <c r="C2020" s="1">
        <f>IFERROR(__xludf.DUMMYFUNCTION("""COMPUTED_VALUE"""),6.59)</f>
        <v>6.59</v>
      </c>
      <c r="D2020" s="1">
        <f>IFERROR(__xludf.DUMMYFUNCTION("""COMPUTED_VALUE"""),6.53)</f>
        <v>6.53</v>
      </c>
      <c r="E2020" s="1">
        <f>IFERROR(__xludf.DUMMYFUNCTION("""COMPUTED_VALUE"""),6.55)</f>
        <v>6.55</v>
      </c>
      <c r="F2020" s="1">
        <f>IFERROR(__xludf.DUMMYFUNCTION("""COMPUTED_VALUE"""),1969336.0)</f>
        <v>1969336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IFERROR(__xludf.DUMMYFUNCTION("""COMPUTED_VALUE"""),6.69)</f>
        <v>6.69</v>
      </c>
      <c r="C2021" s="1">
        <f>IFERROR(__xludf.DUMMYFUNCTION("""COMPUTED_VALUE"""),6.72)</f>
        <v>6.72</v>
      </c>
      <c r="D2021" s="1">
        <f>IFERROR(__xludf.DUMMYFUNCTION("""COMPUTED_VALUE"""),6.65)</f>
        <v>6.65</v>
      </c>
      <c r="E2021" s="1">
        <f>IFERROR(__xludf.DUMMYFUNCTION("""COMPUTED_VALUE"""),6.66)</f>
        <v>6.66</v>
      </c>
      <c r="F2021" s="1">
        <f>IFERROR(__xludf.DUMMYFUNCTION("""COMPUTED_VALUE"""),2344795.0)</f>
        <v>2344795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IFERROR(__xludf.DUMMYFUNCTION("""COMPUTED_VALUE"""),6.72)</f>
        <v>6.72</v>
      </c>
      <c r="C2022" s="1">
        <f>IFERROR(__xludf.DUMMYFUNCTION("""COMPUTED_VALUE"""),6.79)</f>
        <v>6.79</v>
      </c>
      <c r="D2022" s="1">
        <f>IFERROR(__xludf.DUMMYFUNCTION("""COMPUTED_VALUE"""),6.71)</f>
        <v>6.71</v>
      </c>
      <c r="E2022" s="1">
        <f>IFERROR(__xludf.DUMMYFUNCTION("""COMPUTED_VALUE"""),6.79)</f>
        <v>6.79</v>
      </c>
      <c r="F2022" s="1">
        <f>IFERROR(__xludf.DUMMYFUNCTION("""COMPUTED_VALUE"""),3147740.0)</f>
        <v>3147740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IFERROR(__xludf.DUMMYFUNCTION("""COMPUTED_VALUE"""),6.89)</f>
        <v>6.89</v>
      </c>
      <c r="C2023" s="1">
        <f>IFERROR(__xludf.DUMMYFUNCTION("""COMPUTED_VALUE"""),6.91)</f>
        <v>6.91</v>
      </c>
      <c r="D2023" s="1">
        <f>IFERROR(__xludf.DUMMYFUNCTION("""COMPUTED_VALUE"""),6.85)</f>
        <v>6.85</v>
      </c>
      <c r="E2023" s="1">
        <f>IFERROR(__xludf.DUMMYFUNCTION("""COMPUTED_VALUE"""),6.88)</f>
        <v>6.88</v>
      </c>
      <c r="F2023" s="1">
        <f>IFERROR(__xludf.DUMMYFUNCTION("""COMPUTED_VALUE"""),2129832.0)</f>
        <v>2129832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IFERROR(__xludf.DUMMYFUNCTION("""COMPUTED_VALUE"""),6.87)</f>
        <v>6.87</v>
      </c>
      <c r="C2024" s="1">
        <f>IFERROR(__xludf.DUMMYFUNCTION("""COMPUTED_VALUE"""),6.88)</f>
        <v>6.88</v>
      </c>
      <c r="D2024" s="1">
        <f>IFERROR(__xludf.DUMMYFUNCTION("""COMPUTED_VALUE"""),6.77)</f>
        <v>6.77</v>
      </c>
      <c r="E2024" s="1">
        <f>IFERROR(__xludf.DUMMYFUNCTION("""COMPUTED_VALUE"""),6.81)</f>
        <v>6.81</v>
      </c>
      <c r="F2024" s="1">
        <f>IFERROR(__xludf.DUMMYFUNCTION("""COMPUTED_VALUE"""),3085102.0)</f>
        <v>3085102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IFERROR(__xludf.DUMMYFUNCTION("""COMPUTED_VALUE"""),6.86)</f>
        <v>6.86</v>
      </c>
      <c r="C2025" s="1">
        <f>IFERROR(__xludf.DUMMYFUNCTION("""COMPUTED_VALUE"""),6.9)</f>
        <v>6.9</v>
      </c>
      <c r="D2025" s="1">
        <f>IFERROR(__xludf.DUMMYFUNCTION("""COMPUTED_VALUE"""),6.83)</f>
        <v>6.83</v>
      </c>
      <c r="E2025" s="1">
        <f>IFERROR(__xludf.DUMMYFUNCTION("""COMPUTED_VALUE"""),6.86)</f>
        <v>6.86</v>
      </c>
      <c r="F2025" s="1">
        <f>IFERROR(__xludf.DUMMYFUNCTION("""COMPUTED_VALUE"""),5825563.0)</f>
        <v>5825563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IFERROR(__xludf.DUMMYFUNCTION("""COMPUTED_VALUE"""),6.94)</f>
        <v>6.94</v>
      </c>
      <c r="C2026" s="1">
        <f>IFERROR(__xludf.DUMMYFUNCTION("""COMPUTED_VALUE"""),6.95)</f>
        <v>6.95</v>
      </c>
      <c r="D2026" s="1">
        <f>IFERROR(__xludf.DUMMYFUNCTION("""COMPUTED_VALUE"""),6.91)</f>
        <v>6.91</v>
      </c>
      <c r="E2026" s="1">
        <f>IFERROR(__xludf.DUMMYFUNCTION("""COMPUTED_VALUE"""),6.93)</f>
        <v>6.93</v>
      </c>
      <c r="F2026" s="1">
        <f>IFERROR(__xludf.DUMMYFUNCTION("""COMPUTED_VALUE"""),2562374.0)</f>
        <v>2562374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IFERROR(__xludf.DUMMYFUNCTION("""COMPUTED_VALUE"""),6.93)</f>
        <v>6.93</v>
      </c>
      <c r="C2027" s="1">
        <f>IFERROR(__xludf.DUMMYFUNCTION("""COMPUTED_VALUE"""),6.96)</f>
        <v>6.96</v>
      </c>
      <c r="D2027" s="1">
        <f>IFERROR(__xludf.DUMMYFUNCTION("""COMPUTED_VALUE"""),6.89)</f>
        <v>6.89</v>
      </c>
      <c r="E2027" s="1">
        <f>IFERROR(__xludf.DUMMYFUNCTION("""COMPUTED_VALUE"""),6.93)</f>
        <v>6.93</v>
      </c>
      <c r="F2027" s="1">
        <f>IFERROR(__xludf.DUMMYFUNCTION("""COMPUTED_VALUE"""),1316088.0)</f>
        <v>1316088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IFERROR(__xludf.DUMMYFUNCTION("""COMPUTED_VALUE"""),6.94)</f>
        <v>6.94</v>
      </c>
      <c r="C2028" s="1">
        <f>IFERROR(__xludf.DUMMYFUNCTION("""COMPUTED_VALUE"""),6.99)</f>
        <v>6.99</v>
      </c>
      <c r="D2028" s="1">
        <f>IFERROR(__xludf.DUMMYFUNCTION("""COMPUTED_VALUE"""),6.94)</f>
        <v>6.94</v>
      </c>
      <c r="E2028" s="1">
        <f>IFERROR(__xludf.DUMMYFUNCTION("""COMPUTED_VALUE"""),6.98)</f>
        <v>6.98</v>
      </c>
      <c r="F2028" s="1">
        <f>IFERROR(__xludf.DUMMYFUNCTION("""COMPUTED_VALUE"""),2741319.0)</f>
        <v>2741319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IFERROR(__xludf.DUMMYFUNCTION("""COMPUTED_VALUE"""),6.91)</f>
        <v>6.91</v>
      </c>
      <c r="C2029" s="1">
        <f>IFERROR(__xludf.DUMMYFUNCTION("""COMPUTED_VALUE"""),6.92)</f>
        <v>6.92</v>
      </c>
      <c r="D2029" s="1">
        <f>IFERROR(__xludf.DUMMYFUNCTION("""COMPUTED_VALUE"""),6.87)</f>
        <v>6.87</v>
      </c>
      <c r="E2029" s="1">
        <f>IFERROR(__xludf.DUMMYFUNCTION("""COMPUTED_VALUE"""),6.89)</f>
        <v>6.89</v>
      </c>
      <c r="F2029" s="1">
        <f>IFERROR(__xludf.DUMMYFUNCTION("""COMPUTED_VALUE"""),2154126.0)</f>
        <v>2154126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IFERROR(__xludf.DUMMYFUNCTION("""COMPUTED_VALUE"""),6.97)</f>
        <v>6.97</v>
      </c>
      <c r="C2030" s="1">
        <f>IFERROR(__xludf.DUMMYFUNCTION("""COMPUTED_VALUE"""),6.99)</f>
        <v>6.99</v>
      </c>
      <c r="D2030" s="1">
        <f>IFERROR(__xludf.DUMMYFUNCTION("""COMPUTED_VALUE"""),6.88)</f>
        <v>6.88</v>
      </c>
      <c r="E2030" s="1">
        <f>IFERROR(__xludf.DUMMYFUNCTION("""COMPUTED_VALUE"""),6.93)</f>
        <v>6.93</v>
      </c>
      <c r="F2030" s="1">
        <f>IFERROR(__xludf.DUMMYFUNCTION("""COMPUTED_VALUE"""),1667515.0)</f>
        <v>1667515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IFERROR(__xludf.DUMMYFUNCTION("""COMPUTED_VALUE"""),7.02)</f>
        <v>7.02</v>
      </c>
      <c r="C2031" s="1">
        <f>IFERROR(__xludf.DUMMYFUNCTION("""COMPUTED_VALUE"""),7.02)</f>
        <v>7.02</v>
      </c>
      <c r="D2031" s="1">
        <f>IFERROR(__xludf.DUMMYFUNCTION("""COMPUTED_VALUE"""),6.93)</f>
        <v>6.93</v>
      </c>
      <c r="E2031" s="1">
        <f>IFERROR(__xludf.DUMMYFUNCTION("""COMPUTED_VALUE"""),6.94)</f>
        <v>6.94</v>
      </c>
      <c r="F2031" s="1">
        <f>IFERROR(__xludf.DUMMYFUNCTION("""COMPUTED_VALUE"""),2174730.0)</f>
        <v>2174730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IFERROR(__xludf.DUMMYFUNCTION("""COMPUTED_VALUE"""),6.95)</f>
        <v>6.95</v>
      </c>
      <c r="C2032" s="1">
        <f>IFERROR(__xludf.DUMMYFUNCTION("""COMPUTED_VALUE"""),6.99)</f>
        <v>6.99</v>
      </c>
      <c r="D2032" s="1">
        <f>IFERROR(__xludf.DUMMYFUNCTION("""COMPUTED_VALUE"""),6.93)</f>
        <v>6.93</v>
      </c>
      <c r="E2032" s="1">
        <f>IFERROR(__xludf.DUMMYFUNCTION("""COMPUTED_VALUE"""),6.98)</f>
        <v>6.98</v>
      </c>
      <c r="F2032" s="1">
        <f>IFERROR(__xludf.DUMMYFUNCTION("""COMPUTED_VALUE"""),1322237.0)</f>
        <v>1322237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IFERROR(__xludf.DUMMYFUNCTION("""COMPUTED_VALUE"""),6.96)</f>
        <v>6.96</v>
      </c>
      <c r="C2033" s="1">
        <f>IFERROR(__xludf.DUMMYFUNCTION("""COMPUTED_VALUE"""),7.02)</f>
        <v>7.02</v>
      </c>
      <c r="D2033" s="1">
        <f>IFERROR(__xludf.DUMMYFUNCTION("""COMPUTED_VALUE"""),6.96)</f>
        <v>6.96</v>
      </c>
      <c r="E2033" s="1">
        <f>IFERROR(__xludf.DUMMYFUNCTION("""COMPUTED_VALUE"""),6.98)</f>
        <v>6.98</v>
      </c>
      <c r="F2033" s="1">
        <f>IFERROR(__xludf.DUMMYFUNCTION("""COMPUTED_VALUE"""),1905863.0)</f>
        <v>1905863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IFERROR(__xludf.DUMMYFUNCTION("""COMPUTED_VALUE"""),6.93)</f>
        <v>6.93</v>
      </c>
      <c r="C2034" s="1">
        <f>IFERROR(__xludf.DUMMYFUNCTION("""COMPUTED_VALUE"""),6.94)</f>
        <v>6.94</v>
      </c>
      <c r="D2034" s="1">
        <f>IFERROR(__xludf.DUMMYFUNCTION("""COMPUTED_VALUE"""),6.86)</f>
        <v>6.86</v>
      </c>
      <c r="E2034" s="1">
        <f>IFERROR(__xludf.DUMMYFUNCTION("""COMPUTED_VALUE"""),6.87)</f>
        <v>6.87</v>
      </c>
      <c r="F2034" s="1">
        <f>IFERROR(__xludf.DUMMYFUNCTION("""COMPUTED_VALUE"""),2727921.0)</f>
        <v>2727921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IFERROR(__xludf.DUMMYFUNCTION("""COMPUTED_VALUE"""),6.87)</f>
        <v>6.87</v>
      </c>
      <c r="C2035" s="1">
        <f>IFERROR(__xludf.DUMMYFUNCTION("""COMPUTED_VALUE"""),6.88)</f>
        <v>6.88</v>
      </c>
      <c r="D2035" s="1">
        <f>IFERROR(__xludf.DUMMYFUNCTION("""COMPUTED_VALUE"""),6.77)</f>
        <v>6.77</v>
      </c>
      <c r="E2035" s="1">
        <f>IFERROR(__xludf.DUMMYFUNCTION("""COMPUTED_VALUE"""),6.79)</f>
        <v>6.79</v>
      </c>
      <c r="F2035" s="1">
        <f>IFERROR(__xludf.DUMMYFUNCTION("""COMPUTED_VALUE"""),2297769.0)</f>
        <v>2297769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IFERROR(__xludf.DUMMYFUNCTION("""COMPUTED_VALUE"""),6.81)</f>
        <v>6.81</v>
      </c>
      <c r="C2036" s="1">
        <f>IFERROR(__xludf.DUMMYFUNCTION("""COMPUTED_VALUE"""),6.88)</f>
        <v>6.88</v>
      </c>
      <c r="D2036" s="1">
        <f>IFERROR(__xludf.DUMMYFUNCTION("""COMPUTED_VALUE"""),6.8)</f>
        <v>6.8</v>
      </c>
      <c r="E2036" s="1">
        <f>IFERROR(__xludf.DUMMYFUNCTION("""COMPUTED_VALUE"""),6.88)</f>
        <v>6.88</v>
      </c>
      <c r="F2036" s="1">
        <f>IFERROR(__xludf.DUMMYFUNCTION("""COMPUTED_VALUE"""),2073266.0)</f>
        <v>2073266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IFERROR(__xludf.DUMMYFUNCTION("""COMPUTED_VALUE"""),6.91)</f>
        <v>6.91</v>
      </c>
      <c r="C2037" s="1">
        <f>IFERROR(__xludf.DUMMYFUNCTION("""COMPUTED_VALUE"""),6.91)</f>
        <v>6.91</v>
      </c>
      <c r="D2037" s="1">
        <f>IFERROR(__xludf.DUMMYFUNCTION("""COMPUTED_VALUE"""),6.77)</f>
        <v>6.77</v>
      </c>
      <c r="E2037" s="1">
        <f>IFERROR(__xludf.DUMMYFUNCTION("""COMPUTED_VALUE"""),6.77)</f>
        <v>6.77</v>
      </c>
      <c r="F2037" s="1">
        <f>IFERROR(__xludf.DUMMYFUNCTION("""COMPUTED_VALUE"""),2396283.0)</f>
        <v>2396283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IFERROR(__xludf.DUMMYFUNCTION("""COMPUTED_VALUE"""),6.75)</f>
        <v>6.75</v>
      </c>
      <c r="C2038" s="1">
        <f>IFERROR(__xludf.DUMMYFUNCTION("""COMPUTED_VALUE"""),6.86)</f>
        <v>6.86</v>
      </c>
      <c r="D2038" s="1">
        <f>IFERROR(__xludf.DUMMYFUNCTION("""COMPUTED_VALUE"""),6.6)</f>
        <v>6.6</v>
      </c>
      <c r="E2038" s="1">
        <f>IFERROR(__xludf.DUMMYFUNCTION("""COMPUTED_VALUE"""),6.62)</f>
        <v>6.62</v>
      </c>
      <c r="F2038" s="1">
        <f>IFERROR(__xludf.DUMMYFUNCTION("""COMPUTED_VALUE"""),1.0128037E7)</f>
        <v>10128037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IFERROR(__xludf.DUMMYFUNCTION("""COMPUTED_VALUE"""),6.48)</f>
        <v>6.48</v>
      </c>
      <c r="C2039" s="1">
        <f>IFERROR(__xludf.DUMMYFUNCTION("""COMPUTED_VALUE"""),6.68)</f>
        <v>6.68</v>
      </c>
      <c r="D2039" s="1">
        <f>IFERROR(__xludf.DUMMYFUNCTION("""COMPUTED_VALUE"""),6.48)</f>
        <v>6.48</v>
      </c>
      <c r="E2039" s="1">
        <f>IFERROR(__xludf.DUMMYFUNCTION("""COMPUTED_VALUE"""),6.64)</f>
        <v>6.64</v>
      </c>
      <c r="F2039" s="1">
        <f>IFERROR(__xludf.DUMMYFUNCTION("""COMPUTED_VALUE"""),1.2702357E7)</f>
        <v>12702357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IFERROR(__xludf.DUMMYFUNCTION("""COMPUTED_VALUE"""),6.66)</f>
        <v>6.66</v>
      </c>
      <c r="C2040" s="1">
        <f>IFERROR(__xludf.DUMMYFUNCTION("""COMPUTED_VALUE"""),6.73)</f>
        <v>6.73</v>
      </c>
      <c r="D2040" s="1">
        <f>IFERROR(__xludf.DUMMYFUNCTION("""COMPUTED_VALUE"""),6.64)</f>
        <v>6.64</v>
      </c>
      <c r="E2040" s="1">
        <f>IFERROR(__xludf.DUMMYFUNCTION("""COMPUTED_VALUE"""),6.68)</f>
        <v>6.68</v>
      </c>
      <c r="F2040" s="1">
        <f>IFERROR(__xludf.DUMMYFUNCTION("""COMPUTED_VALUE"""),8419257.0)</f>
        <v>8419257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IFERROR(__xludf.DUMMYFUNCTION("""COMPUTED_VALUE"""),6.67)</f>
        <v>6.67</v>
      </c>
      <c r="C2041" s="1">
        <f>IFERROR(__xludf.DUMMYFUNCTION("""COMPUTED_VALUE"""),6.67)</f>
        <v>6.67</v>
      </c>
      <c r="D2041" s="1">
        <f>IFERROR(__xludf.DUMMYFUNCTION("""COMPUTED_VALUE"""),6.48)</f>
        <v>6.48</v>
      </c>
      <c r="E2041" s="1">
        <f>IFERROR(__xludf.DUMMYFUNCTION("""COMPUTED_VALUE"""),6.49)</f>
        <v>6.49</v>
      </c>
      <c r="F2041" s="1">
        <f>IFERROR(__xludf.DUMMYFUNCTION("""COMPUTED_VALUE"""),8299572.0)</f>
        <v>8299572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IFERROR(__xludf.DUMMYFUNCTION("""COMPUTED_VALUE"""),6.49)</f>
        <v>6.49</v>
      </c>
      <c r="C2042" s="1">
        <f>IFERROR(__xludf.DUMMYFUNCTION("""COMPUTED_VALUE"""),6.52)</f>
        <v>6.52</v>
      </c>
      <c r="D2042" s="1">
        <f>IFERROR(__xludf.DUMMYFUNCTION("""COMPUTED_VALUE"""),6.3)</f>
        <v>6.3</v>
      </c>
      <c r="E2042" s="1">
        <f>IFERROR(__xludf.DUMMYFUNCTION("""COMPUTED_VALUE"""),6.45)</f>
        <v>6.45</v>
      </c>
      <c r="F2042" s="1">
        <f>IFERROR(__xludf.DUMMYFUNCTION("""COMPUTED_VALUE"""),5356316.0)</f>
        <v>5356316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IFERROR(__xludf.DUMMYFUNCTION("""COMPUTED_VALUE"""),6.53)</f>
        <v>6.53</v>
      </c>
      <c r="C2043" s="1">
        <f>IFERROR(__xludf.DUMMYFUNCTION("""COMPUTED_VALUE"""),6.59)</f>
        <v>6.59</v>
      </c>
      <c r="D2043" s="1">
        <f>IFERROR(__xludf.DUMMYFUNCTION("""COMPUTED_VALUE"""),6.48)</f>
        <v>6.48</v>
      </c>
      <c r="E2043" s="1">
        <f>IFERROR(__xludf.DUMMYFUNCTION("""COMPUTED_VALUE"""),6.55)</f>
        <v>6.55</v>
      </c>
      <c r="F2043" s="1">
        <f>IFERROR(__xludf.DUMMYFUNCTION("""COMPUTED_VALUE"""),1833485.0)</f>
        <v>1833485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IFERROR(__xludf.DUMMYFUNCTION("""COMPUTED_VALUE"""),6.57)</f>
        <v>6.57</v>
      </c>
      <c r="C2044" s="1">
        <f>IFERROR(__xludf.DUMMYFUNCTION("""COMPUTED_VALUE"""),6.62)</f>
        <v>6.62</v>
      </c>
      <c r="D2044" s="1">
        <f>IFERROR(__xludf.DUMMYFUNCTION("""COMPUTED_VALUE"""),6.55)</f>
        <v>6.55</v>
      </c>
      <c r="E2044" s="1">
        <f>IFERROR(__xludf.DUMMYFUNCTION("""COMPUTED_VALUE"""),6.59)</f>
        <v>6.59</v>
      </c>
      <c r="F2044" s="1">
        <f>IFERROR(__xludf.DUMMYFUNCTION("""COMPUTED_VALUE"""),2351991.0)</f>
        <v>2351991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IFERROR(__xludf.DUMMYFUNCTION("""COMPUTED_VALUE"""),6.59)</f>
        <v>6.59</v>
      </c>
      <c r="C2045" s="1">
        <f>IFERROR(__xludf.DUMMYFUNCTION("""COMPUTED_VALUE"""),6.78)</f>
        <v>6.78</v>
      </c>
      <c r="D2045" s="1">
        <f>IFERROR(__xludf.DUMMYFUNCTION("""COMPUTED_VALUE"""),6.58)</f>
        <v>6.58</v>
      </c>
      <c r="E2045" s="1">
        <f>IFERROR(__xludf.DUMMYFUNCTION("""COMPUTED_VALUE"""),6.76)</f>
        <v>6.76</v>
      </c>
      <c r="F2045" s="1">
        <f>IFERROR(__xludf.DUMMYFUNCTION("""COMPUTED_VALUE"""),2510946.0)</f>
        <v>2510946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IFERROR(__xludf.DUMMYFUNCTION("""COMPUTED_VALUE"""),6.96)</f>
        <v>6.96</v>
      </c>
      <c r="C2046" s="1">
        <f>IFERROR(__xludf.DUMMYFUNCTION("""COMPUTED_VALUE"""),6.97)</f>
        <v>6.97</v>
      </c>
      <c r="D2046" s="1">
        <f>IFERROR(__xludf.DUMMYFUNCTION("""COMPUTED_VALUE"""),6.85)</f>
        <v>6.85</v>
      </c>
      <c r="E2046" s="1">
        <f>IFERROR(__xludf.DUMMYFUNCTION("""COMPUTED_VALUE"""),6.91)</f>
        <v>6.91</v>
      </c>
      <c r="F2046" s="1">
        <f>IFERROR(__xludf.DUMMYFUNCTION("""COMPUTED_VALUE"""),2667163.0)</f>
        <v>2667163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IFERROR(__xludf.DUMMYFUNCTION("""COMPUTED_VALUE"""),6.83)</f>
        <v>6.83</v>
      </c>
      <c r="C2047" s="1">
        <f>IFERROR(__xludf.DUMMYFUNCTION("""COMPUTED_VALUE"""),6.87)</f>
        <v>6.87</v>
      </c>
      <c r="D2047" s="1">
        <f>IFERROR(__xludf.DUMMYFUNCTION("""COMPUTED_VALUE"""),6.8)</f>
        <v>6.8</v>
      </c>
      <c r="E2047" s="1">
        <f>IFERROR(__xludf.DUMMYFUNCTION("""COMPUTED_VALUE"""),6.85)</f>
        <v>6.85</v>
      </c>
      <c r="F2047" s="1">
        <f>IFERROR(__xludf.DUMMYFUNCTION("""COMPUTED_VALUE"""),1743301.0)</f>
        <v>1743301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IFERROR(__xludf.DUMMYFUNCTION("""COMPUTED_VALUE"""),6.92)</f>
        <v>6.92</v>
      </c>
      <c r="C2048" s="1">
        <f>IFERROR(__xludf.DUMMYFUNCTION("""COMPUTED_VALUE"""),6.95)</f>
        <v>6.95</v>
      </c>
      <c r="D2048" s="1">
        <f>IFERROR(__xludf.DUMMYFUNCTION("""COMPUTED_VALUE"""),6.88)</f>
        <v>6.88</v>
      </c>
      <c r="E2048" s="1">
        <f>IFERROR(__xludf.DUMMYFUNCTION("""COMPUTED_VALUE"""),6.94)</f>
        <v>6.94</v>
      </c>
      <c r="F2048" s="1">
        <f>IFERROR(__xludf.DUMMYFUNCTION("""COMPUTED_VALUE"""),2547081.0)</f>
        <v>2547081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IFERROR(__xludf.DUMMYFUNCTION("""COMPUTED_VALUE"""),6.91)</f>
        <v>6.91</v>
      </c>
      <c r="C2049" s="1">
        <f>IFERROR(__xludf.DUMMYFUNCTION("""COMPUTED_VALUE"""),7.02)</f>
        <v>7.02</v>
      </c>
      <c r="D2049" s="1">
        <f>IFERROR(__xludf.DUMMYFUNCTION("""COMPUTED_VALUE"""),6.91)</f>
        <v>6.91</v>
      </c>
      <c r="E2049" s="1">
        <f>IFERROR(__xludf.DUMMYFUNCTION("""COMPUTED_VALUE"""),6.92)</f>
        <v>6.92</v>
      </c>
      <c r="F2049" s="1">
        <f>IFERROR(__xludf.DUMMYFUNCTION("""COMPUTED_VALUE"""),2095303.0)</f>
        <v>2095303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IFERROR(__xludf.DUMMYFUNCTION("""COMPUTED_VALUE"""),6.92)</f>
        <v>6.92</v>
      </c>
      <c r="C2050" s="1">
        <f>IFERROR(__xludf.DUMMYFUNCTION("""COMPUTED_VALUE"""),6.94)</f>
        <v>6.94</v>
      </c>
      <c r="D2050" s="1">
        <f>IFERROR(__xludf.DUMMYFUNCTION("""COMPUTED_VALUE"""),6.8)</f>
        <v>6.8</v>
      </c>
      <c r="E2050" s="1">
        <f>IFERROR(__xludf.DUMMYFUNCTION("""COMPUTED_VALUE"""),6.81)</f>
        <v>6.81</v>
      </c>
      <c r="F2050" s="1">
        <f>IFERROR(__xludf.DUMMYFUNCTION("""COMPUTED_VALUE"""),1829694.0)</f>
        <v>1829694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IFERROR(__xludf.DUMMYFUNCTION("""COMPUTED_VALUE"""),6.88)</f>
        <v>6.88</v>
      </c>
      <c r="C2051" s="1">
        <f>IFERROR(__xludf.DUMMYFUNCTION("""COMPUTED_VALUE"""),6.95)</f>
        <v>6.95</v>
      </c>
      <c r="D2051" s="1">
        <f>IFERROR(__xludf.DUMMYFUNCTION("""COMPUTED_VALUE"""),6.86)</f>
        <v>6.86</v>
      </c>
      <c r="E2051" s="1">
        <f>IFERROR(__xludf.DUMMYFUNCTION("""COMPUTED_VALUE"""),6.94)</f>
        <v>6.94</v>
      </c>
      <c r="F2051" s="1">
        <f>IFERROR(__xludf.DUMMYFUNCTION("""COMPUTED_VALUE"""),1673081.0)</f>
        <v>1673081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IFERROR(__xludf.DUMMYFUNCTION("""COMPUTED_VALUE"""),6.94)</f>
        <v>6.94</v>
      </c>
      <c r="C2052" s="1">
        <f>IFERROR(__xludf.DUMMYFUNCTION("""COMPUTED_VALUE"""),6.96)</f>
        <v>6.96</v>
      </c>
      <c r="D2052" s="1">
        <f>IFERROR(__xludf.DUMMYFUNCTION("""COMPUTED_VALUE"""),6.88)</f>
        <v>6.88</v>
      </c>
      <c r="E2052" s="1">
        <f>IFERROR(__xludf.DUMMYFUNCTION("""COMPUTED_VALUE"""),6.96)</f>
        <v>6.96</v>
      </c>
      <c r="F2052" s="1">
        <f>IFERROR(__xludf.DUMMYFUNCTION("""COMPUTED_VALUE"""),2699866.0)</f>
        <v>2699866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IFERROR(__xludf.DUMMYFUNCTION("""COMPUTED_VALUE"""),6.96)</f>
        <v>6.96</v>
      </c>
      <c r="C2053" s="1">
        <f>IFERROR(__xludf.DUMMYFUNCTION("""COMPUTED_VALUE"""),6.99)</f>
        <v>6.99</v>
      </c>
      <c r="D2053" s="1">
        <f>IFERROR(__xludf.DUMMYFUNCTION("""COMPUTED_VALUE"""),6.92)</f>
        <v>6.92</v>
      </c>
      <c r="E2053" s="1">
        <f>IFERROR(__xludf.DUMMYFUNCTION("""COMPUTED_VALUE"""),6.93)</f>
        <v>6.93</v>
      </c>
      <c r="F2053" s="1">
        <f>IFERROR(__xludf.DUMMYFUNCTION("""COMPUTED_VALUE"""),2064552.0)</f>
        <v>2064552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IFERROR(__xludf.DUMMYFUNCTION("""COMPUTED_VALUE"""),7.01)</f>
        <v>7.01</v>
      </c>
      <c r="C2054" s="1">
        <f>IFERROR(__xludf.DUMMYFUNCTION("""COMPUTED_VALUE"""),7.03)</f>
        <v>7.03</v>
      </c>
      <c r="D2054" s="1">
        <f>IFERROR(__xludf.DUMMYFUNCTION("""COMPUTED_VALUE"""),6.91)</f>
        <v>6.91</v>
      </c>
      <c r="E2054" s="1">
        <f>IFERROR(__xludf.DUMMYFUNCTION("""COMPUTED_VALUE"""),6.92)</f>
        <v>6.92</v>
      </c>
      <c r="F2054" s="1">
        <f>IFERROR(__xludf.DUMMYFUNCTION("""COMPUTED_VALUE"""),2153246.0)</f>
        <v>2153246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IFERROR(__xludf.DUMMYFUNCTION("""COMPUTED_VALUE"""),6.87)</f>
        <v>6.87</v>
      </c>
      <c r="C2055" s="1">
        <f>IFERROR(__xludf.DUMMYFUNCTION("""COMPUTED_VALUE"""),6.92)</f>
        <v>6.92</v>
      </c>
      <c r="D2055" s="1">
        <f>IFERROR(__xludf.DUMMYFUNCTION("""COMPUTED_VALUE"""),6.75)</f>
        <v>6.75</v>
      </c>
      <c r="E2055" s="1">
        <f>IFERROR(__xludf.DUMMYFUNCTION("""COMPUTED_VALUE"""),6.81)</f>
        <v>6.81</v>
      </c>
      <c r="F2055" s="1">
        <f>IFERROR(__xludf.DUMMYFUNCTION("""COMPUTED_VALUE"""),2179297.0)</f>
        <v>2179297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IFERROR(__xludf.DUMMYFUNCTION("""COMPUTED_VALUE"""),6.66)</f>
        <v>6.66</v>
      </c>
      <c r="C2056" s="1">
        <f>IFERROR(__xludf.DUMMYFUNCTION("""COMPUTED_VALUE"""),6.73)</f>
        <v>6.73</v>
      </c>
      <c r="D2056" s="1">
        <f>IFERROR(__xludf.DUMMYFUNCTION("""COMPUTED_VALUE"""),6.61)</f>
        <v>6.61</v>
      </c>
      <c r="E2056" s="1">
        <f>IFERROR(__xludf.DUMMYFUNCTION("""COMPUTED_VALUE"""),6.72)</f>
        <v>6.72</v>
      </c>
      <c r="F2056" s="1">
        <f>IFERROR(__xludf.DUMMYFUNCTION("""COMPUTED_VALUE"""),2971504.0)</f>
        <v>2971504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IFERROR(__xludf.DUMMYFUNCTION("""COMPUTED_VALUE"""),6.68)</f>
        <v>6.68</v>
      </c>
      <c r="C2057" s="1">
        <f>IFERROR(__xludf.DUMMYFUNCTION("""COMPUTED_VALUE"""),6.82)</f>
        <v>6.82</v>
      </c>
      <c r="D2057" s="1">
        <f>IFERROR(__xludf.DUMMYFUNCTION("""COMPUTED_VALUE"""),6.68)</f>
        <v>6.68</v>
      </c>
      <c r="E2057" s="1">
        <f>IFERROR(__xludf.DUMMYFUNCTION("""COMPUTED_VALUE"""),6.8)</f>
        <v>6.8</v>
      </c>
      <c r="F2057" s="1">
        <f>IFERROR(__xludf.DUMMYFUNCTION("""COMPUTED_VALUE"""),1254628.0)</f>
        <v>1254628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IFERROR(__xludf.DUMMYFUNCTION("""COMPUTED_VALUE"""),6.88)</f>
        <v>6.88</v>
      </c>
      <c r="C2058" s="1">
        <f>IFERROR(__xludf.DUMMYFUNCTION("""COMPUTED_VALUE"""),6.89)</f>
        <v>6.89</v>
      </c>
      <c r="D2058" s="1">
        <f>IFERROR(__xludf.DUMMYFUNCTION("""COMPUTED_VALUE"""),6.84)</f>
        <v>6.84</v>
      </c>
      <c r="E2058" s="1">
        <f>IFERROR(__xludf.DUMMYFUNCTION("""COMPUTED_VALUE"""),6.87)</f>
        <v>6.87</v>
      </c>
      <c r="F2058" s="1">
        <f>IFERROR(__xludf.DUMMYFUNCTION("""COMPUTED_VALUE"""),1365878.0)</f>
        <v>1365878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IFERROR(__xludf.DUMMYFUNCTION("""COMPUTED_VALUE"""),6.84)</f>
        <v>6.84</v>
      </c>
      <c r="C2059" s="1">
        <f>IFERROR(__xludf.DUMMYFUNCTION("""COMPUTED_VALUE"""),6.91)</f>
        <v>6.91</v>
      </c>
      <c r="D2059" s="1">
        <f>IFERROR(__xludf.DUMMYFUNCTION("""COMPUTED_VALUE"""),6.83)</f>
        <v>6.83</v>
      </c>
      <c r="E2059" s="1">
        <f>IFERROR(__xludf.DUMMYFUNCTION("""COMPUTED_VALUE"""),6.9)</f>
        <v>6.9</v>
      </c>
      <c r="F2059" s="1">
        <f>IFERROR(__xludf.DUMMYFUNCTION("""COMPUTED_VALUE"""),986052.0)</f>
        <v>986052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IFERROR(__xludf.DUMMYFUNCTION("""COMPUTED_VALUE"""),6.91)</f>
        <v>6.91</v>
      </c>
      <c r="C2060" s="1">
        <f>IFERROR(__xludf.DUMMYFUNCTION("""COMPUTED_VALUE"""),6.94)</f>
        <v>6.94</v>
      </c>
      <c r="D2060" s="1">
        <f>IFERROR(__xludf.DUMMYFUNCTION("""COMPUTED_VALUE"""),6.86)</f>
        <v>6.86</v>
      </c>
      <c r="E2060" s="1">
        <f>IFERROR(__xludf.DUMMYFUNCTION("""COMPUTED_VALUE"""),6.89)</f>
        <v>6.89</v>
      </c>
      <c r="F2060" s="1">
        <f>IFERROR(__xludf.DUMMYFUNCTION("""COMPUTED_VALUE"""),867082.0)</f>
        <v>867082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IFERROR(__xludf.DUMMYFUNCTION("""COMPUTED_VALUE"""),6.87)</f>
        <v>6.87</v>
      </c>
      <c r="C2061" s="1">
        <f>IFERROR(__xludf.DUMMYFUNCTION("""COMPUTED_VALUE"""),6.92)</f>
        <v>6.92</v>
      </c>
      <c r="D2061" s="1">
        <f>IFERROR(__xludf.DUMMYFUNCTION("""COMPUTED_VALUE"""),6.85)</f>
        <v>6.85</v>
      </c>
      <c r="E2061" s="1">
        <f>IFERROR(__xludf.DUMMYFUNCTION("""COMPUTED_VALUE"""),6.91)</f>
        <v>6.91</v>
      </c>
      <c r="F2061" s="1">
        <f>IFERROR(__xludf.DUMMYFUNCTION("""COMPUTED_VALUE"""),892663.0)</f>
        <v>892663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IFERROR(__xludf.DUMMYFUNCTION("""COMPUTED_VALUE"""),6.93)</f>
        <v>6.93</v>
      </c>
      <c r="C2062" s="1">
        <f>IFERROR(__xludf.DUMMYFUNCTION("""COMPUTED_VALUE"""),6.94)</f>
        <v>6.94</v>
      </c>
      <c r="D2062" s="1">
        <f>IFERROR(__xludf.DUMMYFUNCTION("""COMPUTED_VALUE"""),6.85)</f>
        <v>6.85</v>
      </c>
      <c r="E2062" s="1">
        <f>IFERROR(__xludf.DUMMYFUNCTION("""COMPUTED_VALUE"""),6.86)</f>
        <v>6.86</v>
      </c>
      <c r="F2062" s="1">
        <f>IFERROR(__xludf.DUMMYFUNCTION("""COMPUTED_VALUE"""),1750059.0)</f>
        <v>1750059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IFERROR(__xludf.DUMMYFUNCTION("""COMPUTED_VALUE"""),6.9)</f>
        <v>6.9</v>
      </c>
      <c r="C2063" s="1">
        <f>IFERROR(__xludf.DUMMYFUNCTION("""COMPUTED_VALUE"""),6.92)</f>
        <v>6.92</v>
      </c>
      <c r="D2063" s="1">
        <f>IFERROR(__xludf.DUMMYFUNCTION("""COMPUTED_VALUE"""),6.79)</f>
        <v>6.79</v>
      </c>
      <c r="E2063" s="1">
        <f>IFERROR(__xludf.DUMMYFUNCTION("""COMPUTED_VALUE"""),6.8)</f>
        <v>6.8</v>
      </c>
      <c r="F2063" s="1">
        <f>IFERROR(__xludf.DUMMYFUNCTION("""COMPUTED_VALUE"""),1140505.0)</f>
        <v>1140505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IFERROR(__xludf.DUMMYFUNCTION("""COMPUTED_VALUE"""),6.88)</f>
        <v>6.88</v>
      </c>
      <c r="C2064" s="1">
        <f>IFERROR(__xludf.DUMMYFUNCTION("""COMPUTED_VALUE"""),6.89)</f>
        <v>6.89</v>
      </c>
      <c r="D2064" s="1">
        <f>IFERROR(__xludf.DUMMYFUNCTION("""COMPUTED_VALUE"""),6.79)</f>
        <v>6.79</v>
      </c>
      <c r="E2064" s="1">
        <f>IFERROR(__xludf.DUMMYFUNCTION("""COMPUTED_VALUE"""),6.81)</f>
        <v>6.81</v>
      </c>
      <c r="F2064" s="1">
        <f>IFERROR(__xludf.DUMMYFUNCTION("""COMPUTED_VALUE"""),1082011.0)</f>
        <v>1082011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IFERROR(__xludf.DUMMYFUNCTION("""COMPUTED_VALUE"""),6.9)</f>
        <v>6.9</v>
      </c>
      <c r="C2065" s="1">
        <f>IFERROR(__xludf.DUMMYFUNCTION("""COMPUTED_VALUE"""),6.93)</f>
        <v>6.93</v>
      </c>
      <c r="D2065" s="1">
        <f>IFERROR(__xludf.DUMMYFUNCTION("""COMPUTED_VALUE"""),6.86)</f>
        <v>6.86</v>
      </c>
      <c r="E2065" s="1">
        <f>IFERROR(__xludf.DUMMYFUNCTION("""COMPUTED_VALUE"""),6.89)</f>
        <v>6.89</v>
      </c>
      <c r="F2065" s="1">
        <f>IFERROR(__xludf.DUMMYFUNCTION("""COMPUTED_VALUE"""),1358686.0)</f>
        <v>1358686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IFERROR(__xludf.DUMMYFUNCTION("""COMPUTED_VALUE"""),6.92)</f>
        <v>6.92</v>
      </c>
      <c r="C2066" s="1">
        <f>IFERROR(__xludf.DUMMYFUNCTION("""COMPUTED_VALUE"""),6.94)</f>
        <v>6.94</v>
      </c>
      <c r="D2066" s="1">
        <f>IFERROR(__xludf.DUMMYFUNCTION("""COMPUTED_VALUE"""),6.87)</f>
        <v>6.87</v>
      </c>
      <c r="E2066" s="1">
        <f>IFERROR(__xludf.DUMMYFUNCTION("""COMPUTED_VALUE"""),6.89)</f>
        <v>6.89</v>
      </c>
      <c r="F2066" s="1">
        <f>IFERROR(__xludf.DUMMYFUNCTION("""COMPUTED_VALUE"""),1119944.0)</f>
        <v>1119944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IFERROR(__xludf.DUMMYFUNCTION("""COMPUTED_VALUE"""),6.9)</f>
        <v>6.9</v>
      </c>
      <c r="C2067" s="1">
        <f>IFERROR(__xludf.DUMMYFUNCTION("""COMPUTED_VALUE"""),6.91)</f>
        <v>6.91</v>
      </c>
      <c r="D2067" s="1">
        <f>IFERROR(__xludf.DUMMYFUNCTION("""COMPUTED_VALUE"""),6.78)</f>
        <v>6.78</v>
      </c>
      <c r="E2067" s="1">
        <f>IFERROR(__xludf.DUMMYFUNCTION("""COMPUTED_VALUE"""),6.85)</f>
        <v>6.85</v>
      </c>
      <c r="F2067" s="1">
        <f>IFERROR(__xludf.DUMMYFUNCTION("""COMPUTED_VALUE"""),1321095.0)</f>
        <v>1321095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IFERROR(__xludf.DUMMYFUNCTION("""COMPUTED_VALUE"""),6.9)</f>
        <v>6.9</v>
      </c>
      <c r="C2068" s="1">
        <f>IFERROR(__xludf.DUMMYFUNCTION("""COMPUTED_VALUE"""),6.99)</f>
        <v>6.99</v>
      </c>
      <c r="D2068" s="1">
        <f>IFERROR(__xludf.DUMMYFUNCTION("""COMPUTED_VALUE"""),6.89)</f>
        <v>6.89</v>
      </c>
      <c r="E2068" s="1">
        <f>IFERROR(__xludf.DUMMYFUNCTION("""COMPUTED_VALUE"""),6.9)</f>
        <v>6.9</v>
      </c>
      <c r="F2068" s="1">
        <f>IFERROR(__xludf.DUMMYFUNCTION("""COMPUTED_VALUE"""),4867711.0)</f>
        <v>4867711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IFERROR(__xludf.DUMMYFUNCTION("""COMPUTED_VALUE"""),6.88)</f>
        <v>6.88</v>
      </c>
      <c r="C2069" s="1">
        <f>IFERROR(__xludf.DUMMYFUNCTION("""COMPUTED_VALUE"""),6.93)</f>
        <v>6.93</v>
      </c>
      <c r="D2069" s="1">
        <f>IFERROR(__xludf.DUMMYFUNCTION("""COMPUTED_VALUE"""),6.86)</f>
        <v>6.86</v>
      </c>
      <c r="E2069" s="1">
        <f>IFERROR(__xludf.DUMMYFUNCTION("""COMPUTED_VALUE"""),6.86)</f>
        <v>6.86</v>
      </c>
      <c r="F2069" s="1">
        <f>IFERROR(__xludf.DUMMYFUNCTION("""COMPUTED_VALUE"""),2223207.0)</f>
        <v>2223207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IFERROR(__xludf.DUMMYFUNCTION("""COMPUTED_VALUE"""),6.76)</f>
        <v>6.76</v>
      </c>
      <c r="C2070" s="1">
        <f>IFERROR(__xludf.DUMMYFUNCTION("""COMPUTED_VALUE"""),6.78)</f>
        <v>6.78</v>
      </c>
      <c r="D2070" s="1">
        <f>IFERROR(__xludf.DUMMYFUNCTION("""COMPUTED_VALUE"""),6.6)</f>
        <v>6.6</v>
      </c>
      <c r="E2070" s="1">
        <f>IFERROR(__xludf.DUMMYFUNCTION("""COMPUTED_VALUE"""),6.61)</f>
        <v>6.61</v>
      </c>
      <c r="F2070" s="1">
        <f>IFERROR(__xludf.DUMMYFUNCTION("""COMPUTED_VALUE"""),2801844.0)</f>
        <v>2801844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IFERROR(__xludf.DUMMYFUNCTION("""COMPUTED_VALUE"""),6.64)</f>
        <v>6.64</v>
      </c>
      <c r="C2071" s="1">
        <f>IFERROR(__xludf.DUMMYFUNCTION("""COMPUTED_VALUE"""),6.66)</f>
        <v>6.66</v>
      </c>
      <c r="D2071" s="1">
        <f>IFERROR(__xludf.DUMMYFUNCTION("""COMPUTED_VALUE"""),6.55)</f>
        <v>6.55</v>
      </c>
      <c r="E2071" s="1">
        <f>IFERROR(__xludf.DUMMYFUNCTION("""COMPUTED_VALUE"""),6.56)</f>
        <v>6.56</v>
      </c>
      <c r="F2071" s="1">
        <f>IFERROR(__xludf.DUMMYFUNCTION("""COMPUTED_VALUE"""),1891675.0)</f>
        <v>1891675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IFERROR(__xludf.DUMMYFUNCTION("""COMPUTED_VALUE"""),6.71)</f>
        <v>6.71</v>
      </c>
      <c r="C2072" s="1">
        <f>IFERROR(__xludf.DUMMYFUNCTION("""COMPUTED_VALUE"""),6.79)</f>
        <v>6.79</v>
      </c>
      <c r="D2072" s="1">
        <f>IFERROR(__xludf.DUMMYFUNCTION("""COMPUTED_VALUE"""),6.66)</f>
        <v>6.66</v>
      </c>
      <c r="E2072" s="1">
        <f>IFERROR(__xludf.DUMMYFUNCTION("""COMPUTED_VALUE"""),6.77)</f>
        <v>6.77</v>
      </c>
      <c r="F2072" s="1">
        <f>IFERROR(__xludf.DUMMYFUNCTION("""COMPUTED_VALUE"""),2612185.0)</f>
        <v>2612185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IFERROR(__xludf.DUMMYFUNCTION("""COMPUTED_VALUE"""),6.8)</f>
        <v>6.8</v>
      </c>
      <c r="C2073" s="1">
        <f>IFERROR(__xludf.DUMMYFUNCTION("""COMPUTED_VALUE"""),6.8)</f>
        <v>6.8</v>
      </c>
      <c r="D2073" s="1">
        <f>IFERROR(__xludf.DUMMYFUNCTION("""COMPUTED_VALUE"""),6.61)</f>
        <v>6.61</v>
      </c>
      <c r="E2073" s="1">
        <f>IFERROR(__xludf.DUMMYFUNCTION("""COMPUTED_VALUE"""),6.65)</f>
        <v>6.65</v>
      </c>
      <c r="F2073" s="1">
        <f>IFERROR(__xludf.DUMMYFUNCTION("""COMPUTED_VALUE"""),1179299.0)</f>
        <v>1179299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IFERROR(__xludf.DUMMYFUNCTION("""COMPUTED_VALUE"""),6.74)</f>
        <v>6.74</v>
      </c>
      <c r="C2074" s="1">
        <f>IFERROR(__xludf.DUMMYFUNCTION("""COMPUTED_VALUE"""),6.8)</f>
        <v>6.8</v>
      </c>
      <c r="D2074" s="1">
        <f>IFERROR(__xludf.DUMMYFUNCTION("""COMPUTED_VALUE"""),6.67)</f>
        <v>6.67</v>
      </c>
      <c r="E2074" s="1">
        <f>IFERROR(__xludf.DUMMYFUNCTION("""COMPUTED_VALUE"""),6.76)</f>
        <v>6.76</v>
      </c>
      <c r="F2074" s="1">
        <f>IFERROR(__xludf.DUMMYFUNCTION("""COMPUTED_VALUE"""),2195162.0)</f>
        <v>2195162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IFERROR(__xludf.DUMMYFUNCTION("""COMPUTED_VALUE"""),6.78)</f>
        <v>6.78</v>
      </c>
      <c r="C2075" s="1">
        <f>IFERROR(__xludf.DUMMYFUNCTION("""COMPUTED_VALUE"""),6.78)</f>
        <v>6.78</v>
      </c>
      <c r="D2075" s="1">
        <f>IFERROR(__xludf.DUMMYFUNCTION("""COMPUTED_VALUE"""),6.71)</f>
        <v>6.71</v>
      </c>
      <c r="E2075" s="1">
        <f>IFERROR(__xludf.DUMMYFUNCTION("""COMPUTED_VALUE"""),6.77)</f>
        <v>6.77</v>
      </c>
      <c r="F2075" s="1">
        <f>IFERROR(__xludf.DUMMYFUNCTION("""COMPUTED_VALUE"""),1375294.0)</f>
        <v>1375294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IFERROR(__xludf.DUMMYFUNCTION("""COMPUTED_VALUE"""),6.74)</f>
        <v>6.74</v>
      </c>
      <c r="C2076" s="1">
        <f>IFERROR(__xludf.DUMMYFUNCTION("""COMPUTED_VALUE"""),6.78)</f>
        <v>6.78</v>
      </c>
      <c r="D2076" s="1">
        <f>IFERROR(__xludf.DUMMYFUNCTION("""COMPUTED_VALUE"""),6.61)</f>
        <v>6.61</v>
      </c>
      <c r="E2076" s="1">
        <f>IFERROR(__xludf.DUMMYFUNCTION("""COMPUTED_VALUE"""),6.67)</f>
        <v>6.67</v>
      </c>
      <c r="F2076" s="1">
        <f>IFERROR(__xludf.DUMMYFUNCTION("""COMPUTED_VALUE"""),1255896.0)</f>
        <v>1255896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IFERROR(__xludf.DUMMYFUNCTION("""COMPUTED_VALUE"""),6.71)</f>
        <v>6.71</v>
      </c>
      <c r="C2077" s="1">
        <f>IFERROR(__xludf.DUMMYFUNCTION("""COMPUTED_VALUE"""),6.78)</f>
        <v>6.78</v>
      </c>
      <c r="D2077" s="1">
        <f>IFERROR(__xludf.DUMMYFUNCTION("""COMPUTED_VALUE"""),6.68)</f>
        <v>6.68</v>
      </c>
      <c r="E2077" s="1">
        <f>IFERROR(__xludf.DUMMYFUNCTION("""COMPUTED_VALUE"""),6.76)</f>
        <v>6.76</v>
      </c>
      <c r="F2077" s="1">
        <f>IFERROR(__xludf.DUMMYFUNCTION("""COMPUTED_VALUE"""),1247872.0)</f>
        <v>1247872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IFERROR(__xludf.DUMMYFUNCTION("""COMPUTED_VALUE"""),6.6)</f>
        <v>6.6</v>
      </c>
      <c r="C2078" s="1">
        <f>IFERROR(__xludf.DUMMYFUNCTION("""COMPUTED_VALUE"""),6.7)</f>
        <v>6.7</v>
      </c>
      <c r="D2078" s="1">
        <f>IFERROR(__xludf.DUMMYFUNCTION("""COMPUTED_VALUE"""),6.59)</f>
        <v>6.59</v>
      </c>
      <c r="E2078" s="1">
        <f>IFERROR(__xludf.DUMMYFUNCTION("""COMPUTED_VALUE"""),6.68)</f>
        <v>6.68</v>
      </c>
      <c r="F2078" s="1">
        <f>IFERROR(__xludf.DUMMYFUNCTION("""COMPUTED_VALUE"""),1062039.0)</f>
        <v>1062039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IFERROR(__xludf.DUMMYFUNCTION("""COMPUTED_VALUE"""),6.78)</f>
        <v>6.78</v>
      </c>
      <c r="C2079" s="1">
        <f>IFERROR(__xludf.DUMMYFUNCTION("""COMPUTED_VALUE"""),6.81)</f>
        <v>6.81</v>
      </c>
      <c r="D2079" s="1">
        <f>IFERROR(__xludf.DUMMYFUNCTION("""COMPUTED_VALUE"""),6.76)</f>
        <v>6.76</v>
      </c>
      <c r="E2079" s="1">
        <f>IFERROR(__xludf.DUMMYFUNCTION("""COMPUTED_VALUE"""),6.79)</f>
        <v>6.79</v>
      </c>
      <c r="F2079" s="1">
        <f>IFERROR(__xludf.DUMMYFUNCTION("""COMPUTED_VALUE"""),1516920.0)</f>
        <v>1516920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IFERROR(__xludf.DUMMYFUNCTION("""COMPUTED_VALUE"""),6.85)</f>
        <v>6.85</v>
      </c>
      <c r="C2080" s="1">
        <f>IFERROR(__xludf.DUMMYFUNCTION("""COMPUTED_VALUE"""),6.89)</f>
        <v>6.89</v>
      </c>
      <c r="D2080" s="1">
        <f>IFERROR(__xludf.DUMMYFUNCTION("""COMPUTED_VALUE"""),6.76)</f>
        <v>6.76</v>
      </c>
      <c r="E2080" s="1">
        <f>IFERROR(__xludf.DUMMYFUNCTION("""COMPUTED_VALUE"""),6.79)</f>
        <v>6.79</v>
      </c>
      <c r="F2080" s="1">
        <f>IFERROR(__xludf.DUMMYFUNCTION("""COMPUTED_VALUE"""),1803768.0)</f>
        <v>1803768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IFERROR(__xludf.DUMMYFUNCTION("""COMPUTED_VALUE"""),6.85)</f>
        <v>6.85</v>
      </c>
      <c r="C2081" s="1">
        <f>IFERROR(__xludf.DUMMYFUNCTION("""COMPUTED_VALUE"""),6.91)</f>
        <v>6.91</v>
      </c>
      <c r="D2081" s="1">
        <f>IFERROR(__xludf.DUMMYFUNCTION("""COMPUTED_VALUE"""),6.83)</f>
        <v>6.83</v>
      </c>
      <c r="E2081" s="1">
        <f>IFERROR(__xludf.DUMMYFUNCTION("""COMPUTED_VALUE"""),6.83)</f>
        <v>6.83</v>
      </c>
      <c r="F2081" s="1">
        <f>IFERROR(__xludf.DUMMYFUNCTION("""COMPUTED_VALUE"""),2344396.0)</f>
        <v>2344396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IFERROR(__xludf.DUMMYFUNCTION("""COMPUTED_VALUE"""),7.0)</f>
        <v>7</v>
      </c>
      <c r="C2082" s="1">
        <f>IFERROR(__xludf.DUMMYFUNCTION("""COMPUTED_VALUE"""),7.05)</f>
        <v>7.05</v>
      </c>
      <c r="D2082" s="1">
        <f>IFERROR(__xludf.DUMMYFUNCTION("""COMPUTED_VALUE"""),6.98)</f>
        <v>6.98</v>
      </c>
      <c r="E2082" s="1">
        <f>IFERROR(__xludf.DUMMYFUNCTION("""COMPUTED_VALUE"""),7.02)</f>
        <v>7.02</v>
      </c>
      <c r="F2082" s="1">
        <f>IFERROR(__xludf.DUMMYFUNCTION("""COMPUTED_VALUE"""),1533812.0)</f>
        <v>1533812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IFERROR(__xludf.DUMMYFUNCTION("""COMPUTED_VALUE"""),7.1)</f>
        <v>7.1</v>
      </c>
      <c r="C2083" s="1">
        <f>IFERROR(__xludf.DUMMYFUNCTION("""COMPUTED_VALUE"""),7.12)</f>
        <v>7.12</v>
      </c>
      <c r="D2083" s="1">
        <f>IFERROR(__xludf.DUMMYFUNCTION("""COMPUTED_VALUE"""),7.06)</f>
        <v>7.06</v>
      </c>
      <c r="E2083" s="1">
        <f>IFERROR(__xludf.DUMMYFUNCTION("""COMPUTED_VALUE"""),7.08)</f>
        <v>7.08</v>
      </c>
      <c r="F2083" s="1">
        <f>IFERROR(__xludf.DUMMYFUNCTION("""COMPUTED_VALUE"""),1547385.0)</f>
        <v>1547385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IFERROR(__xludf.DUMMYFUNCTION("""COMPUTED_VALUE"""),7.21)</f>
        <v>7.21</v>
      </c>
      <c r="C2084" s="1">
        <f>IFERROR(__xludf.DUMMYFUNCTION("""COMPUTED_VALUE"""),7.25)</f>
        <v>7.25</v>
      </c>
      <c r="D2084" s="1">
        <f>IFERROR(__xludf.DUMMYFUNCTION("""COMPUTED_VALUE"""),7.16)</f>
        <v>7.16</v>
      </c>
      <c r="E2084" s="1">
        <f>IFERROR(__xludf.DUMMYFUNCTION("""COMPUTED_VALUE"""),7.23)</f>
        <v>7.23</v>
      </c>
      <c r="F2084" s="1">
        <f>IFERROR(__xludf.DUMMYFUNCTION("""COMPUTED_VALUE"""),2169395.0)</f>
        <v>2169395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IFERROR(__xludf.DUMMYFUNCTION("""COMPUTED_VALUE"""),7.27)</f>
        <v>7.27</v>
      </c>
      <c r="C2085" s="1">
        <f>IFERROR(__xludf.DUMMYFUNCTION("""COMPUTED_VALUE"""),7.28)</f>
        <v>7.28</v>
      </c>
      <c r="D2085" s="1">
        <f>IFERROR(__xludf.DUMMYFUNCTION("""COMPUTED_VALUE"""),7.19)</f>
        <v>7.19</v>
      </c>
      <c r="E2085" s="1">
        <f>IFERROR(__xludf.DUMMYFUNCTION("""COMPUTED_VALUE"""),7.2)</f>
        <v>7.2</v>
      </c>
      <c r="F2085" s="1">
        <f>IFERROR(__xludf.DUMMYFUNCTION("""COMPUTED_VALUE"""),1117139.0)</f>
        <v>1117139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IFERROR(__xludf.DUMMYFUNCTION("""COMPUTED_VALUE"""),7.21)</f>
        <v>7.21</v>
      </c>
      <c r="C2086" s="1">
        <f>IFERROR(__xludf.DUMMYFUNCTION("""COMPUTED_VALUE"""),7.23)</f>
        <v>7.23</v>
      </c>
      <c r="D2086" s="1">
        <f>IFERROR(__xludf.DUMMYFUNCTION("""COMPUTED_VALUE"""),7.19)</f>
        <v>7.19</v>
      </c>
      <c r="E2086" s="1">
        <f>IFERROR(__xludf.DUMMYFUNCTION("""COMPUTED_VALUE"""),7.21)</f>
        <v>7.21</v>
      </c>
      <c r="F2086" s="1">
        <f>IFERROR(__xludf.DUMMYFUNCTION("""COMPUTED_VALUE"""),679592.0)</f>
        <v>679592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IFERROR(__xludf.DUMMYFUNCTION("""COMPUTED_VALUE"""),7.22)</f>
        <v>7.22</v>
      </c>
      <c r="C2087" s="1">
        <f>IFERROR(__xludf.DUMMYFUNCTION("""COMPUTED_VALUE"""),7.25)</f>
        <v>7.25</v>
      </c>
      <c r="D2087" s="1">
        <f>IFERROR(__xludf.DUMMYFUNCTION("""COMPUTED_VALUE"""),7.16)</f>
        <v>7.16</v>
      </c>
      <c r="E2087" s="1">
        <f>IFERROR(__xludf.DUMMYFUNCTION("""COMPUTED_VALUE"""),7.21)</f>
        <v>7.21</v>
      </c>
      <c r="F2087" s="1">
        <f>IFERROR(__xludf.DUMMYFUNCTION("""COMPUTED_VALUE"""),1337309.0)</f>
        <v>1337309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IFERROR(__xludf.DUMMYFUNCTION("""COMPUTED_VALUE"""),7.34)</f>
        <v>7.34</v>
      </c>
      <c r="C2088" s="1">
        <f>IFERROR(__xludf.DUMMYFUNCTION("""COMPUTED_VALUE"""),7.38)</f>
        <v>7.38</v>
      </c>
      <c r="D2088" s="1">
        <f>IFERROR(__xludf.DUMMYFUNCTION("""COMPUTED_VALUE"""),7.31)</f>
        <v>7.31</v>
      </c>
      <c r="E2088" s="1">
        <f>IFERROR(__xludf.DUMMYFUNCTION("""COMPUTED_VALUE"""),7.32)</f>
        <v>7.32</v>
      </c>
      <c r="F2088" s="1">
        <f>IFERROR(__xludf.DUMMYFUNCTION("""COMPUTED_VALUE"""),1269193.0)</f>
        <v>1269193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IFERROR(__xludf.DUMMYFUNCTION("""COMPUTED_VALUE"""),7.32)</f>
        <v>7.32</v>
      </c>
      <c r="C2089" s="1">
        <f>IFERROR(__xludf.DUMMYFUNCTION("""COMPUTED_VALUE"""),7.37)</f>
        <v>7.37</v>
      </c>
      <c r="D2089" s="1">
        <f>IFERROR(__xludf.DUMMYFUNCTION("""COMPUTED_VALUE"""),7.31)</f>
        <v>7.31</v>
      </c>
      <c r="E2089" s="1">
        <f>IFERROR(__xludf.DUMMYFUNCTION("""COMPUTED_VALUE"""),7.33)</f>
        <v>7.33</v>
      </c>
      <c r="F2089" s="1">
        <f>IFERROR(__xludf.DUMMYFUNCTION("""COMPUTED_VALUE"""),1049928.0)</f>
        <v>1049928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IFERROR(__xludf.DUMMYFUNCTION("""COMPUTED_VALUE"""),7.33)</f>
        <v>7.33</v>
      </c>
      <c r="C2090" s="1">
        <f>IFERROR(__xludf.DUMMYFUNCTION("""COMPUTED_VALUE"""),7.37)</f>
        <v>7.37</v>
      </c>
      <c r="D2090" s="1">
        <f>IFERROR(__xludf.DUMMYFUNCTION("""COMPUTED_VALUE"""),7.32)</f>
        <v>7.32</v>
      </c>
      <c r="E2090" s="1">
        <f>IFERROR(__xludf.DUMMYFUNCTION("""COMPUTED_VALUE"""),7.35)</f>
        <v>7.35</v>
      </c>
      <c r="F2090" s="1">
        <f>IFERROR(__xludf.DUMMYFUNCTION("""COMPUTED_VALUE"""),686057.0)</f>
        <v>686057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IFERROR(__xludf.DUMMYFUNCTION("""COMPUTED_VALUE"""),7.41)</f>
        <v>7.41</v>
      </c>
      <c r="C2091" s="1">
        <f>IFERROR(__xludf.DUMMYFUNCTION("""COMPUTED_VALUE"""),7.43)</f>
        <v>7.43</v>
      </c>
      <c r="D2091" s="1">
        <f>IFERROR(__xludf.DUMMYFUNCTION("""COMPUTED_VALUE"""),7.39)</f>
        <v>7.39</v>
      </c>
      <c r="E2091" s="1">
        <f>IFERROR(__xludf.DUMMYFUNCTION("""COMPUTED_VALUE"""),7.41)</f>
        <v>7.41</v>
      </c>
      <c r="F2091" s="1">
        <f>IFERROR(__xludf.DUMMYFUNCTION("""COMPUTED_VALUE"""),1512956.0)</f>
        <v>1512956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IFERROR(__xludf.DUMMYFUNCTION("""COMPUTED_VALUE"""),7.43)</f>
        <v>7.43</v>
      </c>
      <c r="C2092" s="1">
        <f>IFERROR(__xludf.DUMMYFUNCTION("""COMPUTED_VALUE"""),7.48)</f>
        <v>7.48</v>
      </c>
      <c r="D2092" s="1">
        <f>IFERROR(__xludf.DUMMYFUNCTION("""COMPUTED_VALUE"""),7.36)</f>
        <v>7.36</v>
      </c>
      <c r="E2092" s="1">
        <f>IFERROR(__xludf.DUMMYFUNCTION("""COMPUTED_VALUE"""),7.39)</f>
        <v>7.39</v>
      </c>
      <c r="F2092" s="1">
        <f>IFERROR(__xludf.DUMMYFUNCTION("""COMPUTED_VALUE"""),3154067.0)</f>
        <v>3154067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IFERROR(__xludf.DUMMYFUNCTION("""COMPUTED_VALUE"""),7.36)</f>
        <v>7.36</v>
      </c>
      <c r="C2093" s="1">
        <f>IFERROR(__xludf.DUMMYFUNCTION("""COMPUTED_VALUE"""),7.37)</f>
        <v>7.37</v>
      </c>
      <c r="D2093" s="1">
        <f>IFERROR(__xludf.DUMMYFUNCTION("""COMPUTED_VALUE"""),7.28)</f>
        <v>7.28</v>
      </c>
      <c r="E2093" s="1">
        <f>IFERROR(__xludf.DUMMYFUNCTION("""COMPUTED_VALUE"""),7.3)</f>
        <v>7.3</v>
      </c>
      <c r="F2093" s="1">
        <f>IFERROR(__xludf.DUMMYFUNCTION("""COMPUTED_VALUE"""),2799098.0)</f>
        <v>2799098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IFERROR(__xludf.DUMMYFUNCTION("""COMPUTED_VALUE"""),7.32)</f>
        <v>7.32</v>
      </c>
      <c r="C2094" s="1">
        <f>IFERROR(__xludf.DUMMYFUNCTION("""COMPUTED_VALUE"""),7.37)</f>
        <v>7.37</v>
      </c>
      <c r="D2094" s="1">
        <f>IFERROR(__xludf.DUMMYFUNCTION("""COMPUTED_VALUE"""),7.27)</f>
        <v>7.27</v>
      </c>
      <c r="E2094" s="1">
        <f>IFERROR(__xludf.DUMMYFUNCTION("""COMPUTED_VALUE"""),7.35)</f>
        <v>7.35</v>
      </c>
      <c r="F2094" s="1">
        <f>IFERROR(__xludf.DUMMYFUNCTION("""COMPUTED_VALUE"""),2230987.0)</f>
        <v>2230987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IFERROR(__xludf.DUMMYFUNCTION("""COMPUTED_VALUE"""),7.27)</f>
        <v>7.27</v>
      </c>
      <c r="C2095" s="1">
        <f>IFERROR(__xludf.DUMMYFUNCTION("""COMPUTED_VALUE"""),7.33)</f>
        <v>7.33</v>
      </c>
      <c r="D2095" s="1">
        <f>IFERROR(__xludf.DUMMYFUNCTION("""COMPUTED_VALUE"""),7.24)</f>
        <v>7.24</v>
      </c>
      <c r="E2095" s="1">
        <f>IFERROR(__xludf.DUMMYFUNCTION("""COMPUTED_VALUE"""),7.33)</f>
        <v>7.33</v>
      </c>
      <c r="F2095" s="1">
        <f>IFERROR(__xludf.DUMMYFUNCTION("""COMPUTED_VALUE"""),956133.0)</f>
        <v>956133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IFERROR(__xludf.DUMMYFUNCTION("""COMPUTED_VALUE"""),7.31)</f>
        <v>7.31</v>
      </c>
      <c r="C2096" s="1">
        <f>IFERROR(__xludf.DUMMYFUNCTION("""COMPUTED_VALUE"""),7.32)</f>
        <v>7.32</v>
      </c>
      <c r="D2096" s="1">
        <f>IFERROR(__xludf.DUMMYFUNCTION("""COMPUTED_VALUE"""),7.26)</f>
        <v>7.26</v>
      </c>
      <c r="E2096" s="1">
        <f>IFERROR(__xludf.DUMMYFUNCTION("""COMPUTED_VALUE"""),7.26)</f>
        <v>7.26</v>
      </c>
      <c r="F2096" s="1">
        <f>IFERROR(__xludf.DUMMYFUNCTION("""COMPUTED_VALUE"""),1050630.0)</f>
        <v>1050630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IFERROR(__xludf.DUMMYFUNCTION("""COMPUTED_VALUE"""),7.22)</f>
        <v>7.22</v>
      </c>
      <c r="C2097" s="1">
        <f>IFERROR(__xludf.DUMMYFUNCTION("""COMPUTED_VALUE"""),7.24)</f>
        <v>7.24</v>
      </c>
      <c r="D2097" s="1">
        <f>IFERROR(__xludf.DUMMYFUNCTION("""COMPUTED_VALUE"""),7.17)</f>
        <v>7.17</v>
      </c>
      <c r="E2097" s="1">
        <f>IFERROR(__xludf.DUMMYFUNCTION("""COMPUTED_VALUE"""),7.21)</f>
        <v>7.21</v>
      </c>
      <c r="F2097" s="1">
        <f>IFERROR(__xludf.DUMMYFUNCTION("""COMPUTED_VALUE"""),1264708.0)</f>
        <v>1264708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IFERROR(__xludf.DUMMYFUNCTION("""COMPUTED_VALUE"""),7.25)</f>
        <v>7.25</v>
      </c>
      <c r="C2098" s="1">
        <f>IFERROR(__xludf.DUMMYFUNCTION("""COMPUTED_VALUE"""),7.25)</f>
        <v>7.25</v>
      </c>
      <c r="D2098" s="1">
        <f>IFERROR(__xludf.DUMMYFUNCTION("""COMPUTED_VALUE"""),7.06)</f>
        <v>7.06</v>
      </c>
      <c r="E2098" s="1">
        <f>IFERROR(__xludf.DUMMYFUNCTION("""COMPUTED_VALUE"""),7.09)</f>
        <v>7.09</v>
      </c>
      <c r="F2098" s="1">
        <f>IFERROR(__xludf.DUMMYFUNCTION("""COMPUTED_VALUE"""),2446949.0)</f>
        <v>2446949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IFERROR(__xludf.DUMMYFUNCTION("""COMPUTED_VALUE"""),6.94)</f>
        <v>6.94</v>
      </c>
      <c r="C2099" s="1">
        <f>IFERROR(__xludf.DUMMYFUNCTION("""COMPUTED_VALUE"""),6.95)</f>
        <v>6.95</v>
      </c>
      <c r="D2099" s="1">
        <f>IFERROR(__xludf.DUMMYFUNCTION("""COMPUTED_VALUE"""),6.85)</f>
        <v>6.85</v>
      </c>
      <c r="E2099" s="1">
        <f>IFERROR(__xludf.DUMMYFUNCTION("""COMPUTED_VALUE"""),6.91)</f>
        <v>6.91</v>
      </c>
      <c r="F2099" s="1">
        <f>IFERROR(__xludf.DUMMYFUNCTION("""COMPUTED_VALUE"""),3265624.0)</f>
        <v>3265624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IFERROR(__xludf.DUMMYFUNCTION("""COMPUTED_VALUE"""),6.91)</f>
        <v>6.91</v>
      </c>
      <c r="C2100" s="1">
        <f>IFERROR(__xludf.DUMMYFUNCTION("""COMPUTED_VALUE"""),7.04)</f>
        <v>7.04</v>
      </c>
      <c r="D2100" s="1">
        <f>IFERROR(__xludf.DUMMYFUNCTION("""COMPUTED_VALUE"""),6.9)</f>
        <v>6.9</v>
      </c>
      <c r="E2100" s="1">
        <f>IFERROR(__xludf.DUMMYFUNCTION("""COMPUTED_VALUE"""),7.03)</f>
        <v>7.03</v>
      </c>
      <c r="F2100" s="1">
        <f>IFERROR(__xludf.DUMMYFUNCTION("""COMPUTED_VALUE"""),1931549.0)</f>
        <v>1931549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IFERROR(__xludf.DUMMYFUNCTION("""COMPUTED_VALUE"""),6.99)</f>
        <v>6.99</v>
      </c>
      <c r="C2101" s="1">
        <f>IFERROR(__xludf.DUMMYFUNCTION("""COMPUTED_VALUE"""),7.01)</f>
        <v>7.01</v>
      </c>
      <c r="D2101" s="1">
        <f>IFERROR(__xludf.DUMMYFUNCTION("""COMPUTED_VALUE"""),6.96)</f>
        <v>6.96</v>
      </c>
      <c r="E2101" s="1">
        <f>IFERROR(__xludf.DUMMYFUNCTION("""COMPUTED_VALUE"""),6.99)</f>
        <v>6.99</v>
      </c>
      <c r="F2101" s="1">
        <f>IFERROR(__xludf.DUMMYFUNCTION("""COMPUTED_VALUE"""),1112279.0)</f>
        <v>1112279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IFERROR(__xludf.DUMMYFUNCTION("""COMPUTED_VALUE"""),6.99)</f>
        <v>6.99</v>
      </c>
      <c r="C2102" s="1">
        <f>IFERROR(__xludf.DUMMYFUNCTION("""COMPUTED_VALUE"""),7.06)</f>
        <v>7.06</v>
      </c>
      <c r="D2102" s="1">
        <f>IFERROR(__xludf.DUMMYFUNCTION("""COMPUTED_VALUE"""),6.99)</f>
        <v>6.99</v>
      </c>
      <c r="E2102" s="1">
        <f>IFERROR(__xludf.DUMMYFUNCTION("""COMPUTED_VALUE"""),7.04)</f>
        <v>7.04</v>
      </c>
      <c r="F2102" s="1">
        <f>IFERROR(__xludf.DUMMYFUNCTION("""COMPUTED_VALUE"""),1072824.0)</f>
        <v>1072824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IFERROR(__xludf.DUMMYFUNCTION("""COMPUTED_VALUE"""),7.12)</f>
        <v>7.12</v>
      </c>
      <c r="C2103" s="1">
        <f>IFERROR(__xludf.DUMMYFUNCTION("""COMPUTED_VALUE"""),7.15)</f>
        <v>7.15</v>
      </c>
      <c r="D2103" s="1">
        <f>IFERROR(__xludf.DUMMYFUNCTION("""COMPUTED_VALUE"""),7.09)</f>
        <v>7.09</v>
      </c>
      <c r="E2103" s="1">
        <f>IFERROR(__xludf.DUMMYFUNCTION("""COMPUTED_VALUE"""),7.15)</f>
        <v>7.15</v>
      </c>
      <c r="F2103" s="1">
        <f>IFERROR(__xludf.DUMMYFUNCTION("""COMPUTED_VALUE"""),2182499.0)</f>
        <v>2182499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IFERROR(__xludf.DUMMYFUNCTION("""COMPUTED_VALUE"""),6.97)</f>
        <v>6.97</v>
      </c>
      <c r="C2104" s="1">
        <f>IFERROR(__xludf.DUMMYFUNCTION("""COMPUTED_VALUE"""),6.97)</f>
        <v>6.97</v>
      </c>
      <c r="D2104" s="1">
        <f>IFERROR(__xludf.DUMMYFUNCTION("""COMPUTED_VALUE"""),6.82)</f>
        <v>6.82</v>
      </c>
      <c r="E2104" s="1">
        <f>IFERROR(__xludf.DUMMYFUNCTION("""COMPUTED_VALUE"""),6.91)</f>
        <v>6.91</v>
      </c>
      <c r="F2104" s="1">
        <f>IFERROR(__xludf.DUMMYFUNCTION("""COMPUTED_VALUE"""),3060427.0)</f>
        <v>3060427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IFERROR(__xludf.DUMMYFUNCTION("""COMPUTED_VALUE"""),6.89)</f>
        <v>6.89</v>
      </c>
      <c r="C2105" s="1">
        <f>IFERROR(__xludf.DUMMYFUNCTION("""COMPUTED_VALUE"""),6.92)</f>
        <v>6.92</v>
      </c>
      <c r="D2105" s="1">
        <f>IFERROR(__xludf.DUMMYFUNCTION("""COMPUTED_VALUE"""),6.87)</f>
        <v>6.87</v>
      </c>
      <c r="E2105" s="1">
        <f>IFERROR(__xludf.DUMMYFUNCTION("""COMPUTED_VALUE"""),6.89)</f>
        <v>6.89</v>
      </c>
      <c r="F2105" s="1">
        <f>IFERROR(__xludf.DUMMYFUNCTION("""COMPUTED_VALUE"""),1125678.0)</f>
        <v>1125678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IFERROR(__xludf.DUMMYFUNCTION("""COMPUTED_VALUE"""),6.92)</f>
        <v>6.92</v>
      </c>
      <c r="C2106" s="1">
        <f>IFERROR(__xludf.DUMMYFUNCTION("""COMPUTED_VALUE"""),6.93)</f>
        <v>6.93</v>
      </c>
      <c r="D2106" s="1">
        <f>IFERROR(__xludf.DUMMYFUNCTION("""COMPUTED_VALUE"""),6.88)</f>
        <v>6.88</v>
      </c>
      <c r="E2106" s="1">
        <f>IFERROR(__xludf.DUMMYFUNCTION("""COMPUTED_VALUE"""),6.89)</f>
        <v>6.89</v>
      </c>
      <c r="F2106" s="1">
        <f>IFERROR(__xludf.DUMMYFUNCTION("""COMPUTED_VALUE"""),901925.0)</f>
        <v>901925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IFERROR(__xludf.DUMMYFUNCTION("""COMPUTED_VALUE"""),6.94)</f>
        <v>6.94</v>
      </c>
      <c r="C2107" s="1">
        <f>IFERROR(__xludf.DUMMYFUNCTION("""COMPUTED_VALUE"""),7.01)</f>
        <v>7.01</v>
      </c>
      <c r="D2107" s="1">
        <f>IFERROR(__xludf.DUMMYFUNCTION("""COMPUTED_VALUE"""),6.91)</f>
        <v>6.91</v>
      </c>
      <c r="E2107" s="1">
        <f>IFERROR(__xludf.DUMMYFUNCTION("""COMPUTED_VALUE"""),6.96)</f>
        <v>6.96</v>
      </c>
      <c r="F2107" s="1">
        <f>IFERROR(__xludf.DUMMYFUNCTION("""COMPUTED_VALUE"""),1890488.0)</f>
        <v>1890488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IFERROR(__xludf.DUMMYFUNCTION("""COMPUTED_VALUE"""),6.91)</f>
        <v>6.91</v>
      </c>
      <c r="C2108" s="1">
        <f>IFERROR(__xludf.DUMMYFUNCTION("""COMPUTED_VALUE"""),6.94)</f>
        <v>6.94</v>
      </c>
      <c r="D2108" s="1">
        <f>IFERROR(__xludf.DUMMYFUNCTION("""COMPUTED_VALUE"""),6.87)</f>
        <v>6.87</v>
      </c>
      <c r="E2108" s="1">
        <f>IFERROR(__xludf.DUMMYFUNCTION("""COMPUTED_VALUE"""),6.92)</f>
        <v>6.92</v>
      </c>
      <c r="F2108" s="1">
        <f>IFERROR(__xludf.DUMMYFUNCTION("""COMPUTED_VALUE"""),843891.0)</f>
        <v>843891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IFERROR(__xludf.DUMMYFUNCTION("""COMPUTED_VALUE"""),6.91)</f>
        <v>6.91</v>
      </c>
      <c r="C2109" s="1">
        <f>IFERROR(__xludf.DUMMYFUNCTION("""COMPUTED_VALUE"""),6.95)</f>
        <v>6.95</v>
      </c>
      <c r="D2109" s="1">
        <f>IFERROR(__xludf.DUMMYFUNCTION("""COMPUTED_VALUE"""),6.88)</f>
        <v>6.88</v>
      </c>
      <c r="E2109" s="1">
        <f>IFERROR(__xludf.DUMMYFUNCTION("""COMPUTED_VALUE"""),6.94)</f>
        <v>6.94</v>
      </c>
      <c r="F2109" s="1">
        <f>IFERROR(__xludf.DUMMYFUNCTION("""COMPUTED_VALUE"""),966296.0)</f>
        <v>966296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IFERROR(__xludf.DUMMYFUNCTION("""COMPUTED_VALUE"""),6.86)</f>
        <v>6.86</v>
      </c>
      <c r="C2110" s="1">
        <f>IFERROR(__xludf.DUMMYFUNCTION("""COMPUTED_VALUE"""),6.88)</f>
        <v>6.88</v>
      </c>
      <c r="D2110" s="1">
        <f>IFERROR(__xludf.DUMMYFUNCTION("""COMPUTED_VALUE"""),6.84)</f>
        <v>6.84</v>
      </c>
      <c r="E2110" s="1">
        <f>IFERROR(__xludf.DUMMYFUNCTION("""COMPUTED_VALUE"""),6.87)</f>
        <v>6.87</v>
      </c>
      <c r="F2110" s="1">
        <f>IFERROR(__xludf.DUMMYFUNCTION("""COMPUTED_VALUE"""),1012934.0)</f>
        <v>1012934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IFERROR(__xludf.DUMMYFUNCTION("""COMPUTED_VALUE"""),6.92)</f>
        <v>6.92</v>
      </c>
      <c r="C2111" s="1">
        <f>IFERROR(__xludf.DUMMYFUNCTION("""COMPUTED_VALUE"""),6.93)</f>
        <v>6.93</v>
      </c>
      <c r="D2111" s="1">
        <f>IFERROR(__xludf.DUMMYFUNCTION("""COMPUTED_VALUE"""),6.88)</f>
        <v>6.88</v>
      </c>
      <c r="E2111" s="1">
        <f>IFERROR(__xludf.DUMMYFUNCTION("""COMPUTED_VALUE"""),6.91)</f>
        <v>6.91</v>
      </c>
      <c r="F2111" s="1">
        <f>IFERROR(__xludf.DUMMYFUNCTION("""COMPUTED_VALUE"""),1021056.0)</f>
        <v>1021056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IFERROR(__xludf.DUMMYFUNCTION("""COMPUTED_VALUE"""),6.76)</f>
        <v>6.76</v>
      </c>
      <c r="C2112" s="1">
        <f>IFERROR(__xludf.DUMMYFUNCTION("""COMPUTED_VALUE"""),6.77)</f>
        <v>6.77</v>
      </c>
      <c r="D2112" s="1">
        <f>IFERROR(__xludf.DUMMYFUNCTION("""COMPUTED_VALUE"""),6.72)</f>
        <v>6.72</v>
      </c>
      <c r="E2112" s="1">
        <f>IFERROR(__xludf.DUMMYFUNCTION("""COMPUTED_VALUE"""),6.75)</f>
        <v>6.75</v>
      </c>
      <c r="F2112" s="1">
        <f>IFERROR(__xludf.DUMMYFUNCTION("""COMPUTED_VALUE"""),1863148.0)</f>
        <v>1863148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IFERROR(__xludf.DUMMYFUNCTION("""COMPUTED_VALUE"""),6.6)</f>
        <v>6.6</v>
      </c>
      <c r="C2113" s="1">
        <f>IFERROR(__xludf.DUMMYFUNCTION("""COMPUTED_VALUE"""),6.61)</f>
        <v>6.61</v>
      </c>
      <c r="D2113" s="1">
        <f>IFERROR(__xludf.DUMMYFUNCTION("""COMPUTED_VALUE"""),6.52)</f>
        <v>6.52</v>
      </c>
      <c r="E2113" s="1">
        <f>IFERROR(__xludf.DUMMYFUNCTION("""COMPUTED_VALUE"""),6.56)</f>
        <v>6.56</v>
      </c>
      <c r="F2113" s="1">
        <f>IFERROR(__xludf.DUMMYFUNCTION("""COMPUTED_VALUE"""),2013422.0)</f>
        <v>2013422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IFERROR(__xludf.DUMMYFUNCTION("""COMPUTED_VALUE"""),6.53)</f>
        <v>6.53</v>
      </c>
      <c r="C2114" s="1">
        <f>IFERROR(__xludf.DUMMYFUNCTION("""COMPUTED_VALUE"""),6.56)</f>
        <v>6.56</v>
      </c>
      <c r="D2114" s="1">
        <f>IFERROR(__xludf.DUMMYFUNCTION("""COMPUTED_VALUE"""),6.48)</f>
        <v>6.48</v>
      </c>
      <c r="E2114" s="1">
        <f>IFERROR(__xludf.DUMMYFUNCTION("""COMPUTED_VALUE"""),6.51)</f>
        <v>6.51</v>
      </c>
      <c r="F2114" s="1">
        <f>IFERROR(__xludf.DUMMYFUNCTION("""COMPUTED_VALUE"""),1231719.0)</f>
        <v>1231719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IFERROR(__xludf.DUMMYFUNCTION("""COMPUTED_VALUE"""),6.49)</f>
        <v>6.49</v>
      </c>
      <c r="C2115" s="1">
        <f>IFERROR(__xludf.DUMMYFUNCTION("""COMPUTED_VALUE"""),6.53)</f>
        <v>6.53</v>
      </c>
      <c r="D2115" s="1">
        <f>IFERROR(__xludf.DUMMYFUNCTION("""COMPUTED_VALUE"""),6.45)</f>
        <v>6.45</v>
      </c>
      <c r="E2115" s="1">
        <f>IFERROR(__xludf.DUMMYFUNCTION("""COMPUTED_VALUE"""),6.52)</f>
        <v>6.52</v>
      </c>
      <c r="F2115" s="1">
        <f>IFERROR(__xludf.DUMMYFUNCTION("""COMPUTED_VALUE"""),664045.0)</f>
        <v>664045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IFERROR(__xludf.DUMMYFUNCTION("""COMPUTED_VALUE"""),6.24)</f>
        <v>6.24</v>
      </c>
      <c r="C2116" s="1">
        <f>IFERROR(__xludf.DUMMYFUNCTION("""COMPUTED_VALUE"""),6.27)</f>
        <v>6.27</v>
      </c>
      <c r="D2116" s="1">
        <f>IFERROR(__xludf.DUMMYFUNCTION("""COMPUTED_VALUE"""),6.1)</f>
        <v>6.1</v>
      </c>
      <c r="E2116" s="1">
        <f>IFERROR(__xludf.DUMMYFUNCTION("""COMPUTED_VALUE"""),6.13)</f>
        <v>6.13</v>
      </c>
      <c r="F2116" s="1">
        <f>IFERROR(__xludf.DUMMYFUNCTION("""COMPUTED_VALUE"""),2258780.0)</f>
        <v>2258780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IFERROR(__xludf.DUMMYFUNCTION("""COMPUTED_VALUE"""),6.2)</f>
        <v>6.2</v>
      </c>
      <c r="C2117" s="1">
        <f>IFERROR(__xludf.DUMMYFUNCTION("""COMPUTED_VALUE"""),6.29)</f>
        <v>6.29</v>
      </c>
      <c r="D2117" s="1">
        <f>IFERROR(__xludf.DUMMYFUNCTION("""COMPUTED_VALUE"""),6.16)</f>
        <v>6.16</v>
      </c>
      <c r="E2117" s="1">
        <f>IFERROR(__xludf.DUMMYFUNCTION("""COMPUTED_VALUE"""),6.25)</f>
        <v>6.25</v>
      </c>
      <c r="F2117" s="1">
        <f>IFERROR(__xludf.DUMMYFUNCTION("""COMPUTED_VALUE"""),1738413.0)</f>
        <v>1738413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IFERROR(__xludf.DUMMYFUNCTION("""COMPUTED_VALUE"""),6.2)</f>
        <v>6.2</v>
      </c>
      <c r="C2118" s="1">
        <f>IFERROR(__xludf.DUMMYFUNCTION("""COMPUTED_VALUE"""),6.23)</f>
        <v>6.23</v>
      </c>
      <c r="D2118" s="1">
        <f>IFERROR(__xludf.DUMMYFUNCTION("""COMPUTED_VALUE"""),6.15)</f>
        <v>6.15</v>
      </c>
      <c r="E2118" s="1">
        <f>IFERROR(__xludf.DUMMYFUNCTION("""COMPUTED_VALUE"""),6.21)</f>
        <v>6.21</v>
      </c>
      <c r="F2118" s="1">
        <f>IFERROR(__xludf.DUMMYFUNCTION("""COMPUTED_VALUE"""),1424228.0)</f>
        <v>1424228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IFERROR(__xludf.DUMMYFUNCTION("""COMPUTED_VALUE"""),6.35)</f>
        <v>6.35</v>
      </c>
      <c r="C2119" s="1">
        <f>IFERROR(__xludf.DUMMYFUNCTION("""COMPUTED_VALUE"""),6.39)</f>
        <v>6.39</v>
      </c>
      <c r="D2119" s="1">
        <f>IFERROR(__xludf.DUMMYFUNCTION("""COMPUTED_VALUE"""),6.29)</f>
        <v>6.29</v>
      </c>
      <c r="E2119" s="1">
        <f>IFERROR(__xludf.DUMMYFUNCTION("""COMPUTED_VALUE"""),6.31)</f>
        <v>6.31</v>
      </c>
      <c r="F2119" s="1">
        <f>IFERROR(__xludf.DUMMYFUNCTION("""COMPUTED_VALUE"""),1188804.0)</f>
        <v>1188804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IFERROR(__xludf.DUMMYFUNCTION("""COMPUTED_VALUE"""),6.36)</f>
        <v>6.36</v>
      </c>
      <c r="C2120" s="1">
        <f>IFERROR(__xludf.DUMMYFUNCTION("""COMPUTED_VALUE"""),6.38)</f>
        <v>6.38</v>
      </c>
      <c r="D2120" s="1">
        <f>IFERROR(__xludf.DUMMYFUNCTION("""COMPUTED_VALUE"""),6.34)</f>
        <v>6.34</v>
      </c>
      <c r="E2120" s="1">
        <f>IFERROR(__xludf.DUMMYFUNCTION("""COMPUTED_VALUE"""),6.35)</f>
        <v>6.35</v>
      </c>
      <c r="F2120" s="1">
        <f>IFERROR(__xludf.DUMMYFUNCTION("""COMPUTED_VALUE"""),1069205.0)</f>
        <v>1069205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IFERROR(__xludf.DUMMYFUNCTION("""COMPUTED_VALUE"""),6.29)</f>
        <v>6.29</v>
      </c>
      <c r="C2121" s="1">
        <f>IFERROR(__xludf.DUMMYFUNCTION("""COMPUTED_VALUE"""),6.3)</f>
        <v>6.3</v>
      </c>
      <c r="D2121" s="1">
        <f>IFERROR(__xludf.DUMMYFUNCTION("""COMPUTED_VALUE"""),6.24)</f>
        <v>6.24</v>
      </c>
      <c r="E2121" s="1">
        <f>IFERROR(__xludf.DUMMYFUNCTION("""COMPUTED_VALUE"""),6.27)</f>
        <v>6.27</v>
      </c>
      <c r="F2121" s="1">
        <f>IFERROR(__xludf.DUMMYFUNCTION("""COMPUTED_VALUE"""),1155079.0)</f>
        <v>1155079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IFERROR(__xludf.DUMMYFUNCTION("""COMPUTED_VALUE"""),6.27)</f>
        <v>6.27</v>
      </c>
      <c r="C2122" s="1">
        <f>IFERROR(__xludf.DUMMYFUNCTION("""COMPUTED_VALUE"""),6.31)</f>
        <v>6.31</v>
      </c>
      <c r="D2122" s="1">
        <f>IFERROR(__xludf.DUMMYFUNCTION("""COMPUTED_VALUE"""),6.22)</f>
        <v>6.22</v>
      </c>
      <c r="E2122" s="1">
        <f>IFERROR(__xludf.DUMMYFUNCTION("""COMPUTED_VALUE"""),6.29)</f>
        <v>6.29</v>
      </c>
      <c r="F2122" s="1">
        <f>IFERROR(__xludf.DUMMYFUNCTION("""COMPUTED_VALUE"""),1549272.0)</f>
        <v>1549272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IFERROR(__xludf.DUMMYFUNCTION("""COMPUTED_VALUE"""),6.37)</f>
        <v>6.37</v>
      </c>
      <c r="C2123" s="1">
        <f>IFERROR(__xludf.DUMMYFUNCTION("""COMPUTED_VALUE"""),6.4)</f>
        <v>6.4</v>
      </c>
      <c r="D2123" s="1">
        <f>IFERROR(__xludf.DUMMYFUNCTION("""COMPUTED_VALUE"""),6.3)</f>
        <v>6.3</v>
      </c>
      <c r="E2123" s="1">
        <f>IFERROR(__xludf.DUMMYFUNCTION("""COMPUTED_VALUE"""),6.32)</f>
        <v>6.32</v>
      </c>
      <c r="F2123" s="1">
        <f>IFERROR(__xludf.DUMMYFUNCTION("""COMPUTED_VALUE"""),1547449.0)</f>
        <v>1547449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IFERROR(__xludf.DUMMYFUNCTION("""COMPUTED_VALUE"""),6.32)</f>
        <v>6.32</v>
      </c>
      <c r="C2124" s="1">
        <f>IFERROR(__xludf.DUMMYFUNCTION("""COMPUTED_VALUE"""),6.34)</f>
        <v>6.34</v>
      </c>
      <c r="D2124" s="1">
        <f>IFERROR(__xludf.DUMMYFUNCTION("""COMPUTED_VALUE"""),6.27)</f>
        <v>6.27</v>
      </c>
      <c r="E2124" s="1">
        <f>IFERROR(__xludf.DUMMYFUNCTION("""COMPUTED_VALUE"""),6.33)</f>
        <v>6.33</v>
      </c>
      <c r="F2124" s="1">
        <f>IFERROR(__xludf.DUMMYFUNCTION("""COMPUTED_VALUE"""),620432.0)</f>
        <v>620432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IFERROR(__xludf.DUMMYFUNCTION("""COMPUTED_VALUE"""),6.37)</f>
        <v>6.37</v>
      </c>
      <c r="C2125" s="1">
        <f>IFERROR(__xludf.DUMMYFUNCTION("""COMPUTED_VALUE"""),6.45)</f>
        <v>6.45</v>
      </c>
      <c r="D2125" s="1">
        <f>IFERROR(__xludf.DUMMYFUNCTION("""COMPUTED_VALUE"""),6.36)</f>
        <v>6.36</v>
      </c>
      <c r="E2125" s="1">
        <f>IFERROR(__xludf.DUMMYFUNCTION("""COMPUTED_VALUE"""),6.41)</f>
        <v>6.41</v>
      </c>
      <c r="F2125" s="1">
        <f>IFERROR(__xludf.DUMMYFUNCTION("""COMPUTED_VALUE"""),811274.0)</f>
        <v>811274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IFERROR(__xludf.DUMMYFUNCTION("""COMPUTED_VALUE"""),6.4)</f>
        <v>6.4</v>
      </c>
      <c r="C2126" s="1">
        <f>IFERROR(__xludf.DUMMYFUNCTION("""COMPUTED_VALUE"""),6.41)</f>
        <v>6.41</v>
      </c>
      <c r="D2126" s="1">
        <f>IFERROR(__xludf.DUMMYFUNCTION("""COMPUTED_VALUE"""),6.31)</f>
        <v>6.31</v>
      </c>
      <c r="E2126" s="1">
        <f>IFERROR(__xludf.DUMMYFUNCTION("""COMPUTED_VALUE"""),6.34)</f>
        <v>6.34</v>
      </c>
      <c r="F2126" s="1">
        <f>IFERROR(__xludf.DUMMYFUNCTION("""COMPUTED_VALUE"""),754589.0)</f>
        <v>754589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IFERROR(__xludf.DUMMYFUNCTION("""COMPUTED_VALUE"""),6.43)</f>
        <v>6.43</v>
      </c>
      <c r="C2127" s="1">
        <f>IFERROR(__xludf.DUMMYFUNCTION("""COMPUTED_VALUE"""),6.44)</f>
        <v>6.44</v>
      </c>
      <c r="D2127" s="1">
        <f>IFERROR(__xludf.DUMMYFUNCTION("""COMPUTED_VALUE"""),6.38)</f>
        <v>6.38</v>
      </c>
      <c r="E2127" s="1">
        <f>IFERROR(__xludf.DUMMYFUNCTION("""COMPUTED_VALUE"""),6.41)</f>
        <v>6.41</v>
      </c>
      <c r="F2127" s="1">
        <f>IFERROR(__xludf.DUMMYFUNCTION("""COMPUTED_VALUE"""),919076.0)</f>
        <v>919076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IFERROR(__xludf.DUMMYFUNCTION("""COMPUTED_VALUE"""),6.33)</f>
        <v>6.33</v>
      </c>
      <c r="C2128" s="1">
        <f>IFERROR(__xludf.DUMMYFUNCTION("""COMPUTED_VALUE"""),6.35)</f>
        <v>6.35</v>
      </c>
      <c r="D2128" s="1">
        <f>IFERROR(__xludf.DUMMYFUNCTION("""COMPUTED_VALUE"""),6.29)</f>
        <v>6.29</v>
      </c>
      <c r="E2128" s="1">
        <f>IFERROR(__xludf.DUMMYFUNCTION("""COMPUTED_VALUE"""),6.3)</f>
        <v>6.3</v>
      </c>
      <c r="F2128" s="1">
        <f>IFERROR(__xludf.DUMMYFUNCTION("""COMPUTED_VALUE"""),717358.0)</f>
        <v>717358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IFERROR(__xludf.DUMMYFUNCTION("""COMPUTED_VALUE"""),6.14)</f>
        <v>6.14</v>
      </c>
      <c r="C2129" s="1">
        <f>IFERROR(__xludf.DUMMYFUNCTION("""COMPUTED_VALUE"""),6.15)</f>
        <v>6.15</v>
      </c>
      <c r="D2129" s="1">
        <f>IFERROR(__xludf.DUMMYFUNCTION("""COMPUTED_VALUE"""),6.07)</f>
        <v>6.07</v>
      </c>
      <c r="E2129" s="1">
        <f>IFERROR(__xludf.DUMMYFUNCTION("""COMPUTED_VALUE"""),6.08)</f>
        <v>6.08</v>
      </c>
      <c r="F2129" s="1">
        <f>IFERROR(__xludf.DUMMYFUNCTION("""COMPUTED_VALUE"""),6558609.0)</f>
        <v>6558609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IFERROR(__xludf.DUMMYFUNCTION("""COMPUTED_VALUE"""),6.14)</f>
        <v>6.14</v>
      </c>
      <c r="C2130" s="1">
        <f>IFERROR(__xludf.DUMMYFUNCTION("""COMPUTED_VALUE"""),6.16)</f>
        <v>6.16</v>
      </c>
      <c r="D2130" s="1">
        <f>IFERROR(__xludf.DUMMYFUNCTION("""COMPUTED_VALUE"""),6.09)</f>
        <v>6.09</v>
      </c>
      <c r="E2130" s="1">
        <f>IFERROR(__xludf.DUMMYFUNCTION("""COMPUTED_VALUE"""),6.15)</f>
        <v>6.15</v>
      </c>
      <c r="F2130" s="1">
        <f>IFERROR(__xludf.DUMMYFUNCTION("""COMPUTED_VALUE"""),3379286.0)</f>
        <v>3379286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IFERROR(__xludf.DUMMYFUNCTION("""COMPUTED_VALUE"""),6.29)</f>
        <v>6.29</v>
      </c>
      <c r="C2131" s="1">
        <f>IFERROR(__xludf.DUMMYFUNCTION("""COMPUTED_VALUE"""),6.31)</f>
        <v>6.31</v>
      </c>
      <c r="D2131" s="1">
        <f>IFERROR(__xludf.DUMMYFUNCTION("""COMPUTED_VALUE"""),6.25)</f>
        <v>6.25</v>
      </c>
      <c r="E2131" s="1">
        <f>IFERROR(__xludf.DUMMYFUNCTION("""COMPUTED_VALUE"""),6.28)</f>
        <v>6.28</v>
      </c>
      <c r="F2131" s="1">
        <f>IFERROR(__xludf.DUMMYFUNCTION("""COMPUTED_VALUE"""),2587502.0)</f>
        <v>2587502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IFERROR(__xludf.DUMMYFUNCTION("""COMPUTED_VALUE"""),6.23)</f>
        <v>6.23</v>
      </c>
      <c r="C2132" s="1">
        <f>IFERROR(__xludf.DUMMYFUNCTION("""COMPUTED_VALUE"""),6.24)</f>
        <v>6.24</v>
      </c>
      <c r="D2132" s="1">
        <f>IFERROR(__xludf.DUMMYFUNCTION("""COMPUTED_VALUE"""),6.17)</f>
        <v>6.17</v>
      </c>
      <c r="E2132" s="1">
        <f>IFERROR(__xludf.DUMMYFUNCTION("""COMPUTED_VALUE"""),6.18)</f>
        <v>6.18</v>
      </c>
      <c r="F2132" s="1">
        <f>IFERROR(__xludf.DUMMYFUNCTION("""COMPUTED_VALUE"""),1927474.0)</f>
        <v>1927474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IFERROR(__xludf.DUMMYFUNCTION("""COMPUTED_VALUE"""),6.09)</f>
        <v>6.09</v>
      </c>
      <c r="C2133" s="1">
        <f>IFERROR(__xludf.DUMMYFUNCTION("""COMPUTED_VALUE"""),6.09)</f>
        <v>6.09</v>
      </c>
      <c r="D2133" s="1">
        <f>IFERROR(__xludf.DUMMYFUNCTION("""COMPUTED_VALUE"""),6.02)</f>
        <v>6.02</v>
      </c>
      <c r="E2133" s="1">
        <f>IFERROR(__xludf.DUMMYFUNCTION("""COMPUTED_VALUE"""),6.02)</f>
        <v>6.02</v>
      </c>
      <c r="F2133" s="1">
        <f>IFERROR(__xludf.DUMMYFUNCTION("""COMPUTED_VALUE"""),1782984.0)</f>
        <v>1782984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IFERROR(__xludf.DUMMYFUNCTION("""COMPUTED_VALUE"""),6.11)</f>
        <v>6.11</v>
      </c>
      <c r="C2134" s="1">
        <f>IFERROR(__xludf.DUMMYFUNCTION("""COMPUTED_VALUE"""),6.21)</f>
        <v>6.21</v>
      </c>
      <c r="D2134" s="1">
        <f>IFERROR(__xludf.DUMMYFUNCTION("""COMPUTED_VALUE"""),6.09)</f>
        <v>6.09</v>
      </c>
      <c r="E2134" s="1">
        <f>IFERROR(__xludf.DUMMYFUNCTION("""COMPUTED_VALUE"""),6.15)</f>
        <v>6.15</v>
      </c>
      <c r="F2134" s="1">
        <f>IFERROR(__xludf.DUMMYFUNCTION("""COMPUTED_VALUE"""),2954071.0)</f>
        <v>2954071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IFERROR(__xludf.DUMMYFUNCTION("""COMPUTED_VALUE"""),6.08)</f>
        <v>6.08</v>
      </c>
      <c r="C2135" s="1">
        <f>IFERROR(__xludf.DUMMYFUNCTION("""COMPUTED_VALUE"""),6.11)</f>
        <v>6.11</v>
      </c>
      <c r="D2135" s="1">
        <f>IFERROR(__xludf.DUMMYFUNCTION("""COMPUTED_VALUE"""),6.02)</f>
        <v>6.02</v>
      </c>
      <c r="E2135" s="1">
        <f>IFERROR(__xludf.DUMMYFUNCTION("""COMPUTED_VALUE"""),6.06)</f>
        <v>6.06</v>
      </c>
      <c r="F2135" s="1">
        <f>IFERROR(__xludf.DUMMYFUNCTION("""COMPUTED_VALUE"""),1623132.0)</f>
        <v>1623132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IFERROR(__xludf.DUMMYFUNCTION("""COMPUTED_VALUE"""),5.96)</f>
        <v>5.96</v>
      </c>
      <c r="C2136" s="1">
        <f>IFERROR(__xludf.DUMMYFUNCTION("""COMPUTED_VALUE"""),5.98)</f>
        <v>5.98</v>
      </c>
      <c r="D2136" s="1">
        <f>IFERROR(__xludf.DUMMYFUNCTION("""COMPUTED_VALUE"""),5.9)</f>
        <v>5.9</v>
      </c>
      <c r="E2136" s="1">
        <f>IFERROR(__xludf.DUMMYFUNCTION("""COMPUTED_VALUE"""),5.95)</f>
        <v>5.95</v>
      </c>
      <c r="F2136" s="1">
        <f>IFERROR(__xludf.DUMMYFUNCTION("""COMPUTED_VALUE"""),2194565.0)</f>
        <v>2194565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IFERROR(__xludf.DUMMYFUNCTION("""COMPUTED_VALUE"""),5.95)</f>
        <v>5.95</v>
      </c>
      <c r="C2137" s="1">
        <f>IFERROR(__xludf.DUMMYFUNCTION("""COMPUTED_VALUE"""),5.97)</f>
        <v>5.97</v>
      </c>
      <c r="D2137" s="1">
        <f>IFERROR(__xludf.DUMMYFUNCTION("""COMPUTED_VALUE"""),5.83)</f>
        <v>5.83</v>
      </c>
      <c r="E2137" s="1">
        <f>IFERROR(__xludf.DUMMYFUNCTION("""COMPUTED_VALUE"""),5.83)</f>
        <v>5.83</v>
      </c>
      <c r="F2137" s="1">
        <f>IFERROR(__xludf.DUMMYFUNCTION("""COMPUTED_VALUE"""),1914541.0)</f>
        <v>1914541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IFERROR(__xludf.DUMMYFUNCTION("""COMPUTED_VALUE"""),5.83)</f>
        <v>5.83</v>
      </c>
      <c r="C2138" s="1">
        <f>IFERROR(__xludf.DUMMYFUNCTION("""COMPUTED_VALUE"""),5.87)</f>
        <v>5.87</v>
      </c>
      <c r="D2138" s="1">
        <f>IFERROR(__xludf.DUMMYFUNCTION("""COMPUTED_VALUE"""),5.8)</f>
        <v>5.8</v>
      </c>
      <c r="E2138" s="1">
        <f>IFERROR(__xludf.DUMMYFUNCTION("""COMPUTED_VALUE"""),5.85)</f>
        <v>5.85</v>
      </c>
      <c r="F2138" s="1">
        <f>IFERROR(__xludf.DUMMYFUNCTION("""COMPUTED_VALUE"""),5173168.0)</f>
        <v>5173168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IFERROR(__xludf.DUMMYFUNCTION("""COMPUTED_VALUE"""),5.96)</f>
        <v>5.96</v>
      </c>
      <c r="C2139" s="1">
        <f>IFERROR(__xludf.DUMMYFUNCTION("""COMPUTED_VALUE"""),5.99)</f>
        <v>5.99</v>
      </c>
      <c r="D2139" s="1">
        <f>IFERROR(__xludf.DUMMYFUNCTION("""COMPUTED_VALUE"""),5.92)</f>
        <v>5.92</v>
      </c>
      <c r="E2139" s="1">
        <f>IFERROR(__xludf.DUMMYFUNCTION("""COMPUTED_VALUE"""),5.92)</f>
        <v>5.92</v>
      </c>
      <c r="F2139" s="1">
        <f>IFERROR(__xludf.DUMMYFUNCTION("""COMPUTED_VALUE"""),4281618.0)</f>
        <v>4281618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IFERROR(__xludf.DUMMYFUNCTION("""COMPUTED_VALUE"""),5.9)</f>
        <v>5.9</v>
      </c>
      <c r="C2140" s="1">
        <f>IFERROR(__xludf.DUMMYFUNCTION("""COMPUTED_VALUE"""),5.92)</f>
        <v>5.92</v>
      </c>
      <c r="D2140" s="1">
        <f>IFERROR(__xludf.DUMMYFUNCTION("""COMPUTED_VALUE"""),5.85)</f>
        <v>5.85</v>
      </c>
      <c r="E2140" s="1">
        <f>IFERROR(__xludf.DUMMYFUNCTION("""COMPUTED_VALUE"""),5.88)</f>
        <v>5.88</v>
      </c>
      <c r="F2140" s="1">
        <f>IFERROR(__xludf.DUMMYFUNCTION("""COMPUTED_VALUE"""),1030795.0)</f>
        <v>1030795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IFERROR(__xludf.DUMMYFUNCTION("""COMPUTED_VALUE"""),5.92)</f>
        <v>5.92</v>
      </c>
      <c r="C2141" s="1">
        <f>IFERROR(__xludf.DUMMYFUNCTION("""COMPUTED_VALUE"""),5.94)</f>
        <v>5.94</v>
      </c>
      <c r="D2141" s="1">
        <f>IFERROR(__xludf.DUMMYFUNCTION("""COMPUTED_VALUE"""),5.85)</f>
        <v>5.85</v>
      </c>
      <c r="E2141" s="1">
        <f>IFERROR(__xludf.DUMMYFUNCTION("""COMPUTED_VALUE"""),5.86)</f>
        <v>5.86</v>
      </c>
      <c r="F2141" s="1">
        <f>IFERROR(__xludf.DUMMYFUNCTION("""COMPUTED_VALUE"""),905577.0)</f>
        <v>905577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IFERROR(__xludf.DUMMYFUNCTION("""COMPUTED_VALUE"""),6.05)</f>
        <v>6.05</v>
      </c>
      <c r="C2142" s="1">
        <f>IFERROR(__xludf.DUMMYFUNCTION("""COMPUTED_VALUE"""),6.06)</f>
        <v>6.06</v>
      </c>
      <c r="D2142" s="1">
        <f>IFERROR(__xludf.DUMMYFUNCTION("""COMPUTED_VALUE"""),6.0)</f>
        <v>6</v>
      </c>
      <c r="E2142" s="1">
        <f>IFERROR(__xludf.DUMMYFUNCTION("""COMPUTED_VALUE"""),6.01)</f>
        <v>6.01</v>
      </c>
      <c r="F2142" s="1">
        <f>IFERROR(__xludf.DUMMYFUNCTION("""COMPUTED_VALUE"""),1723482.0)</f>
        <v>1723482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IFERROR(__xludf.DUMMYFUNCTION("""COMPUTED_VALUE"""),5.97)</f>
        <v>5.97</v>
      </c>
      <c r="C2143" s="1">
        <f>IFERROR(__xludf.DUMMYFUNCTION("""COMPUTED_VALUE"""),6.03)</f>
        <v>6.03</v>
      </c>
      <c r="D2143" s="1">
        <f>IFERROR(__xludf.DUMMYFUNCTION("""COMPUTED_VALUE"""),5.96)</f>
        <v>5.96</v>
      </c>
      <c r="E2143" s="1">
        <f>IFERROR(__xludf.DUMMYFUNCTION("""COMPUTED_VALUE"""),6.02)</f>
        <v>6.02</v>
      </c>
      <c r="F2143" s="1">
        <f>IFERROR(__xludf.DUMMYFUNCTION("""COMPUTED_VALUE"""),948513.0)</f>
        <v>948513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IFERROR(__xludf.DUMMYFUNCTION("""COMPUTED_VALUE"""),6.06)</f>
        <v>6.06</v>
      </c>
      <c r="C2144" s="1">
        <f>IFERROR(__xludf.DUMMYFUNCTION("""COMPUTED_VALUE"""),6.13)</f>
        <v>6.13</v>
      </c>
      <c r="D2144" s="1">
        <f>IFERROR(__xludf.DUMMYFUNCTION("""COMPUTED_VALUE"""),6.06)</f>
        <v>6.06</v>
      </c>
      <c r="E2144" s="1">
        <f>IFERROR(__xludf.DUMMYFUNCTION("""COMPUTED_VALUE"""),6.12)</f>
        <v>6.12</v>
      </c>
      <c r="F2144" s="1">
        <f>IFERROR(__xludf.DUMMYFUNCTION("""COMPUTED_VALUE"""),1912439.0)</f>
        <v>1912439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IFERROR(__xludf.DUMMYFUNCTION("""COMPUTED_VALUE"""),6.06)</f>
        <v>6.06</v>
      </c>
      <c r="C2145" s="1">
        <f>IFERROR(__xludf.DUMMYFUNCTION("""COMPUTED_VALUE"""),6.06)</f>
        <v>6.06</v>
      </c>
      <c r="D2145" s="1">
        <f>IFERROR(__xludf.DUMMYFUNCTION("""COMPUTED_VALUE"""),6.01)</f>
        <v>6.01</v>
      </c>
      <c r="E2145" s="1">
        <f>IFERROR(__xludf.DUMMYFUNCTION("""COMPUTED_VALUE"""),6.02)</f>
        <v>6.02</v>
      </c>
      <c r="F2145" s="1">
        <f>IFERROR(__xludf.DUMMYFUNCTION("""COMPUTED_VALUE"""),2440397.0)</f>
        <v>2440397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IFERROR(__xludf.DUMMYFUNCTION("""COMPUTED_VALUE"""),5.97)</f>
        <v>5.97</v>
      </c>
      <c r="C2146" s="1">
        <f>IFERROR(__xludf.DUMMYFUNCTION("""COMPUTED_VALUE"""),5.98)</f>
        <v>5.98</v>
      </c>
      <c r="D2146" s="1">
        <f>IFERROR(__xludf.DUMMYFUNCTION("""COMPUTED_VALUE"""),5.89)</f>
        <v>5.89</v>
      </c>
      <c r="E2146" s="1">
        <f>IFERROR(__xludf.DUMMYFUNCTION("""COMPUTED_VALUE"""),5.9)</f>
        <v>5.9</v>
      </c>
      <c r="F2146" s="1">
        <f>IFERROR(__xludf.DUMMYFUNCTION("""COMPUTED_VALUE"""),2133959.0)</f>
        <v>2133959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IFERROR(__xludf.DUMMYFUNCTION("""COMPUTED_VALUE"""),5.94)</f>
        <v>5.94</v>
      </c>
      <c r="C2147" s="1">
        <f>IFERROR(__xludf.DUMMYFUNCTION("""COMPUTED_VALUE"""),5.96)</f>
        <v>5.96</v>
      </c>
      <c r="D2147" s="1">
        <f>IFERROR(__xludf.DUMMYFUNCTION("""COMPUTED_VALUE"""),5.91)</f>
        <v>5.91</v>
      </c>
      <c r="E2147" s="1">
        <f>IFERROR(__xludf.DUMMYFUNCTION("""COMPUTED_VALUE"""),5.96)</f>
        <v>5.96</v>
      </c>
      <c r="F2147" s="1">
        <f>IFERROR(__xludf.DUMMYFUNCTION("""COMPUTED_VALUE"""),1686911.0)</f>
        <v>1686911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IFERROR(__xludf.DUMMYFUNCTION("""COMPUTED_VALUE"""),5.99)</f>
        <v>5.99</v>
      </c>
      <c r="C2148" s="1">
        <f>IFERROR(__xludf.DUMMYFUNCTION("""COMPUTED_VALUE"""),6.02)</f>
        <v>6.02</v>
      </c>
      <c r="D2148" s="1">
        <f>IFERROR(__xludf.DUMMYFUNCTION("""COMPUTED_VALUE"""),5.97)</f>
        <v>5.97</v>
      </c>
      <c r="E2148" s="1">
        <f>IFERROR(__xludf.DUMMYFUNCTION("""COMPUTED_VALUE"""),6.0)</f>
        <v>6</v>
      </c>
      <c r="F2148" s="1">
        <f>IFERROR(__xludf.DUMMYFUNCTION("""COMPUTED_VALUE"""),916922.0)</f>
        <v>916922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IFERROR(__xludf.DUMMYFUNCTION("""COMPUTED_VALUE"""),6.04)</f>
        <v>6.04</v>
      </c>
      <c r="C2149" s="1">
        <f>IFERROR(__xludf.DUMMYFUNCTION("""COMPUTED_VALUE"""),6.12)</f>
        <v>6.12</v>
      </c>
      <c r="D2149" s="1">
        <f>IFERROR(__xludf.DUMMYFUNCTION("""COMPUTED_VALUE"""),6.04)</f>
        <v>6.04</v>
      </c>
      <c r="E2149" s="1">
        <f>IFERROR(__xludf.DUMMYFUNCTION("""COMPUTED_VALUE"""),6.12)</f>
        <v>6.12</v>
      </c>
      <c r="F2149" s="1">
        <f>IFERROR(__xludf.DUMMYFUNCTION("""COMPUTED_VALUE"""),1009981.0)</f>
        <v>1009981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IFERROR(__xludf.DUMMYFUNCTION("""COMPUTED_VALUE"""),6.11)</f>
        <v>6.11</v>
      </c>
      <c r="C2150" s="1">
        <f>IFERROR(__xludf.DUMMYFUNCTION("""COMPUTED_VALUE"""),6.14)</f>
        <v>6.14</v>
      </c>
      <c r="D2150" s="1">
        <f>IFERROR(__xludf.DUMMYFUNCTION("""COMPUTED_VALUE"""),6.09)</f>
        <v>6.09</v>
      </c>
      <c r="E2150" s="1">
        <f>IFERROR(__xludf.DUMMYFUNCTION("""COMPUTED_VALUE"""),6.12)</f>
        <v>6.12</v>
      </c>
      <c r="F2150" s="1">
        <f>IFERROR(__xludf.DUMMYFUNCTION("""COMPUTED_VALUE"""),1344891.0)</f>
        <v>1344891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IFERROR(__xludf.DUMMYFUNCTION("""COMPUTED_VALUE"""),6.15)</f>
        <v>6.15</v>
      </c>
      <c r="C2151" s="1">
        <f>IFERROR(__xludf.DUMMYFUNCTION("""COMPUTED_VALUE"""),6.18)</f>
        <v>6.18</v>
      </c>
      <c r="D2151" s="1">
        <f>IFERROR(__xludf.DUMMYFUNCTION("""COMPUTED_VALUE"""),6.12)</f>
        <v>6.12</v>
      </c>
      <c r="E2151" s="1">
        <f>IFERROR(__xludf.DUMMYFUNCTION("""COMPUTED_VALUE"""),6.16)</f>
        <v>6.16</v>
      </c>
      <c r="F2151" s="1">
        <f>IFERROR(__xludf.DUMMYFUNCTION("""COMPUTED_VALUE"""),825561.0)</f>
        <v>825561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IFERROR(__xludf.DUMMYFUNCTION("""COMPUTED_VALUE"""),6.14)</f>
        <v>6.14</v>
      </c>
      <c r="C2152" s="1">
        <f>IFERROR(__xludf.DUMMYFUNCTION("""COMPUTED_VALUE"""),6.17)</f>
        <v>6.17</v>
      </c>
      <c r="D2152" s="1">
        <f>IFERROR(__xludf.DUMMYFUNCTION("""COMPUTED_VALUE"""),6.1)</f>
        <v>6.1</v>
      </c>
      <c r="E2152" s="1">
        <f>IFERROR(__xludf.DUMMYFUNCTION("""COMPUTED_VALUE"""),6.13)</f>
        <v>6.13</v>
      </c>
      <c r="F2152" s="1">
        <f>IFERROR(__xludf.DUMMYFUNCTION("""COMPUTED_VALUE"""),1127058.0)</f>
        <v>1127058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IFERROR(__xludf.DUMMYFUNCTION("""COMPUTED_VALUE"""),6.12)</f>
        <v>6.12</v>
      </c>
      <c r="C2153" s="1">
        <f>IFERROR(__xludf.DUMMYFUNCTION("""COMPUTED_VALUE"""),6.17)</f>
        <v>6.17</v>
      </c>
      <c r="D2153" s="1">
        <f>IFERROR(__xludf.DUMMYFUNCTION("""COMPUTED_VALUE"""),6.12)</f>
        <v>6.12</v>
      </c>
      <c r="E2153" s="1">
        <f>IFERROR(__xludf.DUMMYFUNCTION("""COMPUTED_VALUE"""),6.14)</f>
        <v>6.14</v>
      </c>
      <c r="F2153" s="1">
        <f>IFERROR(__xludf.DUMMYFUNCTION("""COMPUTED_VALUE"""),737153.0)</f>
        <v>737153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IFERROR(__xludf.DUMMYFUNCTION("""COMPUTED_VALUE"""),6.18)</f>
        <v>6.18</v>
      </c>
      <c r="C2154" s="1">
        <f>IFERROR(__xludf.DUMMYFUNCTION("""COMPUTED_VALUE"""),6.21)</f>
        <v>6.21</v>
      </c>
      <c r="D2154" s="1">
        <f>IFERROR(__xludf.DUMMYFUNCTION("""COMPUTED_VALUE"""),6.17)</f>
        <v>6.17</v>
      </c>
      <c r="E2154" s="1">
        <f>IFERROR(__xludf.DUMMYFUNCTION("""COMPUTED_VALUE"""),6.2)</f>
        <v>6.2</v>
      </c>
      <c r="F2154" s="1">
        <f>IFERROR(__xludf.DUMMYFUNCTION("""COMPUTED_VALUE"""),1759812.0)</f>
        <v>1759812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IFERROR(__xludf.DUMMYFUNCTION("""COMPUTED_VALUE"""),6.32)</f>
        <v>6.32</v>
      </c>
      <c r="C2155" s="1">
        <f>IFERROR(__xludf.DUMMYFUNCTION("""COMPUTED_VALUE"""),6.34)</f>
        <v>6.34</v>
      </c>
      <c r="D2155" s="1">
        <f>IFERROR(__xludf.DUMMYFUNCTION("""COMPUTED_VALUE"""),6.3)</f>
        <v>6.3</v>
      </c>
      <c r="E2155" s="1">
        <f>IFERROR(__xludf.DUMMYFUNCTION("""COMPUTED_VALUE"""),6.32)</f>
        <v>6.32</v>
      </c>
      <c r="F2155" s="1">
        <f>IFERROR(__xludf.DUMMYFUNCTION("""COMPUTED_VALUE"""),2339534.0)</f>
        <v>2339534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IFERROR(__xludf.DUMMYFUNCTION("""COMPUTED_VALUE"""),6.31)</f>
        <v>6.31</v>
      </c>
      <c r="C2156" s="1">
        <f>IFERROR(__xludf.DUMMYFUNCTION("""COMPUTED_VALUE"""),6.32)</f>
        <v>6.32</v>
      </c>
      <c r="D2156" s="1">
        <f>IFERROR(__xludf.DUMMYFUNCTION("""COMPUTED_VALUE"""),6.25)</f>
        <v>6.25</v>
      </c>
      <c r="E2156" s="1">
        <f>IFERROR(__xludf.DUMMYFUNCTION("""COMPUTED_VALUE"""),6.32)</f>
        <v>6.32</v>
      </c>
      <c r="F2156" s="1">
        <f>IFERROR(__xludf.DUMMYFUNCTION("""COMPUTED_VALUE"""),1198509.0)</f>
        <v>1198509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IFERROR(__xludf.DUMMYFUNCTION("""COMPUTED_VALUE"""),6.31)</f>
        <v>6.31</v>
      </c>
      <c r="C2157" s="1">
        <f>IFERROR(__xludf.DUMMYFUNCTION("""COMPUTED_VALUE"""),6.33)</f>
        <v>6.33</v>
      </c>
      <c r="D2157" s="1">
        <f>IFERROR(__xludf.DUMMYFUNCTION("""COMPUTED_VALUE"""),6.29)</f>
        <v>6.29</v>
      </c>
      <c r="E2157" s="1">
        <f>IFERROR(__xludf.DUMMYFUNCTION("""COMPUTED_VALUE"""),6.31)</f>
        <v>6.31</v>
      </c>
      <c r="F2157" s="1">
        <f>IFERROR(__xludf.DUMMYFUNCTION("""COMPUTED_VALUE"""),1089827.0)</f>
        <v>1089827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IFERROR(__xludf.DUMMYFUNCTION("""COMPUTED_VALUE"""),6.33)</f>
        <v>6.33</v>
      </c>
      <c r="C2158" s="1">
        <f>IFERROR(__xludf.DUMMYFUNCTION("""COMPUTED_VALUE"""),6.37)</f>
        <v>6.37</v>
      </c>
      <c r="D2158" s="1">
        <f>IFERROR(__xludf.DUMMYFUNCTION("""COMPUTED_VALUE"""),6.32)</f>
        <v>6.32</v>
      </c>
      <c r="E2158" s="1">
        <f>IFERROR(__xludf.DUMMYFUNCTION("""COMPUTED_VALUE"""),6.35)</f>
        <v>6.35</v>
      </c>
      <c r="F2158" s="1">
        <f>IFERROR(__xludf.DUMMYFUNCTION("""COMPUTED_VALUE"""),773174.0)</f>
        <v>773174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IFERROR(__xludf.DUMMYFUNCTION("""COMPUTED_VALUE"""),6.43)</f>
        <v>6.43</v>
      </c>
      <c r="C2159" s="1">
        <f>IFERROR(__xludf.DUMMYFUNCTION("""COMPUTED_VALUE"""),6.47)</f>
        <v>6.47</v>
      </c>
      <c r="D2159" s="1">
        <f>IFERROR(__xludf.DUMMYFUNCTION("""COMPUTED_VALUE"""),6.43)</f>
        <v>6.43</v>
      </c>
      <c r="E2159" s="1">
        <f>IFERROR(__xludf.DUMMYFUNCTION("""COMPUTED_VALUE"""),6.43)</f>
        <v>6.43</v>
      </c>
      <c r="F2159" s="1">
        <f>IFERROR(__xludf.DUMMYFUNCTION("""COMPUTED_VALUE"""),860815.0)</f>
        <v>860815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IFERROR(__xludf.DUMMYFUNCTION("""COMPUTED_VALUE"""),6.6)</f>
        <v>6.6</v>
      </c>
      <c r="C2160" s="1">
        <f>IFERROR(__xludf.DUMMYFUNCTION("""COMPUTED_VALUE"""),6.6)</f>
        <v>6.6</v>
      </c>
      <c r="D2160" s="1">
        <f>IFERROR(__xludf.DUMMYFUNCTION("""COMPUTED_VALUE"""),6.53)</f>
        <v>6.53</v>
      </c>
      <c r="E2160" s="1">
        <f>IFERROR(__xludf.DUMMYFUNCTION("""COMPUTED_VALUE"""),6.55)</f>
        <v>6.55</v>
      </c>
      <c r="F2160" s="1">
        <f>IFERROR(__xludf.DUMMYFUNCTION("""COMPUTED_VALUE"""),1981849.0)</f>
        <v>1981849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IFERROR(__xludf.DUMMYFUNCTION("""COMPUTED_VALUE"""),6.57)</f>
        <v>6.57</v>
      </c>
      <c r="C2161" s="1">
        <f>IFERROR(__xludf.DUMMYFUNCTION("""COMPUTED_VALUE"""),6.6)</f>
        <v>6.6</v>
      </c>
      <c r="D2161" s="1">
        <f>IFERROR(__xludf.DUMMYFUNCTION("""COMPUTED_VALUE"""),6.51)</f>
        <v>6.51</v>
      </c>
      <c r="E2161" s="1">
        <f>IFERROR(__xludf.DUMMYFUNCTION("""COMPUTED_VALUE"""),6.53)</f>
        <v>6.53</v>
      </c>
      <c r="F2161" s="1">
        <f>IFERROR(__xludf.DUMMYFUNCTION("""COMPUTED_VALUE"""),1523086.0)</f>
        <v>1523086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IFERROR(__xludf.DUMMYFUNCTION("""COMPUTED_VALUE"""),6.36)</f>
        <v>6.36</v>
      </c>
      <c r="C2162" s="1">
        <f>IFERROR(__xludf.DUMMYFUNCTION("""COMPUTED_VALUE"""),6.37)</f>
        <v>6.37</v>
      </c>
      <c r="D2162" s="1">
        <f>IFERROR(__xludf.DUMMYFUNCTION("""COMPUTED_VALUE"""),6.28)</f>
        <v>6.28</v>
      </c>
      <c r="E2162" s="1">
        <f>IFERROR(__xludf.DUMMYFUNCTION("""COMPUTED_VALUE"""),6.31)</f>
        <v>6.31</v>
      </c>
      <c r="F2162" s="1">
        <f>IFERROR(__xludf.DUMMYFUNCTION("""COMPUTED_VALUE"""),1630488.0)</f>
        <v>1630488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IFERROR(__xludf.DUMMYFUNCTION("""COMPUTED_VALUE"""),6.35)</f>
        <v>6.35</v>
      </c>
      <c r="C2163" s="1">
        <f>IFERROR(__xludf.DUMMYFUNCTION("""COMPUTED_VALUE"""),6.37)</f>
        <v>6.37</v>
      </c>
      <c r="D2163" s="1">
        <f>IFERROR(__xludf.DUMMYFUNCTION("""COMPUTED_VALUE"""),6.34)</f>
        <v>6.34</v>
      </c>
      <c r="E2163" s="1">
        <f>IFERROR(__xludf.DUMMYFUNCTION("""COMPUTED_VALUE"""),6.36)</f>
        <v>6.36</v>
      </c>
      <c r="F2163" s="1">
        <f>IFERROR(__xludf.DUMMYFUNCTION("""COMPUTED_VALUE"""),1033828.0)</f>
        <v>1033828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IFERROR(__xludf.DUMMYFUNCTION("""COMPUTED_VALUE"""),6.32)</f>
        <v>6.32</v>
      </c>
      <c r="C2164" s="1">
        <f>IFERROR(__xludf.DUMMYFUNCTION("""COMPUTED_VALUE"""),6.33)</f>
        <v>6.33</v>
      </c>
      <c r="D2164" s="1">
        <f>IFERROR(__xludf.DUMMYFUNCTION("""COMPUTED_VALUE"""),6.29)</f>
        <v>6.29</v>
      </c>
      <c r="E2164" s="1">
        <f>IFERROR(__xludf.DUMMYFUNCTION("""COMPUTED_VALUE"""),6.31)</f>
        <v>6.31</v>
      </c>
      <c r="F2164" s="1">
        <f>IFERROR(__xludf.DUMMYFUNCTION("""COMPUTED_VALUE"""),1117607.0)</f>
        <v>1117607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IFERROR(__xludf.DUMMYFUNCTION("""COMPUTED_VALUE"""),6.36)</f>
        <v>6.36</v>
      </c>
      <c r="C2165" s="1">
        <f>IFERROR(__xludf.DUMMYFUNCTION("""COMPUTED_VALUE"""),6.39)</f>
        <v>6.39</v>
      </c>
      <c r="D2165" s="1">
        <f>IFERROR(__xludf.DUMMYFUNCTION("""COMPUTED_VALUE"""),6.31)</f>
        <v>6.31</v>
      </c>
      <c r="E2165" s="1">
        <f>IFERROR(__xludf.DUMMYFUNCTION("""COMPUTED_VALUE"""),6.31)</f>
        <v>6.31</v>
      </c>
      <c r="F2165" s="1">
        <f>IFERROR(__xludf.DUMMYFUNCTION("""COMPUTED_VALUE"""),1606881.0)</f>
        <v>1606881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IFERROR(__xludf.DUMMYFUNCTION("""COMPUTED_VALUE"""),6.33)</f>
        <v>6.33</v>
      </c>
      <c r="C2166" s="1">
        <f>IFERROR(__xludf.DUMMYFUNCTION("""COMPUTED_VALUE"""),6.37)</f>
        <v>6.37</v>
      </c>
      <c r="D2166" s="1">
        <f>IFERROR(__xludf.DUMMYFUNCTION("""COMPUTED_VALUE"""),6.32)</f>
        <v>6.32</v>
      </c>
      <c r="E2166" s="1">
        <f>IFERROR(__xludf.DUMMYFUNCTION("""COMPUTED_VALUE"""),6.36)</f>
        <v>6.36</v>
      </c>
      <c r="F2166" s="1">
        <f>IFERROR(__xludf.DUMMYFUNCTION("""COMPUTED_VALUE"""),1023096.0)</f>
        <v>1023096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IFERROR(__xludf.DUMMYFUNCTION("""COMPUTED_VALUE"""),6.34)</f>
        <v>6.34</v>
      </c>
      <c r="C2167" s="1">
        <f>IFERROR(__xludf.DUMMYFUNCTION("""COMPUTED_VALUE"""),6.36)</f>
        <v>6.36</v>
      </c>
      <c r="D2167" s="1">
        <f>IFERROR(__xludf.DUMMYFUNCTION("""COMPUTED_VALUE"""),6.31)</f>
        <v>6.31</v>
      </c>
      <c r="E2167" s="1">
        <f>IFERROR(__xludf.DUMMYFUNCTION("""COMPUTED_VALUE"""),6.32)</f>
        <v>6.32</v>
      </c>
      <c r="F2167" s="1">
        <f>IFERROR(__xludf.DUMMYFUNCTION("""COMPUTED_VALUE"""),747472.0)</f>
        <v>747472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IFERROR(__xludf.DUMMYFUNCTION("""COMPUTED_VALUE"""),6.14)</f>
        <v>6.14</v>
      </c>
      <c r="C2168" s="1">
        <f>IFERROR(__xludf.DUMMYFUNCTION("""COMPUTED_VALUE"""),6.17)</f>
        <v>6.17</v>
      </c>
      <c r="D2168" s="1">
        <f>IFERROR(__xludf.DUMMYFUNCTION("""COMPUTED_VALUE"""),6.09)</f>
        <v>6.09</v>
      </c>
      <c r="E2168" s="1">
        <f>IFERROR(__xludf.DUMMYFUNCTION("""COMPUTED_VALUE"""),6.12)</f>
        <v>6.12</v>
      </c>
      <c r="F2168" s="1">
        <f>IFERROR(__xludf.DUMMYFUNCTION("""COMPUTED_VALUE"""),855812.0)</f>
        <v>855812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IFERROR(__xludf.DUMMYFUNCTION("""COMPUTED_VALUE"""),6.16)</f>
        <v>6.16</v>
      </c>
      <c r="C2169" s="1">
        <f>IFERROR(__xludf.DUMMYFUNCTION("""COMPUTED_VALUE"""),6.18)</f>
        <v>6.18</v>
      </c>
      <c r="D2169" s="1">
        <f>IFERROR(__xludf.DUMMYFUNCTION("""COMPUTED_VALUE"""),6.1)</f>
        <v>6.1</v>
      </c>
      <c r="E2169" s="1">
        <f>IFERROR(__xludf.DUMMYFUNCTION("""COMPUTED_VALUE"""),6.13)</f>
        <v>6.13</v>
      </c>
      <c r="F2169" s="1">
        <f>IFERROR(__xludf.DUMMYFUNCTION("""COMPUTED_VALUE"""),857819.0)</f>
        <v>857819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IFERROR(__xludf.DUMMYFUNCTION("""COMPUTED_VALUE"""),6.11)</f>
        <v>6.11</v>
      </c>
      <c r="C2170" s="1">
        <f>IFERROR(__xludf.DUMMYFUNCTION("""COMPUTED_VALUE"""),6.13)</f>
        <v>6.13</v>
      </c>
      <c r="D2170" s="1">
        <f>IFERROR(__xludf.DUMMYFUNCTION("""COMPUTED_VALUE"""),6.08)</f>
        <v>6.08</v>
      </c>
      <c r="E2170" s="1">
        <f>IFERROR(__xludf.DUMMYFUNCTION("""COMPUTED_VALUE"""),6.12)</f>
        <v>6.12</v>
      </c>
      <c r="F2170" s="1">
        <f>IFERROR(__xludf.DUMMYFUNCTION("""COMPUTED_VALUE"""),1147092.0)</f>
        <v>1147092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IFERROR(__xludf.DUMMYFUNCTION("""COMPUTED_VALUE"""),6.04)</f>
        <v>6.04</v>
      </c>
      <c r="C2171" s="1">
        <f>IFERROR(__xludf.DUMMYFUNCTION("""COMPUTED_VALUE"""),6.06)</f>
        <v>6.06</v>
      </c>
      <c r="D2171" s="1">
        <f>IFERROR(__xludf.DUMMYFUNCTION("""COMPUTED_VALUE"""),5.99)</f>
        <v>5.99</v>
      </c>
      <c r="E2171" s="1">
        <f>IFERROR(__xludf.DUMMYFUNCTION("""COMPUTED_VALUE"""),6.04)</f>
        <v>6.04</v>
      </c>
      <c r="F2171" s="1">
        <f>IFERROR(__xludf.DUMMYFUNCTION("""COMPUTED_VALUE"""),1404984.0)</f>
        <v>1404984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IFERROR(__xludf.DUMMYFUNCTION("""COMPUTED_VALUE"""),6.2)</f>
        <v>6.2</v>
      </c>
      <c r="C2172" s="1">
        <f>IFERROR(__xludf.DUMMYFUNCTION("""COMPUTED_VALUE"""),6.25)</f>
        <v>6.25</v>
      </c>
      <c r="D2172" s="1">
        <f>IFERROR(__xludf.DUMMYFUNCTION("""COMPUTED_VALUE"""),6.18)</f>
        <v>6.18</v>
      </c>
      <c r="E2172" s="1">
        <f>IFERROR(__xludf.DUMMYFUNCTION("""COMPUTED_VALUE"""),6.19)</f>
        <v>6.19</v>
      </c>
      <c r="F2172" s="1">
        <f>IFERROR(__xludf.DUMMYFUNCTION("""COMPUTED_VALUE"""),1500635.0)</f>
        <v>1500635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IFERROR(__xludf.DUMMYFUNCTION("""COMPUTED_VALUE"""),5.98)</f>
        <v>5.98</v>
      </c>
      <c r="C2173" s="1">
        <f>IFERROR(__xludf.DUMMYFUNCTION("""COMPUTED_VALUE"""),6.01)</f>
        <v>6.01</v>
      </c>
      <c r="D2173" s="1">
        <f>IFERROR(__xludf.DUMMYFUNCTION("""COMPUTED_VALUE"""),5.97)</f>
        <v>5.97</v>
      </c>
      <c r="E2173" s="1">
        <f>IFERROR(__xludf.DUMMYFUNCTION("""COMPUTED_VALUE"""),6.01)</f>
        <v>6.01</v>
      </c>
      <c r="F2173" s="1">
        <f>IFERROR(__xludf.DUMMYFUNCTION("""COMPUTED_VALUE"""),2134614.0)</f>
        <v>2134614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IFERROR(__xludf.DUMMYFUNCTION("""COMPUTED_VALUE"""),5.89)</f>
        <v>5.89</v>
      </c>
      <c r="C2174" s="1">
        <f>IFERROR(__xludf.DUMMYFUNCTION("""COMPUTED_VALUE"""),5.98)</f>
        <v>5.98</v>
      </c>
      <c r="D2174" s="1">
        <f>IFERROR(__xludf.DUMMYFUNCTION("""COMPUTED_VALUE"""),5.88)</f>
        <v>5.88</v>
      </c>
      <c r="E2174" s="1">
        <f>IFERROR(__xludf.DUMMYFUNCTION("""COMPUTED_VALUE"""),5.98)</f>
        <v>5.98</v>
      </c>
      <c r="F2174" s="1">
        <f>IFERROR(__xludf.DUMMYFUNCTION("""COMPUTED_VALUE"""),1280437.0)</f>
        <v>1280437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IFERROR(__xludf.DUMMYFUNCTION("""COMPUTED_VALUE"""),6.03)</f>
        <v>6.03</v>
      </c>
      <c r="C2175" s="1">
        <f>IFERROR(__xludf.DUMMYFUNCTION("""COMPUTED_VALUE"""),6.12)</f>
        <v>6.12</v>
      </c>
      <c r="D2175" s="1">
        <f>IFERROR(__xludf.DUMMYFUNCTION("""COMPUTED_VALUE"""),6.03)</f>
        <v>6.03</v>
      </c>
      <c r="E2175" s="1">
        <f>IFERROR(__xludf.DUMMYFUNCTION("""COMPUTED_VALUE"""),6.08)</f>
        <v>6.08</v>
      </c>
      <c r="F2175" s="1">
        <f>IFERROR(__xludf.DUMMYFUNCTION("""COMPUTED_VALUE"""),1084264.0)</f>
        <v>1084264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IFERROR(__xludf.DUMMYFUNCTION("""COMPUTED_VALUE"""),6.14)</f>
        <v>6.14</v>
      </c>
      <c r="C2176" s="1">
        <f>IFERROR(__xludf.DUMMYFUNCTION("""COMPUTED_VALUE"""),6.16)</f>
        <v>6.16</v>
      </c>
      <c r="D2176" s="1">
        <f>IFERROR(__xludf.DUMMYFUNCTION("""COMPUTED_VALUE"""),6.09)</f>
        <v>6.09</v>
      </c>
      <c r="E2176" s="1">
        <f>IFERROR(__xludf.DUMMYFUNCTION("""COMPUTED_VALUE"""),6.11)</f>
        <v>6.11</v>
      </c>
      <c r="F2176" s="1">
        <f>IFERROR(__xludf.DUMMYFUNCTION("""COMPUTED_VALUE"""),1209354.0)</f>
        <v>1209354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IFERROR(__xludf.DUMMYFUNCTION("""COMPUTED_VALUE"""),6.05)</f>
        <v>6.05</v>
      </c>
      <c r="C2177" s="1">
        <f>IFERROR(__xludf.DUMMYFUNCTION("""COMPUTED_VALUE"""),6.06)</f>
        <v>6.06</v>
      </c>
      <c r="D2177" s="1">
        <f>IFERROR(__xludf.DUMMYFUNCTION("""COMPUTED_VALUE"""),5.99)</f>
        <v>5.99</v>
      </c>
      <c r="E2177" s="1">
        <f>IFERROR(__xludf.DUMMYFUNCTION("""COMPUTED_VALUE"""),5.99)</f>
        <v>5.99</v>
      </c>
      <c r="F2177" s="1">
        <f>IFERROR(__xludf.DUMMYFUNCTION("""COMPUTED_VALUE"""),1656855.0)</f>
        <v>1656855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IFERROR(__xludf.DUMMYFUNCTION("""COMPUTED_VALUE"""),5.99)</f>
        <v>5.99</v>
      </c>
      <c r="C2178" s="1">
        <f>IFERROR(__xludf.DUMMYFUNCTION("""COMPUTED_VALUE"""),6.02)</f>
        <v>6.02</v>
      </c>
      <c r="D2178" s="1">
        <f>IFERROR(__xludf.DUMMYFUNCTION("""COMPUTED_VALUE"""),5.94)</f>
        <v>5.94</v>
      </c>
      <c r="E2178" s="1">
        <f>IFERROR(__xludf.DUMMYFUNCTION("""COMPUTED_VALUE"""),5.97)</f>
        <v>5.97</v>
      </c>
      <c r="F2178" s="1">
        <f>IFERROR(__xludf.DUMMYFUNCTION("""COMPUTED_VALUE"""),1447246.0)</f>
        <v>1447246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IFERROR(__xludf.DUMMYFUNCTION("""COMPUTED_VALUE"""),5.98)</f>
        <v>5.98</v>
      </c>
      <c r="C2179" s="1">
        <f>IFERROR(__xludf.DUMMYFUNCTION("""COMPUTED_VALUE"""),6.05)</f>
        <v>6.05</v>
      </c>
      <c r="D2179" s="1">
        <f>IFERROR(__xludf.DUMMYFUNCTION("""COMPUTED_VALUE"""),5.98)</f>
        <v>5.98</v>
      </c>
      <c r="E2179" s="1">
        <f>IFERROR(__xludf.DUMMYFUNCTION("""COMPUTED_VALUE"""),6.02)</f>
        <v>6.02</v>
      </c>
      <c r="F2179" s="1">
        <f>IFERROR(__xludf.DUMMYFUNCTION("""COMPUTED_VALUE"""),671962.0)</f>
        <v>671962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IFERROR(__xludf.DUMMYFUNCTION("""COMPUTED_VALUE"""),6.11)</f>
        <v>6.11</v>
      </c>
      <c r="C2180" s="1">
        <f>IFERROR(__xludf.DUMMYFUNCTION("""COMPUTED_VALUE"""),6.13)</f>
        <v>6.13</v>
      </c>
      <c r="D2180" s="1">
        <f>IFERROR(__xludf.DUMMYFUNCTION("""COMPUTED_VALUE"""),6.05)</f>
        <v>6.05</v>
      </c>
      <c r="E2180" s="1">
        <f>IFERROR(__xludf.DUMMYFUNCTION("""COMPUTED_VALUE"""),6.06)</f>
        <v>6.06</v>
      </c>
      <c r="F2180" s="1">
        <f>IFERROR(__xludf.DUMMYFUNCTION("""COMPUTED_VALUE"""),812715.0)</f>
        <v>812715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IFERROR(__xludf.DUMMYFUNCTION("""COMPUTED_VALUE"""),6.02)</f>
        <v>6.02</v>
      </c>
      <c r="C2181" s="1">
        <f>IFERROR(__xludf.DUMMYFUNCTION("""COMPUTED_VALUE"""),6.06)</f>
        <v>6.06</v>
      </c>
      <c r="D2181" s="1">
        <f>IFERROR(__xludf.DUMMYFUNCTION("""COMPUTED_VALUE"""),6.0)</f>
        <v>6</v>
      </c>
      <c r="E2181" s="1">
        <f>IFERROR(__xludf.DUMMYFUNCTION("""COMPUTED_VALUE"""),6.03)</f>
        <v>6.03</v>
      </c>
      <c r="F2181" s="1">
        <f>IFERROR(__xludf.DUMMYFUNCTION("""COMPUTED_VALUE"""),623490.0)</f>
        <v>623490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IFERROR(__xludf.DUMMYFUNCTION("""COMPUTED_VALUE"""),6.02)</f>
        <v>6.02</v>
      </c>
      <c r="C2182" s="1">
        <f>IFERROR(__xludf.DUMMYFUNCTION("""COMPUTED_VALUE"""),6.03)</f>
        <v>6.03</v>
      </c>
      <c r="D2182" s="1">
        <f>IFERROR(__xludf.DUMMYFUNCTION("""COMPUTED_VALUE"""),5.96)</f>
        <v>5.96</v>
      </c>
      <c r="E2182" s="1">
        <f>IFERROR(__xludf.DUMMYFUNCTION("""COMPUTED_VALUE"""),6.0)</f>
        <v>6</v>
      </c>
      <c r="F2182" s="1">
        <f>IFERROR(__xludf.DUMMYFUNCTION("""COMPUTED_VALUE"""),1076245.0)</f>
        <v>1076245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IFERROR(__xludf.DUMMYFUNCTION("""COMPUTED_VALUE"""),5.99)</f>
        <v>5.99</v>
      </c>
      <c r="C2183" s="1">
        <f>IFERROR(__xludf.DUMMYFUNCTION("""COMPUTED_VALUE"""),6.01)</f>
        <v>6.01</v>
      </c>
      <c r="D2183" s="1">
        <f>IFERROR(__xludf.DUMMYFUNCTION("""COMPUTED_VALUE"""),5.93)</f>
        <v>5.93</v>
      </c>
      <c r="E2183" s="1">
        <f>IFERROR(__xludf.DUMMYFUNCTION("""COMPUTED_VALUE"""),5.95)</f>
        <v>5.95</v>
      </c>
      <c r="F2183" s="1">
        <f>IFERROR(__xludf.DUMMYFUNCTION("""COMPUTED_VALUE"""),1154712.0)</f>
        <v>1154712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IFERROR(__xludf.DUMMYFUNCTION("""COMPUTED_VALUE"""),5.97)</f>
        <v>5.97</v>
      </c>
      <c r="C2184" s="1">
        <f>IFERROR(__xludf.DUMMYFUNCTION("""COMPUTED_VALUE"""),6.01)</f>
        <v>6.01</v>
      </c>
      <c r="D2184" s="1">
        <f>IFERROR(__xludf.DUMMYFUNCTION("""COMPUTED_VALUE"""),5.93)</f>
        <v>5.93</v>
      </c>
      <c r="E2184" s="1">
        <f>IFERROR(__xludf.DUMMYFUNCTION("""COMPUTED_VALUE"""),6.01)</f>
        <v>6.01</v>
      </c>
      <c r="F2184" s="1">
        <f>IFERROR(__xludf.DUMMYFUNCTION("""COMPUTED_VALUE"""),2292911.0)</f>
        <v>2292911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IFERROR(__xludf.DUMMYFUNCTION("""COMPUTED_VALUE"""),6.09)</f>
        <v>6.09</v>
      </c>
      <c r="C2185" s="1">
        <f>IFERROR(__xludf.DUMMYFUNCTION("""COMPUTED_VALUE"""),6.11)</f>
        <v>6.11</v>
      </c>
      <c r="D2185" s="1">
        <f>IFERROR(__xludf.DUMMYFUNCTION("""COMPUTED_VALUE"""),6.03)</f>
        <v>6.03</v>
      </c>
      <c r="E2185" s="1">
        <f>IFERROR(__xludf.DUMMYFUNCTION("""COMPUTED_VALUE"""),6.04)</f>
        <v>6.04</v>
      </c>
      <c r="F2185" s="1">
        <f>IFERROR(__xludf.DUMMYFUNCTION("""COMPUTED_VALUE"""),1700998.0)</f>
        <v>1700998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IFERROR(__xludf.DUMMYFUNCTION("""COMPUTED_VALUE"""),6.05)</f>
        <v>6.05</v>
      </c>
      <c r="C2186" s="1">
        <f>IFERROR(__xludf.DUMMYFUNCTION("""COMPUTED_VALUE"""),6.08)</f>
        <v>6.08</v>
      </c>
      <c r="D2186" s="1">
        <f>IFERROR(__xludf.DUMMYFUNCTION("""COMPUTED_VALUE"""),5.98)</f>
        <v>5.98</v>
      </c>
      <c r="E2186" s="1">
        <f>IFERROR(__xludf.DUMMYFUNCTION("""COMPUTED_VALUE"""),6.01)</f>
        <v>6.01</v>
      </c>
      <c r="F2186" s="1">
        <f>IFERROR(__xludf.DUMMYFUNCTION("""COMPUTED_VALUE"""),1312321.0)</f>
        <v>1312321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IFERROR(__xludf.DUMMYFUNCTION("""COMPUTED_VALUE"""),5.92)</f>
        <v>5.92</v>
      </c>
      <c r="C2187" s="1">
        <f>IFERROR(__xludf.DUMMYFUNCTION("""COMPUTED_VALUE"""),5.95)</f>
        <v>5.95</v>
      </c>
      <c r="D2187" s="1">
        <f>IFERROR(__xludf.DUMMYFUNCTION("""COMPUTED_VALUE"""),5.89)</f>
        <v>5.89</v>
      </c>
      <c r="E2187" s="1">
        <f>IFERROR(__xludf.DUMMYFUNCTION("""COMPUTED_VALUE"""),5.92)</f>
        <v>5.92</v>
      </c>
      <c r="F2187" s="1">
        <f>IFERROR(__xludf.DUMMYFUNCTION("""COMPUTED_VALUE"""),1314106.0)</f>
        <v>1314106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IFERROR(__xludf.DUMMYFUNCTION("""COMPUTED_VALUE"""),6.01)</f>
        <v>6.01</v>
      </c>
      <c r="C2188" s="1">
        <f>IFERROR(__xludf.DUMMYFUNCTION("""COMPUTED_VALUE"""),6.02)</f>
        <v>6.02</v>
      </c>
      <c r="D2188" s="1">
        <f>IFERROR(__xludf.DUMMYFUNCTION("""COMPUTED_VALUE"""),5.94)</f>
        <v>5.94</v>
      </c>
      <c r="E2188" s="1">
        <f>IFERROR(__xludf.DUMMYFUNCTION("""COMPUTED_VALUE"""),5.96)</f>
        <v>5.96</v>
      </c>
      <c r="F2188" s="1">
        <f>IFERROR(__xludf.DUMMYFUNCTION("""COMPUTED_VALUE"""),1066515.0)</f>
        <v>1066515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IFERROR(__xludf.DUMMYFUNCTION("""COMPUTED_VALUE"""),5.92)</f>
        <v>5.92</v>
      </c>
      <c r="C2189" s="1">
        <f>IFERROR(__xludf.DUMMYFUNCTION("""COMPUTED_VALUE"""),5.99)</f>
        <v>5.99</v>
      </c>
      <c r="D2189" s="1">
        <f>IFERROR(__xludf.DUMMYFUNCTION("""COMPUTED_VALUE"""),5.91)</f>
        <v>5.91</v>
      </c>
      <c r="E2189" s="1">
        <f>IFERROR(__xludf.DUMMYFUNCTION("""COMPUTED_VALUE"""),5.99)</f>
        <v>5.99</v>
      </c>
      <c r="F2189" s="1">
        <f>IFERROR(__xludf.DUMMYFUNCTION("""COMPUTED_VALUE"""),863643.0)</f>
        <v>863643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IFERROR(__xludf.DUMMYFUNCTION("""COMPUTED_VALUE"""),6.0)</f>
        <v>6</v>
      </c>
      <c r="C2190" s="1">
        <f>IFERROR(__xludf.DUMMYFUNCTION("""COMPUTED_VALUE"""),6.06)</f>
        <v>6.06</v>
      </c>
      <c r="D2190" s="1">
        <f>IFERROR(__xludf.DUMMYFUNCTION("""COMPUTED_VALUE"""),5.99)</f>
        <v>5.99</v>
      </c>
      <c r="E2190" s="1">
        <f>IFERROR(__xludf.DUMMYFUNCTION("""COMPUTED_VALUE"""),6.05)</f>
        <v>6.05</v>
      </c>
      <c r="F2190" s="1">
        <f>IFERROR(__xludf.DUMMYFUNCTION("""COMPUTED_VALUE"""),1845779.0)</f>
        <v>1845779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IFERROR(__xludf.DUMMYFUNCTION("""COMPUTED_VALUE"""),6.07)</f>
        <v>6.07</v>
      </c>
      <c r="C2191" s="1">
        <f>IFERROR(__xludf.DUMMYFUNCTION("""COMPUTED_VALUE"""),6.1)</f>
        <v>6.1</v>
      </c>
      <c r="D2191" s="1">
        <f>IFERROR(__xludf.DUMMYFUNCTION("""COMPUTED_VALUE"""),6.01)</f>
        <v>6.01</v>
      </c>
      <c r="E2191" s="1">
        <f>IFERROR(__xludf.DUMMYFUNCTION("""COMPUTED_VALUE"""),6.07)</f>
        <v>6.07</v>
      </c>
      <c r="F2191" s="1">
        <f>IFERROR(__xludf.DUMMYFUNCTION("""COMPUTED_VALUE"""),1531997.0)</f>
        <v>1531997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IFERROR(__xludf.DUMMYFUNCTION("""COMPUTED_VALUE"""),6.04)</f>
        <v>6.04</v>
      </c>
      <c r="C2192" s="1">
        <f>IFERROR(__xludf.DUMMYFUNCTION("""COMPUTED_VALUE"""),6.06)</f>
        <v>6.06</v>
      </c>
      <c r="D2192" s="1">
        <f>IFERROR(__xludf.DUMMYFUNCTION("""COMPUTED_VALUE"""),6.01)</f>
        <v>6.01</v>
      </c>
      <c r="E2192" s="1">
        <f>IFERROR(__xludf.DUMMYFUNCTION("""COMPUTED_VALUE"""),6.03)</f>
        <v>6.03</v>
      </c>
      <c r="F2192" s="1">
        <f>IFERROR(__xludf.DUMMYFUNCTION("""COMPUTED_VALUE"""),2221768.0)</f>
        <v>2221768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IFERROR(__xludf.DUMMYFUNCTION("""COMPUTED_VALUE"""),6.1)</f>
        <v>6.1</v>
      </c>
      <c r="C2193" s="1">
        <f>IFERROR(__xludf.DUMMYFUNCTION("""COMPUTED_VALUE"""),6.13)</f>
        <v>6.13</v>
      </c>
      <c r="D2193" s="1">
        <f>IFERROR(__xludf.DUMMYFUNCTION("""COMPUTED_VALUE"""),6.06)</f>
        <v>6.06</v>
      </c>
      <c r="E2193" s="1">
        <f>IFERROR(__xludf.DUMMYFUNCTION("""COMPUTED_VALUE"""),6.06)</f>
        <v>6.06</v>
      </c>
      <c r="F2193" s="1">
        <f>IFERROR(__xludf.DUMMYFUNCTION("""COMPUTED_VALUE"""),1391758.0)</f>
        <v>1391758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IFERROR(__xludf.DUMMYFUNCTION("""COMPUTED_VALUE"""),6.1)</f>
        <v>6.1</v>
      </c>
      <c r="C2194" s="1">
        <f>IFERROR(__xludf.DUMMYFUNCTION("""COMPUTED_VALUE"""),6.12)</f>
        <v>6.12</v>
      </c>
      <c r="D2194" s="1">
        <f>IFERROR(__xludf.DUMMYFUNCTION("""COMPUTED_VALUE"""),6.08)</f>
        <v>6.08</v>
      </c>
      <c r="E2194" s="1">
        <f>IFERROR(__xludf.DUMMYFUNCTION("""COMPUTED_VALUE"""),6.09)</f>
        <v>6.09</v>
      </c>
      <c r="F2194" s="1">
        <f>IFERROR(__xludf.DUMMYFUNCTION("""COMPUTED_VALUE"""),1121117.0)</f>
        <v>1121117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IFERROR(__xludf.DUMMYFUNCTION("""COMPUTED_VALUE"""),6.2)</f>
        <v>6.2</v>
      </c>
      <c r="C2195" s="1">
        <f>IFERROR(__xludf.DUMMYFUNCTION("""COMPUTED_VALUE"""),6.3)</f>
        <v>6.3</v>
      </c>
      <c r="D2195" s="1">
        <f>IFERROR(__xludf.DUMMYFUNCTION("""COMPUTED_VALUE"""),6.18)</f>
        <v>6.18</v>
      </c>
      <c r="E2195" s="1">
        <f>IFERROR(__xludf.DUMMYFUNCTION("""COMPUTED_VALUE"""),6.29)</f>
        <v>6.29</v>
      </c>
      <c r="F2195" s="1">
        <f>IFERROR(__xludf.DUMMYFUNCTION("""COMPUTED_VALUE"""),5453644.0)</f>
        <v>5453644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IFERROR(__xludf.DUMMYFUNCTION("""COMPUTED_VALUE"""),6.42)</f>
        <v>6.42</v>
      </c>
      <c r="C2196" s="1">
        <f>IFERROR(__xludf.DUMMYFUNCTION("""COMPUTED_VALUE"""),6.46)</f>
        <v>6.46</v>
      </c>
      <c r="D2196" s="1">
        <f>IFERROR(__xludf.DUMMYFUNCTION("""COMPUTED_VALUE"""),6.39)</f>
        <v>6.39</v>
      </c>
      <c r="E2196" s="1">
        <f>IFERROR(__xludf.DUMMYFUNCTION("""COMPUTED_VALUE"""),6.44)</f>
        <v>6.44</v>
      </c>
      <c r="F2196" s="1">
        <f>IFERROR(__xludf.DUMMYFUNCTION("""COMPUTED_VALUE"""),1911124.0)</f>
        <v>1911124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IFERROR(__xludf.DUMMYFUNCTION("""COMPUTED_VALUE"""),6.48)</f>
        <v>6.48</v>
      </c>
      <c r="C2197" s="1">
        <f>IFERROR(__xludf.DUMMYFUNCTION("""COMPUTED_VALUE"""),6.51)</f>
        <v>6.51</v>
      </c>
      <c r="D2197" s="1">
        <f>IFERROR(__xludf.DUMMYFUNCTION("""COMPUTED_VALUE"""),6.45)</f>
        <v>6.45</v>
      </c>
      <c r="E2197" s="1">
        <f>IFERROR(__xludf.DUMMYFUNCTION("""COMPUTED_VALUE"""),6.5)</f>
        <v>6.5</v>
      </c>
      <c r="F2197" s="1">
        <f>IFERROR(__xludf.DUMMYFUNCTION("""COMPUTED_VALUE"""),954019.0)</f>
        <v>954019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IFERROR(__xludf.DUMMYFUNCTION("""COMPUTED_VALUE"""),6.58)</f>
        <v>6.58</v>
      </c>
      <c r="C2198" s="1">
        <f>IFERROR(__xludf.DUMMYFUNCTION("""COMPUTED_VALUE"""),6.59)</f>
        <v>6.59</v>
      </c>
      <c r="D2198" s="1">
        <f>IFERROR(__xludf.DUMMYFUNCTION("""COMPUTED_VALUE"""),6.47)</f>
        <v>6.47</v>
      </c>
      <c r="E2198" s="1">
        <f>IFERROR(__xludf.DUMMYFUNCTION("""COMPUTED_VALUE"""),6.48)</f>
        <v>6.48</v>
      </c>
      <c r="F2198" s="1">
        <f>IFERROR(__xludf.DUMMYFUNCTION("""COMPUTED_VALUE"""),993934.0)</f>
        <v>993934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IFERROR(__xludf.DUMMYFUNCTION("""COMPUTED_VALUE"""),6.76)</f>
        <v>6.76</v>
      </c>
      <c r="C2199" s="1">
        <f>IFERROR(__xludf.DUMMYFUNCTION("""COMPUTED_VALUE"""),6.81)</f>
        <v>6.81</v>
      </c>
      <c r="D2199" s="1">
        <f>IFERROR(__xludf.DUMMYFUNCTION("""COMPUTED_VALUE"""),6.72)</f>
        <v>6.72</v>
      </c>
      <c r="E2199" s="1">
        <f>IFERROR(__xludf.DUMMYFUNCTION("""COMPUTED_VALUE"""),6.74)</f>
        <v>6.74</v>
      </c>
      <c r="F2199" s="1">
        <f>IFERROR(__xludf.DUMMYFUNCTION("""COMPUTED_VALUE"""),2092751.0)</f>
        <v>2092751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IFERROR(__xludf.DUMMYFUNCTION("""COMPUTED_VALUE"""),6.7)</f>
        <v>6.7</v>
      </c>
      <c r="C2200" s="1">
        <f>IFERROR(__xludf.DUMMYFUNCTION("""COMPUTED_VALUE"""),6.7)</f>
        <v>6.7</v>
      </c>
      <c r="D2200" s="1">
        <f>IFERROR(__xludf.DUMMYFUNCTION("""COMPUTED_VALUE"""),6.61)</f>
        <v>6.61</v>
      </c>
      <c r="E2200" s="1">
        <f>IFERROR(__xludf.DUMMYFUNCTION("""COMPUTED_VALUE"""),6.63)</f>
        <v>6.63</v>
      </c>
      <c r="F2200" s="1">
        <f>IFERROR(__xludf.DUMMYFUNCTION("""COMPUTED_VALUE"""),1267780.0)</f>
        <v>1267780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IFERROR(__xludf.DUMMYFUNCTION("""COMPUTED_VALUE"""),6.62)</f>
        <v>6.62</v>
      </c>
      <c r="C2201" s="1">
        <f>IFERROR(__xludf.DUMMYFUNCTION("""COMPUTED_VALUE"""),6.64)</f>
        <v>6.64</v>
      </c>
      <c r="D2201" s="1">
        <f>IFERROR(__xludf.DUMMYFUNCTION("""COMPUTED_VALUE"""),6.55)</f>
        <v>6.55</v>
      </c>
      <c r="E2201" s="1">
        <f>IFERROR(__xludf.DUMMYFUNCTION("""COMPUTED_VALUE"""),6.56)</f>
        <v>6.56</v>
      </c>
      <c r="F2201" s="1">
        <f>IFERROR(__xludf.DUMMYFUNCTION("""COMPUTED_VALUE"""),1055504.0)</f>
        <v>1055504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IFERROR(__xludf.DUMMYFUNCTION("""COMPUTED_VALUE"""),6.41)</f>
        <v>6.41</v>
      </c>
      <c r="C2202" s="1">
        <f>IFERROR(__xludf.DUMMYFUNCTION("""COMPUTED_VALUE"""),6.47)</f>
        <v>6.47</v>
      </c>
      <c r="D2202" s="1">
        <f>IFERROR(__xludf.DUMMYFUNCTION("""COMPUTED_VALUE"""),6.4)</f>
        <v>6.4</v>
      </c>
      <c r="E2202" s="1">
        <f>IFERROR(__xludf.DUMMYFUNCTION("""COMPUTED_VALUE"""),6.43)</f>
        <v>6.43</v>
      </c>
      <c r="F2202" s="1">
        <f>IFERROR(__xludf.DUMMYFUNCTION("""COMPUTED_VALUE"""),1666715.0)</f>
        <v>1666715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IFERROR(__xludf.DUMMYFUNCTION("""COMPUTED_VALUE"""),6.48)</f>
        <v>6.48</v>
      </c>
      <c r="C2203" s="1">
        <f>IFERROR(__xludf.DUMMYFUNCTION("""COMPUTED_VALUE"""),6.5)</f>
        <v>6.5</v>
      </c>
      <c r="D2203" s="1">
        <f>IFERROR(__xludf.DUMMYFUNCTION("""COMPUTED_VALUE"""),6.4)</f>
        <v>6.4</v>
      </c>
      <c r="E2203" s="1">
        <f>IFERROR(__xludf.DUMMYFUNCTION("""COMPUTED_VALUE"""),6.44)</f>
        <v>6.44</v>
      </c>
      <c r="F2203" s="1">
        <f>IFERROR(__xludf.DUMMYFUNCTION("""COMPUTED_VALUE"""),820537.0)</f>
        <v>820537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IFERROR(__xludf.DUMMYFUNCTION("""COMPUTED_VALUE"""),6.39)</f>
        <v>6.39</v>
      </c>
      <c r="C2204" s="1">
        <f>IFERROR(__xludf.DUMMYFUNCTION("""COMPUTED_VALUE"""),6.41)</f>
        <v>6.41</v>
      </c>
      <c r="D2204" s="1">
        <f>IFERROR(__xludf.DUMMYFUNCTION("""COMPUTED_VALUE"""),6.36)</f>
        <v>6.36</v>
      </c>
      <c r="E2204" s="1">
        <f>IFERROR(__xludf.DUMMYFUNCTION("""COMPUTED_VALUE"""),6.41)</f>
        <v>6.41</v>
      </c>
      <c r="F2204" s="1">
        <f>IFERROR(__xludf.DUMMYFUNCTION("""COMPUTED_VALUE"""),689974.0)</f>
        <v>689974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IFERROR(__xludf.DUMMYFUNCTION("""COMPUTED_VALUE"""),6.47)</f>
        <v>6.47</v>
      </c>
      <c r="C2205" s="1">
        <f>IFERROR(__xludf.DUMMYFUNCTION("""COMPUTED_VALUE"""),6.49)</f>
        <v>6.49</v>
      </c>
      <c r="D2205" s="1">
        <f>IFERROR(__xludf.DUMMYFUNCTION("""COMPUTED_VALUE"""),6.43)</f>
        <v>6.43</v>
      </c>
      <c r="E2205" s="1">
        <f>IFERROR(__xludf.DUMMYFUNCTION("""COMPUTED_VALUE"""),6.46)</f>
        <v>6.46</v>
      </c>
      <c r="F2205" s="1">
        <f>IFERROR(__xludf.DUMMYFUNCTION("""COMPUTED_VALUE"""),803061.0)</f>
        <v>803061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IFERROR(__xludf.DUMMYFUNCTION("""COMPUTED_VALUE"""),6.6)</f>
        <v>6.6</v>
      </c>
      <c r="C2206" s="1">
        <f>IFERROR(__xludf.DUMMYFUNCTION("""COMPUTED_VALUE"""),6.62)</f>
        <v>6.62</v>
      </c>
      <c r="D2206" s="1">
        <f>IFERROR(__xludf.DUMMYFUNCTION("""COMPUTED_VALUE"""),6.49)</f>
        <v>6.49</v>
      </c>
      <c r="E2206" s="1">
        <f>IFERROR(__xludf.DUMMYFUNCTION("""COMPUTED_VALUE"""),6.54)</f>
        <v>6.54</v>
      </c>
      <c r="F2206" s="1">
        <f>IFERROR(__xludf.DUMMYFUNCTION("""COMPUTED_VALUE"""),1399308.0)</f>
        <v>1399308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IFERROR(__xludf.DUMMYFUNCTION("""COMPUTED_VALUE"""),6.56)</f>
        <v>6.56</v>
      </c>
      <c r="C2207" s="1">
        <f>IFERROR(__xludf.DUMMYFUNCTION("""COMPUTED_VALUE"""),6.56)</f>
        <v>6.56</v>
      </c>
      <c r="D2207" s="1">
        <f>IFERROR(__xludf.DUMMYFUNCTION("""COMPUTED_VALUE"""),6.48)</f>
        <v>6.48</v>
      </c>
      <c r="E2207" s="1">
        <f>IFERROR(__xludf.DUMMYFUNCTION("""COMPUTED_VALUE"""),6.52)</f>
        <v>6.52</v>
      </c>
      <c r="F2207" s="1">
        <f>IFERROR(__xludf.DUMMYFUNCTION("""COMPUTED_VALUE"""),817129.0)</f>
        <v>817129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IFERROR(__xludf.DUMMYFUNCTION("""COMPUTED_VALUE"""),6.42)</f>
        <v>6.42</v>
      </c>
      <c r="C2208" s="1">
        <f>IFERROR(__xludf.DUMMYFUNCTION("""COMPUTED_VALUE"""),6.5)</f>
        <v>6.5</v>
      </c>
      <c r="D2208" s="1">
        <f>IFERROR(__xludf.DUMMYFUNCTION("""COMPUTED_VALUE"""),6.41)</f>
        <v>6.41</v>
      </c>
      <c r="E2208" s="1">
        <f>IFERROR(__xludf.DUMMYFUNCTION("""COMPUTED_VALUE"""),6.49)</f>
        <v>6.49</v>
      </c>
      <c r="F2208" s="1">
        <f>IFERROR(__xludf.DUMMYFUNCTION("""COMPUTED_VALUE"""),1224504.0)</f>
        <v>1224504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IFERROR(__xludf.DUMMYFUNCTION("""COMPUTED_VALUE"""),6.43)</f>
        <v>6.43</v>
      </c>
      <c r="C2209" s="1">
        <f>IFERROR(__xludf.DUMMYFUNCTION("""COMPUTED_VALUE"""),6.51)</f>
        <v>6.51</v>
      </c>
      <c r="D2209" s="1">
        <f>IFERROR(__xludf.DUMMYFUNCTION("""COMPUTED_VALUE"""),6.41)</f>
        <v>6.41</v>
      </c>
      <c r="E2209" s="1">
        <f>IFERROR(__xludf.DUMMYFUNCTION("""COMPUTED_VALUE"""),6.48)</f>
        <v>6.48</v>
      </c>
      <c r="F2209" s="1">
        <f>IFERROR(__xludf.DUMMYFUNCTION("""COMPUTED_VALUE"""),847110.0)</f>
        <v>847110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IFERROR(__xludf.DUMMYFUNCTION("""COMPUTED_VALUE"""),6.52)</f>
        <v>6.52</v>
      </c>
      <c r="C2210" s="1">
        <f>IFERROR(__xludf.DUMMYFUNCTION("""COMPUTED_VALUE"""),6.53)</f>
        <v>6.53</v>
      </c>
      <c r="D2210" s="1">
        <f>IFERROR(__xludf.DUMMYFUNCTION("""COMPUTED_VALUE"""),6.35)</f>
        <v>6.35</v>
      </c>
      <c r="E2210" s="1">
        <f>IFERROR(__xludf.DUMMYFUNCTION("""COMPUTED_VALUE"""),6.37)</f>
        <v>6.37</v>
      </c>
      <c r="F2210" s="1">
        <f>IFERROR(__xludf.DUMMYFUNCTION("""COMPUTED_VALUE"""),1515887.0)</f>
        <v>1515887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IFERROR(__xludf.DUMMYFUNCTION("""COMPUTED_VALUE"""),6.24)</f>
        <v>6.24</v>
      </c>
      <c r="C2211" s="1">
        <f>IFERROR(__xludf.DUMMYFUNCTION("""COMPUTED_VALUE"""),6.25)</f>
        <v>6.25</v>
      </c>
      <c r="D2211" s="1">
        <f>IFERROR(__xludf.DUMMYFUNCTION("""COMPUTED_VALUE"""),6.07)</f>
        <v>6.07</v>
      </c>
      <c r="E2211" s="1">
        <f>IFERROR(__xludf.DUMMYFUNCTION("""COMPUTED_VALUE"""),6.09)</f>
        <v>6.09</v>
      </c>
      <c r="F2211" s="1">
        <f>IFERROR(__xludf.DUMMYFUNCTION("""COMPUTED_VALUE"""),2050787.0)</f>
        <v>2050787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IFERROR(__xludf.DUMMYFUNCTION("""COMPUTED_VALUE"""),6.2)</f>
        <v>6.2</v>
      </c>
      <c r="C2212" s="1">
        <f>IFERROR(__xludf.DUMMYFUNCTION("""COMPUTED_VALUE"""),6.2)</f>
        <v>6.2</v>
      </c>
      <c r="D2212" s="1">
        <f>IFERROR(__xludf.DUMMYFUNCTION("""COMPUTED_VALUE"""),6.04)</f>
        <v>6.04</v>
      </c>
      <c r="E2212" s="1">
        <f>IFERROR(__xludf.DUMMYFUNCTION("""COMPUTED_VALUE"""),6.13)</f>
        <v>6.13</v>
      </c>
      <c r="F2212" s="1">
        <f>IFERROR(__xludf.DUMMYFUNCTION("""COMPUTED_VALUE"""),1517786.0)</f>
        <v>1517786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IFERROR(__xludf.DUMMYFUNCTION("""COMPUTED_VALUE"""),6.05)</f>
        <v>6.05</v>
      </c>
      <c r="C2213" s="1">
        <f>IFERROR(__xludf.DUMMYFUNCTION("""COMPUTED_VALUE"""),6.09)</f>
        <v>6.09</v>
      </c>
      <c r="D2213" s="1">
        <f>IFERROR(__xludf.DUMMYFUNCTION("""COMPUTED_VALUE"""),6.03)</f>
        <v>6.03</v>
      </c>
      <c r="E2213" s="1">
        <f>IFERROR(__xludf.DUMMYFUNCTION("""COMPUTED_VALUE"""),6.05)</f>
        <v>6.05</v>
      </c>
      <c r="F2213" s="1">
        <f>IFERROR(__xludf.DUMMYFUNCTION("""COMPUTED_VALUE"""),1038506.0)</f>
        <v>1038506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IFERROR(__xludf.DUMMYFUNCTION("""COMPUTED_VALUE"""),6.07)</f>
        <v>6.07</v>
      </c>
      <c r="C2214" s="1">
        <f>IFERROR(__xludf.DUMMYFUNCTION("""COMPUTED_VALUE"""),6.1)</f>
        <v>6.1</v>
      </c>
      <c r="D2214" s="1">
        <f>IFERROR(__xludf.DUMMYFUNCTION("""COMPUTED_VALUE"""),6.05)</f>
        <v>6.05</v>
      </c>
      <c r="E2214" s="1">
        <f>IFERROR(__xludf.DUMMYFUNCTION("""COMPUTED_VALUE"""),6.1)</f>
        <v>6.1</v>
      </c>
      <c r="F2214" s="1">
        <f>IFERROR(__xludf.DUMMYFUNCTION("""COMPUTED_VALUE"""),1305545.0)</f>
        <v>1305545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IFERROR(__xludf.DUMMYFUNCTION("""COMPUTED_VALUE"""),6.09)</f>
        <v>6.09</v>
      </c>
      <c r="C2215" s="1">
        <f>IFERROR(__xludf.DUMMYFUNCTION("""COMPUTED_VALUE"""),6.15)</f>
        <v>6.15</v>
      </c>
      <c r="D2215" s="1">
        <f>IFERROR(__xludf.DUMMYFUNCTION("""COMPUTED_VALUE"""),6.05)</f>
        <v>6.05</v>
      </c>
      <c r="E2215" s="1">
        <f>IFERROR(__xludf.DUMMYFUNCTION("""COMPUTED_VALUE"""),6.08)</f>
        <v>6.08</v>
      </c>
      <c r="F2215" s="1">
        <f>IFERROR(__xludf.DUMMYFUNCTION("""COMPUTED_VALUE"""),778012.0)</f>
        <v>778012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IFERROR(__xludf.DUMMYFUNCTION("""COMPUTED_VALUE"""),6.13)</f>
        <v>6.13</v>
      </c>
      <c r="C2216" s="1">
        <f>IFERROR(__xludf.DUMMYFUNCTION("""COMPUTED_VALUE"""),6.15)</f>
        <v>6.15</v>
      </c>
      <c r="D2216" s="1">
        <f>IFERROR(__xludf.DUMMYFUNCTION("""COMPUTED_VALUE"""),5.99)</f>
        <v>5.99</v>
      </c>
      <c r="E2216" s="1">
        <f>IFERROR(__xludf.DUMMYFUNCTION("""COMPUTED_VALUE"""),6.0)</f>
        <v>6</v>
      </c>
      <c r="F2216" s="1">
        <f>IFERROR(__xludf.DUMMYFUNCTION("""COMPUTED_VALUE"""),1365718.0)</f>
        <v>1365718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IFERROR(__xludf.DUMMYFUNCTION("""COMPUTED_VALUE"""),6.06)</f>
        <v>6.06</v>
      </c>
      <c r="C2217" s="1">
        <f>IFERROR(__xludf.DUMMYFUNCTION("""COMPUTED_VALUE"""),6.13)</f>
        <v>6.13</v>
      </c>
      <c r="D2217" s="1">
        <f>IFERROR(__xludf.DUMMYFUNCTION("""COMPUTED_VALUE"""),6.03)</f>
        <v>6.03</v>
      </c>
      <c r="E2217" s="1">
        <f>IFERROR(__xludf.DUMMYFUNCTION("""COMPUTED_VALUE"""),6.1)</f>
        <v>6.1</v>
      </c>
      <c r="F2217" s="1">
        <f>IFERROR(__xludf.DUMMYFUNCTION("""COMPUTED_VALUE"""),1168904.0)</f>
        <v>1168904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IFERROR(__xludf.DUMMYFUNCTION("""COMPUTED_VALUE"""),6.15)</f>
        <v>6.15</v>
      </c>
      <c r="C2218" s="1">
        <f>IFERROR(__xludf.DUMMYFUNCTION("""COMPUTED_VALUE"""),6.15)</f>
        <v>6.15</v>
      </c>
      <c r="D2218" s="1">
        <f>IFERROR(__xludf.DUMMYFUNCTION("""COMPUTED_VALUE"""),6.06)</f>
        <v>6.06</v>
      </c>
      <c r="E2218" s="1">
        <f>IFERROR(__xludf.DUMMYFUNCTION("""COMPUTED_VALUE"""),6.08)</f>
        <v>6.08</v>
      </c>
      <c r="F2218" s="1">
        <f>IFERROR(__xludf.DUMMYFUNCTION("""COMPUTED_VALUE"""),1104122.0)</f>
        <v>1104122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IFERROR(__xludf.DUMMYFUNCTION("""COMPUTED_VALUE"""),6.0)</f>
        <v>6</v>
      </c>
      <c r="C2219" s="1">
        <f>IFERROR(__xludf.DUMMYFUNCTION("""COMPUTED_VALUE"""),6.08)</f>
        <v>6.08</v>
      </c>
      <c r="D2219" s="1">
        <f>IFERROR(__xludf.DUMMYFUNCTION("""COMPUTED_VALUE"""),5.96)</f>
        <v>5.96</v>
      </c>
      <c r="E2219" s="1">
        <f>IFERROR(__xludf.DUMMYFUNCTION("""COMPUTED_VALUE"""),6.06)</f>
        <v>6.06</v>
      </c>
      <c r="F2219" s="1">
        <f>IFERROR(__xludf.DUMMYFUNCTION("""COMPUTED_VALUE"""),1817810.0)</f>
        <v>1817810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IFERROR(__xludf.DUMMYFUNCTION("""COMPUTED_VALUE"""),5.99)</f>
        <v>5.99</v>
      </c>
      <c r="C2220" s="1">
        <f>IFERROR(__xludf.DUMMYFUNCTION("""COMPUTED_VALUE"""),5.99)</f>
        <v>5.99</v>
      </c>
      <c r="D2220" s="1">
        <f>IFERROR(__xludf.DUMMYFUNCTION("""COMPUTED_VALUE"""),5.84)</f>
        <v>5.84</v>
      </c>
      <c r="E2220" s="1">
        <f>IFERROR(__xludf.DUMMYFUNCTION("""COMPUTED_VALUE"""),5.84)</f>
        <v>5.84</v>
      </c>
      <c r="F2220" s="1">
        <f>IFERROR(__xludf.DUMMYFUNCTION("""COMPUTED_VALUE"""),2028511.0)</f>
        <v>2028511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IFERROR(__xludf.DUMMYFUNCTION("""COMPUTED_VALUE"""),5.93)</f>
        <v>5.93</v>
      </c>
      <c r="C2221" s="1">
        <f>IFERROR(__xludf.DUMMYFUNCTION("""COMPUTED_VALUE"""),5.99)</f>
        <v>5.99</v>
      </c>
      <c r="D2221" s="1">
        <f>IFERROR(__xludf.DUMMYFUNCTION("""COMPUTED_VALUE"""),5.89)</f>
        <v>5.89</v>
      </c>
      <c r="E2221" s="1">
        <f>IFERROR(__xludf.DUMMYFUNCTION("""COMPUTED_VALUE"""),5.93)</f>
        <v>5.93</v>
      </c>
      <c r="F2221" s="1">
        <f>IFERROR(__xludf.DUMMYFUNCTION("""COMPUTED_VALUE"""),1071654.0)</f>
        <v>1071654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IFERROR(__xludf.DUMMYFUNCTION("""COMPUTED_VALUE"""),5.87)</f>
        <v>5.87</v>
      </c>
      <c r="C2222" s="1">
        <f>IFERROR(__xludf.DUMMYFUNCTION("""COMPUTED_VALUE"""),5.95)</f>
        <v>5.95</v>
      </c>
      <c r="D2222" s="1">
        <f>IFERROR(__xludf.DUMMYFUNCTION("""COMPUTED_VALUE"""),5.82)</f>
        <v>5.82</v>
      </c>
      <c r="E2222" s="1">
        <f>IFERROR(__xludf.DUMMYFUNCTION("""COMPUTED_VALUE"""),5.9)</f>
        <v>5.9</v>
      </c>
      <c r="F2222" s="1">
        <f>IFERROR(__xludf.DUMMYFUNCTION("""COMPUTED_VALUE"""),959891.0)</f>
        <v>959891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IFERROR(__xludf.DUMMYFUNCTION("""COMPUTED_VALUE"""),6.03)</f>
        <v>6.03</v>
      </c>
      <c r="C2223" s="1">
        <f>IFERROR(__xludf.DUMMYFUNCTION("""COMPUTED_VALUE"""),6.04)</f>
        <v>6.04</v>
      </c>
      <c r="D2223" s="1">
        <f>IFERROR(__xludf.DUMMYFUNCTION("""COMPUTED_VALUE"""),5.91)</f>
        <v>5.91</v>
      </c>
      <c r="E2223" s="1">
        <f>IFERROR(__xludf.DUMMYFUNCTION("""COMPUTED_VALUE"""),5.95)</f>
        <v>5.95</v>
      </c>
      <c r="F2223" s="1">
        <f>IFERROR(__xludf.DUMMYFUNCTION("""COMPUTED_VALUE"""),1530387.0)</f>
        <v>1530387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IFERROR(__xludf.DUMMYFUNCTION("""COMPUTED_VALUE"""),6.01)</f>
        <v>6.01</v>
      </c>
      <c r="C2224" s="1">
        <f>IFERROR(__xludf.DUMMYFUNCTION("""COMPUTED_VALUE"""),6.05)</f>
        <v>6.05</v>
      </c>
      <c r="D2224" s="1">
        <f>IFERROR(__xludf.DUMMYFUNCTION("""COMPUTED_VALUE"""),5.98)</f>
        <v>5.98</v>
      </c>
      <c r="E2224" s="1">
        <f>IFERROR(__xludf.DUMMYFUNCTION("""COMPUTED_VALUE"""),6.04)</f>
        <v>6.04</v>
      </c>
      <c r="F2224" s="1">
        <f>IFERROR(__xludf.DUMMYFUNCTION("""COMPUTED_VALUE"""),1882841.0)</f>
        <v>1882841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IFERROR(__xludf.DUMMYFUNCTION("""COMPUTED_VALUE"""),6.02)</f>
        <v>6.02</v>
      </c>
      <c r="C2225" s="1">
        <f>IFERROR(__xludf.DUMMYFUNCTION("""COMPUTED_VALUE"""),6.14)</f>
        <v>6.14</v>
      </c>
      <c r="D2225" s="1">
        <f>IFERROR(__xludf.DUMMYFUNCTION("""COMPUTED_VALUE"""),6.01)</f>
        <v>6.01</v>
      </c>
      <c r="E2225" s="1">
        <f>IFERROR(__xludf.DUMMYFUNCTION("""COMPUTED_VALUE"""),6.08)</f>
        <v>6.08</v>
      </c>
      <c r="F2225" s="1">
        <f>IFERROR(__xludf.DUMMYFUNCTION("""COMPUTED_VALUE"""),1286744.0)</f>
        <v>1286744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IFERROR(__xludf.DUMMYFUNCTION("""COMPUTED_VALUE"""),6.16)</f>
        <v>6.16</v>
      </c>
      <c r="C2226" s="1">
        <f>IFERROR(__xludf.DUMMYFUNCTION("""COMPUTED_VALUE"""),6.19)</f>
        <v>6.19</v>
      </c>
      <c r="D2226" s="1">
        <f>IFERROR(__xludf.DUMMYFUNCTION("""COMPUTED_VALUE"""),6.1)</f>
        <v>6.1</v>
      </c>
      <c r="E2226" s="1">
        <f>IFERROR(__xludf.DUMMYFUNCTION("""COMPUTED_VALUE"""),6.17)</f>
        <v>6.17</v>
      </c>
      <c r="F2226" s="1">
        <f>IFERROR(__xludf.DUMMYFUNCTION("""COMPUTED_VALUE"""),1166244.0)</f>
        <v>1166244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IFERROR(__xludf.DUMMYFUNCTION("""COMPUTED_VALUE"""),6.2)</f>
        <v>6.2</v>
      </c>
      <c r="C2227" s="1">
        <f>IFERROR(__xludf.DUMMYFUNCTION("""COMPUTED_VALUE"""),6.25)</f>
        <v>6.25</v>
      </c>
      <c r="D2227" s="1">
        <f>IFERROR(__xludf.DUMMYFUNCTION("""COMPUTED_VALUE"""),6.16)</f>
        <v>6.16</v>
      </c>
      <c r="E2227" s="1">
        <f>IFERROR(__xludf.DUMMYFUNCTION("""COMPUTED_VALUE"""),6.18)</f>
        <v>6.18</v>
      </c>
      <c r="F2227" s="1">
        <f>IFERROR(__xludf.DUMMYFUNCTION("""COMPUTED_VALUE"""),1023535.0)</f>
        <v>1023535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IFERROR(__xludf.DUMMYFUNCTION("""COMPUTED_VALUE"""),6.2)</f>
        <v>6.2</v>
      </c>
      <c r="C2228" s="1">
        <f>IFERROR(__xludf.DUMMYFUNCTION("""COMPUTED_VALUE"""),6.23)</f>
        <v>6.23</v>
      </c>
      <c r="D2228" s="1">
        <f>IFERROR(__xludf.DUMMYFUNCTION("""COMPUTED_VALUE"""),6.16)</f>
        <v>6.16</v>
      </c>
      <c r="E2228" s="1">
        <f>IFERROR(__xludf.DUMMYFUNCTION("""COMPUTED_VALUE"""),6.18)</f>
        <v>6.18</v>
      </c>
      <c r="F2228" s="1">
        <f>IFERROR(__xludf.DUMMYFUNCTION("""COMPUTED_VALUE"""),709347.0)</f>
        <v>709347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IFERROR(__xludf.DUMMYFUNCTION("""COMPUTED_VALUE"""),6.18)</f>
        <v>6.18</v>
      </c>
      <c r="C2229" s="1">
        <f>IFERROR(__xludf.DUMMYFUNCTION("""COMPUTED_VALUE"""),6.2)</f>
        <v>6.2</v>
      </c>
      <c r="D2229" s="1">
        <f>IFERROR(__xludf.DUMMYFUNCTION("""COMPUTED_VALUE"""),6.16)</f>
        <v>6.16</v>
      </c>
      <c r="E2229" s="1">
        <f>IFERROR(__xludf.DUMMYFUNCTION("""COMPUTED_VALUE"""),6.19)</f>
        <v>6.19</v>
      </c>
      <c r="F2229" s="1">
        <f>IFERROR(__xludf.DUMMYFUNCTION("""COMPUTED_VALUE"""),622386.0)</f>
        <v>622386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IFERROR(__xludf.DUMMYFUNCTION("""COMPUTED_VALUE"""),6.26)</f>
        <v>6.26</v>
      </c>
      <c r="C2230" s="1">
        <f>IFERROR(__xludf.DUMMYFUNCTION("""COMPUTED_VALUE"""),6.28)</f>
        <v>6.28</v>
      </c>
      <c r="D2230" s="1">
        <f>IFERROR(__xludf.DUMMYFUNCTION("""COMPUTED_VALUE"""),6.22)</f>
        <v>6.22</v>
      </c>
      <c r="E2230" s="1">
        <f>IFERROR(__xludf.DUMMYFUNCTION("""COMPUTED_VALUE"""),6.28)</f>
        <v>6.28</v>
      </c>
      <c r="F2230" s="1">
        <f>IFERROR(__xludf.DUMMYFUNCTION("""COMPUTED_VALUE"""),674140.0)</f>
        <v>674140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IFERROR(__xludf.DUMMYFUNCTION("""COMPUTED_VALUE"""),6.31)</f>
        <v>6.31</v>
      </c>
      <c r="C2231" s="1">
        <f>IFERROR(__xludf.DUMMYFUNCTION("""COMPUTED_VALUE"""),6.34)</f>
        <v>6.34</v>
      </c>
      <c r="D2231" s="1">
        <f>IFERROR(__xludf.DUMMYFUNCTION("""COMPUTED_VALUE"""),6.24)</f>
        <v>6.24</v>
      </c>
      <c r="E2231" s="1">
        <f>IFERROR(__xludf.DUMMYFUNCTION("""COMPUTED_VALUE"""),6.25)</f>
        <v>6.25</v>
      </c>
      <c r="F2231" s="1">
        <f>IFERROR(__xludf.DUMMYFUNCTION("""COMPUTED_VALUE"""),746149.0)</f>
        <v>746149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IFERROR(__xludf.DUMMYFUNCTION("""COMPUTED_VALUE"""),6.27)</f>
        <v>6.27</v>
      </c>
      <c r="C2232" s="1">
        <f>IFERROR(__xludf.DUMMYFUNCTION("""COMPUTED_VALUE"""),6.28)</f>
        <v>6.28</v>
      </c>
      <c r="D2232" s="1">
        <f>IFERROR(__xludf.DUMMYFUNCTION("""COMPUTED_VALUE"""),6.22)</f>
        <v>6.22</v>
      </c>
      <c r="E2232" s="1">
        <f>IFERROR(__xludf.DUMMYFUNCTION("""COMPUTED_VALUE"""),6.26)</f>
        <v>6.26</v>
      </c>
      <c r="F2232" s="1">
        <f>IFERROR(__xludf.DUMMYFUNCTION("""COMPUTED_VALUE"""),668192.0)</f>
        <v>668192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IFERROR(__xludf.DUMMYFUNCTION("""COMPUTED_VALUE"""),6.22)</f>
        <v>6.22</v>
      </c>
      <c r="C2233" s="1">
        <f>IFERROR(__xludf.DUMMYFUNCTION("""COMPUTED_VALUE"""),6.23)</f>
        <v>6.23</v>
      </c>
      <c r="D2233" s="1">
        <f>IFERROR(__xludf.DUMMYFUNCTION("""COMPUTED_VALUE"""),6.15)</f>
        <v>6.15</v>
      </c>
      <c r="E2233" s="1">
        <f>IFERROR(__xludf.DUMMYFUNCTION("""COMPUTED_VALUE"""),6.16)</f>
        <v>6.16</v>
      </c>
      <c r="F2233" s="1">
        <f>IFERROR(__xludf.DUMMYFUNCTION("""COMPUTED_VALUE"""),1193946.0)</f>
        <v>1193946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IFERROR(__xludf.DUMMYFUNCTION("""COMPUTED_VALUE"""),6.15)</f>
        <v>6.15</v>
      </c>
      <c r="C2234" s="1">
        <f>IFERROR(__xludf.DUMMYFUNCTION("""COMPUTED_VALUE"""),6.25)</f>
        <v>6.25</v>
      </c>
      <c r="D2234" s="1">
        <f>IFERROR(__xludf.DUMMYFUNCTION("""COMPUTED_VALUE"""),6.15)</f>
        <v>6.15</v>
      </c>
      <c r="E2234" s="1">
        <f>IFERROR(__xludf.DUMMYFUNCTION("""COMPUTED_VALUE"""),6.2)</f>
        <v>6.2</v>
      </c>
      <c r="F2234" s="1">
        <f>IFERROR(__xludf.DUMMYFUNCTION("""COMPUTED_VALUE"""),1972927.0)</f>
        <v>1972927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IFERROR(__xludf.DUMMYFUNCTION("""COMPUTED_VALUE"""),6.19)</f>
        <v>6.19</v>
      </c>
      <c r="C2235" s="1">
        <f>IFERROR(__xludf.DUMMYFUNCTION("""COMPUTED_VALUE"""),6.21)</f>
        <v>6.21</v>
      </c>
      <c r="D2235" s="1">
        <f>IFERROR(__xludf.DUMMYFUNCTION("""COMPUTED_VALUE"""),6.07)</f>
        <v>6.07</v>
      </c>
      <c r="E2235" s="1">
        <f>IFERROR(__xludf.DUMMYFUNCTION("""COMPUTED_VALUE"""),6.14)</f>
        <v>6.14</v>
      </c>
      <c r="F2235" s="1">
        <f>IFERROR(__xludf.DUMMYFUNCTION("""COMPUTED_VALUE"""),1011824.0)</f>
        <v>1011824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IFERROR(__xludf.DUMMYFUNCTION("""COMPUTED_VALUE"""),6.03)</f>
        <v>6.03</v>
      </c>
      <c r="C2236" s="1">
        <f>IFERROR(__xludf.DUMMYFUNCTION("""COMPUTED_VALUE"""),6.12)</f>
        <v>6.12</v>
      </c>
      <c r="D2236" s="1">
        <f>IFERROR(__xludf.DUMMYFUNCTION("""COMPUTED_VALUE"""),6.0)</f>
        <v>6</v>
      </c>
      <c r="E2236" s="1">
        <f>IFERROR(__xludf.DUMMYFUNCTION("""COMPUTED_VALUE"""),6.12)</f>
        <v>6.12</v>
      </c>
      <c r="F2236" s="1">
        <f>IFERROR(__xludf.DUMMYFUNCTION("""COMPUTED_VALUE"""),1153870.0)</f>
        <v>1153870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IFERROR(__xludf.DUMMYFUNCTION("""COMPUTED_VALUE"""),6.04)</f>
        <v>6.04</v>
      </c>
      <c r="C2237" s="1">
        <f>IFERROR(__xludf.DUMMYFUNCTION("""COMPUTED_VALUE"""),6.05)</f>
        <v>6.05</v>
      </c>
      <c r="D2237" s="1">
        <f>IFERROR(__xludf.DUMMYFUNCTION("""COMPUTED_VALUE"""),6.0)</f>
        <v>6</v>
      </c>
      <c r="E2237" s="1">
        <f>IFERROR(__xludf.DUMMYFUNCTION("""COMPUTED_VALUE"""),6.0)</f>
        <v>6</v>
      </c>
      <c r="F2237" s="1">
        <f>IFERROR(__xludf.DUMMYFUNCTION("""COMPUTED_VALUE"""),942803.0)</f>
        <v>942803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IFERROR(__xludf.DUMMYFUNCTION("""COMPUTED_VALUE"""),6.06)</f>
        <v>6.06</v>
      </c>
      <c r="C2238" s="1">
        <f>IFERROR(__xludf.DUMMYFUNCTION("""COMPUTED_VALUE"""),6.09)</f>
        <v>6.09</v>
      </c>
      <c r="D2238" s="1">
        <f>IFERROR(__xludf.DUMMYFUNCTION("""COMPUTED_VALUE"""),6.02)</f>
        <v>6.02</v>
      </c>
      <c r="E2238" s="1">
        <f>IFERROR(__xludf.DUMMYFUNCTION("""COMPUTED_VALUE"""),6.07)</f>
        <v>6.07</v>
      </c>
      <c r="F2238" s="1">
        <f>IFERROR(__xludf.DUMMYFUNCTION("""COMPUTED_VALUE"""),925962.0)</f>
        <v>925962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IFERROR(__xludf.DUMMYFUNCTION("""COMPUTED_VALUE"""),5.77)</f>
        <v>5.77</v>
      </c>
      <c r="C2239" s="1">
        <f>IFERROR(__xludf.DUMMYFUNCTION("""COMPUTED_VALUE"""),5.79)</f>
        <v>5.79</v>
      </c>
      <c r="D2239" s="1">
        <f>IFERROR(__xludf.DUMMYFUNCTION("""COMPUTED_VALUE"""),5.66)</f>
        <v>5.66</v>
      </c>
      <c r="E2239" s="1">
        <f>IFERROR(__xludf.DUMMYFUNCTION("""COMPUTED_VALUE"""),5.68)</f>
        <v>5.68</v>
      </c>
      <c r="F2239" s="1">
        <f>IFERROR(__xludf.DUMMYFUNCTION("""COMPUTED_VALUE"""),2473669.0)</f>
        <v>2473669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IFERROR(__xludf.DUMMYFUNCTION("""COMPUTED_VALUE"""),5.68)</f>
        <v>5.68</v>
      </c>
      <c r="C2240" s="1">
        <f>IFERROR(__xludf.DUMMYFUNCTION("""COMPUTED_VALUE"""),5.72)</f>
        <v>5.72</v>
      </c>
      <c r="D2240" s="1">
        <f>IFERROR(__xludf.DUMMYFUNCTION("""COMPUTED_VALUE"""),5.64)</f>
        <v>5.64</v>
      </c>
      <c r="E2240" s="1">
        <f>IFERROR(__xludf.DUMMYFUNCTION("""COMPUTED_VALUE"""),5.64)</f>
        <v>5.64</v>
      </c>
      <c r="F2240" s="1">
        <f>IFERROR(__xludf.DUMMYFUNCTION("""COMPUTED_VALUE"""),875010.0)</f>
        <v>875010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IFERROR(__xludf.DUMMYFUNCTION("""COMPUTED_VALUE"""),5.49)</f>
        <v>5.49</v>
      </c>
      <c r="C2241" s="1">
        <f>IFERROR(__xludf.DUMMYFUNCTION("""COMPUTED_VALUE"""),5.55)</f>
        <v>5.55</v>
      </c>
      <c r="D2241" s="1">
        <f>IFERROR(__xludf.DUMMYFUNCTION("""COMPUTED_VALUE"""),5.48)</f>
        <v>5.48</v>
      </c>
      <c r="E2241" s="1">
        <f>IFERROR(__xludf.DUMMYFUNCTION("""COMPUTED_VALUE"""),5.51)</f>
        <v>5.51</v>
      </c>
      <c r="F2241" s="1">
        <f>IFERROR(__xludf.DUMMYFUNCTION("""COMPUTED_VALUE"""),721796.0)</f>
        <v>721796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IFERROR(__xludf.DUMMYFUNCTION("""COMPUTED_VALUE"""),5.65)</f>
        <v>5.65</v>
      </c>
      <c r="C2242" s="1">
        <f>IFERROR(__xludf.DUMMYFUNCTION("""COMPUTED_VALUE"""),5.68)</f>
        <v>5.68</v>
      </c>
      <c r="D2242" s="1">
        <f>IFERROR(__xludf.DUMMYFUNCTION("""COMPUTED_VALUE"""),5.63)</f>
        <v>5.63</v>
      </c>
      <c r="E2242" s="1">
        <f>IFERROR(__xludf.DUMMYFUNCTION("""COMPUTED_VALUE"""),5.66)</f>
        <v>5.66</v>
      </c>
      <c r="F2242" s="1">
        <f>IFERROR(__xludf.DUMMYFUNCTION("""COMPUTED_VALUE"""),1272405.0)</f>
        <v>1272405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IFERROR(__xludf.DUMMYFUNCTION("""COMPUTED_VALUE"""),5.63)</f>
        <v>5.63</v>
      </c>
      <c r="C2243" s="1">
        <f>IFERROR(__xludf.DUMMYFUNCTION("""COMPUTED_VALUE"""),5.64)</f>
        <v>5.64</v>
      </c>
      <c r="D2243" s="1">
        <f>IFERROR(__xludf.DUMMYFUNCTION("""COMPUTED_VALUE"""),5.59)</f>
        <v>5.59</v>
      </c>
      <c r="E2243" s="1">
        <f>IFERROR(__xludf.DUMMYFUNCTION("""COMPUTED_VALUE"""),5.62)</f>
        <v>5.62</v>
      </c>
      <c r="F2243" s="1">
        <f>IFERROR(__xludf.DUMMYFUNCTION("""COMPUTED_VALUE"""),851153.0)</f>
        <v>851153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IFERROR(__xludf.DUMMYFUNCTION("""COMPUTED_VALUE"""),5.58)</f>
        <v>5.58</v>
      </c>
      <c r="C2244" s="1">
        <f>IFERROR(__xludf.DUMMYFUNCTION("""COMPUTED_VALUE"""),5.63)</f>
        <v>5.63</v>
      </c>
      <c r="D2244" s="1">
        <f>IFERROR(__xludf.DUMMYFUNCTION("""COMPUTED_VALUE"""),5.54)</f>
        <v>5.54</v>
      </c>
      <c r="E2244" s="1">
        <f>IFERROR(__xludf.DUMMYFUNCTION("""COMPUTED_VALUE"""),5.63)</f>
        <v>5.63</v>
      </c>
      <c r="F2244" s="1">
        <f>IFERROR(__xludf.DUMMYFUNCTION("""COMPUTED_VALUE"""),2325096.0)</f>
        <v>2325096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IFERROR(__xludf.DUMMYFUNCTION("""COMPUTED_VALUE"""),5.61)</f>
        <v>5.61</v>
      </c>
      <c r="C2245" s="1">
        <f>IFERROR(__xludf.DUMMYFUNCTION("""COMPUTED_VALUE"""),5.64)</f>
        <v>5.64</v>
      </c>
      <c r="D2245" s="1">
        <f>IFERROR(__xludf.DUMMYFUNCTION("""COMPUTED_VALUE"""),5.58)</f>
        <v>5.58</v>
      </c>
      <c r="E2245" s="1">
        <f>IFERROR(__xludf.DUMMYFUNCTION("""COMPUTED_VALUE"""),5.59)</f>
        <v>5.59</v>
      </c>
      <c r="F2245" s="1">
        <f>IFERROR(__xludf.DUMMYFUNCTION("""COMPUTED_VALUE"""),1088977.0)</f>
        <v>1088977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IFERROR(__xludf.DUMMYFUNCTION("""COMPUTED_VALUE"""),5.52)</f>
        <v>5.52</v>
      </c>
      <c r="C2246" s="1">
        <f>IFERROR(__xludf.DUMMYFUNCTION("""COMPUTED_VALUE"""),5.54)</f>
        <v>5.54</v>
      </c>
      <c r="D2246" s="1">
        <f>IFERROR(__xludf.DUMMYFUNCTION("""COMPUTED_VALUE"""),5.5)</f>
        <v>5.5</v>
      </c>
      <c r="E2246" s="1">
        <f>IFERROR(__xludf.DUMMYFUNCTION("""COMPUTED_VALUE"""),5.52)</f>
        <v>5.52</v>
      </c>
      <c r="F2246" s="1">
        <f>IFERROR(__xludf.DUMMYFUNCTION("""COMPUTED_VALUE"""),854689.0)</f>
        <v>854689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IFERROR(__xludf.DUMMYFUNCTION("""COMPUTED_VALUE"""),5.61)</f>
        <v>5.61</v>
      </c>
      <c r="C2247" s="1">
        <f>IFERROR(__xludf.DUMMYFUNCTION("""COMPUTED_VALUE"""),5.63)</f>
        <v>5.63</v>
      </c>
      <c r="D2247" s="1">
        <f>IFERROR(__xludf.DUMMYFUNCTION("""COMPUTED_VALUE"""),5.55)</f>
        <v>5.55</v>
      </c>
      <c r="E2247" s="1">
        <f>IFERROR(__xludf.DUMMYFUNCTION("""COMPUTED_VALUE"""),5.6)</f>
        <v>5.6</v>
      </c>
      <c r="F2247" s="1">
        <f>IFERROR(__xludf.DUMMYFUNCTION("""COMPUTED_VALUE"""),1283667.0)</f>
        <v>1283667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IFERROR(__xludf.DUMMYFUNCTION("""COMPUTED_VALUE"""),5.52)</f>
        <v>5.52</v>
      </c>
      <c r="C2248" s="1">
        <f>IFERROR(__xludf.DUMMYFUNCTION("""COMPUTED_VALUE"""),5.52)</f>
        <v>5.52</v>
      </c>
      <c r="D2248" s="1">
        <f>IFERROR(__xludf.DUMMYFUNCTION("""COMPUTED_VALUE"""),5.34)</f>
        <v>5.34</v>
      </c>
      <c r="E2248" s="1">
        <f>IFERROR(__xludf.DUMMYFUNCTION("""COMPUTED_VALUE"""),5.35)</f>
        <v>5.35</v>
      </c>
      <c r="F2248" s="1">
        <f>IFERROR(__xludf.DUMMYFUNCTION("""COMPUTED_VALUE"""),2041598.0)</f>
        <v>2041598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IFERROR(__xludf.DUMMYFUNCTION("""COMPUTED_VALUE"""),5.12)</f>
        <v>5.12</v>
      </c>
      <c r="C2249" s="1">
        <f>IFERROR(__xludf.DUMMYFUNCTION("""COMPUTED_VALUE"""),5.16)</f>
        <v>5.16</v>
      </c>
      <c r="D2249" s="1">
        <f>IFERROR(__xludf.DUMMYFUNCTION("""COMPUTED_VALUE"""),5.08)</f>
        <v>5.08</v>
      </c>
      <c r="E2249" s="1">
        <f>IFERROR(__xludf.DUMMYFUNCTION("""COMPUTED_VALUE"""),5.15)</f>
        <v>5.15</v>
      </c>
      <c r="F2249" s="1">
        <f>IFERROR(__xludf.DUMMYFUNCTION("""COMPUTED_VALUE"""),2091837.0)</f>
        <v>2091837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IFERROR(__xludf.DUMMYFUNCTION("""COMPUTED_VALUE"""),5.12)</f>
        <v>5.12</v>
      </c>
      <c r="C2250" s="1">
        <f>IFERROR(__xludf.DUMMYFUNCTION("""COMPUTED_VALUE"""),5.16)</f>
        <v>5.16</v>
      </c>
      <c r="D2250" s="1">
        <f>IFERROR(__xludf.DUMMYFUNCTION("""COMPUTED_VALUE"""),5.05)</f>
        <v>5.05</v>
      </c>
      <c r="E2250" s="1">
        <f>IFERROR(__xludf.DUMMYFUNCTION("""COMPUTED_VALUE"""),5.08)</f>
        <v>5.08</v>
      </c>
      <c r="F2250" s="1">
        <f>IFERROR(__xludf.DUMMYFUNCTION("""COMPUTED_VALUE"""),2074100.0)</f>
        <v>2074100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IFERROR(__xludf.DUMMYFUNCTION("""COMPUTED_VALUE"""),5.0)</f>
        <v>5</v>
      </c>
      <c r="C2251" s="1">
        <f>IFERROR(__xludf.DUMMYFUNCTION("""COMPUTED_VALUE"""),5.02)</f>
        <v>5.02</v>
      </c>
      <c r="D2251" s="1">
        <f>IFERROR(__xludf.DUMMYFUNCTION("""COMPUTED_VALUE"""),4.9)</f>
        <v>4.9</v>
      </c>
      <c r="E2251" s="1">
        <f>IFERROR(__xludf.DUMMYFUNCTION("""COMPUTED_VALUE"""),4.96)</f>
        <v>4.96</v>
      </c>
      <c r="F2251" s="1">
        <f>IFERROR(__xludf.DUMMYFUNCTION("""COMPUTED_VALUE"""),1785715.0)</f>
        <v>1785715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IFERROR(__xludf.DUMMYFUNCTION("""COMPUTED_VALUE"""),4.91)</f>
        <v>4.91</v>
      </c>
      <c r="C2252" s="1">
        <f>IFERROR(__xludf.DUMMYFUNCTION("""COMPUTED_VALUE"""),4.94)</f>
        <v>4.94</v>
      </c>
      <c r="D2252" s="1">
        <f>IFERROR(__xludf.DUMMYFUNCTION("""COMPUTED_VALUE"""),4.82)</f>
        <v>4.82</v>
      </c>
      <c r="E2252" s="1">
        <f>IFERROR(__xludf.DUMMYFUNCTION("""COMPUTED_VALUE"""),4.83)</f>
        <v>4.83</v>
      </c>
      <c r="F2252" s="1">
        <f>IFERROR(__xludf.DUMMYFUNCTION("""COMPUTED_VALUE"""),2828368.0)</f>
        <v>2828368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IFERROR(__xludf.DUMMYFUNCTION("""COMPUTED_VALUE"""),5.02)</f>
        <v>5.02</v>
      </c>
      <c r="C2253" s="1">
        <f>IFERROR(__xludf.DUMMYFUNCTION("""COMPUTED_VALUE"""),5.04)</f>
        <v>5.04</v>
      </c>
      <c r="D2253" s="1">
        <f>IFERROR(__xludf.DUMMYFUNCTION("""COMPUTED_VALUE"""),4.94)</f>
        <v>4.94</v>
      </c>
      <c r="E2253" s="1">
        <f>IFERROR(__xludf.DUMMYFUNCTION("""COMPUTED_VALUE"""),4.95)</f>
        <v>4.95</v>
      </c>
      <c r="F2253" s="1">
        <f>IFERROR(__xludf.DUMMYFUNCTION("""COMPUTED_VALUE"""),3832570.0)</f>
        <v>3832570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IFERROR(__xludf.DUMMYFUNCTION("""COMPUTED_VALUE"""),4.91)</f>
        <v>4.91</v>
      </c>
      <c r="C2254" s="1">
        <f>IFERROR(__xludf.DUMMYFUNCTION("""COMPUTED_VALUE"""),4.93)</f>
        <v>4.93</v>
      </c>
      <c r="D2254" s="1">
        <f>IFERROR(__xludf.DUMMYFUNCTION("""COMPUTED_VALUE"""),4.84)</f>
        <v>4.84</v>
      </c>
      <c r="E2254" s="1">
        <f>IFERROR(__xludf.DUMMYFUNCTION("""COMPUTED_VALUE"""),4.85)</f>
        <v>4.85</v>
      </c>
      <c r="F2254" s="1">
        <f>IFERROR(__xludf.DUMMYFUNCTION("""COMPUTED_VALUE"""),2954086.0)</f>
        <v>2954086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IFERROR(__xludf.DUMMYFUNCTION("""COMPUTED_VALUE"""),4.78)</f>
        <v>4.78</v>
      </c>
      <c r="C2255" s="1">
        <f>IFERROR(__xludf.DUMMYFUNCTION("""COMPUTED_VALUE"""),4.82)</f>
        <v>4.82</v>
      </c>
      <c r="D2255" s="1">
        <f>IFERROR(__xludf.DUMMYFUNCTION("""COMPUTED_VALUE"""),4.75)</f>
        <v>4.75</v>
      </c>
      <c r="E2255" s="1">
        <f>IFERROR(__xludf.DUMMYFUNCTION("""COMPUTED_VALUE"""),4.75)</f>
        <v>4.75</v>
      </c>
      <c r="F2255" s="1">
        <f>IFERROR(__xludf.DUMMYFUNCTION("""COMPUTED_VALUE"""),1769914.0)</f>
        <v>1769914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IFERROR(__xludf.DUMMYFUNCTION("""COMPUTED_VALUE"""),4.75)</f>
        <v>4.75</v>
      </c>
      <c r="C2256" s="1">
        <f>IFERROR(__xludf.DUMMYFUNCTION("""COMPUTED_VALUE"""),4.76)</f>
        <v>4.76</v>
      </c>
      <c r="D2256" s="1">
        <f>IFERROR(__xludf.DUMMYFUNCTION("""COMPUTED_VALUE"""),4.66)</f>
        <v>4.66</v>
      </c>
      <c r="E2256" s="1">
        <f>IFERROR(__xludf.DUMMYFUNCTION("""COMPUTED_VALUE"""),4.68)</f>
        <v>4.68</v>
      </c>
      <c r="F2256" s="1">
        <f>IFERROR(__xludf.DUMMYFUNCTION("""COMPUTED_VALUE"""),2326377.0)</f>
        <v>2326377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IFERROR(__xludf.DUMMYFUNCTION("""COMPUTED_VALUE"""),4.74)</f>
        <v>4.74</v>
      </c>
      <c r="C2257" s="1">
        <f>IFERROR(__xludf.DUMMYFUNCTION("""COMPUTED_VALUE"""),4.77)</f>
        <v>4.77</v>
      </c>
      <c r="D2257" s="1">
        <f>IFERROR(__xludf.DUMMYFUNCTION("""COMPUTED_VALUE"""),4.67)</f>
        <v>4.67</v>
      </c>
      <c r="E2257" s="1">
        <f>IFERROR(__xludf.DUMMYFUNCTION("""COMPUTED_VALUE"""),4.7)</f>
        <v>4.7</v>
      </c>
      <c r="F2257" s="1">
        <f>IFERROR(__xludf.DUMMYFUNCTION("""COMPUTED_VALUE"""),5225316.0)</f>
        <v>5225316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IFERROR(__xludf.DUMMYFUNCTION("""COMPUTED_VALUE"""),4.75)</f>
        <v>4.75</v>
      </c>
      <c r="C2258" s="1">
        <f>IFERROR(__xludf.DUMMYFUNCTION("""COMPUTED_VALUE"""),4.78)</f>
        <v>4.78</v>
      </c>
      <c r="D2258" s="1">
        <f>IFERROR(__xludf.DUMMYFUNCTION("""COMPUTED_VALUE"""),4.64)</f>
        <v>4.64</v>
      </c>
      <c r="E2258" s="1">
        <f>IFERROR(__xludf.DUMMYFUNCTION("""COMPUTED_VALUE"""),4.66)</f>
        <v>4.66</v>
      </c>
      <c r="F2258" s="1">
        <f>IFERROR(__xludf.DUMMYFUNCTION("""COMPUTED_VALUE"""),2026939.0)</f>
        <v>2026939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IFERROR(__xludf.DUMMYFUNCTION("""COMPUTED_VALUE"""),4.67)</f>
        <v>4.67</v>
      </c>
      <c r="C2259" s="1">
        <f>IFERROR(__xludf.DUMMYFUNCTION("""COMPUTED_VALUE"""),4.71)</f>
        <v>4.71</v>
      </c>
      <c r="D2259" s="1">
        <f>IFERROR(__xludf.DUMMYFUNCTION("""COMPUTED_VALUE"""),4.6)</f>
        <v>4.6</v>
      </c>
      <c r="E2259" s="1">
        <f>IFERROR(__xludf.DUMMYFUNCTION("""COMPUTED_VALUE"""),4.61)</f>
        <v>4.61</v>
      </c>
      <c r="F2259" s="1">
        <f>IFERROR(__xludf.DUMMYFUNCTION("""COMPUTED_VALUE"""),3532081.0)</f>
        <v>3532081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IFERROR(__xludf.DUMMYFUNCTION("""COMPUTED_VALUE"""),4.61)</f>
        <v>4.61</v>
      </c>
      <c r="C2260" s="1">
        <f>IFERROR(__xludf.DUMMYFUNCTION("""COMPUTED_VALUE"""),4.66)</f>
        <v>4.66</v>
      </c>
      <c r="D2260" s="1">
        <f>IFERROR(__xludf.DUMMYFUNCTION("""COMPUTED_VALUE"""),4.51)</f>
        <v>4.51</v>
      </c>
      <c r="E2260" s="1">
        <f>IFERROR(__xludf.DUMMYFUNCTION("""COMPUTED_VALUE"""),4.53)</f>
        <v>4.53</v>
      </c>
      <c r="F2260" s="1">
        <f>IFERROR(__xludf.DUMMYFUNCTION("""COMPUTED_VALUE"""),3832790.0)</f>
        <v>3832790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IFERROR(__xludf.DUMMYFUNCTION("""COMPUTED_VALUE"""),4.53)</f>
        <v>4.53</v>
      </c>
      <c r="C2261" s="1">
        <f>IFERROR(__xludf.DUMMYFUNCTION("""COMPUTED_VALUE"""),4.56)</f>
        <v>4.56</v>
      </c>
      <c r="D2261" s="1">
        <f>IFERROR(__xludf.DUMMYFUNCTION("""COMPUTED_VALUE"""),4.47)</f>
        <v>4.47</v>
      </c>
      <c r="E2261" s="1">
        <f>IFERROR(__xludf.DUMMYFUNCTION("""COMPUTED_VALUE"""),4.48)</f>
        <v>4.48</v>
      </c>
      <c r="F2261" s="1">
        <f>IFERROR(__xludf.DUMMYFUNCTION("""COMPUTED_VALUE"""),1357751.0)</f>
        <v>1357751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IFERROR(__xludf.DUMMYFUNCTION("""COMPUTED_VALUE"""),4.49)</f>
        <v>4.49</v>
      </c>
      <c r="C2262" s="1">
        <f>IFERROR(__xludf.DUMMYFUNCTION("""COMPUTED_VALUE"""),4.61)</f>
        <v>4.61</v>
      </c>
      <c r="D2262" s="1">
        <f>IFERROR(__xludf.DUMMYFUNCTION("""COMPUTED_VALUE"""),4.42)</f>
        <v>4.42</v>
      </c>
      <c r="E2262" s="1">
        <f>IFERROR(__xludf.DUMMYFUNCTION("""COMPUTED_VALUE"""),4.61)</f>
        <v>4.61</v>
      </c>
      <c r="F2262" s="1">
        <f>IFERROR(__xludf.DUMMYFUNCTION("""COMPUTED_VALUE"""),1491757.0)</f>
        <v>1491757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IFERROR(__xludf.DUMMYFUNCTION("""COMPUTED_VALUE"""),4.47)</f>
        <v>4.47</v>
      </c>
      <c r="C2263" s="1">
        <f>IFERROR(__xludf.DUMMYFUNCTION("""COMPUTED_VALUE"""),4.54)</f>
        <v>4.54</v>
      </c>
      <c r="D2263" s="1">
        <f>IFERROR(__xludf.DUMMYFUNCTION("""COMPUTED_VALUE"""),4.43)</f>
        <v>4.43</v>
      </c>
      <c r="E2263" s="1">
        <f>IFERROR(__xludf.DUMMYFUNCTION("""COMPUTED_VALUE"""),4.54)</f>
        <v>4.54</v>
      </c>
      <c r="F2263" s="1">
        <f>IFERROR(__xludf.DUMMYFUNCTION("""COMPUTED_VALUE"""),2139529.0)</f>
        <v>2139529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IFERROR(__xludf.DUMMYFUNCTION("""COMPUTED_VALUE"""),4.6)</f>
        <v>4.6</v>
      </c>
      <c r="C2264" s="1">
        <f>IFERROR(__xludf.DUMMYFUNCTION("""COMPUTED_VALUE"""),4.61)</f>
        <v>4.61</v>
      </c>
      <c r="D2264" s="1">
        <f>IFERROR(__xludf.DUMMYFUNCTION("""COMPUTED_VALUE"""),4.57)</f>
        <v>4.57</v>
      </c>
      <c r="E2264" s="1">
        <f>IFERROR(__xludf.DUMMYFUNCTION("""COMPUTED_VALUE"""),4.59)</f>
        <v>4.59</v>
      </c>
      <c r="F2264" s="1">
        <f>IFERROR(__xludf.DUMMYFUNCTION("""COMPUTED_VALUE"""),1808158.0)</f>
        <v>1808158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IFERROR(__xludf.DUMMYFUNCTION("""COMPUTED_VALUE"""),4.62)</f>
        <v>4.62</v>
      </c>
      <c r="C2265" s="1">
        <f>IFERROR(__xludf.DUMMYFUNCTION("""COMPUTED_VALUE"""),4.65)</f>
        <v>4.65</v>
      </c>
      <c r="D2265" s="1">
        <f>IFERROR(__xludf.DUMMYFUNCTION("""COMPUTED_VALUE"""),4.58)</f>
        <v>4.58</v>
      </c>
      <c r="E2265" s="1">
        <f>IFERROR(__xludf.DUMMYFUNCTION("""COMPUTED_VALUE"""),4.65)</f>
        <v>4.65</v>
      </c>
      <c r="F2265" s="1">
        <f>IFERROR(__xludf.DUMMYFUNCTION("""COMPUTED_VALUE"""),2694411.0)</f>
        <v>2694411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IFERROR(__xludf.DUMMYFUNCTION("""COMPUTED_VALUE"""),4.5)</f>
        <v>4.5</v>
      </c>
      <c r="C2266" s="1">
        <f>IFERROR(__xludf.DUMMYFUNCTION("""COMPUTED_VALUE"""),4.63)</f>
        <v>4.63</v>
      </c>
      <c r="D2266" s="1">
        <f>IFERROR(__xludf.DUMMYFUNCTION("""COMPUTED_VALUE"""),4.5)</f>
        <v>4.5</v>
      </c>
      <c r="E2266" s="1">
        <f>IFERROR(__xludf.DUMMYFUNCTION("""COMPUTED_VALUE"""),4.61)</f>
        <v>4.61</v>
      </c>
      <c r="F2266" s="1">
        <f>IFERROR(__xludf.DUMMYFUNCTION("""COMPUTED_VALUE"""),1924131.0)</f>
        <v>1924131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IFERROR(__xludf.DUMMYFUNCTION("""COMPUTED_VALUE"""),4.59)</f>
        <v>4.59</v>
      </c>
      <c r="C2267" s="1">
        <f>IFERROR(__xludf.DUMMYFUNCTION("""COMPUTED_VALUE"""),4.63)</f>
        <v>4.63</v>
      </c>
      <c r="D2267" s="1">
        <f>IFERROR(__xludf.DUMMYFUNCTION("""COMPUTED_VALUE"""),4.56)</f>
        <v>4.56</v>
      </c>
      <c r="E2267" s="1">
        <f>IFERROR(__xludf.DUMMYFUNCTION("""COMPUTED_VALUE"""),4.6)</f>
        <v>4.6</v>
      </c>
      <c r="F2267" s="1">
        <f>IFERROR(__xludf.DUMMYFUNCTION("""COMPUTED_VALUE"""),1326244.0)</f>
        <v>1326244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IFERROR(__xludf.DUMMYFUNCTION("""COMPUTED_VALUE"""),4.69)</f>
        <v>4.69</v>
      </c>
      <c r="C2268" s="1">
        <f>IFERROR(__xludf.DUMMYFUNCTION("""COMPUTED_VALUE"""),4.83)</f>
        <v>4.83</v>
      </c>
      <c r="D2268" s="1">
        <f>IFERROR(__xludf.DUMMYFUNCTION("""COMPUTED_VALUE"""),4.68)</f>
        <v>4.68</v>
      </c>
      <c r="E2268" s="1">
        <f>IFERROR(__xludf.DUMMYFUNCTION("""COMPUTED_VALUE"""),4.81)</f>
        <v>4.81</v>
      </c>
      <c r="F2268" s="1">
        <f>IFERROR(__xludf.DUMMYFUNCTION("""COMPUTED_VALUE"""),3115722.0)</f>
        <v>3115722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IFERROR(__xludf.DUMMYFUNCTION("""COMPUTED_VALUE"""),4.81)</f>
        <v>4.81</v>
      </c>
      <c r="C2269" s="1">
        <f>IFERROR(__xludf.DUMMYFUNCTION("""COMPUTED_VALUE"""),4.91)</f>
        <v>4.91</v>
      </c>
      <c r="D2269" s="1">
        <f>IFERROR(__xludf.DUMMYFUNCTION("""COMPUTED_VALUE"""),4.79)</f>
        <v>4.79</v>
      </c>
      <c r="E2269" s="1">
        <f>IFERROR(__xludf.DUMMYFUNCTION("""COMPUTED_VALUE"""),4.89)</f>
        <v>4.89</v>
      </c>
      <c r="F2269" s="1">
        <f>IFERROR(__xludf.DUMMYFUNCTION("""COMPUTED_VALUE"""),3914313.0)</f>
        <v>3914313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IFERROR(__xludf.DUMMYFUNCTION("""COMPUTED_VALUE"""),4.88)</f>
        <v>4.88</v>
      </c>
      <c r="C2270" s="1">
        <f>IFERROR(__xludf.DUMMYFUNCTION("""COMPUTED_VALUE"""),4.89)</f>
        <v>4.89</v>
      </c>
      <c r="D2270" s="1">
        <f>IFERROR(__xludf.DUMMYFUNCTION("""COMPUTED_VALUE"""),4.84)</f>
        <v>4.84</v>
      </c>
      <c r="E2270" s="1">
        <f>IFERROR(__xludf.DUMMYFUNCTION("""COMPUTED_VALUE"""),4.89)</f>
        <v>4.89</v>
      </c>
      <c r="F2270" s="1">
        <f>IFERROR(__xludf.DUMMYFUNCTION("""COMPUTED_VALUE"""),2789570.0)</f>
        <v>2789570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IFERROR(__xludf.DUMMYFUNCTION("""COMPUTED_VALUE"""),4.88)</f>
        <v>4.88</v>
      </c>
      <c r="C2271" s="1">
        <f>IFERROR(__xludf.DUMMYFUNCTION("""COMPUTED_VALUE"""),4.92)</f>
        <v>4.92</v>
      </c>
      <c r="D2271" s="1">
        <f>IFERROR(__xludf.DUMMYFUNCTION("""COMPUTED_VALUE"""),4.84)</f>
        <v>4.84</v>
      </c>
      <c r="E2271" s="1">
        <f>IFERROR(__xludf.DUMMYFUNCTION("""COMPUTED_VALUE"""),4.85)</f>
        <v>4.85</v>
      </c>
      <c r="F2271" s="1">
        <f>IFERROR(__xludf.DUMMYFUNCTION("""COMPUTED_VALUE"""),2648787.0)</f>
        <v>2648787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IFERROR(__xludf.DUMMYFUNCTION("""COMPUTED_VALUE"""),4.88)</f>
        <v>4.88</v>
      </c>
      <c r="C2272" s="1">
        <f>IFERROR(__xludf.DUMMYFUNCTION("""COMPUTED_VALUE"""),4.94)</f>
        <v>4.94</v>
      </c>
      <c r="D2272" s="1">
        <f>IFERROR(__xludf.DUMMYFUNCTION("""COMPUTED_VALUE"""),4.88)</f>
        <v>4.88</v>
      </c>
      <c r="E2272" s="1">
        <f>IFERROR(__xludf.DUMMYFUNCTION("""COMPUTED_VALUE"""),4.94)</f>
        <v>4.94</v>
      </c>
      <c r="F2272" s="1">
        <f>IFERROR(__xludf.DUMMYFUNCTION("""COMPUTED_VALUE"""),1705999.0)</f>
        <v>1705999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IFERROR(__xludf.DUMMYFUNCTION("""COMPUTED_VALUE"""),4.88)</f>
        <v>4.88</v>
      </c>
      <c r="C2273" s="1">
        <f>IFERROR(__xludf.DUMMYFUNCTION("""COMPUTED_VALUE"""),4.97)</f>
        <v>4.97</v>
      </c>
      <c r="D2273" s="1">
        <f>IFERROR(__xludf.DUMMYFUNCTION("""COMPUTED_VALUE"""),4.87)</f>
        <v>4.87</v>
      </c>
      <c r="E2273" s="1">
        <f>IFERROR(__xludf.DUMMYFUNCTION("""COMPUTED_VALUE"""),4.94)</f>
        <v>4.94</v>
      </c>
      <c r="F2273" s="1">
        <f>IFERROR(__xludf.DUMMYFUNCTION("""COMPUTED_VALUE"""),3509195.0)</f>
        <v>3509195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IFERROR(__xludf.DUMMYFUNCTION("""COMPUTED_VALUE"""),4.91)</f>
        <v>4.91</v>
      </c>
      <c r="C2274" s="1">
        <f>IFERROR(__xludf.DUMMYFUNCTION("""COMPUTED_VALUE"""),5.06)</f>
        <v>5.06</v>
      </c>
      <c r="D2274" s="1">
        <f>IFERROR(__xludf.DUMMYFUNCTION("""COMPUTED_VALUE"""),4.9)</f>
        <v>4.9</v>
      </c>
      <c r="E2274" s="1">
        <f>IFERROR(__xludf.DUMMYFUNCTION("""COMPUTED_VALUE"""),5.01)</f>
        <v>5.01</v>
      </c>
      <c r="F2274" s="1">
        <f>IFERROR(__xludf.DUMMYFUNCTION("""COMPUTED_VALUE"""),4174777.0)</f>
        <v>4174777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IFERROR(__xludf.DUMMYFUNCTION("""COMPUTED_VALUE"""),4.99)</f>
        <v>4.99</v>
      </c>
      <c r="C2275" s="1">
        <f>IFERROR(__xludf.DUMMYFUNCTION("""COMPUTED_VALUE"""),5.01)</f>
        <v>5.01</v>
      </c>
      <c r="D2275" s="1">
        <f>IFERROR(__xludf.DUMMYFUNCTION("""COMPUTED_VALUE"""),4.94)</f>
        <v>4.94</v>
      </c>
      <c r="E2275" s="1">
        <f>IFERROR(__xludf.DUMMYFUNCTION("""COMPUTED_VALUE"""),4.97)</f>
        <v>4.97</v>
      </c>
      <c r="F2275" s="1">
        <f>IFERROR(__xludf.DUMMYFUNCTION("""COMPUTED_VALUE"""),1428108.0)</f>
        <v>1428108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IFERROR(__xludf.DUMMYFUNCTION("""COMPUTED_VALUE"""),5.04)</f>
        <v>5.04</v>
      </c>
      <c r="C2276" s="1">
        <f>IFERROR(__xludf.DUMMYFUNCTION("""COMPUTED_VALUE"""),5.11)</f>
        <v>5.11</v>
      </c>
      <c r="D2276" s="1">
        <f>IFERROR(__xludf.DUMMYFUNCTION("""COMPUTED_VALUE"""),5.03)</f>
        <v>5.03</v>
      </c>
      <c r="E2276" s="1">
        <f>IFERROR(__xludf.DUMMYFUNCTION("""COMPUTED_VALUE"""),5.09)</f>
        <v>5.09</v>
      </c>
      <c r="F2276" s="1">
        <f>IFERROR(__xludf.DUMMYFUNCTION("""COMPUTED_VALUE"""),1130205.0)</f>
        <v>1130205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IFERROR(__xludf.DUMMYFUNCTION("""COMPUTED_VALUE"""),4.99)</f>
        <v>4.99</v>
      </c>
      <c r="C2277" s="1">
        <f>IFERROR(__xludf.DUMMYFUNCTION("""COMPUTED_VALUE"""),5.08)</f>
        <v>5.08</v>
      </c>
      <c r="D2277" s="1">
        <f>IFERROR(__xludf.DUMMYFUNCTION("""COMPUTED_VALUE"""),4.99)</f>
        <v>4.99</v>
      </c>
      <c r="E2277" s="1">
        <f>IFERROR(__xludf.DUMMYFUNCTION("""COMPUTED_VALUE"""),5.04)</f>
        <v>5.04</v>
      </c>
      <c r="F2277" s="1">
        <f>IFERROR(__xludf.DUMMYFUNCTION("""COMPUTED_VALUE"""),1428275.0)</f>
        <v>1428275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IFERROR(__xludf.DUMMYFUNCTION("""COMPUTED_VALUE"""),5.17)</f>
        <v>5.17</v>
      </c>
      <c r="C2278" s="1">
        <f>IFERROR(__xludf.DUMMYFUNCTION("""COMPUTED_VALUE"""),5.19)</f>
        <v>5.19</v>
      </c>
      <c r="D2278" s="1">
        <f>IFERROR(__xludf.DUMMYFUNCTION("""COMPUTED_VALUE"""),5.15)</f>
        <v>5.15</v>
      </c>
      <c r="E2278" s="1">
        <f>IFERROR(__xludf.DUMMYFUNCTION("""COMPUTED_VALUE"""),5.19)</f>
        <v>5.19</v>
      </c>
      <c r="F2278" s="1">
        <f>IFERROR(__xludf.DUMMYFUNCTION("""COMPUTED_VALUE"""),1122031.0)</f>
        <v>1122031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IFERROR(__xludf.DUMMYFUNCTION("""COMPUTED_VALUE"""),5.12)</f>
        <v>5.12</v>
      </c>
      <c r="C2279" s="1">
        <f>IFERROR(__xludf.DUMMYFUNCTION("""COMPUTED_VALUE"""),5.13)</f>
        <v>5.13</v>
      </c>
      <c r="D2279" s="1">
        <f>IFERROR(__xludf.DUMMYFUNCTION("""COMPUTED_VALUE"""),5.08)</f>
        <v>5.08</v>
      </c>
      <c r="E2279" s="1">
        <f>IFERROR(__xludf.DUMMYFUNCTION("""COMPUTED_VALUE"""),5.1)</f>
        <v>5.1</v>
      </c>
      <c r="F2279" s="1">
        <f>IFERROR(__xludf.DUMMYFUNCTION("""COMPUTED_VALUE"""),1230019.0)</f>
        <v>1230019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IFERROR(__xludf.DUMMYFUNCTION("""COMPUTED_VALUE"""),5.12)</f>
        <v>5.12</v>
      </c>
      <c r="C2280" s="1">
        <f>IFERROR(__xludf.DUMMYFUNCTION("""COMPUTED_VALUE"""),5.13)</f>
        <v>5.13</v>
      </c>
      <c r="D2280" s="1">
        <f>IFERROR(__xludf.DUMMYFUNCTION("""COMPUTED_VALUE"""),5.03)</f>
        <v>5.03</v>
      </c>
      <c r="E2280" s="1">
        <f>IFERROR(__xludf.DUMMYFUNCTION("""COMPUTED_VALUE"""),5.09)</f>
        <v>5.09</v>
      </c>
      <c r="F2280" s="1">
        <f>IFERROR(__xludf.DUMMYFUNCTION("""COMPUTED_VALUE"""),666020.0)</f>
        <v>666020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IFERROR(__xludf.DUMMYFUNCTION("""COMPUTED_VALUE"""),5.13)</f>
        <v>5.13</v>
      </c>
      <c r="C2281" s="1">
        <f>IFERROR(__xludf.DUMMYFUNCTION("""COMPUTED_VALUE"""),5.15)</f>
        <v>5.15</v>
      </c>
      <c r="D2281" s="1">
        <f>IFERROR(__xludf.DUMMYFUNCTION("""COMPUTED_VALUE"""),5.09)</f>
        <v>5.09</v>
      </c>
      <c r="E2281" s="1">
        <f>IFERROR(__xludf.DUMMYFUNCTION("""COMPUTED_VALUE"""),5.13)</f>
        <v>5.13</v>
      </c>
      <c r="F2281" s="1">
        <f>IFERROR(__xludf.DUMMYFUNCTION("""COMPUTED_VALUE"""),1277709.0)</f>
        <v>1277709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IFERROR(__xludf.DUMMYFUNCTION("""COMPUTED_VALUE"""),5.18)</f>
        <v>5.18</v>
      </c>
      <c r="C2282" s="1">
        <f>IFERROR(__xludf.DUMMYFUNCTION("""COMPUTED_VALUE"""),5.22)</f>
        <v>5.22</v>
      </c>
      <c r="D2282" s="1">
        <f>IFERROR(__xludf.DUMMYFUNCTION("""COMPUTED_VALUE"""),5.17)</f>
        <v>5.17</v>
      </c>
      <c r="E2282" s="1">
        <f>IFERROR(__xludf.DUMMYFUNCTION("""COMPUTED_VALUE"""),5.19)</f>
        <v>5.19</v>
      </c>
      <c r="F2282" s="1">
        <f>IFERROR(__xludf.DUMMYFUNCTION("""COMPUTED_VALUE"""),622444.0)</f>
        <v>622444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IFERROR(__xludf.DUMMYFUNCTION("""COMPUTED_VALUE"""),5.14)</f>
        <v>5.14</v>
      </c>
      <c r="C2283" s="1">
        <f>IFERROR(__xludf.DUMMYFUNCTION("""COMPUTED_VALUE"""),5.19)</f>
        <v>5.19</v>
      </c>
      <c r="D2283" s="1">
        <f>IFERROR(__xludf.DUMMYFUNCTION("""COMPUTED_VALUE"""),5.11)</f>
        <v>5.11</v>
      </c>
      <c r="E2283" s="1">
        <f>IFERROR(__xludf.DUMMYFUNCTION("""COMPUTED_VALUE"""),5.17)</f>
        <v>5.17</v>
      </c>
      <c r="F2283" s="1">
        <f>IFERROR(__xludf.DUMMYFUNCTION("""COMPUTED_VALUE"""),1074241.0)</f>
        <v>1074241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IFERROR(__xludf.DUMMYFUNCTION("""COMPUTED_VALUE"""),5.16)</f>
        <v>5.16</v>
      </c>
      <c r="C2284" s="1">
        <f>IFERROR(__xludf.DUMMYFUNCTION("""COMPUTED_VALUE"""),5.2)</f>
        <v>5.2</v>
      </c>
      <c r="D2284" s="1">
        <f>IFERROR(__xludf.DUMMYFUNCTION("""COMPUTED_VALUE"""),5.15)</f>
        <v>5.15</v>
      </c>
      <c r="E2284" s="1">
        <f>IFERROR(__xludf.DUMMYFUNCTION("""COMPUTED_VALUE"""),5.15)</f>
        <v>5.15</v>
      </c>
      <c r="F2284" s="1">
        <f>IFERROR(__xludf.DUMMYFUNCTION("""COMPUTED_VALUE"""),640989.0)</f>
        <v>640989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IFERROR(__xludf.DUMMYFUNCTION("""COMPUTED_VALUE"""),5.21)</f>
        <v>5.21</v>
      </c>
      <c r="C2285" s="1">
        <f>IFERROR(__xludf.DUMMYFUNCTION("""COMPUTED_VALUE"""),5.25)</f>
        <v>5.25</v>
      </c>
      <c r="D2285" s="1">
        <f>IFERROR(__xludf.DUMMYFUNCTION("""COMPUTED_VALUE"""),5.16)</f>
        <v>5.16</v>
      </c>
      <c r="E2285" s="1">
        <f>IFERROR(__xludf.DUMMYFUNCTION("""COMPUTED_VALUE"""),5.24)</f>
        <v>5.24</v>
      </c>
      <c r="F2285" s="1">
        <f>IFERROR(__xludf.DUMMYFUNCTION("""COMPUTED_VALUE"""),903432.0)</f>
        <v>903432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IFERROR(__xludf.DUMMYFUNCTION("""COMPUTED_VALUE"""),5.14)</f>
        <v>5.14</v>
      </c>
      <c r="C2286" s="1">
        <f>IFERROR(__xludf.DUMMYFUNCTION("""COMPUTED_VALUE"""),5.17)</f>
        <v>5.17</v>
      </c>
      <c r="D2286" s="1">
        <f>IFERROR(__xludf.DUMMYFUNCTION("""COMPUTED_VALUE"""),5.09)</f>
        <v>5.09</v>
      </c>
      <c r="E2286" s="1">
        <f>IFERROR(__xludf.DUMMYFUNCTION("""COMPUTED_VALUE"""),5.17)</f>
        <v>5.17</v>
      </c>
      <c r="F2286" s="1">
        <f>IFERROR(__xludf.DUMMYFUNCTION("""COMPUTED_VALUE"""),2226490.0)</f>
        <v>2226490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IFERROR(__xludf.DUMMYFUNCTION("""COMPUTED_VALUE"""),5.17)</f>
        <v>5.17</v>
      </c>
      <c r="C2287" s="1">
        <f>IFERROR(__xludf.DUMMYFUNCTION("""COMPUTED_VALUE"""),5.2)</f>
        <v>5.2</v>
      </c>
      <c r="D2287" s="1">
        <f>IFERROR(__xludf.DUMMYFUNCTION("""COMPUTED_VALUE"""),5.14)</f>
        <v>5.14</v>
      </c>
      <c r="E2287" s="1">
        <f>IFERROR(__xludf.DUMMYFUNCTION("""COMPUTED_VALUE"""),5.17)</f>
        <v>5.17</v>
      </c>
      <c r="F2287" s="1">
        <f>IFERROR(__xludf.DUMMYFUNCTION("""COMPUTED_VALUE"""),1002838.0)</f>
        <v>1002838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IFERROR(__xludf.DUMMYFUNCTION("""COMPUTED_VALUE"""),5.13)</f>
        <v>5.13</v>
      </c>
      <c r="C2288" s="1">
        <f>IFERROR(__xludf.DUMMYFUNCTION("""COMPUTED_VALUE"""),5.16)</f>
        <v>5.16</v>
      </c>
      <c r="D2288" s="1">
        <f>IFERROR(__xludf.DUMMYFUNCTION("""COMPUTED_VALUE"""),5.1)</f>
        <v>5.1</v>
      </c>
      <c r="E2288" s="1">
        <f>IFERROR(__xludf.DUMMYFUNCTION("""COMPUTED_VALUE"""),5.15)</f>
        <v>5.15</v>
      </c>
      <c r="F2288" s="1">
        <f>IFERROR(__xludf.DUMMYFUNCTION("""COMPUTED_VALUE"""),663209.0)</f>
        <v>663209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IFERROR(__xludf.DUMMYFUNCTION("""COMPUTED_VALUE"""),5.17)</f>
        <v>5.17</v>
      </c>
      <c r="C2289" s="1">
        <f>IFERROR(__xludf.DUMMYFUNCTION("""COMPUTED_VALUE"""),5.2)</f>
        <v>5.2</v>
      </c>
      <c r="D2289" s="1">
        <f>IFERROR(__xludf.DUMMYFUNCTION("""COMPUTED_VALUE"""),5.15)</f>
        <v>5.15</v>
      </c>
      <c r="E2289" s="1">
        <f>IFERROR(__xludf.DUMMYFUNCTION("""COMPUTED_VALUE"""),5.19)</f>
        <v>5.19</v>
      </c>
      <c r="F2289" s="1">
        <f>IFERROR(__xludf.DUMMYFUNCTION("""COMPUTED_VALUE"""),757948.0)</f>
        <v>757948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IFERROR(__xludf.DUMMYFUNCTION("""COMPUTED_VALUE"""),5.2)</f>
        <v>5.2</v>
      </c>
      <c r="C2290" s="1">
        <f>IFERROR(__xludf.DUMMYFUNCTION("""COMPUTED_VALUE"""),5.26)</f>
        <v>5.26</v>
      </c>
      <c r="D2290" s="1">
        <f>IFERROR(__xludf.DUMMYFUNCTION("""COMPUTED_VALUE"""),5.19)</f>
        <v>5.19</v>
      </c>
      <c r="E2290" s="1">
        <f>IFERROR(__xludf.DUMMYFUNCTION("""COMPUTED_VALUE"""),5.23)</f>
        <v>5.23</v>
      </c>
      <c r="F2290" s="1">
        <f>IFERROR(__xludf.DUMMYFUNCTION("""COMPUTED_VALUE"""),984975.0)</f>
        <v>984975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IFERROR(__xludf.DUMMYFUNCTION("""COMPUTED_VALUE"""),5.16)</f>
        <v>5.16</v>
      </c>
      <c r="C2291" s="1">
        <f>IFERROR(__xludf.DUMMYFUNCTION("""COMPUTED_VALUE"""),5.17)</f>
        <v>5.17</v>
      </c>
      <c r="D2291" s="1">
        <f>IFERROR(__xludf.DUMMYFUNCTION("""COMPUTED_VALUE"""),5.08)</f>
        <v>5.08</v>
      </c>
      <c r="E2291" s="1">
        <f>IFERROR(__xludf.DUMMYFUNCTION("""COMPUTED_VALUE"""),5.11)</f>
        <v>5.11</v>
      </c>
      <c r="F2291" s="1">
        <f>IFERROR(__xludf.DUMMYFUNCTION("""COMPUTED_VALUE"""),1368027.0)</f>
        <v>1368027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IFERROR(__xludf.DUMMYFUNCTION("""COMPUTED_VALUE"""),5.06)</f>
        <v>5.06</v>
      </c>
      <c r="C2292" s="1">
        <f>IFERROR(__xludf.DUMMYFUNCTION("""COMPUTED_VALUE"""),5.06)</f>
        <v>5.06</v>
      </c>
      <c r="D2292" s="1">
        <f>IFERROR(__xludf.DUMMYFUNCTION("""COMPUTED_VALUE"""),4.98)</f>
        <v>4.98</v>
      </c>
      <c r="E2292" s="1">
        <f>IFERROR(__xludf.DUMMYFUNCTION("""COMPUTED_VALUE"""),5.03)</f>
        <v>5.03</v>
      </c>
      <c r="F2292" s="1">
        <f>IFERROR(__xludf.DUMMYFUNCTION("""COMPUTED_VALUE"""),720833.0)</f>
        <v>720833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IFERROR(__xludf.DUMMYFUNCTION("""COMPUTED_VALUE"""),5.1)</f>
        <v>5.1</v>
      </c>
      <c r="C2293" s="1">
        <f>IFERROR(__xludf.DUMMYFUNCTION("""COMPUTED_VALUE"""),5.13)</f>
        <v>5.13</v>
      </c>
      <c r="D2293" s="1">
        <f>IFERROR(__xludf.DUMMYFUNCTION("""COMPUTED_VALUE"""),5.07)</f>
        <v>5.07</v>
      </c>
      <c r="E2293" s="1">
        <f>IFERROR(__xludf.DUMMYFUNCTION("""COMPUTED_VALUE"""),5.1)</f>
        <v>5.1</v>
      </c>
      <c r="F2293" s="1">
        <f>IFERROR(__xludf.DUMMYFUNCTION("""COMPUTED_VALUE"""),1232096.0)</f>
        <v>1232096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IFERROR(__xludf.DUMMYFUNCTION("""COMPUTED_VALUE"""),5.16)</f>
        <v>5.16</v>
      </c>
      <c r="C2294" s="1">
        <f>IFERROR(__xludf.DUMMYFUNCTION("""COMPUTED_VALUE"""),5.2)</f>
        <v>5.2</v>
      </c>
      <c r="D2294" s="1">
        <f>IFERROR(__xludf.DUMMYFUNCTION("""COMPUTED_VALUE"""),5.16)</f>
        <v>5.16</v>
      </c>
      <c r="E2294" s="1">
        <f>IFERROR(__xludf.DUMMYFUNCTION("""COMPUTED_VALUE"""),5.18)</f>
        <v>5.18</v>
      </c>
      <c r="F2294" s="1">
        <f>IFERROR(__xludf.DUMMYFUNCTION("""COMPUTED_VALUE"""),755722.0)</f>
        <v>755722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IFERROR(__xludf.DUMMYFUNCTION("""COMPUTED_VALUE"""),5.18)</f>
        <v>5.18</v>
      </c>
      <c r="C2295" s="1">
        <f>IFERROR(__xludf.DUMMYFUNCTION("""COMPUTED_VALUE"""),5.2)</f>
        <v>5.2</v>
      </c>
      <c r="D2295" s="1">
        <f>IFERROR(__xludf.DUMMYFUNCTION("""COMPUTED_VALUE"""),5.16)</f>
        <v>5.16</v>
      </c>
      <c r="E2295" s="1">
        <f>IFERROR(__xludf.DUMMYFUNCTION("""COMPUTED_VALUE"""),5.17)</f>
        <v>5.17</v>
      </c>
      <c r="F2295" s="1">
        <f>IFERROR(__xludf.DUMMYFUNCTION("""COMPUTED_VALUE"""),1406098.0)</f>
        <v>1406098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IFERROR(__xludf.DUMMYFUNCTION("""COMPUTED_VALUE"""),4.91)</f>
        <v>4.91</v>
      </c>
      <c r="C2296" s="1">
        <f>IFERROR(__xludf.DUMMYFUNCTION("""COMPUTED_VALUE"""),5.01)</f>
        <v>5.01</v>
      </c>
      <c r="D2296" s="1">
        <f>IFERROR(__xludf.DUMMYFUNCTION("""COMPUTED_VALUE"""),4.87)</f>
        <v>4.87</v>
      </c>
      <c r="E2296" s="1">
        <f>IFERROR(__xludf.DUMMYFUNCTION("""COMPUTED_VALUE"""),4.95)</f>
        <v>4.95</v>
      </c>
      <c r="F2296" s="1">
        <f>IFERROR(__xludf.DUMMYFUNCTION("""COMPUTED_VALUE"""),4227227.0)</f>
        <v>4227227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IFERROR(__xludf.DUMMYFUNCTION("""COMPUTED_VALUE"""),5.1)</f>
        <v>5.1</v>
      </c>
      <c r="C2297" s="1">
        <f>IFERROR(__xludf.DUMMYFUNCTION("""COMPUTED_VALUE"""),5.17)</f>
        <v>5.17</v>
      </c>
      <c r="D2297" s="1">
        <f>IFERROR(__xludf.DUMMYFUNCTION("""COMPUTED_VALUE"""),5.09)</f>
        <v>5.09</v>
      </c>
      <c r="E2297" s="1">
        <f>IFERROR(__xludf.DUMMYFUNCTION("""COMPUTED_VALUE"""),5.16)</f>
        <v>5.16</v>
      </c>
      <c r="F2297" s="1">
        <f>IFERROR(__xludf.DUMMYFUNCTION("""COMPUTED_VALUE"""),1651821.0)</f>
        <v>1651821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IFERROR(__xludf.DUMMYFUNCTION("""COMPUTED_VALUE"""),5.2)</f>
        <v>5.2</v>
      </c>
      <c r="C2298" s="1">
        <f>IFERROR(__xludf.DUMMYFUNCTION("""COMPUTED_VALUE"""),5.28)</f>
        <v>5.28</v>
      </c>
      <c r="D2298" s="1">
        <f>IFERROR(__xludf.DUMMYFUNCTION("""COMPUTED_VALUE"""),5.2)</f>
        <v>5.2</v>
      </c>
      <c r="E2298" s="1">
        <f>IFERROR(__xludf.DUMMYFUNCTION("""COMPUTED_VALUE"""),5.27)</f>
        <v>5.27</v>
      </c>
      <c r="F2298" s="1">
        <f>IFERROR(__xludf.DUMMYFUNCTION("""COMPUTED_VALUE"""),1244278.0)</f>
        <v>1244278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IFERROR(__xludf.DUMMYFUNCTION("""COMPUTED_VALUE"""),5.27)</f>
        <v>5.27</v>
      </c>
      <c r="C2299" s="1">
        <f>IFERROR(__xludf.DUMMYFUNCTION("""COMPUTED_VALUE"""),5.33)</f>
        <v>5.33</v>
      </c>
      <c r="D2299" s="1">
        <f>IFERROR(__xludf.DUMMYFUNCTION("""COMPUTED_VALUE"""),5.25)</f>
        <v>5.25</v>
      </c>
      <c r="E2299" s="1">
        <f>IFERROR(__xludf.DUMMYFUNCTION("""COMPUTED_VALUE"""),5.31)</f>
        <v>5.31</v>
      </c>
      <c r="F2299" s="1">
        <f>IFERROR(__xludf.DUMMYFUNCTION("""COMPUTED_VALUE"""),722112.0)</f>
        <v>722112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IFERROR(__xludf.DUMMYFUNCTION("""COMPUTED_VALUE"""),5.32)</f>
        <v>5.32</v>
      </c>
      <c r="C2300" s="1">
        <f>IFERROR(__xludf.DUMMYFUNCTION("""COMPUTED_VALUE"""),5.33)</f>
        <v>5.33</v>
      </c>
      <c r="D2300" s="1">
        <f>IFERROR(__xludf.DUMMYFUNCTION("""COMPUTED_VALUE"""),5.23)</f>
        <v>5.23</v>
      </c>
      <c r="E2300" s="1">
        <f>IFERROR(__xludf.DUMMYFUNCTION("""COMPUTED_VALUE"""),5.25)</f>
        <v>5.25</v>
      </c>
      <c r="F2300" s="1">
        <f>IFERROR(__xludf.DUMMYFUNCTION("""COMPUTED_VALUE"""),989446.0)</f>
        <v>989446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IFERROR(__xludf.DUMMYFUNCTION("""COMPUTED_VALUE"""),5.26)</f>
        <v>5.26</v>
      </c>
      <c r="C2301" s="1">
        <f>IFERROR(__xludf.DUMMYFUNCTION("""COMPUTED_VALUE"""),5.26)</f>
        <v>5.26</v>
      </c>
      <c r="D2301" s="1">
        <f>IFERROR(__xludf.DUMMYFUNCTION("""COMPUTED_VALUE"""),5.22)</f>
        <v>5.22</v>
      </c>
      <c r="E2301" s="1">
        <f>IFERROR(__xludf.DUMMYFUNCTION("""COMPUTED_VALUE"""),5.23)</f>
        <v>5.23</v>
      </c>
      <c r="F2301" s="1">
        <f>IFERROR(__xludf.DUMMYFUNCTION("""COMPUTED_VALUE"""),522845.0)</f>
        <v>522845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IFERROR(__xludf.DUMMYFUNCTION("""COMPUTED_VALUE"""),5.28)</f>
        <v>5.28</v>
      </c>
      <c r="C2302" s="1">
        <f>IFERROR(__xludf.DUMMYFUNCTION("""COMPUTED_VALUE"""),5.32)</f>
        <v>5.32</v>
      </c>
      <c r="D2302" s="1">
        <f>IFERROR(__xludf.DUMMYFUNCTION("""COMPUTED_VALUE"""),5.27)</f>
        <v>5.27</v>
      </c>
      <c r="E2302" s="1">
        <f>IFERROR(__xludf.DUMMYFUNCTION("""COMPUTED_VALUE"""),5.29)</f>
        <v>5.29</v>
      </c>
      <c r="F2302" s="1">
        <f>IFERROR(__xludf.DUMMYFUNCTION("""COMPUTED_VALUE"""),1878988.0)</f>
        <v>1878988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IFERROR(__xludf.DUMMYFUNCTION("""COMPUTED_VALUE"""),5.31)</f>
        <v>5.31</v>
      </c>
      <c r="C2303" s="1">
        <f>IFERROR(__xludf.DUMMYFUNCTION("""COMPUTED_VALUE"""),5.36)</f>
        <v>5.36</v>
      </c>
      <c r="D2303" s="1">
        <f>IFERROR(__xludf.DUMMYFUNCTION("""COMPUTED_VALUE"""),5.31)</f>
        <v>5.31</v>
      </c>
      <c r="E2303" s="1">
        <f>IFERROR(__xludf.DUMMYFUNCTION("""COMPUTED_VALUE"""),5.32)</f>
        <v>5.32</v>
      </c>
      <c r="F2303" s="1">
        <f>IFERROR(__xludf.DUMMYFUNCTION("""COMPUTED_VALUE"""),2210977.0)</f>
        <v>2210977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IFERROR(__xludf.DUMMYFUNCTION("""COMPUTED_VALUE"""),5.35)</f>
        <v>5.35</v>
      </c>
      <c r="C2304" s="1">
        <f>IFERROR(__xludf.DUMMYFUNCTION("""COMPUTED_VALUE"""),5.37)</f>
        <v>5.37</v>
      </c>
      <c r="D2304" s="1">
        <f>IFERROR(__xludf.DUMMYFUNCTION("""COMPUTED_VALUE"""),5.33)</f>
        <v>5.33</v>
      </c>
      <c r="E2304" s="1">
        <f>IFERROR(__xludf.DUMMYFUNCTION("""COMPUTED_VALUE"""),5.34)</f>
        <v>5.34</v>
      </c>
      <c r="F2304" s="1">
        <f>IFERROR(__xludf.DUMMYFUNCTION("""COMPUTED_VALUE"""),1139810.0)</f>
        <v>1139810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IFERROR(__xludf.DUMMYFUNCTION("""COMPUTED_VALUE"""),5.35)</f>
        <v>5.35</v>
      </c>
      <c r="C2305" s="1">
        <f>IFERROR(__xludf.DUMMYFUNCTION("""COMPUTED_VALUE"""),5.39)</f>
        <v>5.39</v>
      </c>
      <c r="D2305" s="1">
        <f>IFERROR(__xludf.DUMMYFUNCTION("""COMPUTED_VALUE"""),5.34)</f>
        <v>5.34</v>
      </c>
      <c r="E2305" s="1">
        <f>IFERROR(__xludf.DUMMYFUNCTION("""COMPUTED_VALUE"""),5.36)</f>
        <v>5.36</v>
      </c>
      <c r="F2305" s="1">
        <f>IFERROR(__xludf.DUMMYFUNCTION("""COMPUTED_VALUE"""),912159.0)</f>
        <v>912159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IFERROR(__xludf.DUMMYFUNCTION("""COMPUTED_VALUE"""),5.4)</f>
        <v>5.4</v>
      </c>
      <c r="C2306" s="1">
        <f>IFERROR(__xludf.DUMMYFUNCTION("""COMPUTED_VALUE"""),5.43)</f>
        <v>5.43</v>
      </c>
      <c r="D2306" s="1">
        <f>IFERROR(__xludf.DUMMYFUNCTION("""COMPUTED_VALUE"""),5.35)</f>
        <v>5.35</v>
      </c>
      <c r="E2306" s="1">
        <f>IFERROR(__xludf.DUMMYFUNCTION("""COMPUTED_VALUE"""),5.36)</f>
        <v>5.36</v>
      </c>
      <c r="F2306" s="1">
        <f>IFERROR(__xludf.DUMMYFUNCTION("""COMPUTED_VALUE"""),1157799.0)</f>
        <v>1157799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IFERROR(__xludf.DUMMYFUNCTION("""COMPUTED_VALUE"""),5.36)</f>
        <v>5.36</v>
      </c>
      <c r="C2307" s="1">
        <f>IFERROR(__xludf.DUMMYFUNCTION("""COMPUTED_VALUE"""),5.38)</f>
        <v>5.38</v>
      </c>
      <c r="D2307" s="1">
        <f>IFERROR(__xludf.DUMMYFUNCTION("""COMPUTED_VALUE"""),5.31)</f>
        <v>5.31</v>
      </c>
      <c r="E2307" s="1">
        <f>IFERROR(__xludf.DUMMYFUNCTION("""COMPUTED_VALUE"""),5.35)</f>
        <v>5.35</v>
      </c>
      <c r="F2307" s="1">
        <f>IFERROR(__xludf.DUMMYFUNCTION("""COMPUTED_VALUE"""),1119704.0)</f>
        <v>1119704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IFERROR(__xludf.DUMMYFUNCTION("""COMPUTED_VALUE"""),5.32)</f>
        <v>5.32</v>
      </c>
      <c r="C2308" s="1">
        <f>IFERROR(__xludf.DUMMYFUNCTION("""COMPUTED_VALUE"""),5.32)</f>
        <v>5.32</v>
      </c>
      <c r="D2308" s="1">
        <f>IFERROR(__xludf.DUMMYFUNCTION("""COMPUTED_VALUE"""),5.26)</f>
        <v>5.26</v>
      </c>
      <c r="E2308" s="1">
        <f>IFERROR(__xludf.DUMMYFUNCTION("""COMPUTED_VALUE"""),5.32)</f>
        <v>5.32</v>
      </c>
      <c r="F2308" s="1">
        <f>IFERROR(__xludf.DUMMYFUNCTION("""COMPUTED_VALUE"""),1110459.0)</f>
        <v>1110459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IFERROR(__xludf.DUMMYFUNCTION("""COMPUTED_VALUE"""),5.29)</f>
        <v>5.29</v>
      </c>
      <c r="C2309" s="1">
        <f>IFERROR(__xludf.DUMMYFUNCTION("""COMPUTED_VALUE"""),5.32)</f>
        <v>5.32</v>
      </c>
      <c r="D2309" s="1">
        <f>IFERROR(__xludf.DUMMYFUNCTION("""COMPUTED_VALUE"""),5.25)</f>
        <v>5.25</v>
      </c>
      <c r="E2309" s="1">
        <f>IFERROR(__xludf.DUMMYFUNCTION("""COMPUTED_VALUE"""),5.27)</f>
        <v>5.27</v>
      </c>
      <c r="F2309" s="1">
        <f>IFERROR(__xludf.DUMMYFUNCTION("""COMPUTED_VALUE"""),686664.0)</f>
        <v>686664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IFERROR(__xludf.DUMMYFUNCTION("""COMPUTED_VALUE"""),5.21)</f>
        <v>5.21</v>
      </c>
      <c r="C2310" s="1">
        <f>IFERROR(__xludf.DUMMYFUNCTION("""COMPUTED_VALUE"""),5.21)</f>
        <v>5.21</v>
      </c>
      <c r="D2310" s="1">
        <f>IFERROR(__xludf.DUMMYFUNCTION("""COMPUTED_VALUE"""),5.1)</f>
        <v>5.1</v>
      </c>
      <c r="E2310" s="1">
        <f>IFERROR(__xludf.DUMMYFUNCTION("""COMPUTED_VALUE"""),5.11)</f>
        <v>5.11</v>
      </c>
      <c r="F2310" s="1">
        <f>IFERROR(__xludf.DUMMYFUNCTION("""COMPUTED_VALUE"""),1789672.0)</f>
        <v>1789672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IFERROR(__xludf.DUMMYFUNCTION("""COMPUTED_VALUE"""),4.99)</f>
        <v>4.99</v>
      </c>
      <c r="C2311" s="1">
        <f>IFERROR(__xludf.DUMMYFUNCTION("""COMPUTED_VALUE"""),5.04)</f>
        <v>5.04</v>
      </c>
      <c r="D2311" s="1">
        <f>IFERROR(__xludf.DUMMYFUNCTION("""COMPUTED_VALUE"""),4.98)</f>
        <v>4.98</v>
      </c>
      <c r="E2311" s="1">
        <f>IFERROR(__xludf.DUMMYFUNCTION("""COMPUTED_VALUE"""),5.03)</f>
        <v>5.03</v>
      </c>
      <c r="F2311" s="1">
        <f>IFERROR(__xludf.DUMMYFUNCTION("""COMPUTED_VALUE"""),1646478.0)</f>
        <v>1646478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IFERROR(__xludf.DUMMYFUNCTION("""COMPUTED_VALUE"""),5.07)</f>
        <v>5.07</v>
      </c>
      <c r="C2312" s="1">
        <f>IFERROR(__xludf.DUMMYFUNCTION("""COMPUTED_VALUE"""),5.09)</f>
        <v>5.09</v>
      </c>
      <c r="D2312" s="1">
        <f>IFERROR(__xludf.DUMMYFUNCTION("""COMPUTED_VALUE"""),5.05)</f>
        <v>5.05</v>
      </c>
      <c r="E2312" s="1">
        <f>IFERROR(__xludf.DUMMYFUNCTION("""COMPUTED_VALUE"""),5.09)</f>
        <v>5.09</v>
      </c>
      <c r="F2312" s="1">
        <f>IFERROR(__xludf.DUMMYFUNCTION("""COMPUTED_VALUE"""),985681.0)</f>
        <v>985681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IFERROR(__xludf.DUMMYFUNCTION("""COMPUTED_VALUE"""),5.09)</f>
        <v>5.09</v>
      </c>
      <c r="C2313" s="1">
        <f>IFERROR(__xludf.DUMMYFUNCTION("""COMPUTED_VALUE"""),5.11)</f>
        <v>5.11</v>
      </c>
      <c r="D2313" s="1">
        <f>IFERROR(__xludf.DUMMYFUNCTION("""COMPUTED_VALUE"""),5.06)</f>
        <v>5.06</v>
      </c>
      <c r="E2313" s="1">
        <f>IFERROR(__xludf.DUMMYFUNCTION("""COMPUTED_VALUE"""),5.09)</f>
        <v>5.09</v>
      </c>
      <c r="F2313" s="1">
        <f>IFERROR(__xludf.DUMMYFUNCTION("""COMPUTED_VALUE"""),588751.0)</f>
        <v>588751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IFERROR(__xludf.DUMMYFUNCTION("""COMPUTED_VALUE"""),5.12)</f>
        <v>5.12</v>
      </c>
      <c r="C2314" s="1">
        <f>IFERROR(__xludf.DUMMYFUNCTION("""COMPUTED_VALUE"""),5.15)</f>
        <v>5.15</v>
      </c>
      <c r="D2314" s="1">
        <f>IFERROR(__xludf.DUMMYFUNCTION("""COMPUTED_VALUE"""),5.11)</f>
        <v>5.11</v>
      </c>
      <c r="E2314" s="1">
        <f>IFERROR(__xludf.DUMMYFUNCTION("""COMPUTED_VALUE"""),5.13)</f>
        <v>5.13</v>
      </c>
      <c r="F2314" s="1">
        <f>IFERROR(__xludf.DUMMYFUNCTION("""COMPUTED_VALUE"""),651829.0)</f>
        <v>651829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IFERROR(__xludf.DUMMYFUNCTION("""COMPUTED_VALUE"""),5.22)</f>
        <v>5.22</v>
      </c>
      <c r="C2315" s="1">
        <f>IFERROR(__xludf.DUMMYFUNCTION("""COMPUTED_VALUE"""),5.24)</f>
        <v>5.24</v>
      </c>
      <c r="D2315" s="1">
        <f>IFERROR(__xludf.DUMMYFUNCTION("""COMPUTED_VALUE"""),5.19)</f>
        <v>5.19</v>
      </c>
      <c r="E2315" s="1">
        <f>IFERROR(__xludf.DUMMYFUNCTION("""COMPUTED_VALUE"""),5.21)</f>
        <v>5.21</v>
      </c>
      <c r="F2315" s="1">
        <f>IFERROR(__xludf.DUMMYFUNCTION("""COMPUTED_VALUE"""),760522.0)</f>
        <v>760522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IFERROR(__xludf.DUMMYFUNCTION("""COMPUTED_VALUE"""),5.27)</f>
        <v>5.27</v>
      </c>
      <c r="C2316" s="1">
        <f>IFERROR(__xludf.DUMMYFUNCTION("""COMPUTED_VALUE"""),5.33)</f>
        <v>5.33</v>
      </c>
      <c r="D2316" s="1">
        <f>IFERROR(__xludf.DUMMYFUNCTION("""COMPUTED_VALUE"""),5.27)</f>
        <v>5.27</v>
      </c>
      <c r="E2316" s="1">
        <f>IFERROR(__xludf.DUMMYFUNCTION("""COMPUTED_VALUE"""),5.3)</f>
        <v>5.3</v>
      </c>
      <c r="F2316" s="1">
        <f>IFERROR(__xludf.DUMMYFUNCTION("""COMPUTED_VALUE"""),928805.0)</f>
        <v>928805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IFERROR(__xludf.DUMMYFUNCTION("""COMPUTED_VALUE"""),5.36)</f>
        <v>5.36</v>
      </c>
      <c r="C2317" s="1">
        <f>IFERROR(__xludf.DUMMYFUNCTION("""COMPUTED_VALUE"""),5.39)</f>
        <v>5.39</v>
      </c>
      <c r="D2317" s="1">
        <f>IFERROR(__xludf.DUMMYFUNCTION("""COMPUTED_VALUE"""),5.35)</f>
        <v>5.35</v>
      </c>
      <c r="E2317" s="1">
        <f>IFERROR(__xludf.DUMMYFUNCTION("""COMPUTED_VALUE"""),5.38)</f>
        <v>5.38</v>
      </c>
      <c r="F2317" s="1">
        <f>IFERROR(__xludf.DUMMYFUNCTION("""COMPUTED_VALUE"""),921051.0)</f>
        <v>921051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IFERROR(__xludf.DUMMYFUNCTION("""COMPUTED_VALUE"""),5.41)</f>
        <v>5.41</v>
      </c>
      <c r="C2318" s="1">
        <f>IFERROR(__xludf.DUMMYFUNCTION("""COMPUTED_VALUE"""),5.42)</f>
        <v>5.42</v>
      </c>
      <c r="D2318" s="1">
        <f>IFERROR(__xludf.DUMMYFUNCTION("""COMPUTED_VALUE"""),5.33)</f>
        <v>5.33</v>
      </c>
      <c r="E2318" s="1">
        <f>IFERROR(__xludf.DUMMYFUNCTION("""COMPUTED_VALUE"""),5.34)</f>
        <v>5.34</v>
      </c>
      <c r="F2318" s="1">
        <f>IFERROR(__xludf.DUMMYFUNCTION("""COMPUTED_VALUE"""),1135619.0)</f>
        <v>1135619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IFERROR(__xludf.DUMMYFUNCTION("""COMPUTED_VALUE"""),5.25)</f>
        <v>5.25</v>
      </c>
      <c r="C2319" s="1">
        <f>IFERROR(__xludf.DUMMYFUNCTION("""COMPUTED_VALUE"""),5.26)</f>
        <v>5.26</v>
      </c>
      <c r="D2319" s="1">
        <f>IFERROR(__xludf.DUMMYFUNCTION("""COMPUTED_VALUE"""),5.14)</f>
        <v>5.14</v>
      </c>
      <c r="E2319" s="1">
        <f>IFERROR(__xludf.DUMMYFUNCTION("""COMPUTED_VALUE"""),5.14)</f>
        <v>5.14</v>
      </c>
      <c r="F2319" s="1">
        <f>IFERROR(__xludf.DUMMYFUNCTION("""COMPUTED_VALUE"""),3163404.0)</f>
        <v>3163404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IFERROR(__xludf.DUMMYFUNCTION("""COMPUTED_VALUE"""),5.14)</f>
        <v>5.14</v>
      </c>
      <c r="C2320" s="1">
        <f>IFERROR(__xludf.DUMMYFUNCTION("""COMPUTED_VALUE"""),5.16)</f>
        <v>5.16</v>
      </c>
      <c r="D2320" s="1">
        <f>IFERROR(__xludf.DUMMYFUNCTION("""COMPUTED_VALUE"""),5.09)</f>
        <v>5.09</v>
      </c>
      <c r="E2320" s="1">
        <f>IFERROR(__xludf.DUMMYFUNCTION("""COMPUTED_VALUE"""),5.1)</f>
        <v>5.1</v>
      </c>
      <c r="F2320" s="1">
        <f>IFERROR(__xludf.DUMMYFUNCTION("""COMPUTED_VALUE"""),7462999.0)</f>
        <v>7462999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IFERROR(__xludf.DUMMYFUNCTION("""COMPUTED_VALUE"""),4.94)</f>
        <v>4.94</v>
      </c>
      <c r="C2321" s="1">
        <f>IFERROR(__xludf.DUMMYFUNCTION("""COMPUTED_VALUE"""),4.95)</f>
        <v>4.95</v>
      </c>
      <c r="D2321" s="1">
        <f>IFERROR(__xludf.DUMMYFUNCTION("""COMPUTED_VALUE"""),4.81)</f>
        <v>4.81</v>
      </c>
      <c r="E2321" s="1">
        <f>IFERROR(__xludf.DUMMYFUNCTION("""COMPUTED_VALUE"""),4.83)</f>
        <v>4.83</v>
      </c>
      <c r="F2321" s="1">
        <f>IFERROR(__xludf.DUMMYFUNCTION("""COMPUTED_VALUE"""),1.5371302E7)</f>
        <v>15371302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IFERROR(__xludf.DUMMYFUNCTION("""COMPUTED_VALUE"""),4.83)</f>
        <v>4.83</v>
      </c>
      <c r="C2322" s="1">
        <f>IFERROR(__xludf.DUMMYFUNCTION("""COMPUTED_VALUE"""),4.89)</f>
        <v>4.89</v>
      </c>
      <c r="D2322" s="1">
        <f>IFERROR(__xludf.DUMMYFUNCTION("""COMPUTED_VALUE"""),4.82)</f>
        <v>4.82</v>
      </c>
      <c r="E2322" s="1">
        <f>IFERROR(__xludf.DUMMYFUNCTION("""COMPUTED_VALUE"""),4.84)</f>
        <v>4.84</v>
      </c>
      <c r="F2322" s="1">
        <f>IFERROR(__xludf.DUMMYFUNCTION("""COMPUTED_VALUE"""),5344014.0)</f>
        <v>5344014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IFERROR(__xludf.DUMMYFUNCTION("""COMPUTED_VALUE"""),4.83)</f>
        <v>4.83</v>
      </c>
      <c r="C2323" s="1">
        <f>IFERROR(__xludf.DUMMYFUNCTION("""COMPUTED_VALUE"""),4.85)</f>
        <v>4.85</v>
      </c>
      <c r="D2323" s="1">
        <f>IFERROR(__xludf.DUMMYFUNCTION("""COMPUTED_VALUE"""),4.78)</f>
        <v>4.78</v>
      </c>
      <c r="E2323" s="1">
        <f>IFERROR(__xludf.DUMMYFUNCTION("""COMPUTED_VALUE"""),4.8)</f>
        <v>4.8</v>
      </c>
      <c r="F2323" s="1">
        <f>IFERROR(__xludf.DUMMYFUNCTION("""COMPUTED_VALUE"""),3534261.0)</f>
        <v>3534261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IFERROR(__xludf.DUMMYFUNCTION("""COMPUTED_VALUE"""),4.85)</f>
        <v>4.85</v>
      </c>
      <c r="C2324" s="1">
        <f>IFERROR(__xludf.DUMMYFUNCTION("""COMPUTED_VALUE"""),4.86)</f>
        <v>4.86</v>
      </c>
      <c r="D2324" s="1">
        <f>IFERROR(__xludf.DUMMYFUNCTION("""COMPUTED_VALUE"""),4.79)</f>
        <v>4.79</v>
      </c>
      <c r="E2324" s="1">
        <f>IFERROR(__xludf.DUMMYFUNCTION("""COMPUTED_VALUE"""),4.8)</f>
        <v>4.8</v>
      </c>
      <c r="F2324" s="1">
        <f>IFERROR(__xludf.DUMMYFUNCTION("""COMPUTED_VALUE"""),7343523.0)</f>
        <v>7343523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IFERROR(__xludf.DUMMYFUNCTION("""COMPUTED_VALUE"""),4.78)</f>
        <v>4.78</v>
      </c>
      <c r="C2325" s="1">
        <f>IFERROR(__xludf.DUMMYFUNCTION("""COMPUTED_VALUE"""),4.8)</f>
        <v>4.8</v>
      </c>
      <c r="D2325" s="1">
        <f>IFERROR(__xludf.DUMMYFUNCTION("""COMPUTED_VALUE"""),4.72)</f>
        <v>4.72</v>
      </c>
      <c r="E2325" s="1">
        <f>IFERROR(__xludf.DUMMYFUNCTION("""COMPUTED_VALUE"""),4.76)</f>
        <v>4.76</v>
      </c>
      <c r="F2325" s="1">
        <f>IFERROR(__xludf.DUMMYFUNCTION("""COMPUTED_VALUE"""),3584941.0)</f>
        <v>3584941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IFERROR(__xludf.DUMMYFUNCTION("""COMPUTED_VALUE"""),4.79)</f>
        <v>4.79</v>
      </c>
      <c r="C2326" s="1">
        <f>IFERROR(__xludf.DUMMYFUNCTION("""COMPUTED_VALUE"""),4.81)</f>
        <v>4.81</v>
      </c>
      <c r="D2326" s="1">
        <f>IFERROR(__xludf.DUMMYFUNCTION("""COMPUTED_VALUE"""),4.76)</f>
        <v>4.76</v>
      </c>
      <c r="E2326" s="1">
        <f>IFERROR(__xludf.DUMMYFUNCTION("""COMPUTED_VALUE"""),4.79)</f>
        <v>4.79</v>
      </c>
      <c r="F2326" s="1">
        <f>IFERROR(__xludf.DUMMYFUNCTION("""COMPUTED_VALUE"""),3647565.0)</f>
        <v>3647565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IFERROR(__xludf.DUMMYFUNCTION("""COMPUTED_VALUE"""),4.87)</f>
        <v>4.87</v>
      </c>
      <c r="C2327" s="1">
        <f>IFERROR(__xludf.DUMMYFUNCTION("""COMPUTED_VALUE"""),4.96)</f>
        <v>4.96</v>
      </c>
      <c r="D2327" s="1">
        <f>IFERROR(__xludf.DUMMYFUNCTION("""COMPUTED_VALUE"""),4.86)</f>
        <v>4.86</v>
      </c>
      <c r="E2327" s="1">
        <f>IFERROR(__xludf.DUMMYFUNCTION("""COMPUTED_VALUE"""),4.95)</f>
        <v>4.95</v>
      </c>
      <c r="F2327" s="1">
        <f>IFERROR(__xludf.DUMMYFUNCTION("""COMPUTED_VALUE"""),2187265.0)</f>
        <v>2187265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IFERROR(__xludf.DUMMYFUNCTION("""COMPUTED_VALUE"""),4.95)</f>
        <v>4.95</v>
      </c>
      <c r="C2328" s="1">
        <f>IFERROR(__xludf.DUMMYFUNCTION("""COMPUTED_VALUE"""),4.98)</f>
        <v>4.98</v>
      </c>
      <c r="D2328" s="1">
        <f>IFERROR(__xludf.DUMMYFUNCTION("""COMPUTED_VALUE"""),4.91)</f>
        <v>4.91</v>
      </c>
      <c r="E2328" s="1">
        <f>IFERROR(__xludf.DUMMYFUNCTION("""COMPUTED_VALUE"""),4.96)</f>
        <v>4.96</v>
      </c>
      <c r="F2328" s="1">
        <f>IFERROR(__xludf.DUMMYFUNCTION("""COMPUTED_VALUE"""),1351112.0)</f>
        <v>1351112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IFERROR(__xludf.DUMMYFUNCTION("""COMPUTED_VALUE"""),5.01)</f>
        <v>5.01</v>
      </c>
      <c r="C2329" s="1">
        <f>IFERROR(__xludf.DUMMYFUNCTION("""COMPUTED_VALUE"""),5.04)</f>
        <v>5.04</v>
      </c>
      <c r="D2329" s="1">
        <f>IFERROR(__xludf.DUMMYFUNCTION("""COMPUTED_VALUE"""),4.99)</f>
        <v>4.99</v>
      </c>
      <c r="E2329" s="1">
        <f>IFERROR(__xludf.DUMMYFUNCTION("""COMPUTED_VALUE"""),5.02)</f>
        <v>5.02</v>
      </c>
      <c r="F2329" s="1">
        <f>IFERROR(__xludf.DUMMYFUNCTION("""COMPUTED_VALUE"""),1854118.0)</f>
        <v>1854118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IFERROR(__xludf.DUMMYFUNCTION("""COMPUTED_VALUE"""),5.01)</f>
        <v>5.01</v>
      </c>
      <c r="C2330" s="1">
        <f>IFERROR(__xludf.DUMMYFUNCTION("""COMPUTED_VALUE"""),5.05)</f>
        <v>5.05</v>
      </c>
      <c r="D2330" s="1">
        <f>IFERROR(__xludf.DUMMYFUNCTION("""COMPUTED_VALUE"""),4.98)</f>
        <v>4.98</v>
      </c>
      <c r="E2330" s="1">
        <f>IFERROR(__xludf.DUMMYFUNCTION("""COMPUTED_VALUE"""),5.02)</f>
        <v>5.02</v>
      </c>
      <c r="F2330" s="1">
        <f>IFERROR(__xludf.DUMMYFUNCTION("""COMPUTED_VALUE"""),2094085.0)</f>
        <v>2094085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IFERROR(__xludf.DUMMYFUNCTION("""COMPUTED_VALUE"""),5.01)</f>
        <v>5.01</v>
      </c>
      <c r="C2331" s="1">
        <f>IFERROR(__xludf.DUMMYFUNCTION("""COMPUTED_VALUE"""),5.04)</f>
        <v>5.04</v>
      </c>
      <c r="D2331" s="1">
        <f>IFERROR(__xludf.DUMMYFUNCTION("""COMPUTED_VALUE"""),4.99)</f>
        <v>4.99</v>
      </c>
      <c r="E2331" s="1">
        <f>IFERROR(__xludf.DUMMYFUNCTION("""COMPUTED_VALUE"""),5.01)</f>
        <v>5.01</v>
      </c>
      <c r="F2331" s="1">
        <f>IFERROR(__xludf.DUMMYFUNCTION("""COMPUTED_VALUE"""),1582398.0)</f>
        <v>1582398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IFERROR(__xludf.DUMMYFUNCTION("""COMPUTED_VALUE"""),5.01)</f>
        <v>5.01</v>
      </c>
      <c r="C2332" s="1">
        <f>IFERROR(__xludf.DUMMYFUNCTION("""COMPUTED_VALUE"""),5.03)</f>
        <v>5.03</v>
      </c>
      <c r="D2332" s="1">
        <f>IFERROR(__xludf.DUMMYFUNCTION("""COMPUTED_VALUE"""),4.98)</f>
        <v>4.98</v>
      </c>
      <c r="E2332" s="1">
        <f>IFERROR(__xludf.DUMMYFUNCTION("""COMPUTED_VALUE"""),5.01)</f>
        <v>5.01</v>
      </c>
      <c r="F2332" s="1">
        <f>IFERROR(__xludf.DUMMYFUNCTION("""COMPUTED_VALUE"""),1120040.0)</f>
        <v>1120040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IFERROR(__xludf.DUMMYFUNCTION("""COMPUTED_VALUE"""),5.01)</f>
        <v>5.01</v>
      </c>
      <c r="C2333" s="1">
        <f>IFERROR(__xludf.DUMMYFUNCTION("""COMPUTED_VALUE"""),5.01)</f>
        <v>5.01</v>
      </c>
      <c r="D2333" s="1">
        <f>IFERROR(__xludf.DUMMYFUNCTION("""COMPUTED_VALUE"""),4.95)</f>
        <v>4.95</v>
      </c>
      <c r="E2333" s="1">
        <f>IFERROR(__xludf.DUMMYFUNCTION("""COMPUTED_VALUE"""),4.95)</f>
        <v>4.95</v>
      </c>
      <c r="F2333" s="1">
        <f>IFERROR(__xludf.DUMMYFUNCTION("""COMPUTED_VALUE"""),1186005.0)</f>
        <v>1186005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IFERROR(__xludf.DUMMYFUNCTION("""COMPUTED_VALUE"""),4.95)</f>
        <v>4.95</v>
      </c>
      <c r="C2334" s="1">
        <f>IFERROR(__xludf.DUMMYFUNCTION("""COMPUTED_VALUE"""),4.97)</f>
        <v>4.97</v>
      </c>
      <c r="D2334" s="1">
        <f>IFERROR(__xludf.DUMMYFUNCTION("""COMPUTED_VALUE"""),4.91)</f>
        <v>4.91</v>
      </c>
      <c r="E2334" s="1">
        <f>IFERROR(__xludf.DUMMYFUNCTION("""COMPUTED_VALUE"""),4.95)</f>
        <v>4.95</v>
      </c>
      <c r="F2334" s="1">
        <f>IFERROR(__xludf.DUMMYFUNCTION("""COMPUTED_VALUE"""),981790.0)</f>
        <v>981790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IFERROR(__xludf.DUMMYFUNCTION("""COMPUTED_VALUE"""),5.02)</f>
        <v>5.02</v>
      </c>
      <c r="C2335" s="1">
        <f>IFERROR(__xludf.DUMMYFUNCTION("""COMPUTED_VALUE"""),5.09)</f>
        <v>5.09</v>
      </c>
      <c r="D2335" s="1">
        <f>IFERROR(__xludf.DUMMYFUNCTION("""COMPUTED_VALUE"""),5.01)</f>
        <v>5.01</v>
      </c>
      <c r="E2335" s="1">
        <f>IFERROR(__xludf.DUMMYFUNCTION("""COMPUTED_VALUE"""),5.03)</f>
        <v>5.03</v>
      </c>
      <c r="F2335" s="1">
        <f>IFERROR(__xludf.DUMMYFUNCTION("""COMPUTED_VALUE"""),1751022.0)</f>
        <v>1751022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IFERROR(__xludf.DUMMYFUNCTION("""COMPUTED_VALUE"""),5.08)</f>
        <v>5.08</v>
      </c>
      <c r="C2336" s="1">
        <f>IFERROR(__xludf.DUMMYFUNCTION("""COMPUTED_VALUE"""),5.13)</f>
        <v>5.13</v>
      </c>
      <c r="D2336" s="1">
        <f>IFERROR(__xludf.DUMMYFUNCTION("""COMPUTED_VALUE"""),5.07)</f>
        <v>5.07</v>
      </c>
      <c r="E2336" s="1">
        <f>IFERROR(__xludf.DUMMYFUNCTION("""COMPUTED_VALUE"""),5.1)</f>
        <v>5.1</v>
      </c>
      <c r="F2336" s="1">
        <f>IFERROR(__xludf.DUMMYFUNCTION("""COMPUTED_VALUE"""),1726516.0)</f>
        <v>1726516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IFERROR(__xludf.DUMMYFUNCTION("""COMPUTED_VALUE"""),5.13)</f>
        <v>5.13</v>
      </c>
      <c r="C2337" s="1">
        <f>IFERROR(__xludf.DUMMYFUNCTION("""COMPUTED_VALUE"""),5.14)</f>
        <v>5.14</v>
      </c>
      <c r="D2337" s="1">
        <f>IFERROR(__xludf.DUMMYFUNCTION("""COMPUTED_VALUE"""),5.08)</f>
        <v>5.08</v>
      </c>
      <c r="E2337" s="1">
        <f>IFERROR(__xludf.DUMMYFUNCTION("""COMPUTED_VALUE"""),5.09)</f>
        <v>5.09</v>
      </c>
      <c r="F2337" s="1">
        <f>IFERROR(__xludf.DUMMYFUNCTION("""COMPUTED_VALUE"""),963711.0)</f>
        <v>963711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IFERROR(__xludf.DUMMYFUNCTION("""COMPUTED_VALUE"""),5.16)</f>
        <v>5.16</v>
      </c>
      <c r="C2338" s="1">
        <f>IFERROR(__xludf.DUMMYFUNCTION("""COMPUTED_VALUE"""),5.19)</f>
        <v>5.19</v>
      </c>
      <c r="D2338" s="1">
        <f>IFERROR(__xludf.DUMMYFUNCTION("""COMPUTED_VALUE"""),5.12)</f>
        <v>5.12</v>
      </c>
      <c r="E2338" s="1">
        <f>IFERROR(__xludf.DUMMYFUNCTION("""COMPUTED_VALUE"""),5.18)</f>
        <v>5.18</v>
      </c>
      <c r="F2338" s="1">
        <f>IFERROR(__xludf.DUMMYFUNCTION("""COMPUTED_VALUE"""),1435652.0)</f>
        <v>1435652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IFERROR(__xludf.DUMMYFUNCTION("""COMPUTED_VALUE"""),5.27)</f>
        <v>5.27</v>
      </c>
      <c r="C2339" s="1">
        <f>IFERROR(__xludf.DUMMYFUNCTION("""COMPUTED_VALUE"""),5.3)</f>
        <v>5.3</v>
      </c>
      <c r="D2339" s="1">
        <f>IFERROR(__xludf.DUMMYFUNCTION("""COMPUTED_VALUE"""),5.24)</f>
        <v>5.24</v>
      </c>
      <c r="E2339" s="1">
        <f>IFERROR(__xludf.DUMMYFUNCTION("""COMPUTED_VALUE"""),5.28)</f>
        <v>5.28</v>
      </c>
      <c r="F2339" s="1">
        <f>IFERROR(__xludf.DUMMYFUNCTION("""COMPUTED_VALUE"""),1939713.0)</f>
        <v>1939713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IFERROR(__xludf.DUMMYFUNCTION("""COMPUTED_VALUE"""),5.23)</f>
        <v>5.23</v>
      </c>
      <c r="C2340" s="1">
        <f>IFERROR(__xludf.DUMMYFUNCTION("""COMPUTED_VALUE"""),5.25)</f>
        <v>5.25</v>
      </c>
      <c r="D2340" s="1">
        <f>IFERROR(__xludf.DUMMYFUNCTION("""COMPUTED_VALUE"""),5.18)</f>
        <v>5.18</v>
      </c>
      <c r="E2340" s="1">
        <f>IFERROR(__xludf.DUMMYFUNCTION("""COMPUTED_VALUE"""),5.19)</f>
        <v>5.19</v>
      </c>
      <c r="F2340" s="1">
        <f>IFERROR(__xludf.DUMMYFUNCTION("""COMPUTED_VALUE"""),945487.0)</f>
        <v>945487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IFERROR(__xludf.DUMMYFUNCTION("""COMPUTED_VALUE"""),5.17)</f>
        <v>5.17</v>
      </c>
      <c r="C2341" s="1">
        <f>IFERROR(__xludf.DUMMYFUNCTION("""COMPUTED_VALUE"""),5.2)</f>
        <v>5.2</v>
      </c>
      <c r="D2341" s="1">
        <f>IFERROR(__xludf.DUMMYFUNCTION("""COMPUTED_VALUE"""),5.15)</f>
        <v>5.15</v>
      </c>
      <c r="E2341" s="1">
        <f>IFERROR(__xludf.DUMMYFUNCTION("""COMPUTED_VALUE"""),5.18)</f>
        <v>5.18</v>
      </c>
      <c r="F2341" s="1">
        <f>IFERROR(__xludf.DUMMYFUNCTION("""COMPUTED_VALUE"""),581617.0)</f>
        <v>581617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IFERROR(__xludf.DUMMYFUNCTION("""COMPUTED_VALUE"""),5.08)</f>
        <v>5.08</v>
      </c>
      <c r="C2342" s="1">
        <f>IFERROR(__xludf.DUMMYFUNCTION("""COMPUTED_VALUE"""),5.13)</f>
        <v>5.13</v>
      </c>
      <c r="D2342" s="1">
        <f>IFERROR(__xludf.DUMMYFUNCTION("""COMPUTED_VALUE"""),5.05)</f>
        <v>5.05</v>
      </c>
      <c r="E2342" s="1">
        <f>IFERROR(__xludf.DUMMYFUNCTION("""COMPUTED_VALUE"""),5.1)</f>
        <v>5.1</v>
      </c>
      <c r="F2342" s="1">
        <f>IFERROR(__xludf.DUMMYFUNCTION("""COMPUTED_VALUE"""),1235168.0)</f>
        <v>1235168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IFERROR(__xludf.DUMMYFUNCTION("""COMPUTED_VALUE"""),5.09)</f>
        <v>5.09</v>
      </c>
      <c r="C2343" s="1">
        <f>IFERROR(__xludf.DUMMYFUNCTION("""COMPUTED_VALUE"""),5.12)</f>
        <v>5.12</v>
      </c>
      <c r="D2343" s="1">
        <f>IFERROR(__xludf.DUMMYFUNCTION("""COMPUTED_VALUE"""),5.05)</f>
        <v>5.05</v>
      </c>
      <c r="E2343" s="1">
        <f>IFERROR(__xludf.DUMMYFUNCTION("""COMPUTED_VALUE"""),5.08)</f>
        <v>5.08</v>
      </c>
      <c r="F2343" s="1">
        <f>IFERROR(__xludf.DUMMYFUNCTION("""COMPUTED_VALUE"""),1351720.0)</f>
        <v>1351720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IFERROR(__xludf.DUMMYFUNCTION("""COMPUTED_VALUE"""),5.07)</f>
        <v>5.07</v>
      </c>
      <c r="C2344" s="1">
        <f>IFERROR(__xludf.DUMMYFUNCTION("""COMPUTED_VALUE"""),5.11)</f>
        <v>5.11</v>
      </c>
      <c r="D2344" s="1">
        <f>IFERROR(__xludf.DUMMYFUNCTION("""COMPUTED_VALUE"""),5.06)</f>
        <v>5.06</v>
      </c>
      <c r="E2344" s="1">
        <f>IFERROR(__xludf.DUMMYFUNCTION("""COMPUTED_VALUE"""),5.09)</f>
        <v>5.09</v>
      </c>
      <c r="F2344" s="1">
        <f>IFERROR(__xludf.DUMMYFUNCTION("""COMPUTED_VALUE"""),960760.0)</f>
        <v>960760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IFERROR(__xludf.DUMMYFUNCTION("""COMPUTED_VALUE"""),5.13)</f>
        <v>5.13</v>
      </c>
      <c r="C2345" s="1">
        <f>IFERROR(__xludf.DUMMYFUNCTION("""COMPUTED_VALUE"""),5.16)</f>
        <v>5.16</v>
      </c>
      <c r="D2345" s="1">
        <f>IFERROR(__xludf.DUMMYFUNCTION("""COMPUTED_VALUE"""),5.12)</f>
        <v>5.12</v>
      </c>
      <c r="E2345" s="1">
        <f>IFERROR(__xludf.DUMMYFUNCTION("""COMPUTED_VALUE"""),5.16)</f>
        <v>5.16</v>
      </c>
      <c r="F2345" s="1">
        <f>IFERROR(__xludf.DUMMYFUNCTION("""COMPUTED_VALUE"""),608569.0)</f>
        <v>608569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IFERROR(__xludf.DUMMYFUNCTION("""COMPUTED_VALUE"""),5.17)</f>
        <v>5.17</v>
      </c>
      <c r="C2346" s="1">
        <f>IFERROR(__xludf.DUMMYFUNCTION("""COMPUTED_VALUE"""),5.2)</f>
        <v>5.2</v>
      </c>
      <c r="D2346" s="1">
        <f>IFERROR(__xludf.DUMMYFUNCTION("""COMPUTED_VALUE"""),5.15)</f>
        <v>5.15</v>
      </c>
      <c r="E2346" s="1">
        <f>IFERROR(__xludf.DUMMYFUNCTION("""COMPUTED_VALUE"""),5.18)</f>
        <v>5.18</v>
      </c>
      <c r="F2346" s="1">
        <f>IFERROR(__xludf.DUMMYFUNCTION("""COMPUTED_VALUE"""),1739353.0)</f>
        <v>1739353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IFERROR(__xludf.DUMMYFUNCTION("""COMPUTED_VALUE"""),5.2)</f>
        <v>5.2</v>
      </c>
      <c r="C2347" s="1">
        <f>IFERROR(__xludf.DUMMYFUNCTION("""COMPUTED_VALUE"""),5.22)</f>
        <v>5.22</v>
      </c>
      <c r="D2347" s="1">
        <f>IFERROR(__xludf.DUMMYFUNCTION("""COMPUTED_VALUE"""),5.15)</f>
        <v>5.15</v>
      </c>
      <c r="E2347" s="1">
        <f>IFERROR(__xludf.DUMMYFUNCTION("""COMPUTED_VALUE"""),5.2)</f>
        <v>5.2</v>
      </c>
      <c r="F2347" s="1">
        <f>IFERROR(__xludf.DUMMYFUNCTION("""COMPUTED_VALUE"""),731650.0)</f>
        <v>731650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IFERROR(__xludf.DUMMYFUNCTION("""COMPUTED_VALUE"""),5.22)</f>
        <v>5.22</v>
      </c>
      <c r="C2348" s="1">
        <f>IFERROR(__xludf.DUMMYFUNCTION("""COMPUTED_VALUE"""),5.24)</f>
        <v>5.24</v>
      </c>
      <c r="D2348" s="1">
        <f>IFERROR(__xludf.DUMMYFUNCTION("""COMPUTED_VALUE"""),5.16)</f>
        <v>5.16</v>
      </c>
      <c r="E2348" s="1">
        <f>IFERROR(__xludf.DUMMYFUNCTION("""COMPUTED_VALUE"""),5.16)</f>
        <v>5.16</v>
      </c>
      <c r="F2348" s="1">
        <f>IFERROR(__xludf.DUMMYFUNCTION("""COMPUTED_VALUE"""),1310688.0)</f>
        <v>1310688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IFERROR(__xludf.DUMMYFUNCTION("""COMPUTED_VALUE"""),5.23)</f>
        <v>5.23</v>
      </c>
      <c r="C2349" s="1">
        <f>IFERROR(__xludf.DUMMYFUNCTION("""COMPUTED_VALUE"""),5.26)</f>
        <v>5.26</v>
      </c>
      <c r="D2349" s="1">
        <f>IFERROR(__xludf.DUMMYFUNCTION("""COMPUTED_VALUE"""),5.2)</f>
        <v>5.2</v>
      </c>
      <c r="E2349" s="1">
        <f>IFERROR(__xludf.DUMMYFUNCTION("""COMPUTED_VALUE"""),5.23)</f>
        <v>5.23</v>
      </c>
      <c r="F2349" s="1">
        <f>IFERROR(__xludf.DUMMYFUNCTION("""COMPUTED_VALUE"""),1962308.0)</f>
        <v>1962308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IFERROR(__xludf.DUMMYFUNCTION("""COMPUTED_VALUE"""),5.24)</f>
        <v>5.24</v>
      </c>
      <c r="C2350" s="1">
        <f>IFERROR(__xludf.DUMMYFUNCTION("""COMPUTED_VALUE"""),5.26)</f>
        <v>5.26</v>
      </c>
      <c r="D2350" s="1">
        <f>IFERROR(__xludf.DUMMYFUNCTION("""COMPUTED_VALUE"""),5.21)</f>
        <v>5.21</v>
      </c>
      <c r="E2350" s="1">
        <f>IFERROR(__xludf.DUMMYFUNCTION("""COMPUTED_VALUE"""),5.23)</f>
        <v>5.23</v>
      </c>
      <c r="F2350" s="1">
        <f>IFERROR(__xludf.DUMMYFUNCTION("""COMPUTED_VALUE"""),1446770.0)</f>
        <v>1446770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IFERROR(__xludf.DUMMYFUNCTION("""COMPUTED_VALUE"""),5.08)</f>
        <v>5.08</v>
      </c>
      <c r="C2351" s="1">
        <f>IFERROR(__xludf.DUMMYFUNCTION("""COMPUTED_VALUE"""),5.16)</f>
        <v>5.16</v>
      </c>
      <c r="D2351" s="1">
        <f>IFERROR(__xludf.DUMMYFUNCTION("""COMPUTED_VALUE"""),5.07)</f>
        <v>5.07</v>
      </c>
      <c r="E2351" s="1">
        <f>IFERROR(__xludf.DUMMYFUNCTION("""COMPUTED_VALUE"""),5.14)</f>
        <v>5.14</v>
      </c>
      <c r="F2351" s="1">
        <f>IFERROR(__xludf.DUMMYFUNCTION("""COMPUTED_VALUE"""),1140639.0)</f>
        <v>1140639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IFERROR(__xludf.DUMMYFUNCTION("""COMPUTED_VALUE"""),5.0)</f>
        <v>5</v>
      </c>
      <c r="C2352" s="1">
        <f>IFERROR(__xludf.DUMMYFUNCTION("""COMPUTED_VALUE"""),5.01)</f>
        <v>5.01</v>
      </c>
      <c r="D2352" s="1">
        <f>IFERROR(__xludf.DUMMYFUNCTION("""COMPUTED_VALUE"""),4.94)</f>
        <v>4.94</v>
      </c>
      <c r="E2352" s="1">
        <f>IFERROR(__xludf.DUMMYFUNCTION("""COMPUTED_VALUE"""),4.95)</f>
        <v>4.95</v>
      </c>
      <c r="F2352" s="1">
        <f>IFERROR(__xludf.DUMMYFUNCTION("""COMPUTED_VALUE"""),2377369.0)</f>
        <v>2377369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IFERROR(__xludf.DUMMYFUNCTION("""COMPUTED_VALUE"""),4.95)</f>
        <v>4.95</v>
      </c>
      <c r="C2353" s="1">
        <f>IFERROR(__xludf.DUMMYFUNCTION("""COMPUTED_VALUE"""),5.02)</f>
        <v>5.02</v>
      </c>
      <c r="D2353" s="1">
        <f>IFERROR(__xludf.DUMMYFUNCTION("""COMPUTED_VALUE"""),4.93)</f>
        <v>4.93</v>
      </c>
      <c r="E2353" s="1">
        <f>IFERROR(__xludf.DUMMYFUNCTION("""COMPUTED_VALUE"""),4.97)</f>
        <v>4.97</v>
      </c>
      <c r="F2353" s="1">
        <f>IFERROR(__xludf.DUMMYFUNCTION("""COMPUTED_VALUE"""),1736446.0)</f>
        <v>1736446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IFERROR(__xludf.DUMMYFUNCTION("""COMPUTED_VALUE"""),4.85)</f>
        <v>4.85</v>
      </c>
      <c r="C2354" s="1">
        <f>IFERROR(__xludf.DUMMYFUNCTION("""COMPUTED_VALUE"""),4.87)</f>
        <v>4.87</v>
      </c>
      <c r="D2354" s="1">
        <f>IFERROR(__xludf.DUMMYFUNCTION("""COMPUTED_VALUE"""),4.77)</f>
        <v>4.77</v>
      </c>
      <c r="E2354" s="1">
        <f>IFERROR(__xludf.DUMMYFUNCTION("""COMPUTED_VALUE"""),4.84)</f>
        <v>4.84</v>
      </c>
      <c r="F2354" s="1">
        <f>IFERROR(__xludf.DUMMYFUNCTION("""COMPUTED_VALUE"""),2573709.0)</f>
        <v>2573709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IFERROR(__xludf.DUMMYFUNCTION("""COMPUTED_VALUE"""),4.83)</f>
        <v>4.83</v>
      </c>
      <c r="C2355" s="1">
        <f>IFERROR(__xludf.DUMMYFUNCTION("""COMPUTED_VALUE"""),4.91)</f>
        <v>4.91</v>
      </c>
      <c r="D2355" s="1">
        <f>IFERROR(__xludf.DUMMYFUNCTION("""COMPUTED_VALUE"""),4.77)</f>
        <v>4.77</v>
      </c>
      <c r="E2355" s="1">
        <f>IFERROR(__xludf.DUMMYFUNCTION("""COMPUTED_VALUE"""),4.88)</f>
        <v>4.88</v>
      </c>
      <c r="F2355" s="1">
        <f>IFERROR(__xludf.DUMMYFUNCTION("""COMPUTED_VALUE"""),3388357.0)</f>
        <v>3388357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IFERROR(__xludf.DUMMYFUNCTION("""COMPUTED_VALUE"""),4.7)</f>
        <v>4.7</v>
      </c>
      <c r="C2356" s="1">
        <f>IFERROR(__xludf.DUMMYFUNCTION("""COMPUTED_VALUE"""),4.72)</f>
        <v>4.72</v>
      </c>
      <c r="D2356" s="1">
        <f>IFERROR(__xludf.DUMMYFUNCTION("""COMPUTED_VALUE"""),4.64)</f>
        <v>4.64</v>
      </c>
      <c r="E2356" s="1">
        <f>IFERROR(__xludf.DUMMYFUNCTION("""COMPUTED_VALUE"""),4.65)</f>
        <v>4.65</v>
      </c>
      <c r="F2356" s="1">
        <f>IFERROR(__xludf.DUMMYFUNCTION("""COMPUTED_VALUE"""),2367451.0)</f>
        <v>2367451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IFERROR(__xludf.DUMMYFUNCTION("""COMPUTED_VALUE"""),4.67)</f>
        <v>4.67</v>
      </c>
      <c r="C2357" s="1">
        <f>IFERROR(__xludf.DUMMYFUNCTION("""COMPUTED_VALUE"""),4.74)</f>
        <v>4.74</v>
      </c>
      <c r="D2357" s="1">
        <f>IFERROR(__xludf.DUMMYFUNCTION("""COMPUTED_VALUE"""),4.65)</f>
        <v>4.65</v>
      </c>
      <c r="E2357" s="1">
        <f>IFERROR(__xludf.DUMMYFUNCTION("""COMPUTED_VALUE"""),4.69)</f>
        <v>4.69</v>
      </c>
      <c r="F2357" s="1">
        <f>IFERROR(__xludf.DUMMYFUNCTION("""COMPUTED_VALUE"""),1923918.0)</f>
        <v>1923918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IFERROR(__xludf.DUMMYFUNCTION("""COMPUTED_VALUE"""),4.65)</f>
        <v>4.65</v>
      </c>
      <c r="C2358" s="1">
        <f>IFERROR(__xludf.DUMMYFUNCTION("""COMPUTED_VALUE"""),4.74)</f>
        <v>4.74</v>
      </c>
      <c r="D2358" s="1">
        <f>IFERROR(__xludf.DUMMYFUNCTION("""COMPUTED_VALUE"""),4.61)</f>
        <v>4.61</v>
      </c>
      <c r="E2358" s="1">
        <f>IFERROR(__xludf.DUMMYFUNCTION("""COMPUTED_VALUE"""),4.74)</f>
        <v>4.74</v>
      </c>
      <c r="F2358" s="1">
        <f>IFERROR(__xludf.DUMMYFUNCTION("""COMPUTED_VALUE"""),2296560.0)</f>
        <v>2296560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IFERROR(__xludf.DUMMYFUNCTION("""COMPUTED_VALUE"""),4.74)</f>
        <v>4.74</v>
      </c>
      <c r="C2359" s="1">
        <f>IFERROR(__xludf.DUMMYFUNCTION("""COMPUTED_VALUE"""),4.82)</f>
        <v>4.82</v>
      </c>
      <c r="D2359" s="1">
        <f>IFERROR(__xludf.DUMMYFUNCTION("""COMPUTED_VALUE"""),4.74)</f>
        <v>4.74</v>
      </c>
      <c r="E2359" s="1">
        <f>IFERROR(__xludf.DUMMYFUNCTION("""COMPUTED_VALUE"""),4.79)</f>
        <v>4.79</v>
      </c>
      <c r="F2359" s="1">
        <f>IFERROR(__xludf.DUMMYFUNCTION("""COMPUTED_VALUE"""),1358925.0)</f>
        <v>1358925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IFERROR(__xludf.DUMMYFUNCTION("""COMPUTED_VALUE"""),4.73)</f>
        <v>4.73</v>
      </c>
      <c r="C2360" s="1">
        <f>IFERROR(__xludf.DUMMYFUNCTION("""COMPUTED_VALUE"""),4.79)</f>
        <v>4.79</v>
      </c>
      <c r="D2360" s="1">
        <f>IFERROR(__xludf.DUMMYFUNCTION("""COMPUTED_VALUE"""),4.72)</f>
        <v>4.72</v>
      </c>
      <c r="E2360" s="1">
        <f>IFERROR(__xludf.DUMMYFUNCTION("""COMPUTED_VALUE"""),4.76)</f>
        <v>4.76</v>
      </c>
      <c r="F2360" s="1">
        <f>IFERROR(__xludf.DUMMYFUNCTION("""COMPUTED_VALUE"""),1496241.0)</f>
        <v>1496241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IFERROR(__xludf.DUMMYFUNCTION("""COMPUTED_VALUE"""),4.71)</f>
        <v>4.71</v>
      </c>
      <c r="C2361" s="1">
        <f>IFERROR(__xludf.DUMMYFUNCTION("""COMPUTED_VALUE"""),4.81)</f>
        <v>4.81</v>
      </c>
      <c r="D2361" s="1">
        <f>IFERROR(__xludf.DUMMYFUNCTION("""COMPUTED_VALUE"""),4.7)</f>
        <v>4.7</v>
      </c>
      <c r="E2361" s="1">
        <f>IFERROR(__xludf.DUMMYFUNCTION("""COMPUTED_VALUE"""),4.79)</f>
        <v>4.79</v>
      </c>
      <c r="F2361" s="1">
        <f>IFERROR(__xludf.DUMMYFUNCTION("""COMPUTED_VALUE"""),2979077.0)</f>
        <v>2979077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IFERROR(__xludf.DUMMYFUNCTION("""COMPUTED_VALUE"""),4.75)</f>
        <v>4.75</v>
      </c>
      <c r="C2362" s="1">
        <f>IFERROR(__xludf.DUMMYFUNCTION("""COMPUTED_VALUE"""),4.79)</f>
        <v>4.79</v>
      </c>
      <c r="D2362" s="1">
        <f>IFERROR(__xludf.DUMMYFUNCTION("""COMPUTED_VALUE"""),4.71)</f>
        <v>4.71</v>
      </c>
      <c r="E2362" s="1">
        <f>IFERROR(__xludf.DUMMYFUNCTION("""COMPUTED_VALUE"""),4.76)</f>
        <v>4.76</v>
      </c>
      <c r="F2362" s="1">
        <f>IFERROR(__xludf.DUMMYFUNCTION("""COMPUTED_VALUE"""),1869487.0)</f>
        <v>1869487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IFERROR(__xludf.DUMMYFUNCTION("""COMPUTED_VALUE"""),4.68)</f>
        <v>4.68</v>
      </c>
      <c r="C2363" s="1">
        <f>IFERROR(__xludf.DUMMYFUNCTION("""COMPUTED_VALUE"""),4.75)</f>
        <v>4.75</v>
      </c>
      <c r="D2363" s="1">
        <f>IFERROR(__xludf.DUMMYFUNCTION("""COMPUTED_VALUE"""),4.66)</f>
        <v>4.66</v>
      </c>
      <c r="E2363" s="1">
        <f>IFERROR(__xludf.DUMMYFUNCTION("""COMPUTED_VALUE"""),4.71)</f>
        <v>4.71</v>
      </c>
      <c r="F2363" s="1">
        <f>IFERROR(__xludf.DUMMYFUNCTION("""COMPUTED_VALUE"""),1911597.0)</f>
        <v>1911597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IFERROR(__xludf.DUMMYFUNCTION("""COMPUTED_VALUE"""),4.56)</f>
        <v>4.56</v>
      </c>
      <c r="C2364" s="1">
        <f>IFERROR(__xludf.DUMMYFUNCTION("""COMPUTED_VALUE"""),4.61)</f>
        <v>4.61</v>
      </c>
      <c r="D2364" s="1">
        <f>IFERROR(__xludf.DUMMYFUNCTION("""COMPUTED_VALUE"""),4.54)</f>
        <v>4.54</v>
      </c>
      <c r="E2364" s="1">
        <f>IFERROR(__xludf.DUMMYFUNCTION("""COMPUTED_VALUE"""),4.59)</f>
        <v>4.59</v>
      </c>
      <c r="F2364" s="1">
        <f>IFERROR(__xludf.DUMMYFUNCTION("""COMPUTED_VALUE"""),1350243.0)</f>
        <v>1350243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IFERROR(__xludf.DUMMYFUNCTION("""COMPUTED_VALUE"""),4.68)</f>
        <v>4.68</v>
      </c>
      <c r="C2365" s="1">
        <f>IFERROR(__xludf.DUMMYFUNCTION("""COMPUTED_VALUE"""),4.7)</f>
        <v>4.7</v>
      </c>
      <c r="D2365" s="1">
        <f>IFERROR(__xludf.DUMMYFUNCTION("""COMPUTED_VALUE"""),4.66)</f>
        <v>4.66</v>
      </c>
      <c r="E2365" s="1">
        <f>IFERROR(__xludf.DUMMYFUNCTION("""COMPUTED_VALUE"""),4.67)</f>
        <v>4.67</v>
      </c>
      <c r="F2365" s="1">
        <f>IFERROR(__xludf.DUMMYFUNCTION("""COMPUTED_VALUE"""),741484.0)</f>
        <v>741484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IFERROR(__xludf.DUMMYFUNCTION("""COMPUTED_VALUE"""),4.68)</f>
        <v>4.68</v>
      </c>
      <c r="C2366" s="1">
        <f>IFERROR(__xludf.DUMMYFUNCTION("""COMPUTED_VALUE"""),4.69)</f>
        <v>4.69</v>
      </c>
      <c r="D2366" s="1">
        <f>IFERROR(__xludf.DUMMYFUNCTION("""COMPUTED_VALUE"""),4.61)</f>
        <v>4.61</v>
      </c>
      <c r="E2366" s="1">
        <f>IFERROR(__xludf.DUMMYFUNCTION("""COMPUTED_VALUE"""),4.61)</f>
        <v>4.61</v>
      </c>
      <c r="F2366" s="1">
        <f>IFERROR(__xludf.DUMMYFUNCTION("""COMPUTED_VALUE"""),1315734.0)</f>
        <v>1315734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IFERROR(__xludf.DUMMYFUNCTION("""COMPUTED_VALUE"""),4.57)</f>
        <v>4.57</v>
      </c>
      <c r="C2367" s="1">
        <f>IFERROR(__xludf.DUMMYFUNCTION("""COMPUTED_VALUE"""),4.63)</f>
        <v>4.63</v>
      </c>
      <c r="D2367" s="1">
        <f>IFERROR(__xludf.DUMMYFUNCTION("""COMPUTED_VALUE"""),4.56)</f>
        <v>4.56</v>
      </c>
      <c r="E2367" s="1">
        <f>IFERROR(__xludf.DUMMYFUNCTION("""COMPUTED_VALUE"""),4.63)</f>
        <v>4.63</v>
      </c>
      <c r="F2367" s="1">
        <f>IFERROR(__xludf.DUMMYFUNCTION("""COMPUTED_VALUE"""),1506506.0)</f>
        <v>1506506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IFERROR(__xludf.DUMMYFUNCTION("""COMPUTED_VALUE"""),4.64)</f>
        <v>4.64</v>
      </c>
      <c r="C2368" s="1">
        <f>IFERROR(__xludf.DUMMYFUNCTION("""COMPUTED_VALUE"""),4.67)</f>
        <v>4.67</v>
      </c>
      <c r="D2368" s="1">
        <f>IFERROR(__xludf.DUMMYFUNCTION("""COMPUTED_VALUE"""),4.58)</f>
        <v>4.58</v>
      </c>
      <c r="E2368" s="1">
        <f>IFERROR(__xludf.DUMMYFUNCTION("""COMPUTED_VALUE"""),4.61)</f>
        <v>4.61</v>
      </c>
      <c r="F2368" s="1">
        <f>IFERROR(__xludf.DUMMYFUNCTION("""COMPUTED_VALUE"""),1194229.0)</f>
        <v>1194229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IFERROR(__xludf.DUMMYFUNCTION("""COMPUTED_VALUE"""),4.55)</f>
        <v>4.55</v>
      </c>
      <c r="C2369" s="1">
        <f>IFERROR(__xludf.DUMMYFUNCTION("""COMPUTED_VALUE"""),4.59)</f>
        <v>4.59</v>
      </c>
      <c r="D2369" s="1">
        <f>IFERROR(__xludf.DUMMYFUNCTION("""COMPUTED_VALUE"""),4.54)</f>
        <v>4.54</v>
      </c>
      <c r="E2369" s="1">
        <f>IFERROR(__xludf.DUMMYFUNCTION("""COMPUTED_VALUE"""),4.56)</f>
        <v>4.56</v>
      </c>
      <c r="F2369" s="1">
        <f>IFERROR(__xludf.DUMMYFUNCTION("""COMPUTED_VALUE"""),1911602.0)</f>
        <v>1911602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IFERROR(__xludf.DUMMYFUNCTION("""COMPUTED_VALUE"""),4.49)</f>
        <v>4.49</v>
      </c>
      <c r="C2370" s="1">
        <f>IFERROR(__xludf.DUMMYFUNCTION("""COMPUTED_VALUE"""),4.55)</f>
        <v>4.55</v>
      </c>
      <c r="D2370" s="1">
        <f>IFERROR(__xludf.DUMMYFUNCTION("""COMPUTED_VALUE"""),4.48)</f>
        <v>4.48</v>
      </c>
      <c r="E2370" s="1">
        <f>IFERROR(__xludf.DUMMYFUNCTION("""COMPUTED_VALUE"""),4.54)</f>
        <v>4.54</v>
      </c>
      <c r="F2370" s="1">
        <f>IFERROR(__xludf.DUMMYFUNCTION("""COMPUTED_VALUE"""),1549670.0)</f>
        <v>1549670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IFERROR(__xludf.DUMMYFUNCTION("""COMPUTED_VALUE"""),4.71)</f>
        <v>4.71</v>
      </c>
      <c r="C2371" s="1">
        <f>IFERROR(__xludf.DUMMYFUNCTION("""COMPUTED_VALUE"""),4.75)</f>
        <v>4.75</v>
      </c>
      <c r="D2371" s="1">
        <f>IFERROR(__xludf.DUMMYFUNCTION("""COMPUTED_VALUE"""),4.69)</f>
        <v>4.69</v>
      </c>
      <c r="E2371" s="1">
        <f>IFERROR(__xludf.DUMMYFUNCTION("""COMPUTED_VALUE"""),4.74)</f>
        <v>4.74</v>
      </c>
      <c r="F2371" s="1">
        <f>IFERROR(__xludf.DUMMYFUNCTION("""COMPUTED_VALUE"""),2597244.0)</f>
        <v>2597244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IFERROR(__xludf.DUMMYFUNCTION("""COMPUTED_VALUE"""),4.72)</f>
        <v>4.72</v>
      </c>
      <c r="C2372" s="1">
        <f>IFERROR(__xludf.DUMMYFUNCTION("""COMPUTED_VALUE"""),4.72)</f>
        <v>4.72</v>
      </c>
      <c r="D2372" s="1">
        <f>IFERROR(__xludf.DUMMYFUNCTION("""COMPUTED_VALUE"""),4.66)</f>
        <v>4.66</v>
      </c>
      <c r="E2372" s="1">
        <f>IFERROR(__xludf.DUMMYFUNCTION("""COMPUTED_VALUE"""),4.68)</f>
        <v>4.68</v>
      </c>
      <c r="F2372" s="1">
        <f>IFERROR(__xludf.DUMMYFUNCTION("""COMPUTED_VALUE"""),1373968.0)</f>
        <v>1373968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IFERROR(__xludf.DUMMYFUNCTION("""COMPUTED_VALUE"""),4.68)</f>
        <v>4.68</v>
      </c>
      <c r="C2373" s="1">
        <f>IFERROR(__xludf.DUMMYFUNCTION("""COMPUTED_VALUE"""),4.7)</f>
        <v>4.7</v>
      </c>
      <c r="D2373" s="1">
        <f>IFERROR(__xludf.DUMMYFUNCTION("""COMPUTED_VALUE"""),4.61)</f>
        <v>4.61</v>
      </c>
      <c r="E2373" s="1">
        <f>IFERROR(__xludf.DUMMYFUNCTION("""COMPUTED_VALUE"""),4.66)</f>
        <v>4.66</v>
      </c>
      <c r="F2373" s="1">
        <f>IFERROR(__xludf.DUMMYFUNCTION("""COMPUTED_VALUE"""),1089475.0)</f>
        <v>1089475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IFERROR(__xludf.DUMMYFUNCTION("""COMPUTED_VALUE"""),4.76)</f>
        <v>4.76</v>
      </c>
      <c r="C2374" s="1">
        <f>IFERROR(__xludf.DUMMYFUNCTION("""COMPUTED_VALUE"""),4.8)</f>
        <v>4.8</v>
      </c>
      <c r="D2374" s="1">
        <f>IFERROR(__xludf.DUMMYFUNCTION("""COMPUTED_VALUE"""),4.75)</f>
        <v>4.75</v>
      </c>
      <c r="E2374" s="1">
        <f>IFERROR(__xludf.DUMMYFUNCTION("""COMPUTED_VALUE"""),4.77)</f>
        <v>4.77</v>
      </c>
      <c r="F2374" s="1">
        <f>IFERROR(__xludf.DUMMYFUNCTION("""COMPUTED_VALUE"""),1578780.0)</f>
        <v>1578780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IFERROR(__xludf.DUMMYFUNCTION("""COMPUTED_VALUE"""),4.8)</f>
        <v>4.8</v>
      </c>
      <c r="C2375" s="1">
        <f>IFERROR(__xludf.DUMMYFUNCTION("""COMPUTED_VALUE"""),4.82)</f>
        <v>4.82</v>
      </c>
      <c r="D2375" s="1">
        <f>IFERROR(__xludf.DUMMYFUNCTION("""COMPUTED_VALUE"""),4.77)</f>
        <v>4.77</v>
      </c>
      <c r="E2375" s="1">
        <f>IFERROR(__xludf.DUMMYFUNCTION("""COMPUTED_VALUE"""),4.78)</f>
        <v>4.78</v>
      </c>
      <c r="F2375" s="1">
        <f>IFERROR(__xludf.DUMMYFUNCTION("""COMPUTED_VALUE"""),848646.0)</f>
        <v>848646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IFERROR(__xludf.DUMMYFUNCTION("""COMPUTED_VALUE"""),4.88)</f>
        <v>4.88</v>
      </c>
      <c r="C2376" s="1">
        <f>IFERROR(__xludf.DUMMYFUNCTION("""COMPUTED_VALUE"""),4.9)</f>
        <v>4.9</v>
      </c>
      <c r="D2376" s="1">
        <f>IFERROR(__xludf.DUMMYFUNCTION("""COMPUTED_VALUE"""),4.84)</f>
        <v>4.84</v>
      </c>
      <c r="E2376" s="1">
        <f>IFERROR(__xludf.DUMMYFUNCTION("""COMPUTED_VALUE"""),4.84)</f>
        <v>4.84</v>
      </c>
      <c r="F2376" s="1">
        <f>IFERROR(__xludf.DUMMYFUNCTION("""COMPUTED_VALUE"""),2179960.0)</f>
        <v>2179960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IFERROR(__xludf.DUMMYFUNCTION("""COMPUTED_VALUE"""),4.8)</f>
        <v>4.8</v>
      </c>
      <c r="C2377" s="1">
        <f>IFERROR(__xludf.DUMMYFUNCTION("""COMPUTED_VALUE"""),4.8)</f>
        <v>4.8</v>
      </c>
      <c r="D2377" s="1">
        <f>IFERROR(__xludf.DUMMYFUNCTION("""COMPUTED_VALUE"""),4.74)</f>
        <v>4.74</v>
      </c>
      <c r="E2377" s="1">
        <f>IFERROR(__xludf.DUMMYFUNCTION("""COMPUTED_VALUE"""),4.75)</f>
        <v>4.75</v>
      </c>
      <c r="F2377" s="1">
        <f>IFERROR(__xludf.DUMMYFUNCTION("""COMPUTED_VALUE"""),757165.0)</f>
        <v>757165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IFERROR(__xludf.DUMMYFUNCTION("""COMPUTED_VALUE"""),4.75)</f>
        <v>4.75</v>
      </c>
      <c r="C2378" s="1">
        <f>IFERROR(__xludf.DUMMYFUNCTION("""COMPUTED_VALUE"""),4.78)</f>
        <v>4.78</v>
      </c>
      <c r="D2378" s="1">
        <f>IFERROR(__xludf.DUMMYFUNCTION("""COMPUTED_VALUE"""),4.73)</f>
        <v>4.73</v>
      </c>
      <c r="E2378" s="1">
        <f>IFERROR(__xludf.DUMMYFUNCTION("""COMPUTED_VALUE"""),4.74)</f>
        <v>4.74</v>
      </c>
      <c r="F2378" s="1">
        <f>IFERROR(__xludf.DUMMYFUNCTION("""COMPUTED_VALUE"""),710907.0)</f>
        <v>710907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IFERROR(__xludf.DUMMYFUNCTION("""COMPUTED_VALUE"""),4.7)</f>
        <v>4.7</v>
      </c>
      <c r="C2379" s="1">
        <f>IFERROR(__xludf.DUMMYFUNCTION("""COMPUTED_VALUE"""),4.72)</f>
        <v>4.72</v>
      </c>
      <c r="D2379" s="1">
        <f>IFERROR(__xludf.DUMMYFUNCTION("""COMPUTED_VALUE"""),4.67)</f>
        <v>4.67</v>
      </c>
      <c r="E2379" s="1">
        <f>IFERROR(__xludf.DUMMYFUNCTION("""COMPUTED_VALUE"""),4.7)</f>
        <v>4.7</v>
      </c>
      <c r="F2379" s="1">
        <f>IFERROR(__xludf.DUMMYFUNCTION("""COMPUTED_VALUE"""),641195.0)</f>
        <v>641195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IFERROR(__xludf.DUMMYFUNCTION("""COMPUTED_VALUE"""),4.73)</f>
        <v>4.73</v>
      </c>
      <c r="C2380" s="1">
        <f>IFERROR(__xludf.DUMMYFUNCTION("""COMPUTED_VALUE"""),4.75)</f>
        <v>4.75</v>
      </c>
      <c r="D2380" s="1">
        <f>IFERROR(__xludf.DUMMYFUNCTION("""COMPUTED_VALUE"""),4.69)</f>
        <v>4.69</v>
      </c>
      <c r="E2380" s="1">
        <f>IFERROR(__xludf.DUMMYFUNCTION("""COMPUTED_VALUE"""),4.69)</f>
        <v>4.69</v>
      </c>
      <c r="F2380" s="1">
        <f>IFERROR(__xludf.DUMMYFUNCTION("""COMPUTED_VALUE"""),1822847.0)</f>
        <v>1822847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IFERROR(__xludf.DUMMYFUNCTION("""COMPUTED_VALUE"""),4.7)</f>
        <v>4.7</v>
      </c>
      <c r="C2381" s="1">
        <f>IFERROR(__xludf.DUMMYFUNCTION("""COMPUTED_VALUE"""),4.78)</f>
        <v>4.78</v>
      </c>
      <c r="D2381" s="1">
        <f>IFERROR(__xludf.DUMMYFUNCTION("""COMPUTED_VALUE"""),4.7)</f>
        <v>4.7</v>
      </c>
      <c r="E2381" s="1">
        <f>IFERROR(__xludf.DUMMYFUNCTION("""COMPUTED_VALUE"""),4.76)</f>
        <v>4.76</v>
      </c>
      <c r="F2381" s="1">
        <f>IFERROR(__xludf.DUMMYFUNCTION("""COMPUTED_VALUE"""),683299.0)</f>
        <v>683299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IFERROR(__xludf.DUMMYFUNCTION("""COMPUTED_VALUE"""),4.91)</f>
        <v>4.91</v>
      </c>
      <c r="C2382" s="1">
        <f>IFERROR(__xludf.DUMMYFUNCTION("""COMPUTED_VALUE"""),4.91)</f>
        <v>4.91</v>
      </c>
      <c r="D2382" s="1">
        <f>IFERROR(__xludf.DUMMYFUNCTION("""COMPUTED_VALUE"""),4.85)</f>
        <v>4.85</v>
      </c>
      <c r="E2382" s="1">
        <f>IFERROR(__xludf.DUMMYFUNCTION("""COMPUTED_VALUE"""),4.85)</f>
        <v>4.85</v>
      </c>
      <c r="F2382" s="1">
        <f>IFERROR(__xludf.DUMMYFUNCTION("""COMPUTED_VALUE"""),1248254.0)</f>
        <v>1248254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IFERROR(__xludf.DUMMYFUNCTION("""COMPUTED_VALUE"""),4.91)</f>
        <v>4.91</v>
      </c>
      <c r="C2383" s="1">
        <f>IFERROR(__xludf.DUMMYFUNCTION("""COMPUTED_VALUE"""),4.92)</f>
        <v>4.92</v>
      </c>
      <c r="D2383" s="1">
        <f>IFERROR(__xludf.DUMMYFUNCTION("""COMPUTED_VALUE"""),4.86)</f>
        <v>4.86</v>
      </c>
      <c r="E2383" s="1">
        <f>IFERROR(__xludf.DUMMYFUNCTION("""COMPUTED_VALUE"""),4.9)</f>
        <v>4.9</v>
      </c>
      <c r="F2383" s="1">
        <f>IFERROR(__xludf.DUMMYFUNCTION("""COMPUTED_VALUE"""),1258878.0)</f>
        <v>1258878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IFERROR(__xludf.DUMMYFUNCTION("""COMPUTED_VALUE"""),4.89)</f>
        <v>4.89</v>
      </c>
      <c r="C2384" s="1">
        <f>IFERROR(__xludf.DUMMYFUNCTION("""COMPUTED_VALUE"""),4.92)</f>
        <v>4.92</v>
      </c>
      <c r="D2384" s="1">
        <f>IFERROR(__xludf.DUMMYFUNCTION("""COMPUTED_VALUE"""),4.83)</f>
        <v>4.83</v>
      </c>
      <c r="E2384" s="1">
        <f>IFERROR(__xludf.DUMMYFUNCTION("""COMPUTED_VALUE"""),4.83)</f>
        <v>4.83</v>
      </c>
      <c r="F2384" s="1">
        <f>IFERROR(__xludf.DUMMYFUNCTION("""COMPUTED_VALUE"""),1546386.0)</f>
        <v>1546386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IFERROR(__xludf.DUMMYFUNCTION("""COMPUTED_VALUE"""),4.88)</f>
        <v>4.88</v>
      </c>
      <c r="C2385" s="1">
        <f>IFERROR(__xludf.DUMMYFUNCTION("""COMPUTED_VALUE"""),4.91)</f>
        <v>4.91</v>
      </c>
      <c r="D2385" s="1">
        <f>IFERROR(__xludf.DUMMYFUNCTION("""COMPUTED_VALUE"""),4.85)</f>
        <v>4.85</v>
      </c>
      <c r="E2385" s="1">
        <f>IFERROR(__xludf.DUMMYFUNCTION("""COMPUTED_VALUE"""),4.88)</f>
        <v>4.88</v>
      </c>
      <c r="F2385" s="1">
        <f>IFERROR(__xludf.DUMMYFUNCTION("""COMPUTED_VALUE"""),1049622.0)</f>
        <v>1049622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IFERROR(__xludf.DUMMYFUNCTION("""COMPUTED_VALUE"""),4.87)</f>
        <v>4.87</v>
      </c>
      <c r="C2386" s="1">
        <f>IFERROR(__xludf.DUMMYFUNCTION("""COMPUTED_VALUE"""),4.88)</f>
        <v>4.88</v>
      </c>
      <c r="D2386" s="1">
        <f>IFERROR(__xludf.DUMMYFUNCTION("""COMPUTED_VALUE"""),4.83)</f>
        <v>4.83</v>
      </c>
      <c r="E2386" s="1">
        <f>IFERROR(__xludf.DUMMYFUNCTION("""COMPUTED_VALUE"""),4.83)</f>
        <v>4.83</v>
      </c>
      <c r="F2386" s="1">
        <f>IFERROR(__xludf.DUMMYFUNCTION("""COMPUTED_VALUE"""),644117.0)</f>
        <v>644117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IFERROR(__xludf.DUMMYFUNCTION("""COMPUTED_VALUE"""),4.87)</f>
        <v>4.87</v>
      </c>
      <c r="C2387" s="1">
        <f>IFERROR(__xludf.DUMMYFUNCTION("""COMPUTED_VALUE"""),4.9)</f>
        <v>4.9</v>
      </c>
      <c r="D2387" s="1">
        <f>IFERROR(__xludf.DUMMYFUNCTION("""COMPUTED_VALUE"""),4.84)</f>
        <v>4.84</v>
      </c>
      <c r="E2387" s="1">
        <f>IFERROR(__xludf.DUMMYFUNCTION("""COMPUTED_VALUE"""),4.86)</f>
        <v>4.86</v>
      </c>
      <c r="F2387" s="1">
        <f>IFERROR(__xludf.DUMMYFUNCTION("""COMPUTED_VALUE"""),972987.0)</f>
        <v>972987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IFERROR(__xludf.DUMMYFUNCTION("""COMPUTED_VALUE"""),4.98)</f>
        <v>4.98</v>
      </c>
      <c r="C2388" s="1">
        <f>IFERROR(__xludf.DUMMYFUNCTION("""COMPUTED_VALUE"""),4.98)</f>
        <v>4.98</v>
      </c>
      <c r="D2388" s="1">
        <f>IFERROR(__xludf.DUMMYFUNCTION("""COMPUTED_VALUE"""),4.91)</f>
        <v>4.91</v>
      </c>
      <c r="E2388" s="1">
        <f>IFERROR(__xludf.DUMMYFUNCTION("""COMPUTED_VALUE"""),4.92)</f>
        <v>4.92</v>
      </c>
      <c r="F2388" s="1">
        <f>IFERROR(__xludf.DUMMYFUNCTION("""COMPUTED_VALUE"""),1155269.0)</f>
        <v>1155269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IFERROR(__xludf.DUMMYFUNCTION("""COMPUTED_VALUE"""),4.96)</f>
        <v>4.96</v>
      </c>
      <c r="C2389" s="1">
        <f>IFERROR(__xludf.DUMMYFUNCTION("""COMPUTED_VALUE"""),4.99)</f>
        <v>4.99</v>
      </c>
      <c r="D2389" s="1">
        <f>IFERROR(__xludf.DUMMYFUNCTION("""COMPUTED_VALUE"""),4.94)</f>
        <v>4.94</v>
      </c>
      <c r="E2389" s="1">
        <f>IFERROR(__xludf.DUMMYFUNCTION("""COMPUTED_VALUE"""),4.95)</f>
        <v>4.95</v>
      </c>
      <c r="F2389" s="1">
        <f>IFERROR(__xludf.DUMMYFUNCTION("""COMPUTED_VALUE"""),978116.0)</f>
        <v>978116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IFERROR(__xludf.DUMMYFUNCTION("""COMPUTED_VALUE"""),5.1)</f>
        <v>5.1</v>
      </c>
      <c r="C2390" s="1">
        <f>IFERROR(__xludf.DUMMYFUNCTION("""COMPUTED_VALUE"""),5.11)</f>
        <v>5.11</v>
      </c>
      <c r="D2390" s="1">
        <f>IFERROR(__xludf.DUMMYFUNCTION("""COMPUTED_VALUE"""),5.05)</f>
        <v>5.05</v>
      </c>
      <c r="E2390" s="1">
        <f>IFERROR(__xludf.DUMMYFUNCTION("""COMPUTED_VALUE"""),5.08)</f>
        <v>5.08</v>
      </c>
      <c r="F2390" s="1">
        <f>IFERROR(__xludf.DUMMYFUNCTION("""COMPUTED_VALUE"""),1733372.0)</f>
        <v>1733372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IFERROR(__xludf.DUMMYFUNCTION("""COMPUTED_VALUE"""),5.06)</f>
        <v>5.06</v>
      </c>
      <c r="C2391" s="1">
        <f>IFERROR(__xludf.DUMMYFUNCTION("""COMPUTED_VALUE"""),5.08)</f>
        <v>5.08</v>
      </c>
      <c r="D2391" s="1">
        <f>IFERROR(__xludf.DUMMYFUNCTION("""COMPUTED_VALUE"""),5.01)</f>
        <v>5.01</v>
      </c>
      <c r="E2391" s="1">
        <f>IFERROR(__xludf.DUMMYFUNCTION("""COMPUTED_VALUE"""),5.02)</f>
        <v>5.02</v>
      </c>
      <c r="F2391" s="1">
        <f>IFERROR(__xludf.DUMMYFUNCTION("""COMPUTED_VALUE"""),904297.0)</f>
        <v>904297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IFERROR(__xludf.DUMMYFUNCTION("""COMPUTED_VALUE"""),5.02)</f>
        <v>5.02</v>
      </c>
      <c r="C2392" s="1">
        <f>IFERROR(__xludf.DUMMYFUNCTION("""COMPUTED_VALUE"""),5.05)</f>
        <v>5.05</v>
      </c>
      <c r="D2392" s="1">
        <f>IFERROR(__xludf.DUMMYFUNCTION("""COMPUTED_VALUE"""),5.01)</f>
        <v>5.01</v>
      </c>
      <c r="E2392" s="1">
        <f>IFERROR(__xludf.DUMMYFUNCTION("""COMPUTED_VALUE"""),5.03)</f>
        <v>5.03</v>
      </c>
      <c r="F2392" s="1">
        <f>IFERROR(__xludf.DUMMYFUNCTION("""COMPUTED_VALUE"""),587429.0)</f>
        <v>587429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IFERROR(__xludf.DUMMYFUNCTION("""COMPUTED_VALUE"""),5.13)</f>
        <v>5.13</v>
      </c>
      <c r="C2393" s="1">
        <f>IFERROR(__xludf.DUMMYFUNCTION("""COMPUTED_VALUE"""),5.18)</f>
        <v>5.18</v>
      </c>
      <c r="D2393" s="1">
        <f>IFERROR(__xludf.DUMMYFUNCTION("""COMPUTED_VALUE"""),5.11)</f>
        <v>5.11</v>
      </c>
      <c r="E2393" s="1">
        <f>IFERROR(__xludf.DUMMYFUNCTION("""COMPUTED_VALUE"""),5.14)</f>
        <v>5.14</v>
      </c>
      <c r="F2393" s="1">
        <f>IFERROR(__xludf.DUMMYFUNCTION("""COMPUTED_VALUE"""),1063443.0)</f>
        <v>1063443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IFERROR(__xludf.DUMMYFUNCTION("""COMPUTED_VALUE"""),5.11)</f>
        <v>5.11</v>
      </c>
      <c r="C2394" s="1">
        <f>IFERROR(__xludf.DUMMYFUNCTION("""COMPUTED_VALUE"""),5.13)</f>
        <v>5.13</v>
      </c>
      <c r="D2394" s="1">
        <f>IFERROR(__xludf.DUMMYFUNCTION("""COMPUTED_VALUE"""),5.07)</f>
        <v>5.07</v>
      </c>
      <c r="E2394" s="1">
        <f>IFERROR(__xludf.DUMMYFUNCTION("""COMPUTED_VALUE"""),5.09)</f>
        <v>5.09</v>
      </c>
      <c r="F2394" s="1">
        <f>IFERROR(__xludf.DUMMYFUNCTION("""COMPUTED_VALUE"""),821801.0)</f>
        <v>821801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IFERROR(__xludf.DUMMYFUNCTION("""COMPUTED_VALUE"""),5.09)</f>
        <v>5.09</v>
      </c>
      <c r="C2395" s="1">
        <f>IFERROR(__xludf.DUMMYFUNCTION("""COMPUTED_VALUE"""),5.13)</f>
        <v>5.13</v>
      </c>
      <c r="D2395" s="1">
        <f>IFERROR(__xludf.DUMMYFUNCTION("""COMPUTED_VALUE"""),5.08)</f>
        <v>5.08</v>
      </c>
      <c r="E2395" s="1">
        <f>IFERROR(__xludf.DUMMYFUNCTION("""COMPUTED_VALUE"""),5.13)</f>
        <v>5.13</v>
      </c>
      <c r="F2395" s="1">
        <f>IFERROR(__xludf.DUMMYFUNCTION("""COMPUTED_VALUE"""),897267.0)</f>
        <v>897267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IFERROR(__xludf.DUMMYFUNCTION("""COMPUTED_VALUE"""),5.15)</f>
        <v>5.15</v>
      </c>
      <c r="C2396" s="1">
        <f>IFERROR(__xludf.DUMMYFUNCTION("""COMPUTED_VALUE"""),5.17)</f>
        <v>5.17</v>
      </c>
      <c r="D2396" s="1">
        <f>IFERROR(__xludf.DUMMYFUNCTION("""COMPUTED_VALUE"""),5.08)</f>
        <v>5.08</v>
      </c>
      <c r="E2396" s="1">
        <f>IFERROR(__xludf.DUMMYFUNCTION("""COMPUTED_VALUE"""),5.09)</f>
        <v>5.09</v>
      </c>
      <c r="F2396" s="1">
        <f>IFERROR(__xludf.DUMMYFUNCTION("""COMPUTED_VALUE"""),749469.0)</f>
        <v>749469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IFERROR(__xludf.DUMMYFUNCTION("""COMPUTED_VALUE"""),5.11)</f>
        <v>5.11</v>
      </c>
      <c r="C2397" s="1">
        <f>IFERROR(__xludf.DUMMYFUNCTION("""COMPUTED_VALUE"""),5.13)</f>
        <v>5.13</v>
      </c>
      <c r="D2397" s="1">
        <f>IFERROR(__xludf.DUMMYFUNCTION("""COMPUTED_VALUE"""),5.09)</f>
        <v>5.09</v>
      </c>
      <c r="E2397" s="1">
        <f>IFERROR(__xludf.DUMMYFUNCTION("""COMPUTED_VALUE"""),5.11)</f>
        <v>5.11</v>
      </c>
      <c r="F2397" s="1">
        <f>IFERROR(__xludf.DUMMYFUNCTION("""COMPUTED_VALUE"""),608489.0)</f>
        <v>608489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IFERROR(__xludf.DUMMYFUNCTION("""COMPUTED_VALUE"""),5.16)</f>
        <v>5.16</v>
      </c>
      <c r="C2398" s="1">
        <f>IFERROR(__xludf.DUMMYFUNCTION("""COMPUTED_VALUE"""),5.18)</f>
        <v>5.18</v>
      </c>
      <c r="D2398" s="1">
        <f>IFERROR(__xludf.DUMMYFUNCTION("""COMPUTED_VALUE"""),5.11)</f>
        <v>5.11</v>
      </c>
      <c r="E2398" s="1">
        <f>IFERROR(__xludf.DUMMYFUNCTION("""COMPUTED_VALUE"""),5.14)</f>
        <v>5.14</v>
      </c>
      <c r="F2398" s="1">
        <f>IFERROR(__xludf.DUMMYFUNCTION("""COMPUTED_VALUE"""),1952333.0)</f>
        <v>1952333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IFERROR(__xludf.DUMMYFUNCTION("""COMPUTED_VALUE"""),5.14)</f>
        <v>5.14</v>
      </c>
      <c r="C2399" s="1">
        <f>IFERROR(__xludf.DUMMYFUNCTION("""COMPUTED_VALUE"""),5.15)</f>
        <v>5.15</v>
      </c>
      <c r="D2399" s="1">
        <f>IFERROR(__xludf.DUMMYFUNCTION("""COMPUTED_VALUE"""),5.08)</f>
        <v>5.08</v>
      </c>
      <c r="E2399" s="1">
        <f>IFERROR(__xludf.DUMMYFUNCTION("""COMPUTED_VALUE"""),5.11)</f>
        <v>5.11</v>
      </c>
      <c r="F2399" s="1">
        <f>IFERROR(__xludf.DUMMYFUNCTION("""COMPUTED_VALUE"""),957602.0)</f>
        <v>957602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IFERROR(__xludf.DUMMYFUNCTION("""COMPUTED_VALUE"""),5.1)</f>
        <v>5.1</v>
      </c>
      <c r="C2400" s="1">
        <f>IFERROR(__xludf.DUMMYFUNCTION("""COMPUTED_VALUE"""),5.13)</f>
        <v>5.13</v>
      </c>
      <c r="D2400" s="1">
        <f>IFERROR(__xludf.DUMMYFUNCTION("""COMPUTED_VALUE"""),5.08)</f>
        <v>5.08</v>
      </c>
      <c r="E2400" s="1">
        <f>IFERROR(__xludf.DUMMYFUNCTION("""COMPUTED_VALUE"""),5.08)</f>
        <v>5.08</v>
      </c>
      <c r="F2400" s="1">
        <f>IFERROR(__xludf.DUMMYFUNCTION("""COMPUTED_VALUE"""),746390.0)</f>
        <v>746390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IFERROR(__xludf.DUMMYFUNCTION("""COMPUTED_VALUE"""),5.12)</f>
        <v>5.12</v>
      </c>
      <c r="C2401" s="1">
        <f>IFERROR(__xludf.DUMMYFUNCTION("""COMPUTED_VALUE"""),5.12)</f>
        <v>5.12</v>
      </c>
      <c r="D2401" s="1">
        <f>IFERROR(__xludf.DUMMYFUNCTION("""COMPUTED_VALUE"""),5.06)</f>
        <v>5.06</v>
      </c>
      <c r="E2401" s="1">
        <f>IFERROR(__xludf.DUMMYFUNCTION("""COMPUTED_VALUE"""),5.08)</f>
        <v>5.08</v>
      </c>
      <c r="F2401" s="1">
        <f>IFERROR(__xludf.DUMMYFUNCTION("""COMPUTED_VALUE"""),831085.0)</f>
        <v>831085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IFERROR(__xludf.DUMMYFUNCTION("""COMPUTED_VALUE"""),5.05)</f>
        <v>5.05</v>
      </c>
      <c r="C2402" s="1">
        <f>IFERROR(__xludf.DUMMYFUNCTION("""COMPUTED_VALUE"""),5.09)</f>
        <v>5.09</v>
      </c>
      <c r="D2402" s="1">
        <f>IFERROR(__xludf.DUMMYFUNCTION("""COMPUTED_VALUE"""),5.05)</f>
        <v>5.05</v>
      </c>
      <c r="E2402" s="1">
        <f>IFERROR(__xludf.DUMMYFUNCTION("""COMPUTED_VALUE"""),5.07)</f>
        <v>5.07</v>
      </c>
      <c r="F2402" s="1">
        <f>IFERROR(__xludf.DUMMYFUNCTION("""COMPUTED_VALUE"""),1076125.0)</f>
        <v>1076125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IFERROR(__xludf.DUMMYFUNCTION("""COMPUTED_VALUE"""),5.07)</f>
        <v>5.07</v>
      </c>
      <c r="C2403" s="1">
        <f>IFERROR(__xludf.DUMMYFUNCTION("""COMPUTED_VALUE"""),5.09)</f>
        <v>5.09</v>
      </c>
      <c r="D2403" s="1">
        <f>IFERROR(__xludf.DUMMYFUNCTION("""COMPUTED_VALUE"""),5.04)</f>
        <v>5.04</v>
      </c>
      <c r="E2403" s="1">
        <f>IFERROR(__xludf.DUMMYFUNCTION("""COMPUTED_VALUE"""),5.05)</f>
        <v>5.05</v>
      </c>
      <c r="F2403" s="1">
        <f>IFERROR(__xludf.DUMMYFUNCTION("""COMPUTED_VALUE"""),872816.0)</f>
        <v>872816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IFERROR(__xludf.DUMMYFUNCTION("""COMPUTED_VALUE"""),5.06)</f>
        <v>5.06</v>
      </c>
      <c r="C2404" s="1">
        <f>IFERROR(__xludf.DUMMYFUNCTION("""COMPUTED_VALUE"""),5.08)</f>
        <v>5.08</v>
      </c>
      <c r="D2404" s="1">
        <f>IFERROR(__xludf.DUMMYFUNCTION("""COMPUTED_VALUE"""),5.03)</f>
        <v>5.03</v>
      </c>
      <c r="E2404" s="1">
        <f>IFERROR(__xludf.DUMMYFUNCTION("""COMPUTED_VALUE"""),5.04)</f>
        <v>5.04</v>
      </c>
      <c r="F2404" s="1">
        <f>IFERROR(__xludf.DUMMYFUNCTION("""COMPUTED_VALUE"""),1079333.0)</f>
        <v>1079333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IFERROR(__xludf.DUMMYFUNCTION("""COMPUTED_VALUE"""),5.1)</f>
        <v>5.1</v>
      </c>
      <c r="C2405" s="1">
        <f>IFERROR(__xludf.DUMMYFUNCTION("""COMPUTED_VALUE"""),5.14)</f>
        <v>5.14</v>
      </c>
      <c r="D2405" s="1">
        <f>IFERROR(__xludf.DUMMYFUNCTION("""COMPUTED_VALUE"""),5.1)</f>
        <v>5.1</v>
      </c>
      <c r="E2405" s="1">
        <f>IFERROR(__xludf.DUMMYFUNCTION("""COMPUTED_VALUE"""),5.11)</f>
        <v>5.11</v>
      </c>
      <c r="F2405" s="1">
        <f>IFERROR(__xludf.DUMMYFUNCTION("""COMPUTED_VALUE"""),655359.0)</f>
        <v>655359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IFERROR(__xludf.DUMMYFUNCTION("""COMPUTED_VALUE"""),5.06)</f>
        <v>5.06</v>
      </c>
      <c r="C2406" s="1">
        <f>IFERROR(__xludf.DUMMYFUNCTION("""COMPUTED_VALUE"""),5.11)</f>
        <v>5.11</v>
      </c>
      <c r="D2406" s="1">
        <f>IFERROR(__xludf.DUMMYFUNCTION("""COMPUTED_VALUE"""),5.06)</f>
        <v>5.06</v>
      </c>
      <c r="E2406" s="1">
        <f>IFERROR(__xludf.DUMMYFUNCTION("""COMPUTED_VALUE"""),5.09)</f>
        <v>5.09</v>
      </c>
      <c r="F2406" s="1">
        <f>IFERROR(__xludf.DUMMYFUNCTION("""COMPUTED_VALUE"""),606608.0)</f>
        <v>606608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IFERROR(__xludf.DUMMYFUNCTION("""COMPUTED_VALUE"""),5.09)</f>
        <v>5.09</v>
      </c>
      <c r="C2407" s="1">
        <f>IFERROR(__xludf.DUMMYFUNCTION("""COMPUTED_VALUE"""),5.09)</f>
        <v>5.09</v>
      </c>
      <c r="D2407" s="1">
        <f>IFERROR(__xludf.DUMMYFUNCTION("""COMPUTED_VALUE"""),5.0)</f>
        <v>5</v>
      </c>
      <c r="E2407" s="1">
        <f>IFERROR(__xludf.DUMMYFUNCTION("""COMPUTED_VALUE"""),5.02)</f>
        <v>5.02</v>
      </c>
      <c r="F2407" s="1">
        <f>IFERROR(__xludf.DUMMYFUNCTION("""COMPUTED_VALUE"""),933736.0)</f>
        <v>933736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IFERROR(__xludf.DUMMYFUNCTION("""COMPUTED_VALUE"""),5.01)</f>
        <v>5.01</v>
      </c>
      <c r="C2408" s="1">
        <f>IFERROR(__xludf.DUMMYFUNCTION("""COMPUTED_VALUE"""),5.02)</f>
        <v>5.02</v>
      </c>
      <c r="D2408" s="1">
        <f>IFERROR(__xludf.DUMMYFUNCTION("""COMPUTED_VALUE"""),4.99)</f>
        <v>4.99</v>
      </c>
      <c r="E2408" s="1">
        <f>IFERROR(__xludf.DUMMYFUNCTION("""COMPUTED_VALUE"""),5.0)</f>
        <v>5</v>
      </c>
      <c r="F2408" s="1">
        <f>IFERROR(__xludf.DUMMYFUNCTION("""COMPUTED_VALUE"""),488893.0)</f>
        <v>488893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IFERROR(__xludf.DUMMYFUNCTION("""COMPUTED_VALUE"""),5.02)</f>
        <v>5.02</v>
      </c>
      <c r="C2409" s="1">
        <f>IFERROR(__xludf.DUMMYFUNCTION("""COMPUTED_VALUE"""),5.03)</f>
        <v>5.03</v>
      </c>
      <c r="D2409" s="1">
        <f>IFERROR(__xludf.DUMMYFUNCTION("""COMPUTED_VALUE"""),4.97)</f>
        <v>4.97</v>
      </c>
      <c r="E2409" s="1">
        <f>IFERROR(__xludf.DUMMYFUNCTION("""COMPUTED_VALUE"""),4.98)</f>
        <v>4.98</v>
      </c>
      <c r="F2409" s="1">
        <f>IFERROR(__xludf.DUMMYFUNCTION("""COMPUTED_VALUE"""),1166585.0)</f>
        <v>1166585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IFERROR(__xludf.DUMMYFUNCTION("""COMPUTED_VALUE"""),4.91)</f>
        <v>4.91</v>
      </c>
      <c r="C2410" s="1">
        <f>IFERROR(__xludf.DUMMYFUNCTION("""COMPUTED_VALUE"""),4.93)</f>
        <v>4.93</v>
      </c>
      <c r="D2410" s="1">
        <f>IFERROR(__xludf.DUMMYFUNCTION("""COMPUTED_VALUE"""),4.88)</f>
        <v>4.88</v>
      </c>
      <c r="E2410" s="1">
        <f>IFERROR(__xludf.DUMMYFUNCTION("""COMPUTED_VALUE"""),4.9)</f>
        <v>4.9</v>
      </c>
      <c r="F2410" s="1">
        <f>IFERROR(__xludf.DUMMYFUNCTION("""COMPUTED_VALUE"""),908584.0)</f>
        <v>908584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IFERROR(__xludf.DUMMYFUNCTION("""COMPUTED_VALUE"""),4.97)</f>
        <v>4.97</v>
      </c>
      <c r="C2411" s="1">
        <f>IFERROR(__xludf.DUMMYFUNCTION("""COMPUTED_VALUE"""),4.98)</f>
        <v>4.98</v>
      </c>
      <c r="D2411" s="1">
        <f>IFERROR(__xludf.DUMMYFUNCTION("""COMPUTED_VALUE"""),4.84)</f>
        <v>4.84</v>
      </c>
      <c r="E2411" s="1">
        <f>IFERROR(__xludf.DUMMYFUNCTION("""COMPUTED_VALUE"""),4.92)</f>
        <v>4.92</v>
      </c>
      <c r="F2411" s="1">
        <f>IFERROR(__xludf.DUMMYFUNCTION("""COMPUTED_VALUE"""),1713087.0)</f>
        <v>1713087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IFERROR(__xludf.DUMMYFUNCTION("""COMPUTED_VALUE"""),4.89)</f>
        <v>4.89</v>
      </c>
      <c r="C2412" s="1">
        <f>IFERROR(__xludf.DUMMYFUNCTION("""COMPUTED_VALUE"""),4.9)</f>
        <v>4.9</v>
      </c>
      <c r="D2412" s="1">
        <f>IFERROR(__xludf.DUMMYFUNCTION("""COMPUTED_VALUE"""),4.74)</f>
        <v>4.74</v>
      </c>
      <c r="E2412" s="1">
        <f>IFERROR(__xludf.DUMMYFUNCTION("""COMPUTED_VALUE"""),4.78)</f>
        <v>4.78</v>
      </c>
      <c r="F2412" s="1">
        <f>IFERROR(__xludf.DUMMYFUNCTION("""COMPUTED_VALUE"""),2305058.0)</f>
        <v>2305058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IFERROR(__xludf.DUMMYFUNCTION("""COMPUTED_VALUE"""),4.59)</f>
        <v>4.59</v>
      </c>
      <c r="C2413" s="1">
        <f>IFERROR(__xludf.DUMMYFUNCTION("""COMPUTED_VALUE"""),4.6)</f>
        <v>4.6</v>
      </c>
      <c r="D2413" s="1">
        <f>IFERROR(__xludf.DUMMYFUNCTION("""COMPUTED_VALUE"""),4.51)</f>
        <v>4.51</v>
      </c>
      <c r="E2413" s="1">
        <f>IFERROR(__xludf.DUMMYFUNCTION("""COMPUTED_VALUE"""),4.55)</f>
        <v>4.55</v>
      </c>
      <c r="F2413" s="1">
        <f>IFERROR(__xludf.DUMMYFUNCTION("""COMPUTED_VALUE"""),2071329.0)</f>
        <v>2071329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IFERROR(__xludf.DUMMYFUNCTION("""COMPUTED_VALUE"""),4.41)</f>
        <v>4.41</v>
      </c>
      <c r="C2414" s="1">
        <f>IFERROR(__xludf.DUMMYFUNCTION("""COMPUTED_VALUE"""),4.43)</f>
        <v>4.43</v>
      </c>
      <c r="D2414" s="1">
        <f>IFERROR(__xludf.DUMMYFUNCTION("""COMPUTED_VALUE"""),4.34)</f>
        <v>4.34</v>
      </c>
      <c r="E2414" s="1">
        <f>IFERROR(__xludf.DUMMYFUNCTION("""COMPUTED_VALUE"""),4.37)</f>
        <v>4.37</v>
      </c>
      <c r="F2414" s="1">
        <f>IFERROR(__xludf.DUMMYFUNCTION("""COMPUTED_VALUE"""),5129594.0)</f>
        <v>5129594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IFERROR(__xludf.DUMMYFUNCTION("""COMPUTED_VALUE"""),4.4)</f>
        <v>4.4</v>
      </c>
      <c r="C2415" s="1">
        <f>IFERROR(__xludf.DUMMYFUNCTION("""COMPUTED_VALUE"""),4.4)</f>
        <v>4.4</v>
      </c>
      <c r="D2415" s="1">
        <f>IFERROR(__xludf.DUMMYFUNCTION("""COMPUTED_VALUE"""),4.33)</f>
        <v>4.33</v>
      </c>
      <c r="E2415" s="1">
        <f>IFERROR(__xludf.DUMMYFUNCTION("""COMPUTED_VALUE"""),4.38)</f>
        <v>4.38</v>
      </c>
      <c r="F2415" s="1">
        <f>IFERROR(__xludf.DUMMYFUNCTION("""COMPUTED_VALUE"""),2551839.0)</f>
        <v>2551839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IFERROR(__xludf.DUMMYFUNCTION("""COMPUTED_VALUE"""),4.28)</f>
        <v>4.28</v>
      </c>
      <c r="C2416" s="1">
        <f>IFERROR(__xludf.DUMMYFUNCTION("""COMPUTED_VALUE"""),4.33)</f>
        <v>4.33</v>
      </c>
      <c r="D2416" s="1">
        <f>IFERROR(__xludf.DUMMYFUNCTION("""COMPUTED_VALUE"""),4.24)</f>
        <v>4.24</v>
      </c>
      <c r="E2416" s="1">
        <f>IFERROR(__xludf.DUMMYFUNCTION("""COMPUTED_VALUE"""),4.31)</f>
        <v>4.31</v>
      </c>
      <c r="F2416" s="1">
        <f>IFERROR(__xludf.DUMMYFUNCTION("""COMPUTED_VALUE"""),1623845.0)</f>
        <v>1623845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IFERROR(__xludf.DUMMYFUNCTION("""COMPUTED_VALUE"""),4.33)</f>
        <v>4.33</v>
      </c>
      <c r="C2417" s="1">
        <f>IFERROR(__xludf.DUMMYFUNCTION("""COMPUTED_VALUE"""),4.37)</f>
        <v>4.37</v>
      </c>
      <c r="D2417" s="1">
        <f>IFERROR(__xludf.DUMMYFUNCTION("""COMPUTED_VALUE"""),4.3)</f>
        <v>4.3</v>
      </c>
      <c r="E2417" s="1">
        <f>IFERROR(__xludf.DUMMYFUNCTION("""COMPUTED_VALUE"""),4.33)</f>
        <v>4.33</v>
      </c>
      <c r="F2417" s="1">
        <f>IFERROR(__xludf.DUMMYFUNCTION("""COMPUTED_VALUE"""),1251713.0)</f>
        <v>1251713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IFERROR(__xludf.DUMMYFUNCTION("""COMPUTED_VALUE"""),4.24)</f>
        <v>4.24</v>
      </c>
      <c r="C2418" s="1">
        <f>IFERROR(__xludf.DUMMYFUNCTION("""COMPUTED_VALUE"""),4.27)</f>
        <v>4.27</v>
      </c>
      <c r="D2418" s="1">
        <f>IFERROR(__xludf.DUMMYFUNCTION("""COMPUTED_VALUE"""),4.21)</f>
        <v>4.21</v>
      </c>
      <c r="E2418" s="1">
        <f>IFERROR(__xludf.DUMMYFUNCTION("""COMPUTED_VALUE"""),4.25)</f>
        <v>4.25</v>
      </c>
      <c r="F2418" s="1">
        <f>IFERROR(__xludf.DUMMYFUNCTION("""COMPUTED_VALUE"""),1336014.0)</f>
        <v>1336014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IFERROR(__xludf.DUMMYFUNCTION("""COMPUTED_VALUE"""),4.22)</f>
        <v>4.22</v>
      </c>
      <c r="C2419" s="1">
        <f>IFERROR(__xludf.DUMMYFUNCTION("""COMPUTED_VALUE"""),4.26)</f>
        <v>4.26</v>
      </c>
      <c r="D2419" s="1">
        <f>IFERROR(__xludf.DUMMYFUNCTION("""COMPUTED_VALUE"""),4.17)</f>
        <v>4.17</v>
      </c>
      <c r="E2419" s="1">
        <f>IFERROR(__xludf.DUMMYFUNCTION("""COMPUTED_VALUE"""),4.21)</f>
        <v>4.21</v>
      </c>
      <c r="F2419" s="1">
        <f>IFERROR(__xludf.DUMMYFUNCTION("""COMPUTED_VALUE"""),2283242.0)</f>
        <v>2283242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IFERROR(__xludf.DUMMYFUNCTION("""COMPUTED_VALUE"""),4.21)</f>
        <v>4.21</v>
      </c>
      <c r="C2420" s="1">
        <f>IFERROR(__xludf.DUMMYFUNCTION("""COMPUTED_VALUE"""),4.31)</f>
        <v>4.31</v>
      </c>
      <c r="D2420" s="1">
        <f>IFERROR(__xludf.DUMMYFUNCTION("""COMPUTED_VALUE"""),4.18)</f>
        <v>4.18</v>
      </c>
      <c r="E2420" s="1">
        <f>IFERROR(__xludf.DUMMYFUNCTION("""COMPUTED_VALUE"""),4.25)</f>
        <v>4.25</v>
      </c>
      <c r="F2420" s="1">
        <f>IFERROR(__xludf.DUMMYFUNCTION("""COMPUTED_VALUE"""),1590800.0)</f>
        <v>1590800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IFERROR(__xludf.DUMMYFUNCTION("""COMPUTED_VALUE"""),4.14)</f>
        <v>4.14</v>
      </c>
      <c r="C2421" s="1">
        <f>IFERROR(__xludf.DUMMYFUNCTION("""COMPUTED_VALUE"""),4.15)</f>
        <v>4.15</v>
      </c>
      <c r="D2421" s="1">
        <f>IFERROR(__xludf.DUMMYFUNCTION("""COMPUTED_VALUE"""),4.11)</f>
        <v>4.11</v>
      </c>
      <c r="E2421" s="1">
        <f>IFERROR(__xludf.DUMMYFUNCTION("""COMPUTED_VALUE"""),4.11)</f>
        <v>4.11</v>
      </c>
      <c r="F2421" s="1">
        <f>IFERROR(__xludf.DUMMYFUNCTION("""COMPUTED_VALUE"""),1810838.0)</f>
        <v>1810838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IFERROR(__xludf.DUMMYFUNCTION("""COMPUTED_VALUE"""),3.86)</f>
        <v>3.86</v>
      </c>
      <c r="C2422" s="1">
        <f>IFERROR(__xludf.DUMMYFUNCTION("""COMPUTED_VALUE"""),3.88)</f>
        <v>3.88</v>
      </c>
      <c r="D2422" s="1">
        <f>IFERROR(__xludf.DUMMYFUNCTION("""COMPUTED_VALUE"""),3.79)</f>
        <v>3.79</v>
      </c>
      <c r="E2422" s="1">
        <f>IFERROR(__xludf.DUMMYFUNCTION("""COMPUTED_VALUE"""),3.8)</f>
        <v>3.8</v>
      </c>
      <c r="F2422" s="1">
        <f>IFERROR(__xludf.DUMMYFUNCTION("""COMPUTED_VALUE"""),3344017.0)</f>
        <v>3344017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IFERROR(__xludf.DUMMYFUNCTION("""COMPUTED_VALUE"""),3.91)</f>
        <v>3.91</v>
      </c>
      <c r="C2423" s="1">
        <f>IFERROR(__xludf.DUMMYFUNCTION("""COMPUTED_VALUE"""),3.94)</f>
        <v>3.94</v>
      </c>
      <c r="D2423" s="1">
        <f>IFERROR(__xludf.DUMMYFUNCTION("""COMPUTED_VALUE"""),3.88)</f>
        <v>3.88</v>
      </c>
      <c r="E2423" s="1">
        <f>IFERROR(__xludf.DUMMYFUNCTION("""COMPUTED_VALUE"""),3.91)</f>
        <v>3.91</v>
      </c>
      <c r="F2423" s="1">
        <f>IFERROR(__xludf.DUMMYFUNCTION("""COMPUTED_VALUE"""),1870942.0)</f>
        <v>1870942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IFERROR(__xludf.DUMMYFUNCTION("""COMPUTED_VALUE"""),4.0)</f>
        <v>4</v>
      </c>
      <c r="C2424" s="1">
        <f>IFERROR(__xludf.DUMMYFUNCTION("""COMPUTED_VALUE"""),4.02)</f>
        <v>4.02</v>
      </c>
      <c r="D2424" s="1">
        <f>IFERROR(__xludf.DUMMYFUNCTION("""COMPUTED_VALUE"""),3.98)</f>
        <v>3.98</v>
      </c>
      <c r="E2424" s="1">
        <f>IFERROR(__xludf.DUMMYFUNCTION("""COMPUTED_VALUE"""),3.98)</f>
        <v>3.98</v>
      </c>
      <c r="F2424" s="1">
        <f>IFERROR(__xludf.DUMMYFUNCTION("""COMPUTED_VALUE"""),1571673.0)</f>
        <v>1571673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IFERROR(__xludf.DUMMYFUNCTION("""COMPUTED_VALUE"""),3.97)</f>
        <v>3.97</v>
      </c>
      <c r="C2425" s="1">
        <f>IFERROR(__xludf.DUMMYFUNCTION("""COMPUTED_VALUE"""),3.97)</f>
        <v>3.97</v>
      </c>
      <c r="D2425" s="1">
        <f>IFERROR(__xludf.DUMMYFUNCTION("""COMPUTED_VALUE"""),3.91)</f>
        <v>3.91</v>
      </c>
      <c r="E2425" s="1">
        <f>IFERROR(__xludf.DUMMYFUNCTION("""COMPUTED_VALUE"""),3.91)</f>
        <v>3.91</v>
      </c>
      <c r="F2425" s="1">
        <f>IFERROR(__xludf.DUMMYFUNCTION("""COMPUTED_VALUE"""),1498114.0)</f>
        <v>1498114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IFERROR(__xludf.DUMMYFUNCTION("""COMPUTED_VALUE"""),3.98)</f>
        <v>3.98</v>
      </c>
      <c r="C2426" s="1">
        <f>IFERROR(__xludf.DUMMYFUNCTION("""COMPUTED_VALUE"""),3.98)</f>
        <v>3.98</v>
      </c>
      <c r="D2426" s="1">
        <f>IFERROR(__xludf.DUMMYFUNCTION("""COMPUTED_VALUE"""),3.94)</f>
        <v>3.94</v>
      </c>
      <c r="E2426" s="1">
        <f>IFERROR(__xludf.DUMMYFUNCTION("""COMPUTED_VALUE"""),3.95)</f>
        <v>3.95</v>
      </c>
      <c r="F2426" s="1">
        <f>IFERROR(__xludf.DUMMYFUNCTION("""COMPUTED_VALUE"""),967676.0)</f>
        <v>967676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IFERROR(__xludf.DUMMYFUNCTION("""COMPUTED_VALUE"""),3.98)</f>
        <v>3.98</v>
      </c>
      <c r="C2427" s="1">
        <f>IFERROR(__xludf.DUMMYFUNCTION("""COMPUTED_VALUE"""),3.99)</f>
        <v>3.99</v>
      </c>
      <c r="D2427" s="1">
        <f>IFERROR(__xludf.DUMMYFUNCTION("""COMPUTED_VALUE"""),3.92)</f>
        <v>3.92</v>
      </c>
      <c r="E2427" s="1">
        <f>IFERROR(__xludf.DUMMYFUNCTION("""COMPUTED_VALUE"""),3.96)</f>
        <v>3.96</v>
      </c>
      <c r="F2427" s="1">
        <f>IFERROR(__xludf.DUMMYFUNCTION("""COMPUTED_VALUE"""),1273150.0)</f>
        <v>1273150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IFERROR(__xludf.DUMMYFUNCTION("""COMPUTED_VALUE"""),3.82)</f>
        <v>3.82</v>
      </c>
      <c r="C2428" s="1">
        <f>IFERROR(__xludf.DUMMYFUNCTION("""COMPUTED_VALUE"""),3.86)</f>
        <v>3.86</v>
      </c>
      <c r="D2428" s="1">
        <f>IFERROR(__xludf.DUMMYFUNCTION("""COMPUTED_VALUE"""),3.75)</f>
        <v>3.75</v>
      </c>
      <c r="E2428" s="1">
        <f>IFERROR(__xludf.DUMMYFUNCTION("""COMPUTED_VALUE"""),3.75)</f>
        <v>3.75</v>
      </c>
      <c r="F2428" s="1">
        <f>IFERROR(__xludf.DUMMYFUNCTION("""COMPUTED_VALUE"""),1812527.0)</f>
        <v>1812527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IFERROR(__xludf.DUMMYFUNCTION("""COMPUTED_VALUE"""),3.8)</f>
        <v>3.8</v>
      </c>
      <c r="C2429" s="1">
        <f>IFERROR(__xludf.DUMMYFUNCTION("""COMPUTED_VALUE"""),3.81)</f>
        <v>3.81</v>
      </c>
      <c r="D2429" s="1">
        <f>IFERROR(__xludf.DUMMYFUNCTION("""COMPUTED_VALUE"""),3.77)</f>
        <v>3.77</v>
      </c>
      <c r="E2429" s="1">
        <f>IFERROR(__xludf.DUMMYFUNCTION("""COMPUTED_VALUE"""),3.78)</f>
        <v>3.78</v>
      </c>
      <c r="F2429" s="1">
        <f>IFERROR(__xludf.DUMMYFUNCTION("""COMPUTED_VALUE"""),1040698.0)</f>
        <v>1040698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IFERROR(__xludf.DUMMYFUNCTION("""COMPUTED_VALUE"""),3.83)</f>
        <v>3.83</v>
      </c>
      <c r="C2430" s="1">
        <f>IFERROR(__xludf.DUMMYFUNCTION("""COMPUTED_VALUE"""),3.84)</f>
        <v>3.84</v>
      </c>
      <c r="D2430" s="1">
        <f>IFERROR(__xludf.DUMMYFUNCTION("""COMPUTED_VALUE"""),3.77)</f>
        <v>3.77</v>
      </c>
      <c r="E2430" s="1">
        <f>IFERROR(__xludf.DUMMYFUNCTION("""COMPUTED_VALUE"""),3.79)</f>
        <v>3.79</v>
      </c>
      <c r="F2430" s="1">
        <f>IFERROR(__xludf.DUMMYFUNCTION("""COMPUTED_VALUE"""),1878686.0)</f>
        <v>1878686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IFERROR(__xludf.DUMMYFUNCTION("""COMPUTED_VALUE"""),3.75)</f>
        <v>3.75</v>
      </c>
      <c r="C2431" s="1">
        <f>IFERROR(__xludf.DUMMYFUNCTION("""COMPUTED_VALUE"""),3.78)</f>
        <v>3.78</v>
      </c>
      <c r="D2431" s="1">
        <f>IFERROR(__xludf.DUMMYFUNCTION("""COMPUTED_VALUE"""),3.73)</f>
        <v>3.73</v>
      </c>
      <c r="E2431" s="1">
        <f>IFERROR(__xludf.DUMMYFUNCTION("""COMPUTED_VALUE"""),3.74)</f>
        <v>3.74</v>
      </c>
      <c r="F2431" s="1">
        <f>IFERROR(__xludf.DUMMYFUNCTION("""COMPUTED_VALUE"""),1132309.0)</f>
        <v>1132309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IFERROR(__xludf.DUMMYFUNCTION("""COMPUTED_VALUE"""),3.75)</f>
        <v>3.75</v>
      </c>
      <c r="C2432" s="1">
        <f>IFERROR(__xludf.DUMMYFUNCTION("""COMPUTED_VALUE"""),3.78)</f>
        <v>3.78</v>
      </c>
      <c r="D2432" s="1">
        <f>IFERROR(__xludf.DUMMYFUNCTION("""COMPUTED_VALUE"""),3.74)</f>
        <v>3.74</v>
      </c>
      <c r="E2432" s="1">
        <f>IFERROR(__xludf.DUMMYFUNCTION("""COMPUTED_VALUE"""),3.77)</f>
        <v>3.77</v>
      </c>
      <c r="F2432" s="1">
        <f>IFERROR(__xludf.DUMMYFUNCTION("""COMPUTED_VALUE"""),1316790.0)</f>
        <v>1316790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IFERROR(__xludf.DUMMYFUNCTION("""COMPUTED_VALUE"""),3.81)</f>
        <v>3.81</v>
      </c>
      <c r="C2433" s="1">
        <f>IFERROR(__xludf.DUMMYFUNCTION("""COMPUTED_VALUE"""),3.81)</f>
        <v>3.81</v>
      </c>
      <c r="D2433" s="1">
        <f>IFERROR(__xludf.DUMMYFUNCTION("""COMPUTED_VALUE"""),3.75)</f>
        <v>3.75</v>
      </c>
      <c r="E2433" s="1">
        <f>IFERROR(__xludf.DUMMYFUNCTION("""COMPUTED_VALUE"""),3.78)</f>
        <v>3.78</v>
      </c>
      <c r="F2433" s="1">
        <f>IFERROR(__xludf.DUMMYFUNCTION("""COMPUTED_VALUE"""),898238.0)</f>
        <v>898238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IFERROR(__xludf.DUMMYFUNCTION("""COMPUTED_VALUE"""),3.72)</f>
        <v>3.72</v>
      </c>
      <c r="C2434" s="1">
        <f>IFERROR(__xludf.DUMMYFUNCTION("""COMPUTED_VALUE"""),3.73)</f>
        <v>3.73</v>
      </c>
      <c r="D2434" s="1">
        <f>IFERROR(__xludf.DUMMYFUNCTION("""COMPUTED_VALUE"""),3.69)</f>
        <v>3.69</v>
      </c>
      <c r="E2434" s="1">
        <f>IFERROR(__xludf.DUMMYFUNCTION("""COMPUTED_VALUE"""),3.69)</f>
        <v>3.69</v>
      </c>
      <c r="F2434" s="1">
        <f>IFERROR(__xludf.DUMMYFUNCTION("""COMPUTED_VALUE"""),1521339.0)</f>
        <v>1521339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IFERROR(__xludf.DUMMYFUNCTION("""COMPUTED_VALUE"""),3.75)</f>
        <v>3.75</v>
      </c>
      <c r="C2435" s="1">
        <f>IFERROR(__xludf.DUMMYFUNCTION("""COMPUTED_VALUE"""),3.79)</f>
        <v>3.79</v>
      </c>
      <c r="D2435" s="1">
        <f>IFERROR(__xludf.DUMMYFUNCTION("""COMPUTED_VALUE"""),3.73)</f>
        <v>3.73</v>
      </c>
      <c r="E2435" s="1">
        <f>IFERROR(__xludf.DUMMYFUNCTION("""COMPUTED_VALUE"""),3.77)</f>
        <v>3.77</v>
      </c>
      <c r="F2435" s="1">
        <f>IFERROR(__xludf.DUMMYFUNCTION("""COMPUTED_VALUE"""),1684384.0)</f>
        <v>1684384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IFERROR(__xludf.DUMMYFUNCTION("""COMPUTED_VALUE"""),3.85)</f>
        <v>3.85</v>
      </c>
      <c r="C2436" s="1">
        <f>IFERROR(__xludf.DUMMYFUNCTION("""COMPUTED_VALUE"""),3.96)</f>
        <v>3.96</v>
      </c>
      <c r="D2436" s="1">
        <f>IFERROR(__xludf.DUMMYFUNCTION("""COMPUTED_VALUE"""),3.85)</f>
        <v>3.85</v>
      </c>
      <c r="E2436" s="1">
        <f>IFERROR(__xludf.DUMMYFUNCTION("""COMPUTED_VALUE"""),3.95)</f>
        <v>3.95</v>
      </c>
      <c r="F2436" s="1">
        <f>IFERROR(__xludf.DUMMYFUNCTION("""COMPUTED_VALUE"""),3073898.0)</f>
        <v>3073898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IFERROR(__xludf.DUMMYFUNCTION("""COMPUTED_VALUE"""),3.94)</f>
        <v>3.94</v>
      </c>
      <c r="C2437" s="1">
        <f>IFERROR(__xludf.DUMMYFUNCTION("""COMPUTED_VALUE"""),3.97)</f>
        <v>3.97</v>
      </c>
      <c r="D2437" s="1">
        <f>IFERROR(__xludf.DUMMYFUNCTION("""COMPUTED_VALUE"""),3.92)</f>
        <v>3.92</v>
      </c>
      <c r="E2437" s="1">
        <f>IFERROR(__xludf.DUMMYFUNCTION("""COMPUTED_VALUE"""),3.95)</f>
        <v>3.95</v>
      </c>
      <c r="F2437" s="1">
        <f>IFERROR(__xludf.DUMMYFUNCTION("""COMPUTED_VALUE"""),1480826.0)</f>
        <v>1480826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IFERROR(__xludf.DUMMYFUNCTION("""COMPUTED_VALUE"""),4.01)</f>
        <v>4.01</v>
      </c>
      <c r="C2438" s="1">
        <f>IFERROR(__xludf.DUMMYFUNCTION("""COMPUTED_VALUE"""),4.08)</f>
        <v>4.08</v>
      </c>
      <c r="D2438" s="1">
        <f>IFERROR(__xludf.DUMMYFUNCTION("""COMPUTED_VALUE"""),4.0)</f>
        <v>4</v>
      </c>
      <c r="E2438" s="1">
        <f>IFERROR(__xludf.DUMMYFUNCTION("""COMPUTED_VALUE"""),4.07)</f>
        <v>4.07</v>
      </c>
      <c r="F2438" s="1">
        <f>IFERROR(__xludf.DUMMYFUNCTION("""COMPUTED_VALUE"""),1716072.0)</f>
        <v>1716072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IFERROR(__xludf.DUMMYFUNCTION("""COMPUTED_VALUE"""),4.22)</f>
        <v>4.22</v>
      </c>
      <c r="C2439" s="1">
        <f>IFERROR(__xludf.DUMMYFUNCTION("""COMPUTED_VALUE"""),4.23)</f>
        <v>4.23</v>
      </c>
      <c r="D2439" s="1">
        <f>IFERROR(__xludf.DUMMYFUNCTION("""COMPUTED_VALUE"""),4.17)</f>
        <v>4.17</v>
      </c>
      <c r="E2439" s="1">
        <f>IFERROR(__xludf.DUMMYFUNCTION("""COMPUTED_VALUE"""),4.21)</f>
        <v>4.21</v>
      </c>
      <c r="F2439" s="1">
        <f>IFERROR(__xludf.DUMMYFUNCTION("""COMPUTED_VALUE"""),2421535.0)</f>
        <v>2421535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IFERROR(__xludf.DUMMYFUNCTION("""COMPUTED_VALUE"""),4.18)</f>
        <v>4.18</v>
      </c>
      <c r="C2440" s="1">
        <f>IFERROR(__xludf.DUMMYFUNCTION("""COMPUTED_VALUE"""),4.19)</f>
        <v>4.19</v>
      </c>
      <c r="D2440" s="1">
        <f>IFERROR(__xludf.DUMMYFUNCTION("""COMPUTED_VALUE"""),4.13)</f>
        <v>4.13</v>
      </c>
      <c r="E2440" s="1">
        <f>IFERROR(__xludf.DUMMYFUNCTION("""COMPUTED_VALUE"""),4.18)</f>
        <v>4.18</v>
      </c>
      <c r="F2440" s="1">
        <f>IFERROR(__xludf.DUMMYFUNCTION("""COMPUTED_VALUE"""),1373386.0)</f>
        <v>1373386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IFERROR(__xludf.DUMMYFUNCTION("""COMPUTED_VALUE"""),4.11)</f>
        <v>4.11</v>
      </c>
      <c r="C2441" s="1">
        <f>IFERROR(__xludf.DUMMYFUNCTION("""COMPUTED_VALUE"""),4.22)</f>
        <v>4.22</v>
      </c>
      <c r="D2441" s="1">
        <f>IFERROR(__xludf.DUMMYFUNCTION("""COMPUTED_VALUE"""),4.08)</f>
        <v>4.08</v>
      </c>
      <c r="E2441" s="1">
        <f>IFERROR(__xludf.DUMMYFUNCTION("""COMPUTED_VALUE"""),4.2)</f>
        <v>4.2</v>
      </c>
      <c r="F2441" s="1">
        <f>IFERROR(__xludf.DUMMYFUNCTION("""COMPUTED_VALUE"""),1888658.0)</f>
        <v>1888658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IFERROR(__xludf.DUMMYFUNCTION("""COMPUTED_VALUE"""),4.27)</f>
        <v>4.27</v>
      </c>
      <c r="C2442" s="1">
        <f>IFERROR(__xludf.DUMMYFUNCTION("""COMPUTED_VALUE"""),4.32)</f>
        <v>4.32</v>
      </c>
      <c r="D2442" s="1">
        <f>IFERROR(__xludf.DUMMYFUNCTION("""COMPUTED_VALUE"""),4.25)</f>
        <v>4.25</v>
      </c>
      <c r="E2442" s="1">
        <f>IFERROR(__xludf.DUMMYFUNCTION("""COMPUTED_VALUE"""),4.3)</f>
        <v>4.3</v>
      </c>
      <c r="F2442" s="1">
        <f>IFERROR(__xludf.DUMMYFUNCTION("""COMPUTED_VALUE"""),2096997.0)</f>
        <v>2096997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IFERROR(__xludf.DUMMYFUNCTION("""COMPUTED_VALUE"""),4.22)</f>
        <v>4.22</v>
      </c>
      <c r="C2443" s="1">
        <f>IFERROR(__xludf.DUMMYFUNCTION("""COMPUTED_VALUE"""),4.25)</f>
        <v>4.25</v>
      </c>
      <c r="D2443" s="1">
        <f>IFERROR(__xludf.DUMMYFUNCTION("""COMPUTED_VALUE"""),4.2)</f>
        <v>4.2</v>
      </c>
      <c r="E2443" s="1">
        <f>IFERROR(__xludf.DUMMYFUNCTION("""COMPUTED_VALUE"""),4.24)</f>
        <v>4.24</v>
      </c>
      <c r="F2443" s="1">
        <f>IFERROR(__xludf.DUMMYFUNCTION("""COMPUTED_VALUE"""),1845390.0)</f>
        <v>1845390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IFERROR(__xludf.DUMMYFUNCTION("""COMPUTED_VALUE"""),4.16)</f>
        <v>4.16</v>
      </c>
      <c r="C2444" s="1">
        <f>IFERROR(__xludf.DUMMYFUNCTION("""COMPUTED_VALUE"""),4.22)</f>
        <v>4.22</v>
      </c>
      <c r="D2444" s="1">
        <f>IFERROR(__xludf.DUMMYFUNCTION("""COMPUTED_VALUE"""),4.14)</f>
        <v>4.14</v>
      </c>
      <c r="E2444" s="1">
        <f>IFERROR(__xludf.DUMMYFUNCTION("""COMPUTED_VALUE"""),4.2)</f>
        <v>4.2</v>
      </c>
      <c r="F2444" s="1">
        <f>IFERROR(__xludf.DUMMYFUNCTION("""COMPUTED_VALUE"""),1114643.0)</f>
        <v>1114643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IFERROR(__xludf.DUMMYFUNCTION("""COMPUTED_VALUE"""),4.2)</f>
        <v>4.2</v>
      </c>
      <c r="C2445" s="1">
        <f>IFERROR(__xludf.DUMMYFUNCTION("""COMPUTED_VALUE"""),4.22)</f>
        <v>4.22</v>
      </c>
      <c r="D2445" s="1">
        <f>IFERROR(__xludf.DUMMYFUNCTION("""COMPUTED_VALUE"""),4.18)</f>
        <v>4.18</v>
      </c>
      <c r="E2445" s="1">
        <f>IFERROR(__xludf.DUMMYFUNCTION("""COMPUTED_VALUE"""),4.21)</f>
        <v>4.21</v>
      </c>
      <c r="F2445" s="1">
        <f>IFERROR(__xludf.DUMMYFUNCTION("""COMPUTED_VALUE"""),1100237.0)</f>
        <v>1100237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IFERROR(__xludf.DUMMYFUNCTION("""COMPUTED_VALUE"""),4.29)</f>
        <v>4.29</v>
      </c>
      <c r="C2446" s="1">
        <f>IFERROR(__xludf.DUMMYFUNCTION("""COMPUTED_VALUE"""),4.3)</f>
        <v>4.3</v>
      </c>
      <c r="D2446" s="1">
        <f>IFERROR(__xludf.DUMMYFUNCTION("""COMPUTED_VALUE"""),4.24)</f>
        <v>4.24</v>
      </c>
      <c r="E2446" s="1">
        <f>IFERROR(__xludf.DUMMYFUNCTION("""COMPUTED_VALUE"""),4.25)</f>
        <v>4.25</v>
      </c>
      <c r="F2446" s="1">
        <f>IFERROR(__xludf.DUMMYFUNCTION("""COMPUTED_VALUE"""),954699.0)</f>
        <v>954699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IFERROR(__xludf.DUMMYFUNCTION("""COMPUTED_VALUE"""),4.25)</f>
        <v>4.25</v>
      </c>
      <c r="C2447" s="1">
        <f>IFERROR(__xludf.DUMMYFUNCTION("""COMPUTED_VALUE"""),4.26)</f>
        <v>4.26</v>
      </c>
      <c r="D2447" s="1">
        <f>IFERROR(__xludf.DUMMYFUNCTION("""COMPUTED_VALUE"""),4.2)</f>
        <v>4.2</v>
      </c>
      <c r="E2447" s="1">
        <f>IFERROR(__xludf.DUMMYFUNCTION("""COMPUTED_VALUE"""),4.2)</f>
        <v>4.2</v>
      </c>
      <c r="F2447" s="1">
        <f>IFERROR(__xludf.DUMMYFUNCTION("""COMPUTED_VALUE"""),1515675.0)</f>
        <v>1515675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IFERROR(__xludf.DUMMYFUNCTION("""COMPUTED_VALUE"""),4.12)</f>
        <v>4.12</v>
      </c>
      <c r="C2448" s="1">
        <f>IFERROR(__xludf.DUMMYFUNCTION("""COMPUTED_VALUE"""),4.17)</f>
        <v>4.17</v>
      </c>
      <c r="D2448" s="1">
        <f>IFERROR(__xludf.DUMMYFUNCTION("""COMPUTED_VALUE"""),4.1)</f>
        <v>4.1</v>
      </c>
      <c r="E2448" s="1">
        <f>IFERROR(__xludf.DUMMYFUNCTION("""COMPUTED_VALUE"""),4.16)</f>
        <v>4.16</v>
      </c>
      <c r="F2448" s="1">
        <f>IFERROR(__xludf.DUMMYFUNCTION("""COMPUTED_VALUE"""),1716716.0)</f>
        <v>1716716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IFERROR(__xludf.DUMMYFUNCTION("""COMPUTED_VALUE"""),4.15)</f>
        <v>4.15</v>
      </c>
      <c r="C2449" s="1">
        <f>IFERROR(__xludf.DUMMYFUNCTION("""COMPUTED_VALUE"""),4.15)</f>
        <v>4.15</v>
      </c>
      <c r="D2449" s="1">
        <f>IFERROR(__xludf.DUMMYFUNCTION("""COMPUTED_VALUE"""),4.08)</f>
        <v>4.08</v>
      </c>
      <c r="E2449" s="1">
        <f>IFERROR(__xludf.DUMMYFUNCTION("""COMPUTED_VALUE"""),4.1)</f>
        <v>4.1</v>
      </c>
      <c r="F2449" s="1">
        <f>IFERROR(__xludf.DUMMYFUNCTION("""COMPUTED_VALUE"""),1251092.0)</f>
        <v>1251092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IFERROR(__xludf.DUMMYFUNCTION("""COMPUTED_VALUE"""),4.07)</f>
        <v>4.07</v>
      </c>
      <c r="C2450" s="1">
        <f>IFERROR(__xludf.DUMMYFUNCTION("""COMPUTED_VALUE"""),4.12)</f>
        <v>4.12</v>
      </c>
      <c r="D2450" s="1">
        <f>IFERROR(__xludf.DUMMYFUNCTION("""COMPUTED_VALUE"""),4.06)</f>
        <v>4.06</v>
      </c>
      <c r="E2450" s="1">
        <f>IFERROR(__xludf.DUMMYFUNCTION("""COMPUTED_VALUE"""),4.09)</f>
        <v>4.09</v>
      </c>
      <c r="F2450" s="1">
        <f>IFERROR(__xludf.DUMMYFUNCTION("""COMPUTED_VALUE"""),1160585.0)</f>
        <v>1160585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IFERROR(__xludf.DUMMYFUNCTION("""COMPUTED_VALUE"""),4.11)</f>
        <v>4.11</v>
      </c>
      <c r="C2451" s="1">
        <f>IFERROR(__xludf.DUMMYFUNCTION("""COMPUTED_VALUE"""),4.13)</f>
        <v>4.13</v>
      </c>
      <c r="D2451" s="1">
        <f>IFERROR(__xludf.DUMMYFUNCTION("""COMPUTED_VALUE"""),4.09)</f>
        <v>4.09</v>
      </c>
      <c r="E2451" s="1">
        <f>IFERROR(__xludf.DUMMYFUNCTION("""COMPUTED_VALUE"""),4.12)</f>
        <v>4.12</v>
      </c>
      <c r="F2451" s="1">
        <f>IFERROR(__xludf.DUMMYFUNCTION("""COMPUTED_VALUE"""),1539552.0)</f>
        <v>1539552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IFERROR(__xludf.DUMMYFUNCTION("""COMPUTED_VALUE"""),4.16)</f>
        <v>4.16</v>
      </c>
      <c r="C2452" s="1">
        <f>IFERROR(__xludf.DUMMYFUNCTION("""COMPUTED_VALUE"""),4.2)</f>
        <v>4.2</v>
      </c>
      <c r="D2452" s="1">
        <f>IFERROR(__xludf.DUMMYFUNCTION("""COMPUTED_VALUE"""),4.14)</f>
        <v>4.14</v>
      </c>
      <c r="E2452" s="1">
        <f>IFERROR(__xludf.DUMMYFUNCTION("""COMPUTED_VALUE"""),4.16)</f>
        <v>4.16</v>
      </c>
      <c r="F2452" s="1">
        <f>IFERROR(__xludf.DUMMYFUNCTION("""COMPUTED_VALUE"""),1233782.0)</f>
        <v>1233782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IFERROR(__xludf.DUMMYFUNCTION("""COMPUTED_VALUE"""),4.18)</f>
        <v>4.18</v>
      </c>
      <c r="C2453" s="1">
        <f>IFERROR(__xludf.DUMMYFUNCTION("""COMPUTED_VALUE"""),4.18)</f>
        <v>4.18</v>
      </c>
      <c r="D2453" s="1">
        <f>IFERROR(__xludf.DUMMYFUNCTION("""COMPUTED_VALUE"""),4.13)</f>
        <v>4.13</v>
      </c>
      <c r="E2453" s="1">
        <f>IFERROR(__xludf.DUMMYFUNCTION("""COMPUTED_VALUE"""),4.13)</f>
        <v>4.13</v>
      </c>
      <c r="F2453" s="1">
        <f>IFERROR(__xludf.DUMMYFUNCTION("""COMPUTED_VALUE"""),1110979.0)</f>
        <v>1110979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IFERROR(__xludf.DUMMYFUNCTION("""COMPUTED_VALUE"""),4.2)</f>
        <v>4.2</v>
      </c>
      <c r="C2454" s="1">
        <f>IFERROR(__xludf.DUMMYFUNCTION("""COMPUTED_VALUE"""),4.21)</f>
        <v>4.21</v>
      </c>
      <c r="D2454" s="1">
        <f>IFERROR(__xludf.DUMMYFUNCTION("""COMPUTED_VALUE"""),4.07)</f>
        <v>4.07</v>
      </c>
      <c r="E2454" s="1">
        <f>IFERROR(__xludf.DUMMYFUNCTION("""COMPUTED_VALUE"""),4.07)</f>
        <v>4.07</v>
      </c>
      <c r="F2454" s="1">
        <f>IFERROR(__xludf.DUMMYFUNCTION("""COMPUTED_VALUE"""),1859787.0)</f>
        <v>1859787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IFERROR(__xludf.DUMMYFUNCTION("""COMPUTED_VALUE"""),4.04)</f>
        <v>4.04</v>
      </c>
      <c r="C2455" s="1">
        <f>IFERROR(__xludf.DUMMYFUNCTION("""COMPUTED_VALUE"""),4.05)</f>
        <v>4.05</v>
      </c>
      <c r="D2455" s="1">
        <f>IFERROR(__xludf.DUMMYFUNCTION("""COMPUTED_VALUE"""),3.95)</f>
        <v>3.95</v>
      </c>
      <c r="E2455" s="1">
        <f>IFERROR(__xludf.DUMMYFUNCTION("""COMPUTED_VALUE"""),3.98)</f>
        <v>3.98</v>
      </c>
      <c r="F2455" s="1">
        <f>IFERROR(__xludf.DUMMYFUNCTION("""COMPUTED_VALUE"""),1672950.0)</f>
        <v>1672950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IFERROR(__xludf.DUMMYFUNCTION("""COMPUTED_VALUE"""),4.0)</f>
        <v>4</v>
      </c>
      <c r="C2456" s="1">
        <f>IFERROR(__xludf.DUMMYFUNCTION("""COMPUTED_VALUE"""),4.03)</f>
        <v>4.03</v>
      </c>
      <c r="D2456" s="1">
        <f>IFERROR(__xludf.DUMMYFUNCTION("""COMPUTED_VALUE"""),3.94)</f>
        <v>3.94</v>
      </c>
      <c r="E2456" s="1">
        <f>IFERROR(__xludf.DUMMYFUNCTION("""COMPUTED_VALUE"""),4.02)</f>
        <v>4.02</v>
      </c>
      <c r="F2456" s="1">
        <f>IFERROR(__xludf.DUMMYFUNCTION("""COMPUTED_VALUE"""),2111981.0)</f>
        <v>2111981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IFERROR(__xludf.DUMMYFUNCTION("""COMPUTED_VALUE"""),4.01)</f>
        <v>4.01</v>
      </c>
      <c r="C2457" s="1">
        <f>IFERROR(__xludf.DUMMYFUNCTION("""COMPUTED_VALUE"""),4.05)</f>
        <v>4.05</v>
      </c>
      <c r="D2457" s="1">
        <f>IFERROR(__xludf.DUMMYFUNCTION("""COMPUTED_VALUE"""),3.99)</f>
        <v>3.99</v>
      </c>
      <c r="E2457" s="1">
        <f>IFERROR(__xludf.DUMMYFUNCTION("""COMPUTED_VALUE"""),4.04)</f>
        <v>4.04</v>
      </c>
      <c r="F2457" s="1">
        <f>IFERROR(__xludf.DUMMYFUNCTION("""COMPUTED_VALUE"""),1328445.0)</f>
        <v>1328445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IFERROR(__xludf.DUMMYFUNCTION("""COMPUTED_VALUE"""),4.08)</f>
        <v>4.08</v>
      </c>
      <c r="C2458" s="1">
        <f>IFERROR(__xludf.DUMMYFUNCTION("""COMPUTED_VALUE"""),4.09)</f>
        <v>4.09</v>
      </c>
      <c r="D2458" s="1">
        <f>IFERROR(__xludf.DUMMYFUNCTION("""COMPUTED_VALUE"""),4.04)</f>
        <v>4.04</v>
      </c>
      <c r="E2458" s="1">
        <f>IFERROR(__xludf.DUMMYFUNCTION("""COMPUTED_VALUE"""),4.04)</f>
        <v>4.04</v>
      </c>
      <c r="F2458" s="1">
        <f>IFERROR(__xludf.DUMMYFUNCTION("""COMPUTED_VALUE"""),1526011.0)</f>
        <v>1526011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IFERROR(__xludf.DUMMYFUNCTION("""COMPUTED_VALUE"""),3.99)</f>
        <v>3.99</v>
      </c>
      <c r="C2459" s="1">
        <f>IFERROR(__xludf.DUMMYFUNCTION("""COMPUTED_VALUE"""),4.01)</f>
        <v>4.01</v>
      </c>
      <c r="D2459" s="1">
        <f>IFERROR(__xludf.DUMMYFUNCTION("""COMPUTED_VALUE"""),3.95)</f>
        <v>3.95</v>
      </c>
      <c r="E2459" s="1">
        <f>IFERROR(__xludf.DUMMYFUNCTION("""COMPUTED_VALUE"""),3.95)</f>
        <v>3.95</v>
      </c>
      <c r="F2459" s="1">
        <f>IFERROR(__xludf.DUMMYFUNCTION("""COMPUTED_VALUE"""),3348100.0)</f>
        <v>3348100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IFERROR(__xludf.DUMMYFUNCTION("""COMPUTED_VALUE"""),3.99)</f>
        <v>3.99</v>
      </c>
      <c r="C2460" s="1">
        <f>IFERROR(__xludf.DUMMYFUNCTION("""COMPUTED_VALUE"""),4.01)</f>
        <v>4.01</v>
      </c>
      <c r="D2460" s="1">
        <f>IFERROR(__xludf.DUMMYFUNCTION("""COMPUTED_VALUE"""),3.97)</f>
        <v>3.97</v>
      </c>
      <c r="E2460" s="1">
        <f>IFERROR(__xludf.DUMMYFUNCTION("""COMPUTED_VALUE"""),4.0)</f>
        <v>4</v>
      </c>
      <c r="F2460" s="1">
        <f>IFERROR(__xludf.DUMMYFUNCTION("""COMPUTED_VALUE"""),1939496.0)</f>
        <v>1939496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IFERROR(__xludf.DUMMYFUNCTION("""COMPUTED_VALUE"""),4.1)</f>
        <v>4.1</v>
      </c>
      <c r="C2461" s="1">
        <f>IFERROR(__xludf.DUMMYFUNCTION("""COMPUTED_VALUE"""),4.15)</f>
        <v>4.15</v>
      </c>
      <c r="D2461" s="1">
        <f>IFERROR(__xludf.DUMMYFUNCTION("""COMPUTED_VALUE"""),4.09)</f>
        <v>4.09</v>
      </c>
      <c r="E2461" s="1">
        <f>IFERROR(__xludf.DUMMYFUNCTION("""COMPUTED_VALUE"""),4.14)</f>
        <v>4.14</v>
      </c>
      <c r="F2461" s="1">
        <f>IFERROR(__xludf.DUMMYFUNCTION("""COMPUTED_VALUE"""),1962099.0)</f>
        <v>1962099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IFERROR(__xludf.DUMMYFUNCTION("""COMPUTED_VALUE"""),4.25)</f>
        <v>4.25</v>
      </c>
      <c r="C2462" s="1">
        <f>IFERROR(__xludf.DUMMYFUNCTION("""COMPUTED_VALUE"""),4.28)</f>
        <v>4.28</v>
      </c>
      <c r="D2462" s="1">
        <f>IFERROR(__xludf.DUMMYFUNCTION("""COMPUTED_VALUE"""),4.21)</f>
        <v>4.21</v>
      </c>
      <c r="E2462" s="1">
        <f>IFERROR(__xludf.DUMMYFUNCTION("""COMPUTED_VALUE"""),4.24)</f>
        <v>4.24</v>
      </c>
      <c r="F2462" s="1">
        <f>IFERROR(__xludf.DUMMYFUNCTION("""COMPUTED_VALUE"""),3342532.0)</f>
        <v>3342532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IFERROR(__xludf.DUMMYFUNCTION("""COMPUTED_VALUE"""),4.18)</f>
        <v>4.18</v>
      </c>
      <c r="C2463" s="1">
        <f>IFERROR(__xludf.DUMMYFUNCTION("""COMPUTED_VALUE"""),4.22)</f>
        <v>4.22</v>
      </c>
      <c r="D2463" s="1">
        <f>IFERROR(__xludf.DUMMYFUNCTION("""COMPUTED_VALUE"""),4.17)</f>
        <v>4.17</v>
      </c>
      <c r="E2463" s="1">
        <f>IFERROR(__xludf.DUMMYFUNCTION("""COMPUTED_VALUE"""),4.2)</f>
        <v>4.2</v>
      </c>
      <c r="F2463" s="1">
        <f>IFERROR(__xludf.DUMMYFUNCTION("""COMPUTED_VALUE"""),968242.0)</f>
        <v>968242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IFERROR(__xludf.DUMMYFUNCTION("""COMPUTED_VALUE"""),4.2)</f>
        <v>4.2</v>
      </c>
      <c r="C2464" s="1">
        <f>IFERROR(__xludf.DUMMYFUNCTION("""COMPUTED_VALUE"""),4.31)</f>
        <v>4.31</v>
      </c>
      <c r="D2464" s="1">
        <f>IFERROR(__xludf.DUMMYFUNCTION("""COMPUTED_VALUE"""),4.2)</f>
        <v>4.2</v>
      </c>
      <c r="E2464" s="1">
        <f>IFERROR(__xludf.DUMMYFUNCTION("""COMPUTED_VALUE"""),4.27)</f>
        <v>4.27</v>
      </c>
      <c r="F2464" s="1">
        <f>IFERROR(__xludf.DUMMYFUNCTION("""COMPUTED_VALUE"""),1822690.0)</f>
        <v>1822690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IFERROR(__xludf.DUMMYFUNCTION("""COMPUTED_VALUE"""),4.26)</f>
        <v>4.26</v>
      </c>
      <c r="C2465" s="1">
        <f>IFERROR(__xludf.DUMMYFUNCTION("""COMPUTED_VALUE"""),4.3)</f>
        <v>4.3</v>
      </c>
      <c r="D2465" s="1">
        <f>IFERROR(__xludf.DUMMYFUNCTION("""COMPUTED_VALUE"""),4.26)</f>
        <v>4.26</v>
      </c>
      <c r="E2465" s="1">
        <f>IFERROR(__xludf.DUMMYFUNCTION("""COMPUTED_VALUE"""),4.26)</f>
        <v>4.26</v>
      </c>
      <c r="F2465" s="1">
        <f>IFERROR(__xludf.DUMMYFUNCTION("""COMPUTED_VALUE"""),1680546.0)</f>
        <v>1680546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IFERROR(__xludf.DUMMYFUNCTION("""COMPUTED_VALUE"""),4.31)</f>
        <v>4.31</v>
      </c>
      <c r="C2466" s="1">
        <f>IFERROR(__xludf.DUMMYFUNCTION("""COMPUTED_VALUE"""),4.32)</f>
        <v>4.32</v>
      </c>
      <c r="D2466" s="1">
        <f>IFERROR(__xludf.DUMMYFUNCTION("""COMPUTED_VALUE"""),4.24)</f>
        <v>4.24</v>
      </c>
      <c r="E2466" s="1">
        <f>IFERROR(__xludf.DUMMYFUNCTION("""COMPUTED_VALUE"""),4.25)</f>
        <v>4.25</v>
      </c>
      <c r="F2466" s="1">
        <f>IFERROR(__xludf.DUMMYFUNCTION("""COMPUTED_VALUE"""),1805075.0)</f>
        <v>1805075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IFERROR(__xludf.DUMMYFUNCTION("""COMPUTED_VALUE"""),4.29)</f>
        <v>4.29</v>
      </c>
      <c r="C2467" s="1">
        <f>IFERROR(__xludf.DUMMYFUNCTION("""COMPUTED_VALUE"""),4.34)</f>
        <v>4.34</v>
      </c>
      <c r="D2467" s="1">
        <f>IFERROR(__xludf.DUMMYFUNCTION("""COMPUTED_VALUE"""),4.29)</f>
        <v>4.29</v>
      </c>
      <c r="E2467" s="1">
        <f>IFERROR(__xludf.DUMMYFUNCTION("""COMPUTED_VALUE"""),4.34)</f>
        <v>4.34</v>
      </c>
      <c r="F2467" s="1">
        <f>IFERROR(__xludf.DUMMYFUNCTION("""COMPUTED_VALUE"""),1459488.0)</f>
        <v>1459488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IFERROR(__xludf.DUMMYFUNCTION("""COMPUTED_VALUE"""),4.37)</f>
        <v>4.37</v>
      </c>
      <c r="C2468" s="1">
        <f>IFERROR(__xludf.DUMMYFUNCTION("""COMPUTED_VALUE"""),4.4)</f>
        <v>4.4</v>
      </c>
      <c r="D2468" s="1">
        <f>IFERROR(__xludf.DUMMYFUNCTION("""COMPUTED_VALUE"""),4.35)</f>
        <v>4.35</v>
      </c>
      <c r="E2468" s="1">
        <f>IFERROR(__xludf.DUMMYFUNCTION("""COMPUTED_VALUE"""),4.35)</f>
        <v>4.35</v>
      </c>
      <c r="F2468" s="1">
        <f>IFERROR(__xludf.DUMMYFUNCTION("""COMPUTED_VALUE"""),794400.0)</f>
        <v>794400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IFERROR(__xludf.DUMMYFUNCTION("""COMPUTED_VALUE"""),4.34)</f>
        <v>4.34</v>
      </c>
      <c r="C2469" s="1">
        <f>IFERROR(__xludf.DUMMYFUNCTION("""COMPUTED_VALUE"""),4.43)</f>
        <v>4.43</v>
      </c>
      <c r="D2469" s="1">
        <f>IFERROR(__xludf.DUMMYFUNCTION("""COMPUTED_VALUE"""),4.33)</f>
        <v>4.33</v>
      </c>
      <c r="E2469" s="1">
        <f>IFERROR(__xludf.DUMMYFUNCTION("""COMPUTED_VALUE"""),4.4)</f>
        <v>4.4</v>
      </c>
      <c r="F2469" s="1">
        <f>IFERROR(__xludf.DUMMYFUNCTION("""COMPUTED_VALUE"""),1814691.0)</f>
        <v>1814691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IFERROR(__xludf.DUMMYFUNCTION("""COMPUTED_VALUE"""),4.45)</f>
        <v>4.45</v>
      </c>
      <c r="C2470" s="1">
        <f>IFERROR(__xludf.DUMMYFUNCTION("""COMPUTED_VALUE"""),4.47)</f>
        <v>4.47</v>
      </c>
      <c r="D2470" s="1">
        <f>IFERROR(__xludf.DUMMYFUNCTION("""COMPUTED_VALUE"""),4.43)</f>
        <v>4.43</v>
      </c>
      <c r="E2470" s="1">
        <f>IFERROR(__xludf.DUMMYFUNCTION("""COMPUTED_VALUE"""),4.47)</f>
        <v>4.47</v>
      </c>
      <c r="F2470" s="1">
        <f>IFERROR(__xludf.DUMMYFUNCTION("""COMPUTED_VALUE"""),1476283.0)</f>
        <v>1476283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IFERROR(__xludf.DUMMYFUNCTION("""COMPUTED_VALUE"""),4.5)</f>
        <v>4.5</v>
      </c>
      <c r="C2471" s="1">
        <f>IFERROR(__xludf.DUMMYFUNCTION("""COMPUTED_VALUE"""),4.5)</f>
        <v>4.5</v>
      </c>
      <c r="D2471" s="1">
        <f>IFERROR(__xludf.DUMMYFUNCTION("""COMPUTED_VALUE"""),4.4)</f>
        <v>4.4</v>
      </c>
      <c r="E2471" s="1">
        <f>IFERROR(__xludf.DUMMYFUNCTION("""COMPUTED_VALUE"""),4.43)</f>
        <v>4.43</v>
      </c>
      <c r="F2471" s="1">
        <f>IFERROR(__xludf.DUMMYFUNCTION("""COMPUTED_VALUE"""),1912143.0)</f>
        <v>1912143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IFERROR(__xludf.DUMMYFUNCTION("""COMPUTED_VALUE"""),4.38)</f>
        <v>4.38</v>
      </c>
      <c r="C2472" s="1">
        <f>IFERROR(__xludf.DUMMYFUNCTION("""COMPUTED_VALUE"""),4.43)</f>
        <v>4.43</v>
      </c>
      <c r="D2472" s="1">
        <f>IFERROR(__xludf.DUMMYFUNCTION("""COMPUTED_VALUE"""),4.37)</f>
        <v>4.37</v>
      </c>
      <c r="E2472" s="1">
        <f>IFERROR(__xludf.DUMMYFUNCTION("""COMPUTED_VALUE"""),4.41)</f>
        <v>4.41</v>
      </c>
      <c r="F2472" s="1">
        <f>IFERROR(__xludf.DUMMYFUNCTION("""COMPUTED_VALUE"""),1751022.0)</f>
        <v>1751022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IFERROR(__xludf.DUMMYFUNCTION("""COMPUTED_VALUE"""),4.43)</f>
        <v>4.43</v>
      </c>
      <c r="C2473" s="1">
        <f>IFERROR(__xludf.DUMMYFUNCTION("""COMPUTED_VALUE"""),4.45)</f>
        <v>4.45</v>
      </c>
      <c r="D2473" s="1">
        <f>IFERROR(__xludf.DUMMYFUNCTION("""COMPUTED_VALUE"""),4.42)</f>
        <v>4.42</v>
      </c>
      <c r="E2473" s="1">
        <f>IFERROR(__xludf.DUMMYFUNCTION("""COMPUTED_VALUE"""),4.44)</f>
        <v>4.44</v>
      </c>
      <c r="F2473" s="1">
        <f>IFERROR(__xludf.DUMMYFUNCTION("""COMPUTED_VALUE"""),955106.0)</f>
        <v>955106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IFERROR(__xludf.DUMMYFUNCTION("""COMPUTED_VALUE"""),4.43)</f>
        <v>4.43</v>
      </c>
      <c r="C2474" s="1">
        <f>IFERROR(__xludf.DUMMYFUNCTION("""COMPUTED_VALUE"""),4.47)</f>
        <v>4.47</v>
      </c>
      <c r="D2474" s="1">
        <f>IFERROR(__xludf.DUMMYFUNCTION("""COMPUTED_VALUE"""),4.4)</f>
        <v>4.4</v>
      </c>
      <c r="E2474" s="1">
        <f>IFERROR(__xludf.DUMMYFUNCTION("""COMPUTED_VALUE"""),4.41)</f>
        <v>4.41</v>
      </c>
      <c r="F2474" s="1">
        <f>IFERROR(__xludf.DUMMYFUNCTION("""COMPUTED_VALUE"""),1468640.0)</f>
        <v>1468640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IFERROR(__xludf.DUMMYFUNCTION("""COMPUTED_VALUE"""),4.36)</f>
        <v>4.36</v>
      </c>
      <c r="C2475" s="1">
        <f>IFERROR(__xludf.DUMMYFUNCTION("""COMPUTED_VALUE"""),4.39)</f>
        <v>4.39</v>
      </c>
      <c r="D2475" s="1">
        <f>IFERROR(__xludf.DUMMYFUNCTION("""COMPUTED_VALUE"""),4.32)</f>
        <v>4.32</v>
      </c>
      <c r="E2475" s="1">
        <f>IFERROR(__xludf.DUMMYFUNCTION("""COMPUTED_VALUE"""),4.37)</f>
        <v>4.37</v>
      </c>
      <c r="F2475" s="1">
        <f>IFERROR(__xludf.DUMMYFUNCTION("""COMPUTED_VALUE"""),1266518.0)</f>
        <v>1266518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IFERROR(__xludf.DUMMYFUNCTION("""COMPUTED_VALUE"""),4.34)</f>
        <v>4.34</v>
      </c>
      <c r="C2476" s="1">
        <f>IFERROR(__xludf.DUMMYFUNCTION("""COMPUTED_VALUE"""),4.35)</f>
        <v>4.35</v>
      </c>
      <c r="D2476" s="1">
        <f>IFERROR(__xludf.DUMMYFUNCTION("""COMPUTED_VALUE"""),4.28)</f>
        <v>4.28</v>
      </c>
      <c r="E2476" s="1">
        <f>IFERROR(__xludf.DUMMYFUNCTION("""COMPUTED_VALUE"""),4.32)</f>
        <v>4.32</v>
      </c>
      <c r="F2476" s="1">
        <f>IFERROR(__xludf.DUMMYFUNCTION("""COMPUTED_VALUE"""),1375011.0)</f>
        <v>1375011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IFERROR(__xludf.DUMMYFUNCTION("""COMPUTED_VALUE"""),4.37)</f>
        <v>4.37</v>
      </c>
      <c r="C2477" s="1">
        <f>IFERROR(__xludf.DUMMYFUNCTION("""COMPUTED_VALUE"""),4.42)</f>
        <v>4.42</v>
      </c>
      <c r="D2477" s="1">
        <f>IFERROR(__xludf.DUMMYFUNCTION("""COMPUTED_VALUE"""),4.36)</f>
        <v>4.36</v>
      </c>
      <c r="E2477" s="1">
        <f>IFERROR(__xludf.DUMMYFUNCTION("""COMPUTED_VALUE"""),4.42)</f>
        <v>4.42</v>
      </c>
      <c r="F2477" s="1">
        <f>IFERROR(__xludf.DUMMYFUNCTION("""COMPUTED_VALUE"""),1223626.0)</f>
        <v>1223626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IFERROR(__xludf.DUMMYFUNCTION("""COMPUTED_VALUE"""),4.49)</f>
        <v>4.49</v>
      </c>
      <c r="C2478" s="1">
        <f>IFERROR(__xludf.DUMMYFUNCTION("""COMPUTED_VALUE"""),4.5)</f>
        <v>4.5</v>
      </c>
      <c r="D2478" s="1">
        <f>IFERROR(__xludf.DUMMYFUNCTION("""COMPUTED_VALUE"""),4.47)</f>
        <v>4.47</v>
      </c>
      <c r="E2478" s="1">
        <f>IFERROR(__xludf.DUMMYFUNCTION("""COMPUTED_VALUE"""),4.49)</f>
        <v>4.49</v>
      </c>
      <c r="F2478" s="1">
        <f>IFERROR(__xludf.DUMMYFUNCTION("""COMPUTED_VALUE"""),1277587.0)</f>
        <v>1277587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IFERROR(__xludf.DUMMYFUNCTION("""COMPUTED_VALUE"""),4.55)</f>
        <v>4.55</v>
      </c>
      <c r="C2479" s="1">
        <f>IFERROR(__xludf.DUMMYFUNCTION("""COMPUTED_VALUE"""),4.59)</f>
        <v>4.59</v>
      </c>
      <c r="D2479" s="1">
        <f>IFERROR(__xludf.DUMMYFUNCTION("""COMPUTED_VALUE"""),4.54)</f>
        <v>4.54</v>
      </c>
      <c r="E2479" s="1">
        <f>IFERROR(__xludf.DUMMYFUNCTION("""COMPUTED_VALUE"""),4.57)</f>
        <v>4.57</v>
      </c>
      <c r="F2479" s="1">
        <f>IFERROR(__xludf.DUMMYFUNCTION("""COMPUTED_VALUE"""),2158223.0)</f>
        <v>2158223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IFERROR(__xludf.DUMMYFUNCTION("""COMPUTED_VALUE"""),4.62)</f>
        <v>4.62</v>
      </c>
      <c r="C2480" s="1">
        <f>IFERROR(__xludf.DUMMYFUNCTION("""COMPUTED_VALUE"""),4.63)</f>
        <v>4.63</v>
      </c>
      <c r="D2480" s="1">
        <f>IFERROR(__xludf.DUMMYFUNCTION("""COMPUTED_VALUE"""),4.59)</f>
        <v>4.59</v>
      </c>
      <c r="E2480" s="1">
        <f>IFERROR(__xludf.DUMMYFUNCTION("""COMPUTED_VALUE"""),4.62)</f>
        <v>4.62</v>
      </c>
      <c r="F2480" s="1">
        <f>IFERROR(__xludf.DUMMYFUNCTION("""COMPUTED_VALUE"""),1882075.0)</f>
        <v>1882075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IFERROR(__xludf.DUMMYFUNCTION("""COMPUTED_VALUE"""),4.66)</f>
        <v>4.66</v>
      </c>
      <c r="C2481" s="1">
        <f>IFERROR(__xludf.DUMMYFUNCTION("""COMPUTED_VALUE"""),4.67)</f>
        <v>4.67</v>
      </c>
      <c r="D2481" s="1">
        <f>IFERROR(__xludf.DUMMYFUNCTION("""COMPUTED_VALUE"""),4.63)</f>
        <v>4.63</v>
      </c>
      <c r="E2481" s="1">
        <f>IFERROR(__xludf.DUMMYFUNCTION("""COMPUTED_VALUE"""),4.63)</f>
        <v>4.63</v>
      </c>
      <c r="F2481" s="1">
        <f>IFERROR(__xludf.DUMMYFUNCTION("""COMPUTED_VALUE"""),1137444.0)</f>
        <v>1137444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IFERROR(__xludf.DUMMYFUNCTION("""COMPUTED_VALUE"""),4.61)</f>
        <v>4.61</v>
      </c>
      <c r="C2482" s="1">
        <f>IFERROR(__xludf.DUMMYFUNCTION("""COMPUTED_VALUE"""),4.63)</f>
        <v>4.63</v>
      </c>
      <c r="D2482" s="1">
        <f>IFERROR(__xludf.DUMMYFUNCTION("""COMPUTED_VALUE"""),4.58)</f>
        <v>4.58</v>
      </c>
      <c r="E2482" s="1">
        <f>IFERROR(__xludf.DUMMYFUNCTION("""COMPUTED_VALUE"""),4.62)</f>
        <v>4.62</v>
      </c>
      <c r="F2482" s="1">
        <f>IFERROR(__xludf.DUMMYFUNCTION("""COMPUTED_VALUE"""),1211276.0)</f>
        <v>1211276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IFERROR(__xludf.DUMMYFUNCTION("""COMPUTED_VALUE"""),4.59)</f>
        <v>4.59</v>
      </c>
      <c r="C2483" s="1">
        <f>IFERROR(__xludf.DUMMYFUNCTION("""COMPUTED_VALUE"""),4.63)</f>
        <v>4.63</v>
      </c>
      <c r="D2483" s="1">
        <f>IFERROR(__xludf.DUMMYFUNCTION("""COMPUTED_VALUE"""),4.58)</f>
        <v>4.58</v>
      </c>
      <c r="E2483" s="1">
        <f>IFERROR(__xludf.DUMMYFUNCTION("""COMPUTED_VALUE"""),4.61)</f>
        <v>4.61</v>
      </c>
      <c r="F2483" s="1">
        <f>IFERROR(__xludf.DUMMYFUNCTION("""COMPUTED_VALUE"""),3095924.0)</f>
        <v>3095924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IFERROR(__xludf.DUMMYFUNCTION("""COMPUTED_VALUE"""),4.65)</f>
        <v>4.65</v>
      </c>
      <c r="C2484" s="1">
        <f>IFERROR(__xludf.DUMMYFUNCTION("""COMPUTED_VALUE"""),4.69)</f>
        <v>4.69</v>
      </c>
      <c r="D2484" s="1">
        <f>IFERROR(__xludf.DUMMYFUNCTION("""COMPUTED_VALUE"""),4.63)</f>
        <v>4.63</v>
      </c>
      <c r="E2484" s="1">
        <f>IFERROR(__xludf.DUMMYFUNCTION("""COMPUTED_VALUE"""),4.66)</f>
        <v>4.66</v>
      </c>
      <c r="F2484" s="1">
        <f>IFERROR(__xludf.DUMMYFUNCTION("""COMPUTED_VALUE"""),1841906.0)</f>
        <v>1841906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IFERROR(__xludf.DUMMYFUNCTION("""COMPUTED_VALUE"""),4.59)</f>
        <v>4.59</v>
      </c>
      <c r="C2485" s="1">
        <f>IFERROR(__xludf.DUMMYFUNCTION("""COMPUTED_VALUE"""),4.6)</f>
        <v>4.6</v>
      </c>
      <c r="D2485" s="1">
        <f>IFERROR(__xludf.DUMMYFUNCTION("""COMPUTED_VALUE"""),4.56)</f>
        <v>4.56</v>
      </c>
      <c r="E2485" s="1">
        <f>IFERROR(__xludf.DUMMYFUNCTION("""COMPUTED_VALUE"""),4.57)</f>
        <v>4.57</v>
      </c>
      <c r="F2485" s="1">
        <f>IFERROR(__xludf.DUMMYFUNCTION("""COMPUTED_VALUE"""),1233395.0)</f>
        <v>1233395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IFERROR(__xludf.DUMMYFUNCTION("""COMPUTED_VALUE"""),4.56)</f>
        <v>4.56</v>
      </c>
      <c r="C2486" s="1">
        <f>IFERROR(__xludf.DUMMYFUNCTION("""COMPUTED_VALUE"""),4.58)</f>
        <v>4.58</v>
      </c>
      <c r="D2486" s="1">
        <f>IFERROR(__xludf.DUMMYFUNCTION("""COMPUTED_VALUE"""),4.55)</f>
        <v>4.55</v>
      </c>
      <c r="E2486" s="1">
        <f>IFERROR(__xludf.DUMMYFUNCTION("""COMPUTED_VALUE"""),4.57)</f>
        <v>4.57</v>
      </c>
      <c r="F2486" s="1">
        <f>IFERROR(__xludf.DUMMYFUNCTION("""COMPUTED_VALUE"""),950621.0)</f>
        <v>950621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IFERROR(__xludf.DUMMYFUNCTION("""COMPUTED_VALUE"""),4.62)</f>
        <v>4.62</v>
      </c>
      <c r="C2487" s="1">
        <f>IFERROR(__xludf.DUMMYFUNCTION("""COMPUTED_VALUE"""),4.63)</f>
        <v>4.63</v>
      </c>
      <c r="D2487" s="1">
        <f>IFERROR(__xludf.DUMMYFUNCTION("""COMPUTED_VALUE"""),4.59)</f>
        <v>4.59</v>
      </c>
      <c r="E2487" s="1">
        <f>IFERROR(__xludf.DUMMYFUNCTION("""COMPUTED_VALUE"""),4.62)</f>
        <v>4.62</v>
      </c>
      <c r="F2487" s="1">
        <f>IFERROR(__xludf.DUMMYFUNCTION("""COMPUTED_VALUE"""),1382949.0)</f>
        <v>1382949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IFERROR(__xludf.DUMMYFUNCTION("""COMPUTED_VALUE"""),4.57)</f>
        <v>4.57</v>
      </c>
      <c r="C2488" s="1">
        <f>IFERROR(__xludf.DUMMYFUNCTION("""COMPUTED_VALUE"""),4.59)</f>
        <v>4.59</v>
      </c>
      <c r="D2488" s="1">
        <f>IFERROR(__xludf.DUMMYFUNCTION("""COMPUTED_VALUE"""),4.55)</f>
        <v>4.55</v>
      </c>
      <c r="E2488" s="1">
        <f>IFERROR(__xludf.DUMMYFUNCTION("""COMPUTED_VALUE"""),4.58)</f>
        <v>4.58</v>
      </c>
      <c r="F2488" s="1">
        <f>IFERROR(__xludf.DUMMYFUNCTION("""COMPUTED_VALUE"""),1082421.0)</f>
        <v>1082421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IFERROR(__xludf.DUMMYFUNCTION("""COMPUTED_VALUE"""),4.61)</f>
        <v>4.61</v>
      </c>
      <c r="C2489" s="1">
        <f>IFERROR(__xludf.DUMMYFUNCTION("""COMPUTED_VALUE"""),4.62)</f>
        <v>4.62</v>
      </c>
      <c r="D2489" s="1">
        <f>IFERROR(__xludf.DUMMYFUNCTION("""COMPUTED_VALUE"""),4.56)</f>
        <v>4.56</v>
      </c>
      <c r="E2489" s="1">
        <f>IFERROR(__xludf.DUMMYFUNCTION("""COMPUTED_VALUE"""),4.57)</f>
        <v>4.57</v>
      </c>
      <c r="F2489" s="1">
        <f>IFERROR(__xludf.DUMMYFUNCTION("""COMPUTED_VALUE"""),899640.0)</f>
        <v>899640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IFERROR(__xludf.DUMMYFUNCTION("""COMPUTED_VALUE"""),4.48)</f>
        <v>4.48</v>
      </c>
      <c r="C2490" s="1">
        <f>IFERROR(__xludf.DUMMYFUNCTION("""COMPUTED_VALUE"""),4.51)</f>
        <v>4.51</v>
      </c>
      <c r="D2490" s="1">
        <f>IFERROR(__xludf.DUMMYFUNCTION("""COMPUTED_VALUE"""),4.45)</f>
        <v>4.45</v>
      </c>
      <c r="E2490" s="1">
        <f>IFERROR(__xludf.DUMMYFUNCTION("""COMPUTED_VALUE"""),4.47)</f>
        <v>4.47</v>
      </c>
      <c r="F2490" s="1">
        <f>IFERROR(__xludf.DUMMYFUNCTION("""COMPUTED_VALUE"""),1637733.0)</f>
        <v>1637733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IFERROR(__xludf.DUMMYFUNCTION("""COMPUTED_VALUE"""),4.47)</f>
        <v>4.47</v>
      </c>
      <c r="C2491" s="1">
        <f>IFERROR(__xludf.DUMMYFUNCTION("""COMPUTED_VALUE"""),4.49)</f>
        <v>4.49</v>
      </c>
      <c r="D2491" s="1">
        <f>IFERROR(__xludf.DUMMYFUNCTION("""COMPUTED_VALUE"""),4.45)</f>
        <v>4.45</v>
      </c>
      <c r="E2491" s="1">
        <f>IFERROR(__xludf.DUMMYFUNCTION("""COMPUTED_VALUE"""),4.48)</f>
        <v>4.48</v>
      </c>
      <c r="F2491" s="1">
        <f>IFERROR(__xludf.DUMMYFUNCTION("""COMPUTED_VALUE"""),1001421.0)</f>
        <v>1001421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IFERROR(__xludf.DUMMYFUNCTION("""COMPUTED_VALUE"""),4.49)</f>
        <v>4.49</v>
      </c>
      <c r="C2492" s="1">
        <f>IFERROR(__xludf.DUMMYFUNCTION("""COMPUTED_VALUE"""),4.53)</f>
        <v>4.53</v>
      </c>
      <c r="D2492" s="1">
        <f>IFERROR(__xludf.DUMMYFUNCTION("""COMPUTED_VALUE"""),4.49)</f>
        <v>4.49</v>
      </c>
      <c r="E2492" s="1">
        <f>IFERROR(__xludf.DUMMYFUNCTION("""COMPUTED_VALUE"""),4.52)</f>
        <v>4.52</v>
      </c>
      <c r="F2492" s="1">
        <f>IFERROR(__xludf.DUMMYFUNCTION("""COMPUTED_VALUE"""),771797.0)</f>
        <v>771797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IFERROR(__xludf.DUMMYFUNCTION("""COMPUTED_VALUE"""),4.49)</f>
        <v>4.49</v>
      </c>
      <c r="C2493" s="1">
        <f>IFERROR(__xludf.DUMMYFUNCTION("""COMPUTED_VALUE"""),4.52)</f>
        <v>4.52</v>
      </c>
      <c r="D2493" s="1">
        <f>IFERROR(__xludf.DUMMYFUNCTION("""COMPUTED_VALUE"""),4.48)</f>
        <v>4.48</v>
      </c>
      <c r="E2493" s="1">
        <f>IFERROR(__xludf.DUMMYFUNCTION("""COMPUTED_VALUE"""),4.52)</f>
        <v>4.52</v>
      </c>
      <c r="F2493" s="1">
        <f>IFERROR(__xludf.DUMMYFUNCTION("""COMPUTED_VALUE"""),901608.0)</f>
        <v>901608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IFERROR(__xludf.DUMMYFUNCTION("""COMPUTED_VALUE"""),4.47)</f>
        <v>4.47</v>
      </c>
      <c r="C2494" s="1">
        <f>IFERROR(__xludf.DUMMYFUNCTION("""COMPUTED_VALUE"""),4.47)</f>
        <v>4.47</v>
      </c>
      <c r="D2494" s="1">
        <f>IFERROR(__xludf.DUMMYFUNCTION("""COMPUTED_VALUE"""),4.43)</f>
        <v>4.43</v>
      </c>
      <c r="E2494" s="1">
        <f>IFERROR(__xludf.DUMMYFUNCTION("""COMPUTED_VALUE"""),4.45)</f>
        <v>4.45</v>
      </c>
      <c r="F2494" s="1">
        <f>IFERROR(__xludf.DUMMYFUNCTION("""COMPUTED_VALUE"""),1100949.0)</f>
        <v>1100949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IFERROR(__xludf.DUMMYFUNCTION("""COMPUTED_VALUE"""),4.47)</f>
        <v>4.47</v>
      </c>
      <c r="C2495" s="1">
        <f>IFERROR(__xludf.DUMMYFUNCTION("""COMPUTED_VALUE"""),4.48)</f>
        <v>4.48</v>
      </c>
      <c r="D2495" s="1">
        <f>IFERROR(__xludf.DUMMYFUNCTION("""COMPUTED_VALUE"""),4.45)</f>
        <v>4.45</v>
      </c>
      <c r="E2495" s="1">
        <f>IFERROR(__xludf.DUMMYFUNCTION("""COMPUTED_VALUE"""),4.48)</f>
        <v>4.48</v>
      </c>
      <c r="F2495" s="1">
        <f>IFERROR(__xludf.DUMMYFUNCTION("""COMPUTED_VALUE"""),802567.0)</f>
        <v>802567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IFERROR(__xludf.DUMMYFUNCTION("""COMPUTED_VALUE"""),4.48)</f>
        <v>4.48</v>
      </c>
      <c r="C2496" s="1">
        <f>IFERROR(__xludf.DUMMYFUNCTION("""COMPUTED_VALUE"""),4.48)</f>
        <v>4.48</v>
      </c>
      <c r="D2496" s="1">
        <f>IFERROR(__xludf.DUMMYFUNCTION("""COMPUTED_VALUE"""),4.46)</f>
        <v>4.46</v>
      </c>
      <c r="E2496" s="1">
        <f>IFERROR(__xludf.DUMMYFUNCTION("""COMPUTED_VALUE"""),4.47)</f>
        <v>4.47</v>
      </c>
      <c r="F2496" s="1">
        <f>IFERROR(__xludf.DUMMYFUNCTION("""COMPUTED_VALUE"""),489727.0)</f>
        <v>489727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IFERROR(__xludf.DUMMYFUNCTION("""COMPUTED_VALUE"""),4.48)</f>
        <v>4.48</v>
      </c>
      <c r="C2497" s="1">
        <f>IFERROR(__xludf.DUMMYFUNCTION("""COMPUTED_VALUE"""),4.49)</f>
        <v>4.49</v>
      </c>
      <c r="D2497" s="1">
        <f>IFERROR(__xludf.DUMMYFUNCTION("""COMPUTED_VALUE"""),4.43)</f>
        <v>4.43</v>
      </c>
      <c r="E2497" s="1">
        <f>IFERROR(__xludf.DUMMYFUNCTION("""COMPUTED_VALUE"""),4.43)</f>
        <v>4.43</v>
      </c>
      <c r="F2497" s="1">
        <f>IFERROR(__xludf.DUMMYFUNCTION("""COMPUTED_VALUE"""),1408224.0)</f>
        <v>1408224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IFERROR(__xludf.DUMMYFUNCTION("""COMPUTED_VALUE"""),4.34)</f>
        <v>4.34</v>
      </c>
      <c r="C2498" s="1">
        <f>IFERROR(__xludf.DUMMYFUNCTION("""COMPUTED_VALUE"""),4.35)</f>
        <v>4.35</v>
      </c>
      <c r="D2498" s="1">
        <f>IFERROR(__xludf.DUMMYFUNCTION("""COMPUTED_VALUE"""),4.31)</f>
        <v>4.31</v>
      </c>
      <c r="E2498" s="1">
        <f>IFERROR(__xludf.DUMMYFUNCTION("""COMPUTED_VALUE"""),4.34)</f>
        <v>4.34</v>
      </c>
      <c r="F2498" s="1">
        <f>IFERROR(__xludf.DUMMYFUNCTION("""COMPUTED_VALUE"""),1770525.0)</f>
        <v>1770525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IFERROR(__xludf.DUMMYFUNCTION("""COMPUTED_VALUE"""),4.39)</f>
        <v>4.39</v>
      </c>
      <c r="C2499" s="1">
        <f>IFERROR(__xludf.DUMMYFUNCTION("""COMPUTED_VALUE"""),4.43)</f>
        <v>4.43</v>
      </c>
      <c r="D2499" s="1">
        <f>IFERROR(__xludf.DUMMYFUNCTION("""COMPUTED_VALUE"""),4.38)</f>
        <v>4.38</v>
      </c>
      <c r="E2499" s="1">
        <f>IFERROR(__xludf.DUMMYFUNCTION("""COMPUTED_VALUE"""),4.39)</f>
        <v>4.39</v>
      </c>
      <c r="F2499" s="1">
        <f>IFERROR(__xludf.DUMMYFUNCTION("""COMPUTED_VALUE"""),1389414.0)</f>
        <v>1389414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IFERROR(__xludf.DUMMYFUNCTION("""COMPUTED_VALUE"""),4.43)</f>
        <v>4.43</v>
      </c>
      <c r="C2500" s="1">
        <f>IFERROR(__xludf.DUMMYFUNCTION("""COMPUTED_VALUE"""),4.44)</f>
        <v>4.44</v>
      </c>
      <c r="D2500" s="1">
        <f>IFERROR(__xludf.DUMMYFUNCTION("""COMPUTED_VALUE"""),4.4)</f>
        <v>4.4</v>
      </c>
      <c r="E2500" s="1">
        <f>IFERROR(__xludf.DUMMYFUNCTION("""COMPUTED_VALUE"""),4.41)</f>
        <v>4.41</v>
      </c>
      <c r="F2500" s="1">
        <f>IFERROR(__xludf.DUMMYFUNCTION("""COMPUTED_VALUE"""),1150332.0)</f>
        <v>1150332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IFERROR(__xludf.DUMMYFUNCTION("""COMPUTED_VALUE"""),4.47)</f>
        <v>4.47</v>
      </c>
      <c r="C2501" s="1">
        <f>IFERROR(__xludf.DUMMYFUNCTION("""COMPUTED_VALUE"""),4.48)</f>
        <v>4.48</v>
      </c>
      <c r="D2501" s="1">
        <f>IFERROR(__xludf.DUMMYFUNCTION("""COMPUTED_VALUE"""),4.45)</f>
        <v>4.45</v>
      </c>
      <c r="E2501" s="1">
        <f>IFERROR(__xludf.DUMMYFUNCTION("""COMPUTED_VALUE"""),4.46)</f>
        <v>4.46</v>
      </c>
      <c r="F2501" s="1">
        <f>IFERROR(__xludf.DUMMYFUNCTION("""COMPUTED_VALUE"""),793270.0)</f>
        <v>793270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IFERROR(__xludf.DUMMYFUNCTION("""COMPUTED_VALUE"""),4.46)</f>
        <v>4.46</v>
      </c>
      <c r="C2502" s="1">
        <f>IFERROR(__xludf.DUMMYFUNCTION("""COMPUTED_VALUE"""),4.49)</f>
        <v>4.49</v>
      </c>
      <c r="D2502" s="1">
        <f>IFERROR(__xludf.DUMMYFUNCTION("""COMPUTED_VALUE"""),4.46)</f>
        <v>4.46</v>
      </c>
      <c r="E2502" s="1">
        <f>IFERROR(__xludf.DUMMYFUNCTION("""COMPUTED_VALUE"""),4.47)</f>
        <v>4.47</v>
      </c>
      <c r="F2502" s="1">
        <f>IFERROR(__xludf.DUMMYFUNCTION("""COMPUTED_VALUE"""),879801.0)</f>
        <v>879801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IFERROR(__xludf.DUMMYFUNCTION("""COMPUTED_VALUE"""),4.46)</f>
        <v>4.46</v>
      </c>
      <c r="C2503" s="1">
        <f>IFERROR(__xludf.DUMMYFUNCTION("""COMPUTED_VALUE"""),4.48)</f>
        <v>4.48</v>
      </c>
      <c r="D2503" s="1">
        <f>IFERROR(__xludf.DUMMYFUNCTION("""COMPUTED_VALUE"""),4.43)</f>
        <v>4.43</v>
      </c>
      <c r="E2503" s="1">
        <f>IFERROR(__xludf.DUMMYFUNCTION("""COMPUTED_VALUE"""),4.44)</f>
        <v>4.44</v>
      </c>
      <c r="F2503" s="1">
        <f>IFERROR(__xludf.DUMMYFUNCTION("""COMPUTED_VALUE"""),1384030.0)</f>
        <v>1384030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IFERROR(__xludf.DUMMYFUNCTION("""COMPUTED_VALUE"""),4.45)</f>
        <v>4.45</v>
      </c>
      <c r="C2504" s="1">
        <f>IFERROR(__xludf.DUMMYFUNCTION("""COMPUTED_VALUE"""),4.46)</f>
        <v>4.46</v>
      </c>
      <c r="D2504" s="1">
        <f>IFERROR(__xludf.DUMMYFUNCTION("""COMPUTED_VALUE"""),4.43)</f>
        <v>4.43</v>
      </c>
      <c r="E2504" s="1">
        <f>IFERROR(__xludf.DUMMYFUNCTION("""COMPUTED_VALUE"""),4.45)</f>
        <v>4.45</v>
      </c>
      <c r="F2504" s="1">
        <f>IFERROR(__xludf.DUMMYFUNCTION("""COMPUTED_VALUE"""),749224.0)</f>
        <v>749224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IFERROR(__xludf.DUMMYFUNCTION("""COMPUTED_VALUE"""),4.51)</f>
        <v>4.51</v>
      </c>
      <c r="C2505" s="1">
        <f>IFERROR(__xludf.DUMMYFUNCTION("""COMPUTED_VALUE"""),4.6)</f>
        <v>4.6</v>
      </c>
      <c r="D2505" s="1">
        <f>IFERROR(__xludf.DUMMYFUNCTION("""COMPUTED_VALUE"""),4.5)</f>
        <v>4.5</v>
      </c>
      <c r="E2505" s="1">
        <f>IFERROR(__xludf.DUMMYFUNCTION("""COMPUTED_VALUE"""),4.6)</f>
        <v>4.6</v>
      </c>
      <c r="F2505" s="1">
        <f>IFERROR(__xludf.DUMMYFUNCTION("""COMPUTED_VALUE"""),2276268.0)</f>
        <v>2276268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IFERROR(__xludf.DUMMYFUNCTION("""COMPUTED_VALUE"""),4.63)</f>
        <v>4.63</v>
      </c>
      <c r="C2506" s="1">
        <f>IFERROR(__xludf.DUMMYFUNCTION("""COMPUTED_VALUE"""),4.68)</f>
        <v>4.68</v>
      </c>
      <c r="D2506" s="1">
        <f>IFERROR(__xludf.DUMMYFUNCTION("""COMPUTED_VALUE"""),4.59)</f>
        <v>4.59</v>
      </c>
      <c r="E2506" s="1">
        <f>IFERROR(__xludf.DUMMYFUNCTION("""COMPUTED_VALUE"""),4.61)</f>
        <v>4.61</v>
      </c>
      <c r="F2506" s="1">
        <f>IFERROR(__xludf.DUMMYFUNCTION("""COMPUTED_VALUE"""),1662383.0)</f>
        <v>1662383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IFERROR(__xludf.DUMMYFUNCTION("""COMPUTED_VALUE"""),4.65)</f>
        <v>4.65</v>
      </c>
      <c r="C2507" s="1">
        <f>IFERROR(__xludf.DUMMYFUNCTION("""COMPUTED_VALUE"""),4.67)</f>
        <v>4.67</v>
      </c>
      <c r="D2507" s="1">
        <f>IFERROR(__xludf.DUMMYFUNCTION("""COMPUTED_VALUE"""),4.63)</f>
        <v>4.63</v>
      </c>
      <c r="E2507" s="1">
        <f>IFERROR(__xludf.DUMMYFUNCTION("""COMPUTED_VALUE"""),4.63)</f>
        <v>4.63</v>
      </c>
      <c r="F2507" s="1">
        <f>IFERROR(__xludf.DUMMYFUNCTION("""COMPUTED_VALUE"""),982668.0)</f>
        <v>982668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IFERROR(__xludf.DUMMYFUNCTION("""COMPUTED_VALUE"""),4.68)</f>
        <v>4.68</v>
      </c>
      <c r="C2508" s="1">
        <f>IFERROR(__xludf.DUMMYFUNCTION("""COMPUTED_VALUE"""),4.7)</f>
        <v>4.7</v>
      </c>
      <c r="D2508" s="1">
        <f>IFERROR(__xludf.DUMMYFUNCTION("""COMPUTED_VALUE"""),4.67)</f>
        <v>4.67</v>
      </c>
      <c r="E2508" s="1">
        <f>IFERROR(__xludf.DUMMYFUNCTION("""COMPUTED_VALUE"""),4.69)</f>
        <v>4.69</v>
      </c>
      <c r="F2508" s="1">
        <f>IFERROR(__xludf.DUMMYFUNCTION("""COMPUTED_VALUE"""),1286846.0)</f>
        <v>1286846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IFERROR(__xludf.DUMMYFUNCTION("""COMPUTED_VALUE"""),4.64)</f>
        <v>4.64</v>
      </c>
      <c r="C2509" s="1">
        <f>IFERROR(__xludf.DUMMYFUNCTION("""COMPUTED_VALUE"""),4.65)</f>
        <v>4.65</v>
      </c>
      <c r="D2509" s="1">
        <f>IFERROR(__xludf.DUMMYFUNCTION("""COMPUTED_VALUE"""),4.62)</f>
        <v>4.62</v>
      </c>
      <c r="E2509" s="1">
        <f>IFERROR(__xludf.DUMMYFUNCTION("""COMPUTED_VALUE"""),4.63)</f>
        <v>4.63</v>
      </c>
      <c r="F2509" s="1">
        <f>IFERROR(__xludf.DUMMYFUNCTION("""COMPUTED_VALUE"""),813260.0)</f>
        <v>813260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IFERROR(__xludf.DUMMYFUNCTION("""COMPUTED_VALUE"""),4.63)</f>
        <v>4.63</v>
      </c>
      <c r="C2510" s="1">
        <f>IFERROR(__xludf.DUMMYFUNCTION("""COMPUTED_VALUE"""),4.64)</f>
        <v>4.64</v>
      </c>
      <c r="D2510" s="1">
        <f>IFERROR(__xludf.DUMMYFUNCTION("""COMPUTED_VALUE"""),4.62)</f>
        <v>4.62</v>
      </c>
      <c r="E2510" s="1">
        <f>IFERROR(__xludf.DUMMYFUNCTION("""COMPUTED_VALUE"""),4.62)</f>
        <v>4.62</v>
      </c>
      <c r="F2510" s="1">
        <f>IFERROR(__xludf.DUMMYFUNCTION("""COMPUTED_VALUE"""),838734.0)</f>
        <v>838734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IFERROR(__xludf.DUMMYFUNCTION("""COMPUTED_VALUE"""),4.6)</f>
        <v>4.6</v>
      </c>
      <c r="C2511" s="1">
        <f>IFERROR(__xludf.DUMMYFUNCTION("""COMPUTED_VALUE"""),4.61)</f>
        <v>4.61</v>
      </c>
      <c r="D2511" s="1">
        <f>IFERROR(__xludf.DUMMYFUNCTION("""COMPUTED_VALUE"""),4.53)</f>
        <v>4.53</v>
      </c>
      <c r="E2511" s="1">
        <f>IFERROR(__xludf.DUMMYFUNCTION("""COMPUTED_VALUE"""),4.53)</f>
        <v>4.53</v>
      </c>
      <c r="F2511" s="1">
        <f>IFERROR(__xludf.DUMMYFUNCTION("""COMPUTED_VALUE"""),1473431.0)</f>
        <v>1473431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IFERROR(__xludf.DUMMYFUNCTION("""COMPUTED_VALUE"""),4.54)</f>
        <v>4.54</v>
      </c>
      <c r="C2512" s="1">
        <f>IFERROR(__xludf.DUMMYFUNCTION("""COMPUTED_VALUE"""),4.54)</f>
        <v>4.54</v>
      </c>
      <c r="D2512" s="1">
        <f>IFERROR(__xludf.DUMMYFUNCTION("""COMPUTED_VALUE"""),4.51)</f>
        <v>4.51</v>
      </c>
      <c r="E2512" s="1">
        <f>IFERROR(__xludf.DUMMYFUNCTION("""COMPUTED_VALUE"""),4.52)</f>
        <v>4.52</v>
      </c>
      <c r="F2512" s="1">
        <f>IFERROR(__xludf.DUMMYFUNCTION("""COMPUTED_VALUE"""),1043232.0)</f>
        <v>1043232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IFERROR(__xludf.DUMMYFUNCTION("""COMPUTED_VALUE"""),4.5)</f>
        <v>4.5</v>
      </c>
      <c r="C2513" s="1">
        <f>IFERROR(__xludf.DUMMYFUNCTION("""COMPUTED_VALUE"""),4.52)</f>
        <v>4.52</v>
      </c>
      <c r="D2513" s="1">
        <f>IFERROR(__xludf.DUMMYFUNCTION("""COMPUTED_VALUE"""),4.49)</f>
        <v>4.49</v>
      </c>
      <c r="E2513" s="1">
        <f>IFERROR(__xludf.DUMMYFUNCTION("""COMPUTED_VALUE"""),4.49)</f>
        <v>4.49</v>
      </c>
      <c r="F2513" s="1">
        <f>IFERROR(__xludf.DUMMYFUNCTION("""COMPUTED_VALUE"""),340407.0)</f>
        <v>340407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IFERROR(__xludf.DUMMYFUNCTION("""COMPUTED_VALUE"""),4.5)</f>
        <v>4.5</v>
      </c>
      <c r="C2514" s="1">
        <f>IFERROR(__xludf.DUMMYFUNCTION("""COMPUTED_VALUE"""),4.53)</f>
        <v>4.53</v>
      </c>
      <c r="D2514" s="1">
        <f>IFERROR(__xludf.DUMMYFUNCTION("""COMPUTED_VALUE"""),4.5)</f>
        <v>4.5</v>
      </c>
      <c r="E2514" s="1">
        <f>IFERROR(__xludf.DUMMYFUNCTION("""COMPUTED_VALUE"""),4.51)</f>
        <v>4.51</v>
      </c>
      <c r="F2514" s="1">
        <f>IFERROR(__xludf.DUMMYFUNCTION("""COMPUTED_VALUE"""),540191.0)</f>
        <v>540191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IFERROR(__xludf.DUMMYFUNCTION("""COMPUTED_VALUE"""),4.54)</f>
        <v>4.54</v>
      </c>
      <c r="C2515" s="1">
        <f>IFERROR(__xludf.DUMMYFUNCTION("""COMPUTED_VALUE"""),4.56)</f>
        <v>4.56</v>
      </c>
      <c r="D2515" s="1">
        <f>IFERROR(__xludf.DUMMYFUNCTION("""COMPUTED_VALUE"""),4.52)</f>
        <v>4.52</v>
      </c>
      <c r="E2515" s="1">
        <f>IFERROR(__xludf.DUMMYFUNCTION("""COMPUTED_VALUE"""),4.55)</f>
        <v>4.55</v>
      </c>
      <c r="F2515" s="1">
        <f>IFERROR(__xludf.DUMMYFUNCTION("""COMPUTED_VALUE"""),2334813.0)</f>
        <v>2334813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IFERROR(__xludf.DUMMYFUNCTION("""COMPUTED_VALUE"""),4.58)</f>
        <v>4.58</v>
      </c>
      <c r="C2516" s="1">
        <f>IFERROR(__xludf.DUMMYFUNCTION("""COMPUTED_VALUE"""),4.58)</f>
        <v>4.58</v>
      </c>
      <c r="D2516" s="1">
        <f>IFERROR(__xludf.DUMMYFUNCTION("""COMPUTED_VALUE"""),4.55)</f>
        <v>4.55</v>
      </c>
      <c r="E2516" s="1">
        <f>IFERROR(__xludf.DUMMYFUNCTION("""COMPUTED_VALUE"""),4.56)</f>
        <v>4.56</v>
      </c>
      <c r="F2516" s="1">
        <f>IFERROR(__xludf.DUMMYFUNCTION("""COMPUTED_VALUE"""),1523905.0)</f>
        <v>1523905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IFERROR(__xludf.DUMMYFUNCTION("""COMPUTED_VALUE"""),4.55)</f>
        <v>4.55</v>
      </c>
      <c r="C2517" s="1">
        <f>IFERROR(__xludf.DUMMYFUNCTION("""COMPUTED_VALUE"""),4.55)</f>
        <v>4.55</v>
      </c>
      <c r="D2517" s="1">
        <f>IFERROR(__xludf.DUMMYFUNCTION("""COMPUTED_VALUE"""),4.52)</f>
        <v>4.52</v>
      </c>
      <c r="E2517" s="1">
        <f>IFERROR(__xludf.DUMMYFUNCTION("""COMPUTED_VALUE"""),4.53)</f>
        <v>4.53</v>
      </c>
      <c r="F2517" s="1">
        <f>IFERROR(__xludf.DUMMYFUNCTION("""COMPUTED_VALUE"""),727060.0)</f>
        <v>727060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IFERROR(__xludf.DUMMYFUNCTION("""COMPUTED_VALUE"""),4.59)</f>
        <v>4.59</v>
      </c>
      <c r="C2518" s="1">
        <f>IFERROR(__xludf.DUMMYFUNCTION("""COMPUTED_VALUE"""),4.6)</f>
        <v>4.6</v>
      </c>
      <c r="D2518" s="1">
        <f>IFERROR(__xludf.DUMMYFUNCTION("""COMPUTED_VALUE"""),4.56)</f>
        <v>4.56</v>
      </c>
      <c r="E2518" s="1">
        <f>IFERROR(__xludf.DUMMYFUNCTION("""COMPUTED_VALUE"""),4.6)</f>
        <v>4.6</v>
      </c>
      <c r="F2518" s="1">
        <f>IFERROR(__xludf.DUMMYFUNCTION("""COMPUTED_VALUE"""),1410337.0)</f>
        <v>1410337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IFERROR(__xludf.DUMMYFUNCTION("""COMPUTED_VALUE"""),4.53)</f>
        <v>4.53</v>
      </c>
      <c r="C2519" s="1">
        <f>IFERROR(__xludf.DUMMYFUNCTION("""COMPUTED_VALUE"""),4.54)</f>
        <v>4.54</v>
      </c>
      <c r="D2519" s="1">
        <f>IFERROR(__xludf.DUMMYFUNCTION("""COMPUTED_VALUE"""),4.49)</f>
        <v>4.49</v>
      </c>
      <c r="E2519" s="1">
        <f>IFERROR(__xludf.DUMMYFUNCTION("""COMPUTED_VALUE"""),4.52)</f>
        <v>4.52</v>
      </c>
      <c r="F2519" s="1">
        <f>IFERROR(__xludf.DUMMYFUNCTION("""COMPUTED_VALUE"""),2005803.0)</f>
        <v>2005803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IFERROR(__xludf.DUMMYFUNCTION("""COMPUTED_VALUE"""),4.35)</f>
        <v>4.35</v>
      </c>
      <c r="C2520" s="1">
        <f>IFERROR(__xludf.DUMMYFUNCTION("""COMPUTED_VALUE"""),4.42)</f>
        <v>4.42</v>
      </c>
      <c r="D2520" s="1">
        <f>IFERROR(__xludf.DUMMYFUNCTION("""COMPUTED_VALUE"""),4.34)</f>
        <v>4.34</v>
      </c>
      <c r="E2520" s="1">
        <f>IFERROR(__xludf.DUMMYFUNCTION("""COMPUTED_VALUE"""),4.42)</f>
        <v>4.42</v>
      </c>
      <c r="F2520" s="1">
        <f>IFERROR(__xludf.DUMMYFUNCTION("""COMPUTED_VALUE"""),1469205.0)</f>
        <v>1469205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IFERROR(__xludf.DUMMYFUNCTION("""COMPUTED_VALUE"""),4.46)</f>
        <v>4.46</v>
      </c>
      <c r="C2521" s="1">
        <f>IFERROR(__xludf.DUMMYFUNCTION("""COMPUTED_VALUE"""),4.46)</f>
        <v>4.46</v>
      </c>
      <c r="D2521" s="1">
        <f>IFERROR(__xludf.DUMMYFUNCTION("""COMPUTED_VALUE"""),4.43)</f>
        <v>4.43</v>
      </c>
      <c r="E2521" s="1">
        <f>IFERROR(__xludf.DUMMYFUNCTION("""COMPUTED_VALUE"""),4.43)</f>
        <v>4.43</v>
      </c>
      <c r="F2521" s="1">
        <f>IFERROR(__xludf.DUMMYFUNCTION("""COMPUTED_VALUE"""),997371.0)</f>
        <v>997371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IFERROR(__xludf.DUMMYFUNCTION("""COMPUTED_VALUE"""),4.47)</f>
        <v>4.47</v>
      </c>
      <c r="C2522" s="1">
        <f>IFERROR(__xludf.DUMMYFUNCTION("""COMPUTED_VALUE"""),4.5)</f>
        <v>4.5</v>
      </c>
      <c r="D2522" s="1">
        <f>IFERROR(__xludf.DUMMYFUNCTION("""COMPUTED_VALUE"""),4.46)</f>
        <v>4.46</v>
      </c>
      <c r="E2522" s="1">
        <f>IFERROR(__xludf.DUMMYFUNCTION("""COMPUTED_VALUE"""),4.48)</f>
        <v>4.48</v>
      </c>
      <c r="F2522" s="1">
        <f>IFERROR(__xludf.DUMMYFUNCTION("""COMPUTED_VALUE"""),956669.0)</f>
        <v>956669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IFERROR(__xludf.DUMMYFUNCTION("""COMPUTED_VALUE"""),4.46)</f>
        <v>4.46</v>
      </c>
      <c r="C2523" s="1">
        <f>IFERROR(__xludf.DUMMYFUNCTION("""COMPUTED_VALUE"""),4.47)</f>
        <v>4.47</v>
      </c>
      <c r="D2523" s="1">
        <f>IFERROR(__xludf.DUMMYFUNCTION("""COMPUTED_VALUE"""),4.43)</f>
        <v>4.43</v>
      </c>
      <c r="E2523" s="1">
        <f>IFERROR(__xludf.DUMMYFUNCTION("""COMPUTED_VALUE"""),4.46)</f>
        <v>4.46</v>
      </c>
      <c r="F2523" s="1">
        <f>IFERROR(__xludf.DUMMYFUNCTION("""COMPUTED_VALUE"""),1046286.0)</f>
        <v>1046286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IFERROR(__xludf.DUMMYFUNCTION("""COMPUTED_VALUE"""),4.45)</f>
        <v>4.45</v>
      </c>
      <c r="C2524" s="1">
        <f>IFERROR(__xludf.DUMMYFUNCTION("""COMPUTED_VALUE"""),4.46)</f>
        <v>4.46</v>
      </c>
      <c r="D2524" s="1">
        <f>IFERROR(__xludf.DUMMYFUNCTION("""COMPUTED_VALUE"""),4.41)</f>
        <v>4.41</v>
      </c>
      <c r="E2524" s="1">
        <f>IFERROR(__xludf.DUMMYFUNCTION("""COMPUTED_VALUE"""),4.41)</f>
        <v>4.41</v>
      </c>
      <c r="F2524" s="1">
        <f>IFERROR(__xludf.DUMMYFUNCTION("""COMPUTED_VALUE"""),1097127.0)</f>
        <v>1097127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IFERROR(__xludf.DUMMYFUNCTION("""COMPUTED_VALUE"""),4.41)</f>
        <v>4.41</v>
      </c>
      <c r="C2525" s="1">
        <f>IFERROR(__xludf.DUMMYFUNCTION("""COMPUTED_VALUE"""),4.45)</f>
        <v>4.45</v>
      </c>
      <c r="D2525" s="1">
        <f>IFERROR(__xludf.DUMMYFUNCTION("""COMPUTED_VALUE"""),4.4)</f>
        <v>4.4</v>
      </c>
      <c r="E2525" s="1">
        <f>IFERROR(__xludf.DUMMYFUNCTION("""COMPUTED_VALUE"""),4.45)</f>
        <v>4.45</v>
      </c>
      <c r="F2525" s="1">
        <f>IFERROR(__xludf.DUMMYFUNCTION("""COMPUTED_VALUE"""),866167.0)</f>
        <v>866167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IFERROR(__xludf.DUMMYFUNCTION("""COMPUTED_VALUE"""),4.44)</f>
        <v>4.44</v>
      </c>
      <c r="C2526" s="1">
        <f>IFERROR(__xludf.DUMMYFUNCTION("""COMPUTED_VALUE"""),4.44)</f>
        <v>4.44</v>
      </c>
      <c r="D2526" s="1">
        <f>IFERROR(__xludf.DUMMYFUNCTION("""COMPUTED_VALUE"""),4.41)</f>
        <v>4.41</v>
      </c>
      <c r="E2526" s="1">
        <f>IFERROR(__xludf.DUMMYFUNCTION("""COMPUTED_VALUE"""),4.41)</f>
        <v>4.41</v>
      </c>
      <c r="F2526" s="1">
        <f>IFERROR(__xludf.DUMMYFUNCTION("""COMPUTED_VALUE"""),658709.0)</f>
        <v>658709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IFERROR(__xludf.DUMMYFUNCTION("""COMPUTED_VALUE"""),4.39)</f>
        <v>4.39</v>
      </c>
      <c r="C2527" s="1">
        <f>IFERROR(__xludf.DUMMYFUNCTION("""COMPUTED_VALUE"""),4.4)</f>
        <v>4.4</v>
      </c>
      <c r="D2527" s="1">
        <f>IFERROR(__xludf.DUMMYFUNCTION("""COMPUTED_VALUE"""),4.35)</f>
        <v>4.35</v>
      </c>
      <c r="E2527" s="1">
        <f>IFERROR(__xludf.DUMMYFUNCTION("""COMPUTED_VALUE"""),4.35)</f>
        <v>4.35</v>
      </c>
      <c r="F2527" s="1">
        <f>IFERROR(__xludf.DUMMYFUNCTION("""COMPUTED_VALUE"""),1031952.0)</f>
        <v>1031952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IFERROR(__xludf.DUMMYFUNCTION("""COMPUTED_VALUE"""),4.37)</f>
        <v>4.37</v>
      </c>
      <c r="C2528" s="1">
        <f>IFERROR(__xludf.DUMMYFUNCTION("""COMPUTED_VALUE"""),4.39)</f>
        <v>4.39</v>
      </c>
      <c r="D2528" s="1">
        <f>IFERROR(__xludf.DUMMYFUNCTION("""COMPUTED_VALUE"""),4.36)</f>
        <v>4.36</v>
      </c>
      <c r="E2528" s="1">
        <f>IFERROR(__xludf.DUMMYFUNCTION("""COMPUTED_VALUE"""),4.39)</f>
        <v>4.39</v>
      </c>
      <c r="F2528" s="1">
        <f>IFERROR(__xludf.DUMMYFUNCTION("""COMPUTED_VALUE"""),689099.0)</f>
        <v>689099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IFERROR(__xludf.DUMMYFUNCTION("""COMPUTED_VALUE"""),4.39)</f>
        <v>4.39</v>
      </c>
      <c r="C2529" s="1">
        <f>IFERROR(__xludf.DUMMYFUNCTION("""COMPUTED_VALUE"""),4.39)</f>
        <v>4.39</v>
      </c>
      <c r="D2529" s="1">
        <f>IFERROR(__xludf.DUMMYFUNCTION("""COMPUTED_VALUE"""),4.36)</f>
        <v>4.36</v>
      </c>
      <c r="E2529" s="1">
        <f>IFERROR(__xludf.DUMMYFUNCTION("""COMPUTED_VALUE"""),4.37)</f>
        <v>4.37</v>
      </c>
      <c r="F2529" s="1">
        <f>IFERROR(__xludf.DUMMYFUNCTION("""COMPUTED_VALUE"""),577044.0)</f>
        <v>577044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IFERROR(__xludf.DUMMYFUNCTION("""COMPUTED_VALUE"""),4.36)</f>
        <v>4.36</v>
      </c>
      <c r="C2530" s="1">
        <f>IFERROR(__xludf.DUMMYFUNCTION("""COMPUTED_VALUE"""),4.36)</f>
        <v>4.36</v>
      </c>
      <c r="D2530" s="1">
        <f>IFERROR(__xludf.DUMMYFUNCTION("""COMPUTED_VALUE"""),4.31)</f>
        <v>4.31</v>
      </c>
      <c r="E2530" s="1">
        <f>IFERROR(__xludf.DUMMYFUNCTION("""COMPUTED_VALUE"""),4.31)</f>
        <v>4.31</v>
      </c>
      <c r="F2530" s="1">
        <f>IFERROR(__xludf.DUMMYFUNCTION("""COMPUTED_VALUE"""),1186534.0)</f>
        <v>1186534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IFERROR(__xludf.DUMMYFUNCTION("""COMPUTED_VALUE"""),4.26)</f>
        <v>4.26</v>
      </c>
      <c r="C2531" s="1">
        <f>IFERROR(__xludf.DUMMYFUNCTION("""COMPUTED_VALUE"""),4.28)</f>
        <v>4.28</v>
      </c>
      <c r="D2531" s="1">
        <f>IFERROR(__xludf.DUMMYFUNCTION("""COMPUTED_VALUE"""),4.25)</f>
        <v>4.25</v>
      </c>
      <c r="E2531" s="1">
        <f>IFERROR(__xludf.DUMMYFUNCTION("""COMPUTED_VALUE"""),4.26)</f>
        <v>4.26</v>
      </c>
      <c r="F2531" s="1">
        <f>IFERROR(__xludf.DUMMYFUNCTION("""COMPUTED_VALUE"""),1072534.0)</f>
        <v>1072534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IFERROR(__xludf.DUMMYFUNCTION("""COMPUTED_VALUE"""),4.25)</f>
        <v>4.25</v>
      </c>
      <c r="C2532" s="1">
        <f>IFERROR(__xludf.DUMMYFUNCTION("""COMPUTED_VALUE"""),4.26)</f>
        <v>4.26</v>
      </c>
      <c r="D2532" s="1">
        <f>IFERROR(__xludf.DUMMYFUNCTION("""COMPUTED_VALUE"""),4.18)</f>
        <v>4.18</v>
      </c>
      <c r="E2532" s="1">
        <f>IFERROR(__xludf.DUMMYFUNCTION("""COMPUTED_VALUE"""),4.25)</f>
        <v>4.25</v>
      </c>
      <c r="F2532" s="1">
        <f>IFERROR(__xludf.DUMMYFUNCTION("""COMPUTED_VALUE"""),2086372.0)</f>
        <v>2086372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IFERROR(__xludf.DUMMYFUNCTION("""COMPUTED_VALUE"""),4.27)</f>
        <v>4.27</v>
      </c>
      <c r="C2533" s="1">
        <f>IFERROR(__xludf.DUMMYFUNCTION("""COMPUTED_VALUE"""),4.27)</f>
        <v>4.27</v>
      </c>
      <c r="D2533" s="1">
        <f>IFERROR(__xludf.DUMMYFUNCTION("""COMPUTED_VALUE"""),4.21)</f>
        <v>4.21</v>
      </c>
      <c r="E2533" s="1">
        <f>IFERROR(__xludf.DUMMYFUNCTION("""COMPUTED_VALUE"""),4.22)</f>
        <v>4.22</v>
      </c>
      <c r="F2533" s="1">
        <f>IFERROR(__xludf.DUMMYFUNCTION("""COMPUTED_VALUE"""),1739119.0)</f>
        <v>1739119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IFERROR(__xludf.DUMMYFUNCTION("""COMPUTED_VALUE"""),4.09)</f>
        <v>4.09</v>
      </c>
      <c r="C2534" s="1">
        <f>IFERROR(__xludf.DUMMYFUNCTION("""COMPUTED_VALUE"""),4.12)</f>
        <v>4.12</v>
      </c>
      <c r="D2534" s="1">
        <f>IFERROR(__xludf.DUMMYFUNCTION("""COMPUTED_VALUE"""),4.07)</f>
        <v>4.07</v>
      </c>
      <c r="E2534" s="1">
        <f>IFERROR(__xludf.DUMMYFUNCTION("""COMPUTED_VALUE"""),4.07)</f>
        <v>4.07</v>
      </c>
      <c r="F2534" s="1">
        <f>IFERROR(__xludf.DUMMYFUNCTION("""COMPUTED_VALUE"""),1509714.0)</f>
        <v>1509714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IFERROR(__xludf.DUMMYFUNCTION("""COMPUTED_VALUE"""),4.1)</f>
        <v>4.1</v>
      </c>
      <c r="C2535" s="1">
        <f>IFERROR(__xludf.DUMMYFUNCTION("""COMPUTED_VALUE"""),4.13)</f>
        <v>4.13</v>
      </c>
      <c r="D2535" s="1">
        <f>IFERROR(__xludf.DUMMYFUNCTION("""COMPUTED_VALUE"""),4.08)</f>
        <v>4.08</v>
      </c>
      <c r="E2535" s="1">
        <f>IFERROR(__xludf.DUMMYFUNCTION("""COMPUTED_VALUE"""),4.11)</f>
        <v>4.11</v>
      </c>
      <c r="F2535" s="1">
        <f>IFERROR(__xludf.DUMMYFUNCTION("""COMPUTED_VALUE"""),1247850.0)</f>
        <v>1247850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IFERROR(__xludf.DUMMYFUNCTION("""COMPUTED_VALUE"""),4.1)</f>
        <v>4.1</v>
      </c>
      <c r="C2536" s="1">
        <f>IFERROR(__xludf.DUMMYFUNCTION("""COMPUTED_VALUE"""),4.12)</f>
        <v>4.12</v>
      </c>
      <c r="D2536" s="1">
        <f>IFERROR(__xludf.DUMMYFUNCTION("""COMPUTED_VALUE"""),4.08)</f>
        <v>4.08</v>
      </c>
      <c r="E2536" s="1">
        <f>IFERROR(__xludf.DUMMYFUNCTION("""COMPUTED_VALUE"""),4.09)</f>
        <v>4.09</v>
      </c>
      <c r="F2536" s="1">
        <f>IFERROR(__xludf.DUMMYFUNCTION("""COMPUTED_VALUE"""),1565780.0)</f>
        <v>1565780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IFERROR(__xludf.DUMMYFUNCTION("""COMPUTED_VALUE"""),4.07)</f>
        <v>4.07</v>
      </c>
      <c r="C2537" s="1">
        <f>IFERROR(__xludf.DUMMYFUNCTION("""COMPUTED_VALUE"""),4.13)</f>
        <v>4.13</v>
      </c>
      <c r="D2537" s="1">
        <f>IFERROR(__xludf.DUMMYFUNCTION("""COMPUTED_VALUE"""),4.05)</f>
        <v>4.05</v>
      </c>
      <c r="E2537" s="1">
        <f>IFERROR(__xludf.DUMMYFUNCTION("""COMPUTED_VALUE"""),4.13)</f>
        <v>4.13</v>
      </c>
      <c r="F2537" s="1">
        <f>IFERROR(__xludf.DUMMYFUNCTION("""COMPUTED_VALUE"""),1260894.0)</f>
        <v>1260894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IFERROR(__xludf.DUMMYFUNCTION("""COMPUTED_VALUE"""),4.06)</f>
        <v>4.06</v>
      </c>
      <c r="C2538" s="1">
        <f>IFERROR(__xludf.DUMMYFUNCTION("""COMPUTED_VALUE"""),4.07)</f>
        <v>4.07</v>
      </c>
      <c r="D2538" s="1">
        <f>IFERROR(__xludf.DUMMYFUNCTION("""COMPUTED_VALUE"""),4.01)</f>
        <v>4.01</v>
      </c>
      <c r="E2538" s="1">
        <f>IFERROR(__xludf.DUMMYFUNCTION("""COMPUTED_VALUE"""),4.01)</f>
        <v>4.01</v>
      </c>
      <c r="F2538" s="1">
        <f>IFERROR(__xludf.DUMMYFUNCTION("""COMPUTED_VALUE"""),1606465.0)</f>
        <v>1606465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IFERROR(__xludf.DUMMYFUNCTION("""COMPUTED_VALUE"""),4.04)</f>
        <v>4.04</v>
      </c>
      <c r="C2539" s="1">
        <f>IFERROR(__xludf.DUMMYFUNCTION("""COMPUTED_VALUE"""),4.09)</f>
        <v>4.09</v>
      </c>
      <c r="D2539" s="1">
        <f>IFERROR(__xludf.DUMMYFUNCTION("""COMPUTED_VALUE"""),4.04)</f>
        <v>4.04</v>
      </c>
      <c r="E2539" s="1">
        <f>IFERROR(__xludf.DUMMYFUNCTION("""COMPUTED_VALUE"""),4.04)</f>
        <v>4.04</v>
      </c>
      <c r="F2539" s="1">
        <f>IFERROR(__xludf.DUMMYFUNCTION("""COMPUTED_VALUE"""),1322312.0)</f>
        <v>1322312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IFERROR(__xludf.DUMMYFUNCTION("""COMPUTED_VALUE"""),4.16)</f>
        <v>4.16</v>
      </c>
      <c r="C2540" s="1">
        <f>IFERROR(__xludf.DUMMYFUNCTION("""COMPUTED_VALUE"""),4.18)</f>
        <v>4.18</v>
      </c>
      <c r="D2540" s="1">
        <f>IFERROR(__xludf.DUMMYFUNCTION("""COMPUTED_VALUE"""),4.14)</f>
        <v>4.14</v>
      </c>
      <c r="E2540" s="1">
        <f>IFERROR(__xludf.DUMMYFUNCTION("""COMPUTED_VALUE"""),4.16)</f>
        <v>4.16</v>
      </c>
      <c r="F2540" s="1">
        <f>IFERROR(__xludf.DUMMYFUNCTION("""COMPUTED_VALUE"""),2481474.0)</f>
        <v>2481474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IFERROR(__xludf.DUMMYFUNCTION("""COMPUTED_VALUE"""),4.23)</f>
        <v>4.23</v>
      </c>
      <c r="C2541" s="1">
        <f>IFERROR(__xludf.DUMMYFUNCTION("""COMPUTED_VALUE"""),4.27)</f>
        <v>4.27</v>
      </c>
      <c r="D2541" s="1">
        <f>IFERROR(__xludf.DUMMYFUNCTION("""COMPUTED_VALUE"""),4.22)</f>
        <v>4.22</v>
      </c>
      <c r="E2541" s="1">
        <f>IFERROR(__xludf.DUMMYFUNCTION("""COMPUTED_VALUE"""),4.24)</f>
        <v>4.24</v>
      </c>
      <c r="F2541" s="1">
        <f>IFERROR(__xludf.DUMMYFUNCTION("""COMPUTED_VALUE"""),1722164.0)</f>
        <v>1722164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IFERROR(__xludf.DUMMYFUNCTION("""COMPUTED_VALUE"""),4.32)</f>
        <v>4.32</v>
      </c>
      <c r="C2542" s="1">
        <f>IFERROR(__xludf.DUMMYFUNCTION("""COMPUTED_VALUE"""),4.34)</f>
        <v>4.34</v>
      </c>
      <c r="D2542" s="1">
        <f>IFERROR(__xludf.DUMMYFUNCTION("""COMPUTED_VALUE"""),4.25)</f>
        <v>4.25</v>
      </c>
      <c r="E2542" s="1">
        <f>IFERROR(__xludf.DUMMYFUNCTION("""COMPUTED_VALUE"""),4.28)</f>
        <v>4.28</v>
      </c>
      <c r="F2542" s="1">
        <f>IFERROR(__xludf.DUMMYFUNCTION("""COMPUTED_VALUE"""),3004841.0)</f>
        <v>3004841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IFERROR(__xludf.DUMMYFUNCTION("""COMPUTED_VALUE"""),4.24)</f>
        <v>4.24</v>
      </c>
      <c r="C2543" s="1">
        <f>IFERROR(__xludf.DUMMYFUNCTION("""COMPUTED_VALUE"""),4.27)</f>
        <v>4.27</v>
      </c>
      <c r="D2543" s="1">
        <f>IFERROR(__xludf.DUMMYFUNCTION("""COMPUTED_VALUE"""),4.22)</f>
        <v>4.22</v>
      </c>
      <c r="E2543" s="1">
        <f>IFERROR(__xludf.DUMMYFUNCTION("""COMPUTED_VALUE"""),4.25)</f>
        <v>4.25</v>
      </c>
      <c r="F2543" s="1">
        <f>IFERROR(__xludf.DUMMYFUNCTION("""COMPUTED_VALUE"""),943875.0)</f>
        <v>943875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IFERROR(__xludf.DUMMYFUNCTION("""COMPUTED_VALUE"""),4.24)</f>
        <v>4.24</v>
      </c>
      <c r="C2544" s="1">
        <f>IFERROR(__xludf.DUMMYFUNCTION("""COMPUTED_VALUE"""),4.25)</f>
        <v>4.25</v>
      </c>
      <c r="D2544" s="1">
        <f>IFERROR(__xludf.DUMMYFUNCTION("""COMPUTED_VALUE"""),4.22)</f>
        <v>4.22</v>
      </c>
      <c r="E2544" s="1">
        <f>IFERROR(__xludf.DUMMYFUNCTION("""COMPUTED_VALUE"""),4.25)</f>
        <v>4.25</v>
      </c>
      <c r="F2544" s="1">
        <f>IFERROR(__xludf.DUMMYFUNCTION("""COMPUTED_VALUE"""),660480.0)</f>
        <v>660480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IFERROR(__xludf.DUMMYFUNCTION("""COMPUTED_VALUE"""),4.28)</f>
        <v>4.28</v>
      </c>
      <c r="C2545" s="1">
        <f>IFERROR(__xludf.DUMMYFUNCTION("""COMPUTED_VALUE"""),4.31)</f>
        <v>4.31</v>
      </c>
      <c r="D2545" s="1">
        <f>IFERROR(__xludf.DUMMYFUNCTION("""COMPUTED_VALUE"""),4.28)</f>
        <v>4.28</v>
      </c>
      <c r="E2545" s="1">
        <f>IFERROR(__xludf.DUMMYFUNCTION("""COMPUTED_VALUE"""),4.29)</f>
        <v>4.29</v>
      </c>
      <c r="F2545" s="1">
        <f>IFERROR(__xludf.DUMMYFUNCTION("""COMPUTED_VALUE"""),821798.0)</f>
        <v>821798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IFERROR(__xludf.DUMMYFUNCTION("""COMPUTED_VALUE"""),4.35)</f>
        <v>4.35</v>
      </c>
      <c r="C2546" s="1">
        <f>IFERROR(__xludf.DUMMYFUNCTION("""COMPUTED_VALUE"""),4.38)</f>
        <v>4.38</v>
      </c>
      <c r="D2546" s="1">
        <f>IFERROR(__xludf.DUMMYFUNCTION("""COMPUTED_VALUE"""),4.3)</f>
        <v>4.3</v>
      </c>
      <c r="E2546" s="1">
        <f>IFERROR(__xludf.DUMMYFUNCTION("""COMPUTED_VALUE"""),4.32)</f>
        <v>4.32</v>
      </c>
      <c r="F2546" s="1">
        <f>IFERROR(__xludf.DUMMYFUNCTION("""COMPUTED_VALUE"""),1305121.0)</f>
        <v>1305121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IFERROR(__xludf.DUMMYFUNCTION("""COMPUTED_VALUE"""),4.05)</f>
        <v>4.05</v>
      </c>
      <c r="C2547" s="1">
        <f>IFERROR(__xludf.DUMMYFUNCTION("""COMPUTED_VALUE"""),4.1)</f>
        <v>4.1</v>
      </c>
      <c r="D2547" s="1">
        <f>IFERROR(__xludf.DUMMYFUNCTION("""COMPUTED_VALUE"""),4.04)</f>
        <v>4.04</v>
      </c>
      <c r="E2547" s="1">
        <f>IFERROR(__xludf.DUMMYFUNCTION("""COMPUTED_VALUE"""),4.07)</f>
        <v>4.07</v>
      </c>
      <c r="F2547" s="1">
        <f>IFERROR(__xludf.DUMMYFUNCTION("""COMPUTED_VALUE"""),2838245.0)</f>
        <v>2838245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IFERROR(__xludf.DUMMYFUNCTION("""COMPUTED_VALUE"""),4.15)</f>
        <v>4.15</v>
      </c>
      <c r="C2548" s="1">
        <f>IFERROR(__xludf.DUMMYFUNCTION("""COMPUTED_VALUE"""),4.15)</f>
        <v>4.15</v>
      </c>
      <c r="D2548" s="1">
        <f>IFERROR(__xludf.DUMMYFUNCTION("""COMPUTED_VALUE"""),4.08)</f>
        <v>4.08</v>
      </c>
      <c r="E2548" s="1">
        <f>IFERROR(__xludf.DUMMYFUNCTION("""COMPUTED_VALUE"""),4.12)</f>
        <v>4.12</v>
      </c>
      <c r="F2548" s="1">
        <f>IFERROR(__xludf.DUMMYFUNCTION("""COMPUTED_VALUE"""),2063354.0)</f>
        <v>2063354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IFERROR(__xludf.DUMMYFUNCTION("""COMPUTED_VALUE"""),4.04)</f>
        <v>4.04</v>
      </c>
      <c r="C2549" s="1">
        <f>IFERROR(__xludf.DUMMYFUNCTION("""COMPUTED_VALUE"""),4.05)</f>
        <v>4.05</v>
      </c>
      <c r="D2549" s="1">
        <f>IFERROR(__xludf.DUMMYFUNCTION("""COMPUTED_VALUE"""),4.01)</f>
        <v>4.01</v>
      </c>
      <c r="E2549" s="1">
        <f>IFERROR(__xludf.DUMMYFUNCTION("""COMPUTED_VALUE"""),4.03)</f>
        <v>4.03</v>
      </c>
      <c r="F2549" s="1">
        <f>IFERROR(__xludf.DUMMYFUNCTION("""COMPUTED_VALUE"""),1229217.0)</f>
        <v>1229217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IFERROR(__xludf.DUMMYFUNCTION("""COMPUTED_VALUE"""),4.06)</f>
        <v>4.06</v>
      </c>
      <c r="C2550" s="1">
        <f>IFERROR(__xludf.DUMMYFUNCTION("""COMPUTED_VALUE"""),4.06)</f>
        <v>4.06</v>
      </c>
      <c r="D2550" s="1">
        <f>IFERROR(__xludf.DUMMYFUNCTION("""COMPUTED_VALUE"""),4.03)</f>
        <v>4.03</v>
      </c>
      <c r="E2550" s="1">
        <f>IFERROR(__xludf.DUMMYFUNCTION("""COMPUTED_VALUE"""),4.04)</f>
        <v>4.04</v>
      </c>
      <c r="F2550" s="1">
        <f>IFERROR(__xludf.DUMMYFUNCTION("""COMPUTED_VALUE"""),1164148.0)</f>
        <v>1164148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IFERROR(__xludf.DUMMYFUNCTION("""COMPUTED_VALUE"""),4.04)</f>
        <v>4.04</v>
      </c>
      <c r="C2551" s="1">
        <f>IFERROR(__xludf.DUMMYFUNCTION("""COMPUTED_VALUE"""),4.06)</f>
        <v>4.06</v>
      </c>
      <c r="D2551" s="1">
        <f>IFERROR(__xludf.DUMMYFUNCTION("""COMPUTED_VALUE"""),4.0)</f>
        <v>4</v>
      </c>
      <c r="E2551" s="1">
        <f>IFERROR(__xludf.DUMMYFUNCTION("""COMPUTED_VALUE"""),4.02)</f>
        <v>4.02</v>
      </c>
      <c r="F2551" s="1">
        <f>IFERROR(__xludf.DUMMYFUNCTION("""COMPUTED_VALUE"""),1598666.0)</f>
        <v>1598666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IFERROR(__xludf.DUMMYFUNCTION("""COMPUTED_VALUE"""),4.02)</f>
        <v>4.02</v>
      </c>
      <c r="C2552" s="1">
        <f>IFERROR(__xludf.DUMMYFUNCTION("""COMPUTED_VALUE"""),4.03)</f>
        <v>4.03</v>
      </c>
      <c r="D2552" s="1">
        <f>IFERROR(__xludf.DUMMYFUNCTION("""COMPUTED_VALUE"""),3.97)</f>
        <v>3.97</v>
      </c>
      <c r="E2552" s="1">
        <f>IFERROR(__xludf.DUMMYFUNCTION("""COMPUTED_VALUE"""),3.98)</f>
        <v>3.98</v>
      </c>
      <c r="F2552" s="1">
        <f>IFERROR(__xludf.DUMMYFUNCTION("""COMPUTED_VALUE"""),1431938.0)</f>
        <v>1431938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IFERROR(__xludf.DUMMYFUNCTION("""COMPUTED_VALUE"""),3.77)</f>
        <v>3.77</v>
      </c>
      <c r="C2553" s="1">
        <f>IFERROR(__xludf.DUMMYFUNCTION("""COMPUTED_VALUE"""),3.83)</f>
        <v>3.83</v>
      </c>
      <c r="D2553" s="1">
        <f>IFERROR(__xludf.DUMMYFUNCTION("""COMPUTED_VALUE"""),3.76)</f>
        <v>3.76</v>
      </c>
      <c r="E2553" s="1">
        <f>IFERROR(__xludf.DUMMYFUNCTION("""COMPUTED_VALUE"""),3.77)</f>
        <v>3.77</v>
      </c>
      <c r="F2553" s="1">
        <f>IFERROR(__xludf.DUMMYFUNCTION("""COMPUTED_VALUE"""),2738293.0)</f>
        <v>2738293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IFERROR(__xludf.DUMMYFUNCTION("""COMPUTED_VALUE"""),3.78)</f>
        <v>3.78</v>
      </c>
      <c r="C2554" s="1">
        <f>IFERROR(__xludf.DUMMYFUNCTION("""COMPUTED_VALUE"""),3.78)</f>
        <v>3.78</v>
      </c>
      <c r="D2554" s="1">
        <f>IFERROR(__xludf.DUMMYFUNCTION("""COMPUTED_VALUE"""),3.65)</f>
        <v>3.65</v>
      </c>
      <c r="E2554" s="1">
        <f>IFERROR(__xludf.DUMMYFUNCTION("""COMPUTED_VALUE"""),3.69)</f>
        <v>3.69</v>
      </c>
      <c r="F2554" s="1">
        <f>IFERROR(__xludf.DUMMYFUNCTION("""COMPUTED_VALUE"""),4315177.0)</f>
        <v>4315177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IFERROR(__xludf.DUMMYFUNCTION("""COMPUTED_VALUE"""),3.69)</f>
        <v>3.69</v>
      </c>
      <c r="C2555" s="1">
        <f>IFERROR(__xludf.DUMMYFUNCTION("""COMPUTED_VALUE"""),3.73)</f>
        <v>3.73</v>
      </c>
      <c r="D2555" s="1">
        <f>IFERROR(__xludf.DUMMYFUNCTION("""COMPUTED_VALUE"""),3.65)</f>
        <v>3.65</v>
      </c>
      <c r="E2555" s="1">
        <f>IFERROR(__xludf.DUMMYFUNCTION("""COMPUTED_VALUE"""),3.66)</f>
        <v>3.66</v>
      </c>
      <c r="F2555" s="1">
        <f>IFERROR(__xludf.DUMMYFUNCTION("""COMPUTED_VALUE"""),3100830.0)</f>
        <v>3100830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IFERROR(__xludf.DUMMYFUNCTION("""COMPUTED_VALUE"""),3.56)</f>
        <v>3.56</v>
      </c>
      <c r="C2556" s="1">
        <f>IFERROR(__xludf.DUMMYFUNCTION("""COMPUTED_VALUE"""),3.62)</f>
        <v>3.62</v>
      </c>
      <c r="D2556" s="1">
        <f>IFERROR(__xludf.DUMMYFUNCTION("""COMPUTED_VALUE"""),3.5)</f>
        <v>3.5</v>
      </c>
      <c r="E2556" s="1">
        <f>IFERROR(__xludf.DUMMYFUNCTION("""COMPUTED_VALUE"""),3.5)</f>
        <v>3.5</v>
      </c>
      <c r="F2556" s="1">
        <f>IFERROR(__xludf.DUMMYFUNCTION("""COMPUTED_VALUE"""),4100729.0)</f>
        <v>4100729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IFERROR(__xludf.DUMMYFUNCTION("""COMPUTED_VALUE"""),3.36)</f>
        <v>3.36</v>
      </c>
      <c r="C2557" s="1">
        <f>IFERROR(__xludf.DUMMYFUNCTION("""COMPUTED_VALUE"""),3.4)</f>
        <v>3.4</v>
      </c>
      <c r="D2557" s="1">
        <f>IFERROR(__xludf.DUMMYFUNCTION("""COMPUTED_VALUE"""),3.31)</f>
        <v>3.31</v>
      </c>
      <c r="E2557" s="1">
        <f>IFERROR(__xludf.DUMMYFUNCTION("""COMPUTED_VALUE"""),3.38)</f>
        <v>3.38</v>
      </c>
      <c r="F2557" s="1">
        <f>IFERROR(__xludf.DUMMYFUNCTION("""COMPUTED_VALUE"""),7372333.0)</f>
        <v>7372333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IFERROR(__xludf.DUMMYFUNCTION("""COMPUTED_VALUE"""),3.37)</f>
        <v>3.37</v>
      </c>
      <c r="C2558" s="1">
        <f>IFERROR(__xludf.DUMMYFUNCTION("""COMPUTED_VALUE"""),3.45)</f>
        <v>3.45</v>
      </c>
      <c r="D2558" s="1">
        <f>IFERROR(__xludf.DUMMYFUNCTION("""COMPUTED_VALUE"""),3.31)</f>
        <v>3.31</v>
      </c>
      <c r="E2558" s="1">
        <f>IFERROR(__xludf.DUMMYFUNCTION("""COMPUTED_VALUE"""),3.44)</f>
        <v>3.44</v>
      </c>
      <c r="F2558" s="1">
        <f>IFERROR(__xludf.DUMMYFUNCTION("""COMPUTED_VALUE"""),5706347.0)</f>
        <v>5706347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IFERROR(__xludf.DUMMYFUNCTION("""COMPUTED_VALUE"""),3.45)</f>
        <v>3.45</v>
      </c>
      <c r="C2559" s="1">
        <f>IFERROR(__xludf.DUMMYFUNCTION("""COMPUTED_VALUE"""),3.52)</f>
        <v>3.52</v>
      </c>
      <c r="D2559" s="1">
        <f>IFERROR(__xludf.DUMMYFUNCTION("""COMPUTED_VALUE"""),3.31)</f>
        <v>3.31</v>
      </c>
      <c r="E2559" s="1">
        <f>IFERROR(__xludf.DUMMYFUNCTION("""COMPUTED_VALUE"""),3.33)</f>
        <v>3.33</v>
      </c>
      <c r="F2559" s="1">
        <f>IFERROR(__xludf.DUMMYFUNCTION("""COMPUTED_VALUE"""),7659513.0)</f>
        <v>7659513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IFERROR(__xludf.DUMMYFUNCTION("""COMPUTED_VALUE"""),3.38)</f>
        <v>3.38</v>
      </c>
      <c r="C2560" s="1">
        <f>IFERROR(__xludf.DUMMYFUNCTION("""COMPUTED_VALUE"""),3.45)</f>
        <v>3.45</v>
      </c>
      <c r="D2560" s="1">
        <f>IFERROR(__xludf.DUMMYFUNCTION("""COMPUTED_VALUE"""),3.33)</f>
        <v>3.33</v>
      </c>
      <c r="E2560" s="1">
        <f>IFERROR(__xludf.DUMMYFUNCTION("""COMPUTED_VALUE"""),3.44)</f>
        <v>3.44</v>
      </c>
      <c r="F2560" s="1">
        <f>IFERROR(__xludf.DUMMYFUNCTION("""COMPUTED_VALUE"""),4224002.0)</f>
        <v>4224002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IFERROR(__xludf.DUMMYFUNCTION("""COMPUTED_VALUE"""),3.23)</f>
        <v>3.23</v>
      </c>
      <c r="C2561" s="1">
        <f>IFERROR(__xludf.DUMMYFUNCTION("""COMPUTED_VALUE"""),3.26)</f>
        <v>3.26</v>
      </c>
      <c r="D2561" s="1">
        <f>IFERROR(__xludf.DUMMYFUNCTION("""COMPUTED_VALUE"""),3.17)</f>
        <v>3.17</v>
      </c>
      <c r="E2561" s="1">
        <f>IFERROR(__xludf.DUMMYFUNCTION("""COMPUTED_VALUE"""),3.19)</f>
        <v>3.19</v>
      </c>
      <c r="F2561" s="1">
        <f>IFERROR(__xludf.DUMMYFUNCTION("""COMPUTED_VALUE"""),6470151.0)</f>
        <v>6470151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IFERROR(__xludf.DUMMYFUNCTION("""COMPUTED_VALUE"""),3.09)</f>
        <v>3.09</v>
      </c>
      <c r="C2562" s="1">
        <f>IFERROR(__xludf.DUMMYFUNCTION("""COMPUTED_VALUE"""),3.17)</f>
        <v>3.17</v>
      </c>
      <c r="D2562" s="1">
        <f>IFERROR(__xludf.DUMMYFUNCTION("""COMPUTED_VALUE"""),3.03)</f>
        <v>3.03</v>
      </c>
      <c r="E2562" s="1">
        <f>IFERROR(__xludf.DUMMYFUNCTION("""COMPUTED_VALUE"""),3.08)</f>
        <v>3.08</v>
      </c>
      <c r="F2562" s="1">
        <f>IFERROR(__xludf.DUMMYFUNCTION("""COMPUTED_VALUE"""),6901745.0)</f>
        <v>6901745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IFERROR(__xludf.DUMMYFUNCTION("""COMPUTED_VALUE"""),2.7)</f>
        <v>2.7</v>
      </c>
      <c r="C2563" s="1">
        <f>IFERROR(__xludf.DUMMYFUNCTION("""COMPUTED_VALUE"""),3.0)</f>
        <v>3</v>
      </c>
      <c r="D2563" s="1">
        <f>IFERROR(__xludf.DUMMYFUNCTION("""COMPUTED_VALUE"""),2.61)</f>
        <v>2.61</v>
      </c>
      <c r="E2563" s="1">
        <f>IFERROR(__xludf.DUMMYFUNCTION("""COMPUTED_VALUE"""),2.62)</f>
        <v>2.62</v>
      </c>
      <c r="F2563" s="1">
        <f>IFERROR(__xludf.DUMMYFUNCTION("""COMPUTED_VALUE"""),5403254.0)</f>
        <v>5403254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IFERROR(__xludf.DUMMYFUNCTION("""COMPUTED_VALUE"""),2.73)</f>
        <v>2.73</v>
      </c>
      <c r="C2564" s="1">
        <f>IFERROR(__xludf.DUMMYFUNCTION("""COMPUTED_VALUE"""),2.74)</f>
        <v>2.74</v>
      </c>
      <c r="D2564" s="1">
        <f>IFERROR(__xludf.DUMMYFUNCTION("""COMPUTED_VALUE"""),2.56)</f>
        <v>2.56</v>
      </c>
      <c r="E2564" s="1">
        <f>IFERROR(__xludf.DUMMYFUNCTION("""COMPUTED_VALUE"""),2.72)</f>
        <v>2.72</v>
      </c>
      <c r="F2564" s="1">
        <f>IFERROR(__xludf.DUMMYFUNCTION("""COMPUTED_VALUE"""),5940282.0)</f>
        <v>5940282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IFERROR(__xludf.DUMMYFUNCTION("""COMPUTED_VALUE"""),2.67)</f>
        <v>2.67</v>
      </c>
      <c r="C2565" s="1">
        <f>IFERROR(__xludf.DUMMYFUNCTION("""COMPUTED_VALUE"""),2.68)</f>
        <v>2.68</v>
      </c>
      <c r="D2565" s="1">
        <f>IFERROR(__xludf.DUMMYFUNCTION("""COMPUTED_VALUE"""),2.5)</f>
        <v>2.5</v>
      </c>
      <c r="E2565" s="1">
        <f>IFERROR(__xludf.DUMMYFUNCTION("""COMPUTED_VALUE"""),2.53)</f>
        <v>2.53</v>
      </c>
      <c r="F2565" s="1">
        <f>IFERROR(__xludf.DUMMYFUNCTION("""COMPUTED_VALUE"""),7677051.0)</f>
        <v>7677051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IFERROR(__xludf.DUMMYFUNCTION("""COMPUTED_VALUE"""),2.25)</f>
        <v>2.25</v>
      </c>
      <c r="C2566" s="1">
        <f>IFERROR(__xludf.DUMMYFUNCTION("""COMPUTED_VALUE"""),2.26)</f>
        <v>2.26</v>
      </c>
      <c r="D2566" s="1">
        <f>IFERROR(__xludf.DUMMYFUNCTION("""COMPUTED_VALUE"""),2.03)</f>
        <v>2.03</v>
      </c>
      <c r="E2566" s="1">
        <f>IFERROR(__xludf.DUMMYFUNCTION("""COMPUTED_VALUE"""),2.1)</f>
        <v>2.1</v>
      </c>
      <c r="F2566" s="1">
        <f>IFERROR(__xludf.DUMMYFUNCTION("""COMPUTED_VALUE"""),4821665.0)</f>
        <v>4821665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IFERROR(__xludf.DUMMYFUNCTION("""COMPUTED_VALUE"""),2.22)</f>
        <v>2.22</v>
      </c>
      <c r="C2567" s="1">
        <f>IFERROR(__xludf.DUMMYFUNCTION("""COMPUTED_VALUE"""),2.27)</f>
        <v>2.27</v>
      </c>
      <c r="D2567" s="1">
        <f>IFERROR(__xludf.DUMMYFUNCTION("""COMPUTED_VALUE"""),2.05)</f>
        <v>2.05</v>
      </c>
      <c r="E2567" s="1">
        <f>IFERROR(__xludf.DUMMYFUNCTION("""COMPUTED_VALUE"""),2.27)</f>
        <v>2.27</v>
      </c>
      <c r="F2567" s="1">
        <f>IFERROR(__xludf.DUMMYFUNCTION("""COMPUTED_VALUE"""),3922179.0)</f>
        <v>3922179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IFERROR(__xludf.DUMMYFUNCTION("""COMPUTED_VALUE"""),1.8)</f>
        <v>1.8</v>
      </c>
      <c r="C2568" s="1">
        <f>IFERROR(__xludf.DUMMYFUNCTION("""COMPUTED_VALUE"""),1.96)</f>
        <v>1.96</v>
      </c>
      <c r="D2568" s="1">
        <f>IFERROR(__xludf.DUMMYFUNCTION("""COMPUTED_VALUE"""),1.8)</f>
        <v>1.8</v>
      </c>
      <c r="E2568" s="1">
        <f>IFERROR(__xludf.DUMMYFUNCTION("""COMPUTED_VALUE"""),1.88)</f>
        <v>1.88</v>
      </c>
      <c r="F2568" s="1">
        <f>IFERROR(__xludf.DUMMYFUNCTION("""COMPUTED_VALUE"""),4583482.0)</f>
        <v>4583482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IFERROR(__xludf.DUMMYFUNCTION("""COMPUTED_VALUE"""),1.9)</f>
        <v>1.9</v>
      </c>
      <c r="C2569" s="1">
        <f>IFERROR(__xludf.DUMMYFUNCTION("""COMPUTED_VALUE"""),2.15)</f>
        <v>2.15</v>
      </c>
      <c r="D2569" s="1">
        <f>IFERROR(__xludf.DUMMYFUNCTION("""COMPUTED_VALUE"""),1.87)</f>
        <v>1.87</v>
      </c>
      <c r="E2569" s="1">
        <f>IFERROR(__xludf.DUMMYFUNCTION("""COMPUTED_VALUE"""),2.15)</f>
        <v>2.15</v>
      </c>
      <c r="F2569" s="1">
        <f>IFERROR(__xludf.DUMMYFUNCTION("""COMPUTED_VALUE"""),3617216.0)</f>
        <v>3617216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IFERROR(__xludf.DUMMYFUNCTION("""COMPUTED_VALUE"""),2.01)</f>
        <v>2.01</v>
      </c>
      <c r="C2570" s="1">
        <f>IFERROR(__xludf.DUMMYFUNCTION("""COMPUTED_VALUE"""),2.06)</f>
        <v>2.06</v>
      </c>
      <c r="D2570" s="1">
        <f>IFERROR(__xludf.DUMMYFUNCTION("""COMPUTED_VALUE"""),1.89)</f>
        <v>1.89</v>
      </c>
      <c r="E2570" s="1">
        <f>IFERROR(__xludf.DUMMYFUNCTION("""COMPUTED_VALUE"""),1.97)</f>
        <v>1.97</v>
      </c>
      <c r="F2570" s="1">
        <f>IFERROR(__xludf.DUMMYFUNCTION("""COMPUTED_VALUE"""),3775191.0)</f>
        <v>3775191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IFERROR(__xludf.DUMMYFUNCTION("""COMPUTED_VALUE"""),2.07)</f>
        <v>2.07</v>
      </c>
      <c r="C2571" s="1">
        <f>IFERROR(__xludf.DUMMYFUNCTION("""COMPUTED_VALUE"""),2.17)</f>
        <v>2.17</v>
      </c>
      <c r="D2571" s="1">
        <f>IFERROR(__xludf.DUMMYFUNCTION("""COMPUTED_VALUE"""),2.02)</f>
        <v>2.02</v>
      </c>
      <c r="E2571" s="1">
        <f>IFERROR(__xludf.DUMMYFUNCTION("""COMPUTED_VALUE"""),2.13)</f>
        <v>2.13</v>
      </c>
      <c r="F2571" s="1">
        <f>IFERROR(__xludf.DUMMYFUNCTION("""COMPUTED_VALUE"""),2817833.0)</f>
        <v>2817833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IFERROR(__xludf.DUMMYFUNCTION("""COMPUTED_VALUE"""),2.42)</f>
        <v>2.42</v>
      </c>
      <c r="C2572" s="1">
        <f>IFERROR(__xludf.DUMMYFUNCTION("""COMPUTED_VALUE"""),2.5)</f>
        <v>2.5</v>
      </c>
      <c r="D2572" s="1">
        <f>IFERROR(__xludf.DUMMYFUNCTION("""COMPUTED_VALUE"""),2.28)</f>
        <v>2.28</v>
      </c>
      <c r="E2572" s="1">
        <f>IFERROR(__xludf.DUMMYFUNCTION("""COMPUTED_VALUE"""),2.38)</f>
        <v>2.38</v>
      </c>
      <c r="F2572" s="1">
        <f>IFERROR(__xludf.DUMMYFUNCTION("""COMPUTED_VALUE"""),7132078.0)</f>
        <v>7132078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IFERROR(__xludf.DUMMYFUNCTION("""COMPUTED_VALUE"""),2.39)</f>
        <v>2.39</v>
      </c>
      <c r="C2573" s="1">
        <f>IFERROR(__xludf.DUMMYFUNCTION("""COMPUTED_VALUE"""),2.42)</f>
        <v>2.42</v>
      </c>
      <c r="D2573" s="1">
        <f>IFERROR(__xludf.DUMMYFUNCTION("""COMPUTED_VALUE"""),2.24)</f>
        <v>2.24</v>
      </c>
      <c r="E2573" s="1">
        <f>IFERROR(__xludf.DUMMYFUNCTION("""COMPUTED_VALUE"""),2.28)</f>
        <v>2.28</v>
      </c>
      <c r="F2573" s="1">
        <f>IFERROR(__xludf.DUMMYFUNCTION("""COMPUTED_VALUE"""),5666308.0)</f>
        <v>5666308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IFERROR(__xludf.DUMMYFUNCTION("""COMPUTED_VALUE"""),2.5)</f>
        <v>2.5</v>
      </c>
      <c r="C2574" s="1">
        <f>IFERROR(__xludf.DUMMYFUNCTION("""COMPUTED_VALUE"""),2.6)</f>
        <v>2.6</v>
      </c>
      <c r="D2574" s="1">
        <f>IFERROR(__xludf.DUMMYFUNCTION("""COMPUTED_VALUE"""),2.46)</f>
        <v>2.46</v>
      </c>
      <c r="E2574" s="1">
        <f>IFERROR(__xludf.DUMMYFUNCTION("""COMPUTED_VALUE"""),2.57)</f>
        <v>2.57</v>
      </c>
      <c r="F2574" s="1">
        <f>IFERROR(__xludf.DUMMYFUNCTION("""COMPUTED_VALUE"""),3201344.0)</f>
        <v>3201344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IFERROR(__xludf.DUMMYFUNCTION("""COMPUTED_VALUE"""),2.6)</f>
        <v>2.6</v>
      </c>
      <c r="C2575" s="1">
        <f>IFERROR(__xludf.DUMMYFUNCTION("""COMPUTED_VALUE"""),2.76)</f>
        <v>2.76</v>
      </c>
      <c r="D2575" s="1">
        <f>IFERROR(__xludf.DUMMYFUNCTION("""COMPUTED_VALUE"""),2.47)</f>
        <v>2.47</v>
      </c>
      <c r="E2575" s="1">
        <f>IFERROR(__xludf.DUMMYFUNCTION("""COMPUTED_VALUE"""),2.66)</f>
        <v>2.66</v>
      </c>
      <c r="F2575" s="1">
        <f>IFERROR(__xludf.DUMMYFUNCTION("""COMPUTED_VALUE"""),3417580.0)</f>
        <v>3417580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IFERROR(__xludf.DUMMYFUNCTION("""COMPUTED_VALUE"""),2.61)</f>
        <v>2.61</v>
      </c>
      <c r="C2576" s="1">
        <f>IFERROR(__xludf.DUMMYFUNCTION("""COMPUTED_VALUE"""),2.73)</f>
        <v>2.73</v>
      </c>
      <c r="D2576" s="1">
        <f>IFERROR(__xludf.DUMMYFUNCTION("""COMPUTED_VALUE"""),2.6)</f>
        <v>2.6</v>
      </c>
      <c r="E2576" s="1">
        <f>IFERROR(__xludf.DUMMYFUNCTION("""COMPUTED_VALUE"""),2.66)</f>
        <v>2.66</v>
      </c>
      <c r="F2576" s="1">
        <f>IFERROR(__xludf.DUMMYFUNCTION("""COMPUTED_VALUE"""),4180307.0)</f>
        <v>4180307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IFERROR(__xludf.DUMMYFUNCTION("""COMPUTED_VALUE"""),2.59)</f>
        <v>2.59</v>
      </c>
      <c r="C2577" s="1">
        <f>IFERROR(__xludf.DUMMYFUNCTION("""COMPUTED_VALUE"""),2.69)</f>
        <v>2.69</v>
      </c>
      <c r="D2577" s="1">
        <f>IFERROR(__xludf.DUMMYFUNCTION("""COMPUTED_VALUE"""),2.53)</f>
        <v>2.53</v>
      </c>
      <c r="E2577" s="1">
        <f>IFERROR(__xludf.DUMMYFUNCTION("""COMPUTED_VALUE"""),2.62)</f>
        <v>2.62</v>
      </c>
      <c r="F2577" s="1">
        <f>IFERROR(__xludf.DUMMYFUNCTION("""COMPUTED_VALUE"""),1955358.0)</f>
        <v>1955358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IFERROR(__xludf.DUMMYFUNCTION("""COMPUTED_VALUE"""),2.56)</f>
        <v>2.56</v>
      </c>
      <c r="C2578" s="1">
        <f>IFERROR(__xludf.DUMMYFUNCTION("""COMPUTED_VALUE"""),2.63)</f>
        <v>2.63</v>
      </c>
      <c r="D2578" s="1">
        <f>IFERROR(__xludf.DUMMYFUNCTION("""COMPUTED_VALUE"""),2.5)</f>
        <v>2.5</v>
      </c>
      <c r="E2578" s="1">
        <f>IFERROR(__xludf.DUMMYFUNCTION("""COMPUTED_VALUE"""),2.62)</f>
        <v>2.62</v>
      </c>
      <c r="F2578" s="1">
        <f>IFERROR(__xludf.DUMMYFUNCTION("""COMPUTED_VALUE"""),2971205.0)</f>
        <v>2971205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IFERROR(__xludf.DUMMYFUNCTION("""COMPUTED_VALUE"""),2.55)</f>
        <v>2.55</v>
      </c>
      <c r="C2579" s="1">
        <f>IFERROR(__xludf.DUMMYFUNCTION("""COMPUTED_VALUE"""),2.56)</f>
        <v>2.56</v>
      </c>
      <c r="D2579" s="1">
        <f>IFERROR(__xludf.DUMMYFUNCTION("""COMPUTED_VALUE"""),2.45)</f>
        <v>2.45</v>
      </c>
      <c r="E2579" s="1">
        <f>IFERROR(__xludf.DUMMYFUNCTION("""COMPUTED_VALUE"""),2.49)</f>
        <v>2.49</v>
      </c>
      <c r="F2579" s="1">
        <f>IFERROR(__xludf.DUMMYFUNCTION("""COMPUTED_VALUE"""),2410299.0)</f>
        <v>2410299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IFERROR(__xludf.DUMMYFUNCTION("""COMPUTED_VALUE"""),2.38)</f>
        <v>2.38</v>
      </c>
      <c r="C2580" s="1">
        <f>IFERROR(__xludf.DUMMYFUNCTION("""COMPUTED_VALUE"""),2.42)</f>
        <v>2.42</v>
      </c>
      <c r="D2580" s="1">
        <f>IFERROR(__xludf.DUMMYFUNCTION("""COMPUTED_VALUE"""),2.34)</f>
        <v>2.34</v>
      </c>
      <c r="E2580" s="1">
        <f>IFERROR(__xludf.DUMMYFUNCTION("""COMPUTED_VALUE"""),2.36)</f>
        <v>2.36</v>
      </c>
      <c r="F2580" s="1">
        <f>IFERROR(__xludf.DUMMYFUNCTION("""COMPUTED_VALUE"""),2345844.0)</f>
        <v>2345844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IFERROR(__xludf.DUMMYFUNCTION("""COMPUTED_VALUE"""),2.39)</f>
        <v>2.39</v>
      </c>
      <c r="C2581" s="1">
        <f>IFERROR(__xludf.DUMMYFUNCTION("""COMPUTED_VALUE"""),2.52)</f>
        <v>2.52</v>
      </c>
      <c r="D2581" s="1">
        <f>IFERROR(__xludf.DUMMYFUNCTION("""COMPUTED_VALUE"""),2.26)</f>
        <v>2.26</v>
      </c>
      <c r="E2581" s="1">
        <f>IFERROR(__xludf.DUMMYFUNCTION("""COMPUTED_VALUE"""),2.29)</f>
        <v>2.29</v>
      </c>
      <c r="F2581" s="1">
        <f>IFERROR(__xludf.DUMMYFUNCTION("""COMPUTED_VALUE"""),8391279.0)</f>
        <v>8391279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IFERROR(__xludf.DUMMYFUNCTION("""COMPUTED_VALUE"""),2.26)</f>
        <v>2.26</v>
      </c>
      <c r="C2582" s="1">
        <f>IFERROR(__xludf.DUMMYFUNCTION("""COMPUTED_VALUE"""),2.33)</f>
        <v>2.33</v>
      </c>
      <c r="D2582" s="1">
        <f>IFERROR(__xludf.DUMMYFUNCTION("""COMPUTED_VALUE"""),2.24)</f>
        <v>2.24</v>
      </c>
      <c r="E2582" s="1">
        <f>IFERROR(__xludf.DUMMYFUNCTION("""COMPUTED_VALUE"""),2.26)</f>
        <v>2.26</v>
      </c>
      <c r="F2582" s="1">
        <f>IFERROR(__xludf.DUMMYFUNCTION("""COMPUTED_VALUE"""),1.1015681E7)</f>
        <v>11015681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IFERROR(__xludf.DUMMYFUNCTION("""COMPUTED_VALUE"""),2.43)</f>
        <v>2.43</v>
      </c>
      <c r="C2583" s="1">
        <f>IFERROR(__xludf.DUMMYFUNCTION("""COMPUTED_VALUE"""),2.49)</f>
        <v>2.49</v>
      </c>
      <c r="D2583" s="1">
        <f>IFERROR(__xludf.DUMMYFUNCTION("""COMPUTED_VALUE"""),2.41)</f>
        <v>2.41</v>
      </c>
      <c r="E2583" s="1">
        <f>IFERROR(__xludf.DUMMYFUNCTION("""COMPUTED_VALUE"""),2.48)</f>
        <v>2.48</v>
      </c>
      <c r="F2583" s="1">
        <f>IFERROR(__xludf.DUMMYFUNCTION("""COMPUTED_VALUE"""),7066142.0)</f>
        <v>7066142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IFERROR(__xludf.DUMMYFUNCTION("""COMPUTED_VALUE"""),2.72)</f>
        <v>2.72</v>
      </c>
      <c r="C2584" s="1">
        <f>IFERROR(__xludf.DUMMYFUNCTION("""COMPUTED_VALUE"""),2.74)</f>
        <v>2.74</v>
      </c>
      <c r="D2584" s="1">
        <f>IFERROR(__xludf.DUMMYFUNCTION("""COMPUTED_VALUE"""),2.56)</f>
        <v>2.56</v>
      </c>
      <c r="E2584" s="1">
        <f>IFERROR(__xludf.DUMMYFUNCTION("""COMPUTED_VALUE"""),2.57)</f>
        <v>2.57</v>
      </c>
      <c r="F2584" s="1">
        <f>IFERROR(__xludf.DUMMYFUNCTION("""COMPUTED_VALUE"""),5770285.0)</f>
        <v>5770285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IFERROR(__xludf.DUMMYFUNCTION("""COMPUTED_VALUE"""),2.58)</f>
        <v>2.58</v>
      </c>
      <c r="C2585" s="1">
        <f>IFERROR(__xludf.DUMMYFUNCTION("""COMPUTED_VALUE"""),2.65)</f>
        <v>2.65</v>
      </c>
      <c r="D2585" s="1">
        <f>IFERROR(__xludf.DUMMYFUNCTION("""COMPUTED_VALUE"""),2.53)</f>
        <v>2.53</v>
      </c>
      <c r="E2585" s="1">
        <f>IFERROR(__xludf.DUMMYFUNCTION("""COMPUTED_VALUE"""),2.63)</f>
        <v>2.63</v>
      </c>
      <c r="F2585" s="1">
        <f>IFERROR(__xludf.DUMMYFUNCTION("""COMPUTED_VALUE"""),2798125.0)</f>
        <v>2798125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IFERROR(__xludf.DUMMYFUNCTION("""COMPUTED_VALUE"""),2.74)</f>
        <v>2.74</v>
      </c>
      <c r="C2586" s="1">
        <f>IFERROR(__xludf.DUMMYFUNCTION("""COMPUTED_VALUE"""),2.83)</f>
        <v>2.83</v>
      </c>
      <c r="D2586" s="1">
        <f>IFERROR(__xludf.DUMMYFUNCTION("""COMPUTED_VALUE"""),2.7)</f>
        <v>2.7</v>
      </c>
      <c r="E2586" s="1">
        <f>IFERROR(__xludf.DUMMYFUNCTION("""COMPUTED_VALUE"""),2.77)</f>
        <v>2.77</v>
      </c>
      <c r="F2586" s="1">
        <f>IFERROR(__xludf.DUMMYFUNCTION("""COMPUTED_VALUE"""),3211370.0)</f>
        <v>3211370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IFERROR(__xludf.DUMMYFUNCTION("""COMPUTED_VALUE"""),2.74)</f>
        <v>2.74</v>
      </c>
      <c r="C2587" s="1">
        <f>IFERROR(__xludf.DUMMYFUNCTION("""COMPUTED_VALUE"""),2.76)</f>
        <v>2.76</v>
      </c>
      <c r="D2587" s="1">
        <f>IFERROR(__xludf.DUMMYFUNCTION("""COMPUTED_VALUE"""),2.65)</f>
        <v>2.65</v>
      </c>
      <c r="E2587" s="1">
        <f>IFERROR(__xludf.DUMMYFUNCTION("""COMPUTED_VALUE"""),2.68)</f>
        <v>2.68</v>
      </c>
      <c r="F2587" s="1">
        <f>IFERROR(__xludf.DUMMYFUNCTION("""COMPUTED_VALUE"""),1700747.0)</f>
        <v>1700747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IFERROR(__xludf.DUMMYFUNCTION("""COMPUTED_VALUE"""),2.71)</f>
        <v>2.71</v>
      </c>
      <c r="C2588" s="1">
        <f>IFERROR(__xludf.DUMMYFUNCTION("""COMPUTED_VALUE"""),2.72)</f>
        <v>2.72</v>
      </c>
      <c r="D2588" s="1">
        <f>IFERROR(__xludf.DUMMYFUNCTION("""COMPUTED_VALUE"""),2.64)</f>
        <v>2.64</v>
      </c>
      <c r="E2588" s="1">
        <f>IFERROR(__xludf.DUMMYFUNCTION("""COMPUTED_VALUE"""),2.67)</f>
        <v>2.67</v>
      </c>
      <c r="F2588" s="1">
        <f>IFERROR(__xludf.DUMMYFUNCTION("""COMPUTED_VALUE"""),3241690.0)</f>
        <v>3241690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IFERROR(__xludf.DUMMYFUNCTION("""COMPUTED_VALUE"""),2.51)</f>
        <v>2.51</v>
      </c>
      <c r="C2589" s="1">
        <f>IFERROR(__xludf.DUMMYFUNCTION("""COMPUTED_VALUE"""),2.51)</f>
        <v>2.51</v>
      </c>
      <c r="D2589" s="1">
        <f>IFERROR(__xludf.DUMMYFUNCTION("""COMPUTED_VALUE"""),2.4)</f>
        <v>2.4</v>
      </c>
      <c r="E2589" s="1">
        <f>IFERROR(__xludf.DUMMYFUNCTION("""COMPUTED_VALUE"""),2.42)</f>
        <v>2.42</v>
      </c>
      <c r="F2589" s="1">
        <f>IFERROR(__xludf.DUMMYFUNCTION("""COMPUTED_VALUE"""),2692906.0)</f>
        <v>2692906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IFERROR(__xludf.DUMMYFUNCTION("""COMPUTED_VALUE"""),2.44)</f>
        <v>2.44</v>
      </c>
      <c r="C2590" s="1">
        <f>IFERROR(__xludf.DUMMYFUNCTION("""COMPUTED_VALUE"""),2.44)</f>
        <v>2.44</v>
      </c>
      <c r="D2590" s="1">
        <f>IFERROR(__xludf.DUMMYFUNCTION("""COMPUTED_VALUE"""),2.37)</f>
        <v>2.37</v>
      </c>
      <c r="E2590" s="1">
        <f>IFERROR(__xludf.DUMMYFUNCTION("""COMPUTED_VALUE"""),2.4)</f>
        <v>2.4</v>
      </c>
      <c r="F2590" s="1">
        <f>IFERROR(__xludf.DUMMYFUNCTION("""COMPUTED_VALUE"""),1964045.0)</f>
        <v>1964045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IFERROR(__xludf.DUMMYFUNCTION("""COMPUTED_VALUE"""),2.47)</f>
        <v>2.47</v>
      </c>
      <c r="C2591" s="1">
        <f>IFERROR(__xludf.DUMMYFUNCTION("""COMPUTED_VALUE"""),2.48)</f>
        <v>2.48</v>
      </c>
      <c r="D2591" s="1">
        <f>IFERROR(__xludf.DUMMYFUNCTION("""COMPUTED_VALUE"""),2.4)</f>
        <v>2.4</v>
      </c>
      <c r="E2591" s="1">
        <f>IFERROR(__xludf.DUMMYFUNCTION("""COMPUTED_VALUE"""),2.45)</f>
        <v>2.45</v>
      </c>
      <c r="F2591" s="1">
        <f>IFERROR(__xludf.DUMMYFUNCTION("""COMPUTED_VALUE"""),2746247.0)</f>
        <v>2746247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IFERROR(__xludf.DUMMYFUNCTION("""COMPUTED_VALUE"""),2.38)</f>
        <v>2.38</v>
      </c>
      <c r="C2592" s="1">
        <f>IFERROR(__xludf.DUMMYFUNCTION("""COMPUTED_VALUE"""),2.44)</f>
        <v>2.44</v>
      </c>
      <c r="D2592" s="1">
        <f>IFERROR(__xludf.DUMMYFUNCTION("""COMPUTED_VALUE"""),2.34)</f>
        <v>2.34</v>
      </c>
      <c r="E2592" s="1">
        <f>IFERROR(__xludf.DUMMYFUNCTION("""COMPUTED_VALUE"""),2.39)</f>
        <v>2.39</v>
      </c>
      <c r="F2592" s="1">
        <f>IFERROR(__xludf.DUMMYFUNCTION("""COMPUTED_VALUE"""),1966815.0)</f>
        <v>1966815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IFERROR(__xludf.DUMMYFUNCTION("""COMPUTED_VALUE"""),2.34)</f>
        <v>2.34</v>
      </c>
      <c r="C2593" s="1">
        <f>IFERROR(__xludf.DUMMYFUNCTION("""COMPUTED_VALUE"""),2.4)</f>
        <v>2.4</v>
      </c>
      <c r="D2593" s="1">
        <f>IFERROR(__xludf.DUMMYFUNCTION("""COMPUTED_VALUE"""),2.31)</f>
        <v>2.31</v>
      </c>
      <c r="E2593" s="1">
        <f>IFERROR(__xludf.DUMMYFUNCTION("""COMPUTED_VALUE"""),2.35)</f>
        <v>2.35</v>
      </c>
      <c r="F2593" s="1">
        <f>IFERROR(__xludf.DUMMYFUNCTION("""COMPUTED_VALUE"""),3172290.0)</f>
        <v>3172290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IFERROR(__xludf.DUMMYFUNCTION("""COMPUTED_VALUE"""),2.36)</f>
        <v>2.36</v>
      </c>
      <c r="C2594" s="1">
        <f>IFERROR(__xludf.DUMMYFUNCTION("""COMPUTED_VALUE"""),2.37)</f>
        <v>2.37</v>
      </c>
      <c r="D2594" s="1">
        <f>IFERROR(__xludf.DUMMYFUNCTION("""COMPUTED_VALUE"""),2.31)</f>
        <v>2.31</v>
      </c>
      <c r="E2594" s="1">
        <f>IFERROR(__xludf.DUMMYFUNCTION("""COMPUTED_VALUE"""),2.33)</f>
        <v>2.33</v>
      </c>
      <c r="F2594" s="1">
        <f>IFERROR(__xludf.DUMMYFUNCTION("""COMPUTED_VALUE"""),1754239.0)</f>
        <v>1754239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IFERROR(__xludf.DUMMYFUNCTION("""COMPUTED_VALUE"""),2.34)</f>
        <v>2.34</v>
      </c>
      <c r="C2595" s="1">
        <f>IFERROR(__xludf.DUMMYFUNCTION("""COMPUTED_VALUE"""),2.43)</f>
        <v>2.43</v>
      </c>
      <c r="D2595" s="1">
        <f>IFERROR(__xludf.DUMMYFUNCTION("""COMPUTED_VALUE"""),2.32)</f>
        <v>2.32</v>
      </c>
      <c r="E2595" s="1">
        <f>IFERROR(__xludf.DUMMYFUNCTION("""COMPUTED_VALUE"""),2.35)</f>
        <v>2.35</v>
      </c>
      <c r="F2595" s="1">
        <f>IFERROR(__xludf.DUMMYFUNCTION("""COMPUTED_VALUE"""),3068246.0)</f>
        <v>3068246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IFERROR(__xludf.DUMMYFUNCTION("""COMPUTED_VALUE"""),2.38)</f>
        <v>2.38</v>
      </c>
      <c r="C2596" s="1">
        <f>IFERROR(__xludf.DUMMYFUNCTION("""COMPUTED_VALUE"""),2.38)</f>
        <v>2.38</v>
      </c>
      <c r="D2596" s="1">
        <f>IFERROR(__xludf.DUMMYFUNCTION("""COMPUTED_VALUE"""),2.32)</f>
        <v>2.32</v>
      </c>
      <c r="E2596" s="1">
        <f>IFERROR(__xludf.DUMMYFUNCTION("""COMPUTED_VALUE"""),2.36)</f>
        <v>2.36</v>
      </c>
      <c r="F2596" s="1">
        <f>IFERROR(__xludf.DUMMYFUNCTION("""COMPUTED_VALUE"""),1347470.0)</f>
        <v>1347470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IFERROR(__xludf.DUMMYFUNCTION("""COMPUTED_VALUE"""),2.4)</f>
        <v>2.4</v>
      </c>
      <c r="C2597" s="1">
        <f>IFERROR(__xludf.DUMMYFUNCTION("""COMPUTED_VALUE"""),2.44)</f>
        <v>2.44</v>
      </c>
      <c r="D2597" s="1">
        <f>IFERROR(__xludf.DUMMYFUNCTION("""COMPUTED_VALUE"""),2.37)</f>
        <v>2.37</v>
      </c>
      <c r="E2597" s="1">
        <f>IFERROR(__xludf.DUMMYFUNCTION("""COMPUTED_VALUE"""),2.44)</f>
        <v>2.44</v>
      </c>
      <c r="F2597" s="1">
        <f>IFERROR(__xludf.DUMMYFUNCTION("""COMPUTED_VALUE"""),2513995.0)</f>
        <v>2513995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IFERROR(__xludf.DUMMYFUNCTION("""COMPUTED_VALUE"""),2.55)</f>
        <v>2.55</v>
      </c>
      <c r="C2598" s="1">
        <f>IFERROR(__xludf.DUMMYFUNCTION("""COMPUTED_VALUE"""),2.59)</f>
        <v>2.59</v>
      </c>
      <c r="D2598" s="1">
        <f>IFERROR(__xludf.DUMMYFUNCTION("""COMPUTED_VALUE"""),2.48)</f>
        <v>2.48</v>
      </c>
      <c r="E2598" s="1">
        <f>IFERROR(__xludf.DUMMYFUNCTION("""COMPUTED_VALUE"""),2.54)</f>
        <v>2.54</v>
      </c>
      <c r="F2598" s="1">
        <f>IFERROR(__xludf.DUMMYFUNCTION("""COMPUTED_VALUE"""),3649054.0)</f>
        <v>3649054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IFERROR(__xludf.DUMMYFUNCTION("""COMPUTED_VALUE"""),2.66)</f>
        <v>2.66</v>
      </c>
      <c r="C2599" s="1">
        <f>IFERROR(__xludf.DUMMYFUNCTION("""COMPUTED_VALUE"""),2.73)</f>
        <v>2.73</v>
      </c>
      <c r="D2599" s="1">
        <f>IFERROR(__xludf.DUMMYFUNCTION("""COMPUTED_VALUE"""),2.64)</f>
        <v>2.64</v>
      </c>
      <c r="E2599" s="1">
        <f>IFERROR(__xludf.DUMMYFUNCTION("""COMPUTED_VALUE"""),2.71)</f>
        <v>2.71</v>
      </c>
      <c r="F2599" s="1">
        <f>IFERROR(__xludf.DUMMYFUNCTION("""COMPUTED_VALUE"""),2698689.0)</f>
        <v>2698689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IFERROR(__xludf.DUMMYFUNCTION("""COMPUTED_VALUE"""),2.59)</f>
        <v>2.59</v>
      </c>
      <c r="C2600" s="1">
        <f>IFERROR(__xludf.DUMMYFUNCTION("""COMPUTED_VALUE"""),2.62)</f>
        <v>2.62</v>
      </c>
      <c r="D2600" s="1">
        <f>IFERROR(__xludf.DUMMYFUNCTION("""COMPUTED_VALUE"""),2.55)</f>
        <v>2.55</v>
      </c>
      <c r="E2600" s="1">
        <f>IFERROR(__xludf.DUMMYFUNCTION("""COMPUTED_VALUE"""),2.6)</f>
        <v>2.6</v>
      </c>
      <c r="F2600" s="1">
        <f>IFERROR(__xludf.DUMMYFUNCTION("""COMPUTED_VALUE"""),1996297.0)</f>
        <v>1996297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IFERROR(__xludf.DUMMYFUNCTION("""COMPUTED_VALUE"""),2.57)</f>
        <v>2.57</v>
      </c>
      <c r="C2601" s="1">
        <f>IFERROR(__xludf.DUMMYFUNCTION("""COMPUTED_VALUE"""),2.57)</f>
        <v>2.57</v>
      </c>
      <c r="D2601" s="1">
        <f>IFERROR(__xludf.DUMMYFUNCTION("""COMPUTED_VALUE"""),2.49)</f>
        <v>2.49</v>
      </c>
      <c r="E2601" s="1">
        <f>IFERROR(__xludf.DUMMYFUNCTION("""COMPUTED_VALUE"""),2.52)</f>
        <v>2.52</v>
      </c>
      <c r="F2601" s="1">
        <f>IFERROR(__xludf.DUMMYFUNCTION("""COMPUTED_VALUE"""),1999674.0)</f>
        <v>1999674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IFERROR(__xludf.DUMMYFUNCTION("""COMPUTED_VALUE"""),2.44)</f>
        <v>2.44</v>
      </c>
      <c r="C2602" s="1">
        <f>IFERROR(__xludf.DUMMYFUNCTION("""COMPUTED_VALUE"""),2.48)</f>
        <v>2.48</v>
      </c>
      <c r="D2602" s="1">
        <f>IFERROR(__xludf.DUMMYFUNCTION("""COMPUTED_VALUE"""),2.41)</f>
        <v>2.41</v>
      </c>
      <c r="E2602" s="1">
        <f>IFERROR(__xludf.DUMMYFUNCTION("""COMPUTED_VALUE"""),2.45)</f>
        <v>2.45</v>
      </c>
      <c r="F2602" s="1">
        <f>IFERROR(__xludf.DUMMYFUNCTION("""COMPUTED_VALUE"""),2290638.0)</f>
        <v>2290638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IFERROR(__xludf.DUMMYFUNCTION("""COMPUTED_VALUE"""),2.4)</f>
        <v>2.4</v>
      </c>
      <c r="C2603" s="1">
        <f>IFERROR(__xludf.DUMMYFUNCTION("""COMPUTED_VALUE"""),2.42)</f>
        <v>2.42</v>
      </c>
      <c r="D2603" s="1">
        <f>IFERROR(__xludf.DUMMYFUNCTION("""COMPUTED_VALUE"""),2.35)</f>
        <v>2.35</v>
      </c>
      <c r="E2603" s="1">
        <f>IFERROR(__xludf.DUMMYFUNCTION("""COMPUTED_VALUE"""),2.36)</f>
        <v>2.36</v>
      </c>
      <c r="F2603" s="1">
        <f>IFERROR(__xludf.DUMMYFUNCTION("""COMPUTED_VALUE"""),2130277.0)</f>
        <v>2130277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IFERROR(__xludf.DUMMYFUNCTION("""COMPUTED_VALUE"""),2.39)</f>
        <v>2.39</v>
      </c>
      <c r="C2604" s="1">
        <f>IFERROR(__xludf.DUMMYFUNCTION("""COMPUTED_VALUE"""),2.41)</f>
        <v>2.41</v>
      </c>
      <c r="D2604" s="1">
        <f>IFERROR(__xludf.DUMMYFUNCTION("""COMPUTED_VALUE"""),2.31)</f>
        <v>2.31</v>
      </c>
      <c r="E2604" s="1">
        <f>IFERROR(__xludf.DUMMYFUNCTION("""COMPUTED_VALUE"""),2.32)</f>
        <v>2.32</v>
      </c>
      <c r="F2604" s="1">
        <f>IFERROR(__xludf.DUMMYFUNCTION("""COMPUTED_VALUE"""),1300323.0)</f>
        <v>1300323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IFERROR(__xludf.DUMMYFUNCTION("""COMPUTED_VALUE"""),2.36)</f>
        <v>2.36</v>
      </c>
      <c r="C2605" s="1">
        <f>IFERROR(__xludf.DUMMYFUNCTION("""COMPUTED_VALUE"""),2.43)</f>
        <v>2.43</v>
      </c>
      <c r="D2605" s="1">
        <f>IFERROR(__xludf.DUMMYFUNCTION("""COMPUTED_VALUE"""),2.36)</f>
        <v>2.36</v>
      </c>
      <c r="E2605" s="1">
        <f>IFERROR(__xludf.DUMMYFUNCTION("""COMPUTED_VALUE"""),2.38)</f>
        <v>2.38</v>
      </c>
      <c r="F2605" s="1">
        <f>IFERROR(__xludf.DUMMYFUNCTION("""COMPUTED_VALUE"""),6620751.0)</f>
        <v>6620751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IFERROR(__xludf.DUMMYFUNCTION("""COMPUTED_VALUE"""),2.39)</f>
        <v>2.39</v>
      </c>
      <c r="C2606" s="1">
        <f>IFERROR(__xludf.DUMMYFUNCTION("""COMPUTED_VALUE"""),2.4)</f>
        <v>2.4</v>
      </c>
      <c r="D2606" s="1">
        <f>IFERROR(__xludf.DUMMYFUNCTION("""COMPUTED_VALUE"""),2.35)</f>
        <v>2.35</v>
      </c>
      <c r="E2606" s="1">
        <f>IFERROR(__xludf.DUMMYFUNCTION("""COMPUTED_VALUE"""),2.37)</f>
        <v>2.37</v>
      </c>
      <c r="F2606" s="1">
        <f>IFERROR(__xludf.DUMMYFUNCTION("""COMPUTED_VALUE"""),1.001862E7)</f>
        <v>10018620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IFERROR(__xludf.DUMMYFUNCTION("""COMPUTED_VALUE"""),2.35)</f>
        <v>2.35</v>
      </c>
      <c r="C2607" s="1">
        <f>IFERROR(__xludf.DUMMYFUNCTION("""COMPUTED_VALUE"""),2.38)</f>
        <v>2.38</v>
      </c>
      <c r="D2607" s="1">
        <f>IFERROR(__xludf.DUMMYFUNCTION("""COMPUTED_VALUE"""),2.32)</f>
        <v>2.32</v>
      </c>
      <c r="E2607" s="1">
        <f>IFERROR(__xludf.DUMMYFUNCTION("""COMPUTED_VALUE"""),2.36)</f>
        <v>2.36</v>
      </c>
      <c r="F2607" s="1">
        <f>IFERROR(__xludf.DUMMYFUNCTION("""COMPUTED_VALUE"""),2594238.0)</f>
        <v>2594238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IFERROR(__xludf.DUMMYFUNCTION("""COMPUTED_VALUE"""),2.51)</f>
        <v>2.51</v>
      </c>
      <c r="C2608" s="1">
        <f>IFERROR(__xludf.DUMMYFUNCTION("""COMPUTED_VALUE"""),2.54)</f>
        <v>2.54</v>
      </c>
      <c r="D2608" s="1">
        <f>IFERROR(__xludf.DUMMYFUNCTION("""COMPUTED_VALUE"""),2.39)</f>
        <v>2.39</v>
      </c>
      <c r="E2608" s="1">
        <f>IFERROR(__xludf.DUMMYFUNCTION("""COMPUTED_VALUE"""),2.4)</f>
        <v>2.4</v>
      </c>
      <c r="F2608" s="1">
        <f>IFERROR(__xludf.DUMMYFUNCTION("""COMPUTED_VALUE"""),3415612.0)</f>
        <v>3415612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IFERROR(__xludf.DUMMYFUNCTION("""COMPUTED_VALUE"""),2.3)</f>
        <v>2.3</v>
      </c>
      <c r="C2609" s="1">
        <f>IFERROR(__xludf.DUMMYFUNCTION("""COMPUTED_VALUE"""),2.3)</f>
        <v>2.3</v>
      </c>
      <c r="D2609" s="1">
        <f>IFERROR(__xludf.DUMMYFUNCTION("""COMPUTED_VALUE"""),2.21)</f>
        <v>2.21</v>
      </c>
      <c r="E2609" s="1">
        <f>IFERROR(__xludf.DUMMYFUNCTION("""COMPUTED_VALUE"""),2.24)</f>
        <v>2.24</v>
      </c>
      <c r="F2609" s="1">
        <f>IFERROR(__xludf.DUMMYFUNCTION("""COMPUTED_VALUE"""),2559128.0)</f>
        <v>2559128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IFERROR(__xludf.DUMMYFUNCTION("""COMPUTED_VALUE"""),2.14)</f>
        <v>2.14</v>
      </c>
      <c r="C2610" s="1">
        <f>IFERROR(__xludf.DUMMYFUNCTION("""COMPUTED_VALUE"""),2.27)</f>
        <v>2.27</v>
      </c>
      <c r="D2610" s="1">
        <f>IFERROR(__xludf.DUMMYFUNCTION("""COMPUTED_VALUE"""),2.1)</f>
        <v>2.1</v>
      </c>
      <c r="E2610" s="1">
        <f>IFERROR(__xludf.DUMMYFUNCTION("""COMPUTED_VALUE"""),2.26)</f>
        <v>2.26</v>
      </c>
      <c r="F2610" s="1">
        <f>IFERROR(__xludf.DUMMYFUNCTION("""COMPUTED_VALUE"""),4085782.0)</f>
        <v>4085782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IFERROR(__xludf.DUMMYFUNCTION("""COMPUTED_VALUE"""),2.21)</f>
        <v>2.21</v>
      </c>
      <c r="C2611" s="1">
        <f>IFERROR(__xludf.DUMMYFUNCTION("""COMPUTED_VALUE"""),2.26)</f>
        <v>2.26</v>
      </c>
      <c r="D2611" s="1">
        <f>IFERROR(__xludf.DUMMYFUNCTION("""COMPUTED_VALUE"""),2.21)</f>
        <v>2.21</v>
      </c>
      <c r="E2611" s="1">
        <f>IFERROR(__xludf.DUMMYFUNCTION("""COMPUTED_VALUE"""),2.23)</f>
        <v>2.23</v>
      </c>
      <c r="F2611" s="1">
        <f>IFERROR(__xludf.DUMMYFUNCTION("""COMPUTED_VALUE"""),2207989.0)</f>
        <v>2207989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IFERROR(__xludf.DUMMYFUNCTION("""COMPUTED_VALUE"""),2.37)</f>
        <v>2.37</v>
      </c>
      <c r="C2612" s="1">
        <f>IFERROR(__xludf.DUMMYFUNCTION("""COMPUTED_VALUE"""),2.48)</f>
        <v>2.48</v>
      </c>
      <c r="D2612" s="1">
        <f>IFERROR(__xludf.DUMMYFUNCTION("""COMPUTED_VALUE"""),2.34)</f>
        <v>2.34</v>
      </c>
      <c r="E2612" s="1">
        <f>IFERROR(__xludf.DUMMYFUNCTION("""COMPUTED_VALUE"""),2.47)</f>
        <v>2.47</v>
      </c>
      <c r="F2612" s="1">
        <f>IFERROR(__xludf.DUMMYFUNCTION("""COMPUTED_VALUE"""),3664586.0)</f>
        <v>3664586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IFERROR(__xludf.DUMMYFUNCTION("""COMPUTED_VALUE"""),2.49)</f>
        <v>2.49</v>
      </c>
      <c r="C2613" s="1">
        <f>IFERROR(__xludf.DUMMYFUNCTION("""COMPUTED_VALUE"""),2.52)</f>
        <v>2.52</v>
      </c>
      <c r="D2613" s="1">
        <f>IFERROR(__xludf.DUMMYFUNCTION("""COMPUTED_VALUE"""),2.44)</f>
        <v>2.44</v>
      </c>
      <c r="E2613" s="1">
        <f>IFERROR(__xludf.DUMMYFUNCTION("""COMPUTED_VALUE"""),2.44)</f>
        <v>2.44</v>
      </c>
      <c r="F2613" s="1">
        <f>IFERROR(__xludf.DUMMYFUNCTION("""COMPUTED_VALUE"""),8171405.0)</f>
        <v>8171405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IFERROR(__xludf.DUMMYFUNCTION("""COMPUTED_VALUE"""),2.48)</f>
        <v>2.48</v>
      </c>
      <c r="C2614" s="1">
        <f>IFERROR(__xludf.DUMMYFUNCTION("""COMPUTED_VALUE"""),2.54)</f>
        <v>2.54</v>
      </c>
      <c r="D2614" s="1">
        <f>IFERROR(__xludf.DUMMYFUNCTION("""COMPUTED_VALUE"""),2.48)</f>
        <v>2.48</v>
      </c>
      <c r="E2614" s="1">
        <f>IFERROR(__xludf.DUMMYFUNCTION("""COMPUTED_VALUE"""),2.51)</f>
        <v>2.51</v>
      </c>
      <c r="F2614" s="1">
        <f>IFERROR(__xludf.DUMMYFUNCTION("""COMPUTED_VALUE"""),2127047.0)</f>
        <v>2127047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IFERROR(__xludf.DUMMYFUNCTION("""COMPUTED_VALUE"""),2.45)</f>
        <v>2.45</v>
      </c>
      <c r="C2615" s="1">
        <f>IFERROR(__xludf.DUMMYFUNCTION("""COMPUTED_VALUE"""),2.5)</f>
        <v>2.5</v>
      </c>
      <c r="D2615" s="1">
        <f>IFERROR(__xludf.DUMMYFUNCTION("""COMPUTED_VALUE"""),2.43)</f>
        <v>2.43</v>
      </c>
      <c r="E2615" s="1">
        <f>IFERROR(__xludf.DUMMYFUNCTION("""COMPUTED_VALUE"""),2.43)</f>
        <v>2.43</v>
      </c>
      <c r="F2615" s="1">
        <f>IFERROR(__xludf.DUMMYFUNCTION("""COMPUTED_VALUE"""),2250104.0)</f>
        <v>2250104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IFERROR(__xludf.DUMMYFUNCTION("""COMPUTED_VALUE"""),2.49)</f>
        <v>2.49</v>
      </c>
      <c r="C2616" s="1">
        <f>IFERROR(__xludf.DUMMYFUNCTION("""COMPUTED_VALUE"""),2.49)</f>
        <v>2.49</v>
      </c>
      <c r="D2616" s="1">
        <f>IFERROR(__xludf.DUMMYFUNCTION("""COMPUTED_VALUE"""),2.41)</f>
        <v>2.41</v>
      </c>
      <c r="E2616" s="1">
        <f>IFERROR(__xludf.DUMMYFUNCTION("""COMPUTED_VALUE"""),2.46)</f>
        <v>2.46</v>
      </c>
      <c r="F2616" s="1">
        <f>IFERROR(__xludf.DUMMYFUNCTION("""COMPUTED_VALUE"""),1805733.0)</f>
        <v>1805733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IFERROR(__xludf.DUMMYFUNCTION("""COMPUTED_VALUE"""),2.6)</f>
        <v>2.6</v>
      </c>
      <c r="C2617" s="1">
        <f>IFERROR(__xludf.DUMMYFUNCTION("""COMPUTED_VALUE"""),2.7)</f>
        <v>2.7</v>
      </c>
      <c r="D2617" s="1">
        <f>IFERROR(__xludf.DUMMYFUNCTION("""COMPUTED_VALUE"""),2.6)</f>
        <v>2.6</v>
      </c>
      <c r="E2617" s="1">
        <f>IFERROR(__xludf.DUMMYFUNCTION("""COMPUTED_VALUE"""),2.66)</f>
        <v>2.66</v>
      </c>
      <c r="F2617" s="1">
        <f>IFERROR(__xludf.DUMMYFUNCTION("""COMPUTED_VALUE"""),2660667.0)</f>
        <v>2660667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IFERROR(__xludf.DUMMYFUNCTION("""COMPUTED_VALUE"""),2.84)</f>
        <v>2.84</v>
      </c>
      <c r="C2618" s="1">
        <f>IFERROR(__xludf.DUMMYFUNCTION("""COMPUTED_VALUE"""),2.86)</f>
        <v>2.86</v>
      </c>
      <c r="D2618" s="1">
        <f>IFERROR(__xludf.DUMMYFUNCTION("""COMPUTED_VALUE"""),2.74)</f>
        <v>2.74</v>
      </c>
      <c r="E2618" s="1">
        <f>IFERROR(__xludf.DUMMYFUNCTION("""COMPUTED_VALUE"""),2.8)</f>
        <v>2.8</v>
      </c>
      <c r="F2618" s="1">
        <f>IFERROR(__xludf.DUMMYFUNCTION("""COMPUTED_VALUE"""),3845921.0)</f>
        <v>3845921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IFERROR(__xludf.DUMMYFUNCTION("""COMPUTED_VALUE"""),2.83)</f>
        <v>2.83</v>
      </c>
      <c r="C2619" s="1">
        <f>IFERROR(__xludf.DUMMYFUNCTION("""COMPUTED_VALUE"""),2.83)</f>
        <v>2.83</v>
      </c>
      <c r="D2619" s="1">
        <f>IFERROR(__xludf.DUMMYFUNCTION("""COMPUTED_VALUE"""),2.76)</f>
        <v>2.76</v>
      </c>
      <c r="E2619" s="1">
        <f>IFERROR(__xludf.DUMMYFUNCTION("""COMPUTED_VALUE"""),2.78)</f>
        <v>2.78</v>
      </c>
      <c r="F2619" s="1">
        <f>IFERROR(__xludf.DUMMYFUNCTION("""COMPUTED_VALUE"""),2638133.0)</f>
        <v>2638133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IFERROR(__xludf.DUMMYFUNCTION("""COMPUTED_VALUE"""),2.72)</f>
        <v>2.72</v>
      </c>
      <c r="C2620" s="1">
        <f>IFERROR(__xludf.DUMMYFUNCTION("""COMPUTED_VALUE"""),2.74)</f>
        <v>2.74</v>
      </c>
      <c r="D2620" s="1">
        <f>IFERROR(__xludf.DUMMYFUNCTION("""COMPUTED_VALUE"""),2.62)</f>
        <v>2.62</v>
      </c>
      <c r="E2620" s="1">
        <f>IFERROR(__xludf.DUMMYFUNCTION("""COMPUTED_VALUE"""),2.67)</f>
        <v>2.67</v>
      </c>
      <c r="F2620" s="1">
        <f>IFERROR(__xludf.DUMMYFUNCTION("""COMPUTED_VALUE"""),4564129.0)</f>
        <v>4564129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IFERROR(__xludf.DUMMYFUNCTION("""COMPUTED_VALUE"""),2.77)</f>
        <v>2.77</v>
      </c>
      <c r="C2621" s="1">
        <f>IFERROR(__xludf.DUMMYFUNCTION("""COMPUTED_VALUE"""),2.85)</f>
        <v>2.85</v>
      </c>
      <c r="D2621" s="1">
        <f>IFERROR(__xludf.DUMMYFUNCTION("""COMPUTED_VALUE"""),2.75)</f>
        <v>2.75</v>
      </c>
      <c r="E2621" s="1">
        <f>IFERROR(__xludf.DUMMYFUNCTION("""COMPUTED_VALUE"""),2.84)</f>
        <v>2.84</v>
      </c>
      <c r="F2621" s="1">
        <f>IFERROR(__xludf.DUMMYFUNCTION("""COMPUTED_VALUE"""),2553458.0)</f>
        <v>2553458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IFERROR(__xludf.DUMMYFUNCTION("""COMPUTED_VALUE"""),2.88)</f>
        <v>2.88</v>
      </c>
      <c r="C2622" s="1">
        <f>IFERROR(__xludf.DUMMYFUNCTION("""COMPUTED_VALUE"""),2.93)</f>
        <v>2.93</v>
      </c>
      <c r="D2622" s="1">
        <f>IFERROR(__xludf.DUMMYFUNCTION("""COMPUTED_VALUE"""),2.87)</f>
        <v>2.87</v>
      </c>
      <c r="E2622" s="1">
        <f>IFERROR(__xludf.DUMMYFUNCTION("""COMPUTED_VALUE"""),2.91)</f>
        <v>2.91</v>
      </c>
      <c r="F2622" s="1">
        <f>IFERROR(__xludf.DUMMYFUNCTION("""COMPUTED_VALUE"""),2176848.0)</f>
        <v>2176848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IFERROR(__xludf.DUMMYFUNCTION("""COMPUTED_VALUE"""),3.1)</f>
        <v>3.1</v>
      </c>
      <c r="C2623" s="1">
        <f>IFERROR(__xludf.DUMMYFUNCTION("""COMPUTED_VALUE"""),3.22)</f>
        <v>3.22</v>
      </c>
      <c r="D2623" s="1">
        <f>IFERROR(__xludf.DUMMYFUNCTION("""COMPUTED_VALUE"""),3.1)</f>
        <v>3.1</v>
      </c>
      <c r="E2623" s="1">
        <f>IFERROR(__xludf.DUMMYFUNCTION("""COMPUTED_VALUE"""),3.22)</f>
        <v>3.22</v>
      </c>
      <c r="F2623" s="1">
        <f>IFERROR(__xludf.DUMMYFUNCTION("""COMPUTED_VALUE"""),3471429.0)</f>
        <v>3471429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IFERROR(__xludf.DUMMYFUNCTION("""COMPUTED_VALUE"""),3.17)</f>
        <v>3.17</v>
      </c>
      <c r="C2624" s="1">
        <f>IFERROR(__xludf.DUMMYFUNCTION("""COMPUTED_VALUE"""),3.26)</f>
        <v>3.26</v>
      </c>
      <c r="D2624" s="1">
        <f>IFERROR(__xludf.DUMMYFUNCTION("""COMPUTED_VALUE"""),3.13)</f>
        <v>3.13</v>
      </c>
      <c r="E2624" s="1">
        <f>IFERROR(__xludf.DUMMYFUNCTION("""COMPUTED_VALUE"""),3.24)</f>
        <v>3.24</v>
      </c>
      <c r="F2624" s="1">
        <f>IFERROR(__xludf.DUMMYFUNCTION("""COMPUTED_VALUE"""),3324056.0)</f>
        <v>3324056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IFERROR(__xludf.DUMMYFUNCTION("""COMPUTED_VALUE"""),3.44)</f>
        <v>3.44</v>
      </c>
      <c r="C2625" s="1">
        <f>IFERROR(__xludf.DUMMYFUNCTION("""COMPUTED_VALUE"""),3.46)</f>
        <v>3.46</v>
      </c>
      <c r="D2625" s="1">
        <f>IFERROR(__xludf.DUMMYFUNCTION("""COMPUTED_VALUE"""),3.39)</f>
        <v>3.39</v>
      </c>
      <c r="E2625" s="1">
        <f>IFERROR(__xludf.DUMMYFUNCTION("""COMPUTED_VALUE"""),3.39)</f>
        <v>3.39</v>
      </c>
      <c r="F2625" s="1">
        <f>IFERROR(__xludf.DUMMYFUNCTION("""COMPUTED_VALUE"""),3975556.0)</f>
        <v>3975556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IFERROR(__xludf.DUMMYFUNCTION("""COMPUTED_VALUE"""),3.51)</f>
        <v>3.51</v>
      </c>
      <c r="C2626" s="1">
        <f>IFERROR(__xludf.DUMMYFUNCTION("""COMPUTED_VALUE"""),3.54)</f>
        <v>3.54</v>
      </c>
      <c r="D2626" s="1">
        <f>IFERROR(__xludf.DUMMYFUNCTION("""COMPUTED_VALUE"""),3.37)</f>
        <v>3.37</v>
      </c>
      <c r="E2626" s="1">
        <f>IFERROR(__xludf.DUMMYFUNCTION("""COMPUTED_VALUE"""),3.44)</f>
        <v>3.44</v>
      </c>
      <c r="F2626" s="1">
        <f>IFERROR(__xludf.DUMMYFUNCTION("""COMPUTED_VALUE"""),4110583.0)</f>
        <v>4110583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IFERROR(__xludf.DUMMYFUNCTION("""COMPUTED_VALUE"""),3.36)</f>
        <v>3.36</v>
      </c>
      <c r="C2627" s="1">
        <f>IFERROR(__xludf.DUMMYFUNCTION("""COMPUTED_VALUE"""),3.39)</f>
        <v>3.39</v>
      </c>
      <c r="D2627" s="1">
        <f>IFERROR(__xludf.DUMMYFUNCTION("""COMPUTED_VALUE"""),3.31)</f>
        <v>3.31</v>
      </c>
      <c r="E2627" s="1">
        <f>IFERROR(__xludf.DUMMYFUNCTION("""COMPUTED_VALUE"""),3.33)</f>
        <v>3.33</v>
      </c>
      <c r="F2627" s="1">
        <f>IFERROR(__xludf.DUMMYFUNCTION("""COMPUTED_VALUE"""),2936950.0)</f>
        <v>2936950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IFERROR(__xludf.DUMMYFUNCTION("""COMPUTED_VALUE"""),3.25)</f>
        <v>3.25</v>
      </c>
      <c r="C2628" s="1">
        <f>IFERROR(__xludf.DUMMYFUNCTION("""COMPUTED_VALUE"""),3.26)</f>
        <v>3.26</v>
      </c>
      <c r="D2628" s="1">
        <f>IFERROR(__xludf.DUMMYFUNCTION("""COMPUTED_VALUE"""),3.13)</f>
        <v>3.13</v>
      </c>
      <c r="E2628" s="1">
        <f>IFERROR(__xludf.DUMMYFUNCTION("""COMPUTED_VALUE"""),3.15)</f>
        <v>3.15</v>
      </c>
      <c r="F2628" s="1">
        <f>IFERROR(__xludf.DUMMYFUNCTION("""COMPUTED_VALUE"""),4961471.0)</f>
        <v>4961471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IFERROR(__xludf.DUMMYFUNCTION("""COMPUTED_VALUE"""),2.92)</f>
        <v>2.92</v>
      </c>
      <c r="C2629" s="1">
        <f>IFERROR(__xludf.DUMMYFUNCTION("""COMPUTED_VALUE"""),2.99)</f>
        <v>2.99</v>
      </c>
      <c r="D2629" s="1">
        <f>IFERROR(__xludf.DUMMYFUNCTION("""COMPUTED_VALUE"""),2.8)</f>
        <v>2.8</v>
      </c>
      <c r="E2629" s="1">
        <f>IFERROR(__xludf.DUMMYFUNCTION("""COMPUTED_VALUE"""),2.8)</f>
        <v>2.8</v>
      </c>
      <c r="F2629" s="1">
        <f>IFERROR(__xludf.DUMMYFUNCTION("""COMPUTED_VALUE"""),3979981.0)</f>
        <v>3979981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IFERROR(__xludf.DUMMYFUNCTION("""COMPUTED_VALUE"""),2.97)</f>
        <v>2.97</v>
      </c>
      <c r="C2630" s="1">
        <f>IFERROR(__xludf.DUMMYFUNCTION("""COMPUTED_VALUE"""),3.0)</f>
        <v>3</v>
      </c>
      <c r="D2630" s="1">
        <f>IFERROR(__xludf.DUMMYFUNCTION("""COMPUTED_VALUE"""),2.85)</f>
        <v>2.85</v>
      </c>
      <c r="E2630" s="1">
        <f>IFERROR(__xludf.DUMMYFUNCTION("""COMPUTED_VALUE"""),2.94)</f>
        <v>2.94</v>
      </c>
      <c r="F2630" s="1">
        <f>IFERROR(__xludf.DUMMYFUNCTION("""COMPUTED_VALUE"""),3632131.0)</f>
        <v>3632131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IFERROR(__xludf.DUMMYFUNCTION("""COMPUTED_VALUE"""),2.82)</f>
        <v>2.82</v>
      </c>
      <c r="C2631" s="1">
        <f>IFERROR(__xludf.DUMMYFUNCTION("""COMPUTED_VALUE"""),2.99)</f>
        <v>2.99</v>
      </c>
      <c r="D2631" s="1">
        <f>IFERROR(__xludf.DUMMYFUNCTION("""COMPUTED_VALUE"""),2.8)</f>
        <v>2.8</v>
      </c>
      <c r="E2631" s="1">
        <f>IFERROR(__xludf.DUMMYFUNCTION("""COMPUTED_VALUE"""),2.95)</f>
        <v>2.95</v>
      </c>
      <c r="F2631" s="1">
        <f>IFERROR(__xludf.DUMMYFUNCTION("""COMPUTED_VALUE"""),4283977.0)</f>
        <v>4283977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IFERROR(__xludf.DUMMYFUNCTION("""COMPUTED_VALUE"""),3.08)</f>
        <v>3.08</v>
      </c>
      <c r="C2632" s="1">
        <f>IFERROR(__xludf.DUMMYFUNCTION("""COMPUTED_VALUE"""),3.11)</f>
        <v>3.11</v>
      </c>
      <c r="D2632" s="1">
        <f>IFERROR(__xludf.DUMMYFUNCTION("""COMPUTED_VALUE"""),2.97)</f>
        <v>2.97</v>
      </c>
      <c r="E2632" s="1">
        <f>IFERROR(__xludf.DUMMYFUNCTION("""COMPUTED_VALUE"""),3.03)</f>
        <v>3.03</v>
      </c>
      <c r="F2632" s="1">
        <f>IFERROR(__xludf.DUMMYFUNCTION("""COMPUTED_VALUE"""),3995012.0)</f>
        <v>3995012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IFERROR(__xludf.DUMMYFUNCTION("""COMPUTED_VALUE"""),2.99)</f>
        <v>2.99</v>
      </c>
      <c r="C2633" s="1">
        <f>IFERROR(__xludf.DUMMYFUNCTION("""COMPUTED_VALUE"""),3.01)</f>
        <v>3.01</v>
      </c>
      <c r="D2633" s="1">
        <f>IFERROR(__xludf.DUMMYFUNCTION("""COMPUTED_VALUE"""),2.93)</f>
        <v>2.93</v>
      </c>
      <c r="E2633" s="1">
        <f>IFERROR(__xludf.DUMMYFUNCTION("""COMPUTED_VALUE"""),2.94)</f>
        <v>2.94</v>
      </c>
      <c r="F2633" s="1">
        <f>IFERROR(__xludf.DUMMYFUNCTION("""COMPUTED_VALUE"""),2916160.0)</f>
        <v>2916160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IFERROR(__xludf.DUMMYFUNCTION("""COMPUTED_VALUE"""),2.9)</f>
        <v>2.9</v>
      </c>
      <c r="C2634" s="1">
        <f>IFERROR(__xludf.DUMMYFUNCTION("""COMPUTED_VALUE"""),2.99)</f>
        <v>2.99</v>
      </c>
      <c r="D2634" s="1">
        <f>IFERROR(__xludf.DUMMYFUNCTION("""COMPUTED_VALUE"""),2.89)</f>
        <v>2.89</v>
      </c>
      <c r="E2634" s="1">
        <f>IFERROR(__xludf.DUMMYFUNCTION("""COMPUTED_VALUE"""),2.94)</f>
        <v>2.94</v>
      </c>
      <c r="F2634" s="1">
        <f>IFERROR(__xludf.DUMMYFUNCTION("""COMPUTED_VALUE"""),2225773.0)</f>
        <v>2225773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IFERROR(__xludf.DUMMYFUNCTION("""COMPUTED_VALUE"""),2.97)</f>
        <v>2.97</v>
      </c>
      <c r="C2635" s="1">
        <f>IFERROR(__xludf.DUMMYFUNCTION("""COMPUTED_VALUE"""),2.97)</f>
        <v>2.97</v>
      </c>
      <c r="D2635" s="1">
        <f>IFERROR(__xludf.DUMMYFUNCTION("""COMPUTED_VALUE"""),2.79)</f>
        <v>2.79</v>
      </c>
      <c r="E2635" s="1">
        <f>IFERROR(__xludf.DUMMYFUNCTION("""COMPUTED_VALUE"""),2.81)</f>
        <v>2.81</v>
      </c>
      <c r="F2635" s="1">
        <f>IFERROR(__xludf.DUMMYFUNCTION("""COMPUTED_VALUE"""),3027563.0)</f>
        <v>3027563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IFERROR(__xludf.DUMMYFUNCTION("""COMPUTED_VALUE"""),2.87)</f>
        <v>2.87</v>
      </c>
      <c r="C2636" s="1">
        <f>IFERROR(__xludf.DUMMYFUNCTION("""COMPUTED_VALUE"""),2.9)</f>
        <v>2.9</v>
      </c>
      <c r="D2636" s="1">
        <f>IFERROR(__xludf.DUMMYFUNCTION("""COMPUTED_VALUE"""),2.83)</f>
        <v>2.83</v>
      </c>
      <c r="E2636" s="1">
        <f>IFERROR(__xludf.DUMMYFUNCTION("""COMPUTED_VALUE"""),2.86)</f>
        <v>2.86</v>
      </c>
      <c r="F2636" s="1">
        <f>IFERROR(__xludf.DUMMYFUNCTION("""COMPUTED_VALUE"""),3066211.0)</f>
        <v>3066211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IFERROR(__xludf.DUMMYFUNCTION("""COMPUTED_VALUE"""),3.15)</f>
        <v>3.15</v>
      </c>
      <c r="C2637" s="1">
        <f>IFERROR(__xludf.DUMMYFUNCTION("""COMPUTED_VALUE"""),3.18)</f>
        <v>3.18</v>
      </c>
      <c r="D2637" s="1">
        <f>IFERROR(__xludf.DUMMYFUNCTION("""COMPUTED_VALUE"""),3.08)</f>
        <v>3.08</v>
      </c>
      <c r="E2637" s="1">
        <f>IFERROR(__xludf.DUMMYFUNCTION("""COMPUTED_VALUE"""),3.09)</f>
        <v>3.09</v>
      </c>
      <c r="F2637" s="1">
        <f>IFERROR(__xludf.DUMMYFUNCTION("""COMPUTED_VALUE"""),3885828.0)</f>
        <v>3885828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IFERROR(__xludf.DUMMYFUNCTION("""COMPUTED_VALUE"""),3.05)</f>
        <v>3.05</v>
      </c>
      <c r="C2638" s="1">
        <f>IFERROR(__xludf.DUMMYFUNCTION("""COMPUTED_VALUE"""),3.05)</f>
        <v>3.05</v>
      </c>
      <c r="D2638" s="1">
        <f>IFERROR(__xludf.DUMMYFUNCTION("""COMPUTED_VALUE"""),2.92)</f>
        <v>2.92</v>
      </c>
      <c r="E2638" s="1">
        <f>IFERROR(__xludf.DUMMYFUNCTION("""COMPUTED_VALUE"""),2.93)</f>
        <v>2.93</v>
      </c>
      <c r="F2638" s="1">
        <f>IFERROR(__xludf.DUMMYFUNCTION("""COMPUTED_VALUE"""),3761364.0)</f>
        <v>3761364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IFERROR(__xludf.DUMMYFUNCTION("""COMPUTED_VALUE"""),2.97)</f>
        <v>2.97</v>
      </c>
      <c r="C2639" s="1">
        <f>IFERROR(__xludf.DUMMYFUNCTION("""COMPUTED_VALUE"""),3.06)</f>
        <v>3.06</v>
      </c>
      <c r="D2639" s="1">
        <f>IFERROR(__xludf.DUMMYFUNCTION("""COMPUTED_VALUE"""),2.97)</f>
        <v>2.97</v>
      </c>
      <c r="E2639" s="1">
        <f>IFERROR(__xludf.DUMMYFUNCTION("""COMPUTED_VALUE"""),3.04)</f>
        <v>3.04</v>
      </c>
      <c r="F2639" s="1">
        <f>IFERROR(__xludf.DUMMYFUNCTION("""COMPUTED_VALUE"""),2900802.0)</f>
        <v>2900802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IFERROR(__xludf.DUMMYFUNCTION("""COMPUTED_VALUE"""),2.97)</f>
        <v>2.97</v>
      </c>
      <c r="C2640" s="1">
        <f>IFERROR(__xludf.DUMMYFUNCTION("""COMPUTED_VALUE"""),2.97)</f>
        <v>2.97</v>
      </c>
      <c r="D2640" s="1">
        <f>IFERROR(__xludf.DUMMYFUNCTION("""COMPUTED_VALUE"""),2.86)</f>
        <v>2.86</v>
      </c>
      <c r="E2640" s="1">
        <f>IFERROR(__xludf.DUMMYFUNCTION("""COMPUTED_VALUE"""),2.87)</f>
        <v>2.87</v>
      </c>
      <c r="F2640" s="1">
        <f>IFERROR(__xludf.DUMMYFUNCTION("""COMPUTED_VALUE"""),3111029.0)</f>
        <v>3111029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IFERROR(__xludf.DUMMYFUNCTION("""COMPUTED_VALUE"""),2.96)</f>
        <v>2.96</v>
      </c>
      <c r="C2641" s="1">
        <f>IFERROR(__xludf.DUMMYFUNCTION("""COMPUTED_VALUE"""),3.01)</f>
        <v>3.01</v>
      </c>
      <c r="D2641" s="1">
        <f>IFERROR(__xludf.DUMMYFUNCTION("""COMPUTED_VALUE"""),2.94)</f>
        <v>2.94</v>
      </c>
      <c r="E2641" s="1">
        <f>IFERROR(__xludf.DUMMYFUNCTION("""COMPUTED_VALUE"""),2.97)</f>
        <v>2.97</v>
      </c>
      <c r="F2641" s="1">
        <f>IFERROR(__xludf.DUMMYFUNCTION("""COMPUTED_VALUE"""),3035342.0)</f>
        <v>3035342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IFERROR(__xludf.DUMMYFUNCTION("""COMPUTED_VALUE"""),2.91)</f>
        <v>2.91</v>
      </c>
      <c r="C2642" s="1">
        <f>IFERROR(__xludf.DUMMYFUNCTION("""COMPUTED_VALUE"""),2.96)</f>
        <v>2.96</v>
      </c>
      <c r="D2642" s="1">
        <f>IFERROR(__xludf.DUMMYFUNCTION("""COMPUTED_VALUE"""),2.89)</f>
        <v>2.89</v>
      </c>
      <c r="E2642" s="1">
        <f>IFERROR(__xludf.DUMMYFUNCTION("""COMPUTED_VALUE"""),2.94)</f>
        <v>2.94</v>
      </c>
      <c r="F2642" s="1">
        <f>IFERROR(__xludf.DUMMYFUNCTION("""COMPUTED_VALUE"""),2810173.0)</f>
        <v>2810173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IFERROR(__xludf.DUMMYFUNCTION("""COMPUTED_VALUE"""),2.91)</f>
        <v>2.91</v>
      </c>
      <c r="C2643" s="1">
        <f>IFERROR(__xludf.DUMMYFUNCTION("""COMPUTED_VALUE"""),2.97)</f>
        <v>2.97</v>
      </c>
      <c r="D2643" s="1">
        <f>IFERROR(__xludf.DUMMYFUNCTION("""COMPUTED_VALUE"""),2.91)</f>
        <v>2.91</v>
      </c>
      <c r="E2643" s="1">
        <f>IFERROR(__xludf.DUMMYFUNCTION("""COMPUTED_VALUE"""),2.92)</f>
        <v>2.92</v>
      </c>
      <c r="F2643" s="1">
        <f>IFERROR(__xludf.DUMMYFUNCTION("""COMPUTED_VALUE"""),2827860.0)</f>
        <v>2827860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IFERROR(__xludf.DUMMYFUNCTION("""COMPUTED_VALUE"""),3.05)</f>
        <v>3.05</v>
      </c>
      <c r="C2644" s="1">
        <f>IFERROR(__xludf.DUMMYFUNCTION("""COMPUTED_VALUE"""),3.08)</f>
        <v>3.08</v>
      </c>
      <c r="D2644" s="1">
        <f>IFERROR(__xludf.DUMMYFUNCTION("""COMPUTED_VALUE"""),2.99)</f>
        <v>2.99</v>
      </c>
      <c r="E2644" s="1">
        <f>IFERROR(__xludf.DUMMYFUNCTION("""COMPUTED_VALUE"""),3.01)</f>
        <v>3.01</v>
      </c>
      <c r="F2644" s="1">
        <f>IFERROR(__xludf.DUMMYFUNCTION("""COMPUTED_VALUE"""),3093837.0)</f>
        <v>3093837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IFERROR(__xludf.DUMMYFUNCTION("""COMPUTED_VALUE"""),3.13)</f>
        <v>3.13</v>
      </c>
      <c r="C2645" s="1">
        <f>IFERROR(__xludf.DUMMYFUNCTION("""COMPUTED_VALUE"""),3.22)</f>
        <v>3.22</v>
      </c>
      <c r="D2645" s="1">
        <f>IFERROR(__xludf.DUMMYFUNCTION("""COMPUTED_VALUE"""),3.11)</f>
        <v>3.11</v>
      </c>
      <c r="E2645" s="1">
        <f>IFERROR(__xludf.DUMMYFUNCTION("""COMPUTED_VALUE"""),3.19)</f>
        <v>3.19</v>
      </c>
      <c r="F2645" s="1">
        <f>IFERROR(__xludf.DUMMYFUNCTION("""COMPUTED_VALUE"""),6061987.0)</f>
        <v>6061987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IFERROR(__xludf.DUMMYFUNCTION("""COMPUTED_VALUE"""),3.17)</f>
        <v>3.17</v>
      </c>
      <c r="C2646" s="1">
        <f>IFERROR(__xludf.DUMMYFUNCTION("""COMPUTED_VALUE"""),3.17)</f>
        <v>3.17</v>
      </c>
      <c r="D2646" s="1">
        <f>IFERROR(__xludf.DUMMYFUNCTION("""COMPUTED_VALUE"""),3.08)</f>
        <v>3.08</v>
      </c>
      <c r="E2646" s="1">
        <f>IFERROR(__xludf.DUMMYFUNCTION("""COMPUTED_VALUE"""),3.09)</f>
        <v>3.09</v>
      </c>
      <c r="F2646" s="1">
        <f>IFERROR(__xludf.DUMMYFUNCTION("""COMPUTED_VALUE"""),3930610.0)</f>
        <v>3930610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IFERROR(__xludf.DUMMYFUNCTION("""COMPUTED_VALUE"""),3.05)</f>
        <v>3.05</v>
      </c>
      <c r="C2647" s="1">
        <f>IFERROR(__xludf.DUMMYFUNCTION("""COMPUTED_VALUE"""),3.1)</f>
        <v>3.1</v>
      </c>
      <c r="D2647" s="1">
        <f>IFERROR(__xludf.DUMMYFUNCTION("""COMPUTED_VALUE"""),3.05)</f>
        <v>3.05</v>
      </c>
      <c r="E2647" s="1">
        <f>IFERROR(__xludf.DUMMYFUNCTION("""COMPUTED_VALUE"""),3.1)</f>
        <v>3.1</v>
      </c>
      <c r="F2647" s="1">
        <f>IFERROR(__xludf.DUMMYFUNCTION("""COMPUTED_VALUE"""),2544578.0)</f>
        <v>2544578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IFERROR(__xludf.DUMMYFUNCTION("""COMPUTED_VALUE"""),3.08)</f>
        <v>3.08</v>
      </c>
      <c r="C2648" s="1">
        <f>IFERROR(__xludf.DUMMYFUNCTION("""COMPUTED_VALUE"""),3.09)</f>
        <v>3.09</v>
      </c>
      <c r="D2648" s="1">
        <f>IFERROR(__xludf.DUMMYFUNCTION("""COMPUTED_VALUE"""),2.98)</f>
        <v>2.98</v>
      </c>
      <c r="E2648" s="1">
        <f>IFERROR(__xludf.DUMMYFUNCTION("""COMPUTED_VALUE"""),2.99)</f>
        <v>2.99</v>
      </c>
      <c r="F2648" s="1">
        <f>IFERROR(__xludf.DUMMYFUNCTION("""COMPUTED_VALUE"""),2959155.0)</f>
        <v>2959155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IFERROR(__xludf.DUMMYFUNCTION("""COMPUTED_VALUE"""),3.02)</f>
        <v>3.02</v>
      </c>
      <c r="C2649" s="1">
        <f>IFERROR(__xludf.DUMMYFUNCTION("""COMPUTED_VALUE"""),3.12)</f>
        <v>3.12</v>
      </c>
      <c r="D2649" s="1">
        <f>IFERROR(__xludf.DUMMYFUNCTION("""COMPUTED_VALUE"""),3.01)</f>
        <v>3.01</v>
      </c>
      <c r="E2649" s="1">
        <f>IFERROR(__xludf.DUMMYFUNCTION("""COMPUTED_VALUE"""),3.1)</f>
        <v>3.1</v>
      </c>
      <c r="F2649" s="1">
        <f>IFERROR(__xludf.DUMMYFUNCTION("""COMPUTED_VALUE"""),2527105.0)</f>
        <v>2527105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IFERROR(__xludf.DUMMYFUNCTION("""COMPUTED_VALUE"""),3.14)</f>
        <v>3.14</v>
      </c>
      <c r="C2650" s="1">
        <f>IFERROR(__xludf.DUMMYFUNCTION("""COMPUTED_VALUE"""),3.16)</f>
        <v>3.16</v>
      </c>
      <c r="D2650" s="1">
        <f>IFERROR(__xludf.DUMMYFUNCTION("""COMPUTED_VALUE"""),3.09)</f>
        <v>3.09</v>
      </c>
      <c r="E2650" s="1">
        <f>IFERROR(__xludf.DUMMYFUNCTION("""COMPUTED_VALUE"""),3.11)</f>
        <v>3.11</v>
      </c>
      <c r="F2650" s="1">
        <f>IFERROR(__xludf.DUMMYFUNCTION("""COMPUTED_VALUE"""),2205975.0)</f>
        <v>2205975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IFERROR(__xludf.DUMMYFUNCTION("""COMPUTED_VALUE"""),3.14)</f>
        <v>3.14</v>
      </c>
      <c r="C2651" s="1">
        <f>IFERROR(__xludf.DUMMYFUNCTION("""COMPUTED_VALUE"""),3.22)</f>
        <v>3.22</v>
      </c>
      <c r="D2651" s="1">
        <f>IFERROR(__xludf.DUMMYFUNCTION("""COMPUTED_VALUE"""),3.13)</f>
        <v>3.13</v>
      </c>
      <c r="E2651" s="1">
        <f>IFERROR(__xludf.DUMMYFUNCTION("""COMPUTED_VALUE"""),3.22)</f>
        <v>3.22</v>
      </c>
      <c r="F2651" s="1">
        <f>IFERROR(__xludf.DUMMYFUNCTION("""COMPUTED_VALUE"""),3154069.0)</f>
        <v>3154069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IFERROR(__xludf.DUMMYFUNCTION("""COMPUTED_VALUE"""),3.22)</f>
        <v>3.22</v>
      </c>
      <c r="C2652" s="1">
        <f>IFERROR(__xludf.DUMMYFUNCTION("""COMPUTED_VALUE"""),3.25)</f>
        <v>3.25</v>
      </c>
      <c r="D2652" s="1">
        <f>IFERROR(__xludf.DUMMYFUNCTION("""COMPUTED_VALUE"""),3.19)</f>
        <v>3.19</v>
      </c>
      <c r="E2652" s="1">
        <f>IFERROR(__xludf.DUMMYFUNCTION("""COMPUTED_VALUE"""),3.23)</f>
        <v>3.23</v>
      </c>
      <c r="F2652" s="1">
        <f>IFERROR(__xludf.DUMMYFUNCTION("""COMPUTED_VALUE"""),2560369.0)</f>
        <v>2560369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IFERROR(__xludf.DUMMYFUNCTION("""COMPUTED_VALUE"""),3.19)</f>
        <v>3.19</v>
      </c>
      <c r="C2653" s="1">
        <f>IFERROR(__xludf.DUMMYFUNCTION("""COMPUTED_VALUE"""),3.22)</f>
        <v>3.22</v>
      </c>
      <c r="D2653" s="1">
        <f>IFERROR(__xludf.DUMMYFUNCTION("""COMPUTED_VALUE"""),3.15)</f>
        <v>3.15</v>
      </c>
      <c r="E2653" s="1">
        <f>IFERROR(__xludf.DUMMYFUNCTION("""COMPUTED_VALUE"""),3.17)</f>
        <v>3.17</v>
      </c>
      <c r="F2653" s="1">
        <f>IFERROR(__xludf.DUMMYFUNCTION("""COMPUTED_VALUE"""),2781691.0)</f>
        <v>2781691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IFERROR(__xludf.DUMMYFUNCTION("""COMPUTED_VALUE"""),3.13)</f>
        <v>3.13</v>
      </c>
      <c r="C2654" s="1">
        <f>IFERROR(__xludf.DUMMYFUNCTION("""COMPUTED_VALUE"""),3.14)</f>
        <v>3.14</v>
      </c>
      <c r="D2654" s="1">
        <f>IFERROR(__xludf.DUMMYFUNCTION("""COMPUTED_VALUE"""),3.1)</f>
        <v>3.1</v>
      </c>
      <c r="E2654" s="1">
        <f>IFERROR(__xludf.DUMMYFUNCTION("""COMPUTED_VALUE"""),3.13)</f>
        <v>3.13</v>
      </c>
      <c r="F2654" s="1">
        <f>IFERROR(__xludf.DUMMYFUNCTION("""COMPUTED_VALUE"""),2186555.0)</f>
        <v>2186555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IFERROR(__xludf.DUMMYFUNCTION("""COMPUTED_VALUE"""),3.1)</f>
        <v>3.1</v>
      </c>
      <c r="C2655" s="1">
        <f>IFERROR(__xludf.DUMMYFUNCTION("""COMPUTED_VALUE"""),3.16)</f>
        <v>3.16</v>
      </c>
      <c r="D2655" s="1">
        <f>IFERROR(__xludf.DUMMYFUNCTION("""COMPUTED_VALUE"""),3.1)</f>
        <v>3.1</v>
      </c>
      <c r="E2655" s="1">
        <f>IFERROR(__xludf.DUMMYFUNCTION("""COMPUTED_VALUE"""),3.15)</f>
        <v>3.15</v>
      </c>
      <c r="F2655" s="1">
        <f>IFERROR(__xludf.DUMMYFUNCTION("""COMPUTED_VALUE"""),1461570.0)</f>
        <v>1461570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IFERROR(__xludf.DUMMYFUNCTION("""COMPUTED_VALUE"""),3.14)</f>
        <v>3.14</v>
      </c>
      <c r="C2656" s="1">
        <f>IFERROR(__xludf.DUMMYFUNCTION("""COMPUTED_VALUE"""),3.18)</f>
        <v>3.18</v>
      </c>
      <c r="D2656" s="1">
        <f>IFERROR(__xludf.DUMMYFUNCTION("""COMPUTED_VALUE"""),3.13)</f>
        <v>3.13</v>
      </c>
      <c r="E2656" s="1">
        <f>IFERROR(__xludf.DUMMYFUNCTION("""COMPUTED_VALUE"""),3.14)</f>
        <v>3.14</v>
      </c>
      <c r="F2656" s="1">
        <f>IFERROR(__xludf.DUMMYFUNCTION("""COMPUTED_VALUE"""),2183963.0)</f>
        <v>2183963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IFERROR(__xludf.DUMMYFUNCTION("""COMPUTED_VALUE"""),3.14)</f>
        <v>3.14</v>
      </c>
      <c r="C2657" s="1">
        <f>IFERROR(__xludf.DUMMYFUNCTION("""COMPUTED_VALUE"""),3.17)</f>
        <v>3.17</v>
      </c>
      <c r="D2657" s="1">
        <f>IFERROR(__xludf.DUMMYFUNCTION("""COMPUTED_VALUE"""),3.12)</f>
        <v>3.12</v>
      </c>
      <c r="E2657" s="1">
        <f>IFERROR(__xludf.DUMMYFUNCTION("""COMPUTED_VALUE"""),3.14)</f>
        <v>3.14</v>
      </c>
      <c r="F2657" s="1">
        <f>IFERROR(__xludf.DUMMYFUNCTION("""COMPUTED_VALUE"""),1731591.0)</f>
        <v>1731591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IFERROR(__xludf.DUMMYFUNCTION("""COMPUTED_VALUE"""),3.09)</f>
        <v>3.09</v>
      </c>
      <c r="C2658" s="1">
        <f>IFERROR(__xludf.DUMMYFUNCTION("""COMPUTED_VALUE"""),3.12)</f>
        <v>3.12</v>
      </c>
      <c r="D2658" s="1">
        <f>IFERROR(__xludf.DUMMYFUNCTION("""COMPUTED_VALUE"""),3.07)</f>
        <v>3.07</v>
      </c>
      <c r="E2658" s="1">
        <f>IFERROR(__xludf.DUMMYFUNCTION("""COMPUTED_VALUE"""),3.1)</f>
        <v>3.1</v>
      </c>
      <c r="F2658" s="1">
        <f>IFERROR(__xludf.DUMMYFUNCTION("""COMPUTED_VALUE"""),2087883.0)</f>
        <v>2087883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IFERROR(__xludf.DUMMYFUNCTION("""COMPUTED_VALUE"""),3.07)</f>
        <v>3.07</v>
      </c>
      <c r="C2659" s="1">
        <f>IFERROR(__xludf.DUMMYFUNCTION("""COMPUTED_VALUE"""),3.09)</f>
        <v>3.09</v>
      </c>
      <c r="D2659" s="1">
        <f>IFERROR(__xludf.DUMMYFUNCTION("""COMPUTED_VALUE"""),3.03)</f>
        <v>3.03</v>
      </c>
      <c r="E2659" s="1">
        <f>IFERROR(__xludf.DUMMYFUNCTION("""COMPUTED_VALUE"""),3.04)</f>
        <v>3.04</v>
      </c>
      <c r="F2659" s="1">
        <f>IFERROR(__xludf.DUMMYFUNCTION("""COMPUTED_VALUE"""),1615682.0)</f>
        <v>1615682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IFERROR(__xludf.DUMMYFUNCTION("""COMPUTED_VALUE"""),3.04)</f>
        <v>3.04</v>
      </c>
      <c r="C2660" s="1">
        <f>IFERROR(__xludf.DUMMYFUNCTION("""COMPUTED_VALUE"""),3.07)</f>
        <v>3.07</v>
      </c>
      <c r="D2660" s="1">
        <f>IFERROR(__xludf.DUMMYFUNCTION("""COMPUTED_VALUE"""),3.02)</f>
        <v>3.02</v>
      </c>
      <c r="E2660" s="1">
        <f>IFERROR(__xludf.DUMMYFUNCTION("""COMPUTED_VALUE"""),3.06)</f>
        <v>3.06</v>
      </c>
      <c r="F2660" s="1">
        <f>IFERROR(__xludf.DUMMYFUNCTION("""COMPUTED_VALUE"""),1904811.0)</f>
        <v>1904811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IFERROR(__xludf.DUMMYFUNCTION("""COMPUTED_VALUE"""),3.05)</f>
        <v>3.05</v>
      </c>
      <c r="C2661" s="1">
        <f>IFERROR(__xludf.DUMMYFUNCTION("""COMPUTED_VALUE"""),3.07)</f>
        <v>3.07</v>
      </c>
      <c r="D2661" s="1">
        <f>IFERROR(__xludf.DUMMYFUNCTION("""COMPUTED_VALUE"""),3.03)</f>
        <v>3.03</v>
      </c>
      <c r="E2661" s="1">
        <f>IFERROR(__xludf.DUMMYFUNCTION("""COMPUTED_VALUE"""),3.06)</f>
        <v>3.06</v>
      </c>
      <c r="F2661" s="1">
        <f>IFERROR(__xludf.DUMMYFUNCTION("""COMPUTED_VALUE"""),1627871.0)</f>
        <v>1627871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IFERROR(__xludf.DUMMYFUNCTION("""COMPUTED_VALUE"""),3.05)</f>
        <v>3.05</v>
      </c>
      <c r="C2662" s="1">
        <f>IFERROR(__xludf.DUMMYFUNCTION("""COMPUTED_VALUE"""),3.11)</f>
        <v>3.11</v>
      </c>
      <c r="D2662" s="1">
        <f>IFERROR(__xludf.DUMMYFUNCTION("""COMPUTED_VALUE"""),3.03)</f>
        <v>3.03</v>
      </c>
      <c r="E2662" s="1">
        <f>IFERROR(__xludf.DUMMYFUNCTION("""COMPUTED_VALUE"""),3.09)</f>
        <v>3.09</v>
      </c>
      <c r="F2662" s="1">
        <f>IFERROR(__xludf.DUMMYFUNCTION("""COMPUTED_VALUE"""),1035706.0)</f>
        <v>1035706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IFERROR(__xludf.DUMMYFUNCTION("""COMPUTED_VALUE"""),2.92)</f>
        <v>2.92</v>
      </c>
      <c r="C2663" s="1">
        <f>IFERROR(__xludf.DUMMYFUNCTION("""COMPUTED_VALUE"""),2.96)</f>
        <v>2.96</v>
      </c>
      <c r="D2663" s="1">
        <f>IFERROR(__xludf.DUMMYFUNCTION("""COMPUTED_VALUE"""),2.88)</f>
        <v>2.88</v>
      </c>
      <c r="E2663" s="1">
        <f>IFERROR(__xludf.DUMMYFUNCTION("""COMPUTED_VALUE"""),2.96)</f>
        <v>2.96</v>
      </c>
      <c r="F2663" s="1">
        <f>IFERROR(__xludf.DUMMYFUNCTION("""COMPUTED_VALUE"""),2117205.0)</f>
        <v>2117205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IFERROR(__xludf.DUMMYFUNCTION("""COMPUTED_VALUE"""),3.0)</f>
        <v>3</v>
      </c>
      <c r="C2664" s="1">
        <f>IFERROR(__xludf.DUMMYFUNCTION("""COMPUTED_VALUE"""),3.0)</f>
        <v>3</v>
      </c>
      <c r="D2664" s="1">
        <f>IFERROR(__xludf.DUMMYFUNCTION("""COMPUTED_VALUE"""),2.9)</f>
        <v>2.9</v>
      </c>
      <c r="E2664" s="1">
        <f>IFERROR(__xludf.DUMMYFUNCTION("""COMPUTED_VALUE"""),2.9)</f>
        <v>2.9</v>
      </c>
      <c r="F2664" s="1">
        <f>IFERROR(__xludf.DUMMYFUNCTION("""COMPUTED_VALUE"""),2400469.0)</f>
        <v>2400469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IFERROR(__xludf.DUMMYFUNCTION("""COMPUTED_VALUE"""),2.99)</f>
        <v>2.99</v>
      </c>
      <c r="C2665" s="1">
        <f>IFERROR(__xludf.DUMMYFUNCTION("""COMPUTED_VALUE"""),3.04)</f>
        <v>3.04</v>
      </c>
      <c r="D2665" s="1">
        <f>IFERROR(__xludf.DUMMYFUNCTION("""COMPUTED_VALUE"""),2.96)</f>
        <v>2.96</v>
      </c>
      <c r="E2665" s="1">
        <f>IFERROR(__xludf.DUMMYFUNCTION("""COMPUTED_VALUE"""),3.04)</f>
        <v>3.04</v>
      </c>
      <c r="F2665" s="1">
        <f>IFERROR(__xludf.DUMMYFUNCTION("""COMPUTED_VALUE"""),1859992.0)</f>
        <v>1859992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IFERROR(__xludf.DUMMYFUNCTION("""COMPUTED_VALUE"""),3.06)</f>
        <v>3.06</v>
      </c>
      <c r="C2666" s="1">
        <f>IFERROR(__xludf.DUMMYFUNCTION("""COMPUTED_VALUE"""),3.08)</f>
        <v>3.08</v>
      </c>
      <c r="D2666" s="1">
        <f>IFERROR(__xludf.DUMMYFUNCTION("""COMPUTED_VALUE"""),3.04)</f>
        <v>3.04</v>
      </c>
      <c r="E2666" s="1">
        <f>IFERROR(__xludf.DUMMYFUNCTION("""COMPUTED_VALUE"""),3.06)</f>
        <v>3.06</v>
      </c>
      <c r="F2666" s="1">
        <f>IFERROR(__xludf.DUMMYFUNCTION("""COMPUTED_VALUE"""),2348352.0)</f>
        <v>2348352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IFERROR(__xludf.DUMMYFUNCTION("""COMPUTED_VALUE"""),3.14)</f>
        <v>3.14</v>
      </c>
      <c r="C2667" s="1">
        <f>IFERROR(__xludf.DUMMYFUNCTION("""COMPUTED_VALUE"""),3.2)</f>
        <v>3.2</v>
      </c>
      <c r="D2667" s="1">
        <f>IFERROR(__xludf.DUMMYFUNCTION("""COMPUTED_VALUE"""),3.14)</f>
        <v>3.14</v>
      </c>
      <c r="E2667" s="1">
        <f>IFERROR(__xludf.DUMMYFUNCTION("""COMPUTED_VALUE"""),3.18)</f>
        <v>3.18</v>
      </c>
      <c r="F2667" s="1">
        <f>IFERROR(__xludf.DUMMYFUNCTION("""COMPUTED_VALUE"""),1834458.0)</f>
        <v>1834458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IFERROR(__xludf.DUMMYFUNCTION("""COMPUTED_VALUE"""),3.16)</f>
        <v>3.16</v>
      </c>
      <c r="C2668" s="1">
        <f>IFERROR(__xludf.DUMMYFUNCTION("""COMPUTED_VALUE"""),3.2)</f>
        <v>3.2</v>
      </c>
      <c r="D2668" s="1">
        <f>IFERROR(__xludf.DUMMYFUNCTION("""COMPUTED_VALUE"""),3.15)</f>
        <v>3.15</v>
      </c>
      <c r="E2668" s="1">
        <f>IFERROR(__xludf.DUMMYFUNCTION("""COMPUTED_VALUE"""),3.18)</f>
        <v>3.18</v>
      </c>
      <c r="F2668" s="1">
        <f>IFERROR(__xludf.DUMMYFUNCTION("""COMPUTED_VALUE"""),3099329.0)</f>
        <v>3099329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IFERROR(__xludf.DUMMYFUNCTION("""COMPUTED_VALUE"""),3.15)</f>
        <v>3.15</v>
      </c>
      <c r="C2669" s="1">
        <f>IFERROR(__xludf.DUMMYFUNCTION("""COMPUTED_VALUE"""),3.25)</f>
        <v>3.25</v>
      </c>
      <c r="D2669" s="1">
        <f>IFERROR(__xludf.DUMMYFUNCTION("""COMPUTED_VALUE"""),3.15)</f>
        <v>3.15</v>
      </c>
      <c r="E2669" s="1">
        <f>IFERROR(__xludf.DUMMYFUNCTION("""COMPUTED_VALUE"""),3.25)</f>
        <v>3.25</v>
      </c>
      <c r="F2669" s="1">
        <f>IFERROR(__xludf.DUMMYFUNCTION("""COMPUTED_VALUE"""),2052393.0)</f>
        <v>2052393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IFERROR(__xludf.DUMMYFUNCTION("""COMPUTED_VALUE"""),3.27)</f>
        <v>3.27</v>
      </c>
      <c r="C2670" s="1">
        <f>IFERROR(__xludf.DUMMYFUNCTION("""COMPUTED_VALUE"""),3.36)</f>
        <v>3.36</v>
      </c>
      <c r="D2670" s="1">
        <f>IFERROR(__xludf.DUMMYFUNCTION("""COMPUTED_VALUE"""),3.27)</f>
        <v>3.27</v>
      </c>
      <c r="E2670" s="1">
        <f>IFERROR(__xludf.DUMMYFUNCTION("""COMPUTED_VALUE"""),3.35)</f>
        <v>3.35</v>
      </c>
      <c r="F2670" s="1">
        <f>IFERROR(__xludf.DUMMYFUNCTION("""COMPUTED_VALUE"""),2364248.0)</f>
        <v>2364248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IFERROR(__xludf.DUMMYFUNCTION("""COMPUTED_VALUE"""),3.48)</f>
        <v>3.48</v>
      </c>
      <c r="C2671" s="1">
        <f>IFERROR(__xludf.DUMMYFUNCTION("""COMPUTED_VALUE"""),3.52)</f>
        <v>3.52</v>
      </c>
      <c r="D2671" s="1">
        <f>IFERROR(__xludf.DUMMYFUNCTION("""COMPUTED_VALUE"""),3.44)</f>
        <v>3.44</v>
      </c>
      <c r="E2671" s="1">
        <f>IFERROR(__xludf.DUMMYFUNCTION("""COMPUTED_VALUE"""),3.47)</f>
        <v>3.47</v>
      </c>
      <c r="F2671" s="1">
        <f>IFERROR(__xludf.DUMMYFUNCTION("""COMPUTED_VALUE"""),2966736.0)</f>
        <v>2966736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IFERROR(__xludf.DUMMYFUNCTION("""COMPUTED_VALUE"""),3.56)</f>
        <v>3.56</v>
      </c>
      <c r="C2672" s="1">
        <f>IFERROR(__xludf.DUMMYFUNCTION("""COMPUTED_VALUE"""),3.56)</f>
        <v>3.56</v>
      </c>
      <c r="D2672" s="1">
        <f>IFERROR(__xludf.DUMMYFUNCTION("""COMPUTED_VALUE"""),3.43)</f>
        <v>3.43</v>
      </c>
      <c r="E2672" s="1">
        <f>IFERROR(__xludf.DUMMYFUNCTION("""COMPUTED_VALUE"""),3.45)</f>
        <v>3.45</v>
      </c>
      <c r="F2672" s="1">
        <f>IFERROR(__xludf.DUMMYFUNCTION("""COMPUTED_VALUE"""),2195106.0)</f>
        <v>2195106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IFERROR(__xludf.DUMMYFUNCTION("""COMPUTED_VALUE"""),2.99)</f>
        <v>2.99</v>
      </c>
      <c r="C2673" s="1">
        <f>IFERROR(__xludf.DUMMYFUNCTION("""COMPUTED_VALUE"""),3.04)</f>
        <v>3.04</v>
      </c>
      <c r="D2673" s="1">
        <f>IFERROR(__xludf.DUMMYFUNCTION("""COMPUTED_VALUE"""),2.96)</f>
        <v>2.96</v>
      </c>
      <c r="E2673" s="1">
        <f>IFERROR(__xludf.DUMMYFUNCTION("""COMPUTED_VALUE"""),2.97)</f>
        <v>2.97</v>
      </c>
      <c r="F2673" s="1">
        <f>IFERROR(__xludf.DUMMYFUNCTION("""COMPUTED_VALUE"""),4157269.0)</f>
        <v>4157269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IFERROR(__xludf.DUMMYFUNCTION("""COMPUTED_VALUE"""),2.87)</f>
        <v>2.87</v>
      </c>
      <c r="C2674" s="1">
        <f>IFERROR(__xludf.DUMMYFUNCTION("""COMPUTED_VALUE"""),2.93)</f>
        <v>2.93</v>
      </c>
      <c r="D2674" s="1">
        <f>IFERROR(__xludf.DUMMYFUNCTION("""COMPUTED_VALUE"""),2.86)</f>
        <v>2.86</v>
      </c>
      <c r="E2674" s="1">
        <f>IFERROR(__xludf.DUMMYFUNCTION("""COMPUTED_VALUE"""),2.91)</f>
        <v>2.91</v>
      </c>
      <c r="F2674" s="1">
        <f>IFERROR(__xludf.DUMMYFUNCTION("""COMPUTED_VALUE"""),2583553.0)</f>
        <v>2583553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IFERROR(__xludf.DUMMYFUNCTION("""COMPUTED_VALUE"""),2.93)</f>
        <v>2.93</v>
      </c>
      <c r="C2675" s="1">
        <f>IFERROR(__xludf.DUMMYFUNCTION("""COMPUTED_VALUE"""),2.94)</f>
        <v>2.94</v>
      </c>
      <c r="D2675" s="1">
        <f>IFERROR(__xludf.DUMMYFUNCTION("""COMPUTED_VALUE"""),2.84)</f>
        <v>2.84</v>
      </c>
      <c r="E2675" s="1">
        <f>IFERROR(__xludf.DUMMYFUNCTION("""COMPUTED_VALUE"""),2.85)</f>
        <v>2.85</v>
      </c>
      <c r="F2675" s="1">
        <f>IFERROR(__xludf.DUMMYFUNCTION("""COMPUTED_VALUE"""),3131740.0)</f>
        <v>3131740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IFERROR(__xludf.DUMMYFUNCTION("""COMPUTED_VALUE"""),2.85)</f>
        <v>2.85</v>
      </c>
      <c r="C2676" s="1">
        <f>IFERROR(__xludf.DUMMYFUNCTION("""COMPUTED_VALUE"""),2.85)</f>
        <v>2.85</v>
      </c>
      <c r="D2676" s="1">
        <f>IFERROR(__xludf.DUMMYFUNCTION("""COMPUTED_VALUE"""),2.8)</f>
        <v>2.8</v>
      </c>
      <c r="E2676" s="1">
        <f>IFERROR(__xludf.DUMMYFUNCTION("""COMPUTED_VALUE"""),2.82)</f>
        <v>2.82</v>
      </c>
      <c r="F2676" s="1">
        <f>IFERROR(__xludf.DUMMYFUNCTION("""COMPUTED_VALUE"""),2123289.0)</f>
        <v>2123289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IFERROR(__xludf.DUMMYFUNCTION("""COMPUTED_VALUE"""),2.7)</f>
        <v>2.7</v>
      </c>
      <c r="C2677" s="1">
        <f>IFERROR(__xludf.DUMMYFUNCTION("""COMPUTED_VALUE"""),2.76)</f>
        <v>2.76</v>
      </c>
      <c r="D2677" s="1">
        <f>IFERROR(__xludf.DUMMYFUNCTION("""COMPUTED_VALUE"""),2.7)</f>
        <v>2.7</v>
      </c>
      <c r="E2677" s="1">
        <f>IFERROR(__xludf.DUMMYFUNCTION("""COMPUTED_VALUE"""),2.75)</f>
        <v>2.75</v>
      </c>
      <c r="F2677" s="1">
        <f>IFERROR(__xludf.DUMMYFUNCTION("""COMPUTED_VALUE"""),3024853.0)</f>
        <v>3024853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IFERROR(__xludf.DUMMYFUNCTION("""COMPUTED_VALUE"""),2.68)</f>
        <v>2.68</v>
      </c>
      <c r="C2678" s="1">
        <f>IFERROR(__xludf.DUMMYFUNCTION("""COMPUTED_VALUE"""),2.71)</f>
        <v>2.71</v>
      </c>
      <c r="D2678" s="1">
        <f>IFERROR(__xludf.DUMMYFUNCTION("""COMPUTED_VALUE"""),2.67)</f>
        <v>2.67</v>
      </c>
      <c r="E2678" s="1">
        <f>IFERROR(__xludf.DUMMYFUNCTION("""COMPUTED_VALUE"""),2.67)</f>
        <v>2.67</v>
      </c>
      <c r="F2678" s="1">
        <f>IFERROR(__xludf.DUMMYFUNCTION("""COMPUTED_VALUE"""),2485570.0)</f>
        <v>2485570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IFERROR(__xludf.DUMMYFUNCTION("""COMPUTED_VALUE"""),2.59)</f>
        <v>2.59</v>
      </c>
      <c r="C2679" s="1">
        <f>IFERROR(__xludf.DUMMYFUNCTION("""COMPUTED_VALUE"""),2.66)</f>
        <v>2.66</v>
      </c>
      <c r="D2679" s="1">
        <f>IFERROR(__xludf.DUMMYFUNCTION("""COMPUTED_VALUE"""),2.59)</f>
        <v>2.59</v>
      </c>
      <c r="E2679" s="1">
        <f>IFERROR(__xludf.DUMMYFUNCTION("""COMPUTED_VALUE"""),2.64)</f>
        <v>2.64</v>
      </c>
      <c r="F2679" s="1">
        <f>IFERROR(__xludf.DUMMYFUNCTION("""COMPUTED_VALUE"""),1939544.0)</f>
        <v>1939544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IFERROR(__xludf.DUMMYFUNCTION("""COMPUTED_VALUE"""),2.7)</f>
        <v>2.7</v>
      </c>
      <c r="C2680" s="1">
        <f>IFERROR(__xludf.DUMMYFUNCTION("""COMPUTED_VALUE"""),2.75)</f>
        <v>2.75</v>
      </c>
      <c r="D2680" s="1">
        <f>IFERROR(__xludf.DUMMYFUNCTION("""COMPUTED_VALUE"""),2.7)</f>
        <v>2.7</v>
      </c>
      <c r="E2680" s="1">
        <f>IFERROR(__xludf.DUMMYFUNCTION("""COMPUTED_VALUE"""),2.74)</f>
        <v>2.74</v>
      </c>
      <c r="F2680" s="1">
        <f>IFERROR(__xludf.DUMMYFUNCTION("""COMPUTED_VALUE"""),1964165.0)</f>
        <v>1964165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IFERROR(__xludf.DUMMYFUNCTION("""COMPUTED_VALUE"""),2.77)</f>
        <v>2.77</v>
      </c>
      <c r="C2681" s="1">
        <f>IFERROR(__xludf.DUMMYFUNCTION("""COMPUTED_VALUE"""),2.81)</f>
        <v>2.81</v>
      </c>
      <c r="D2681" s="1">
        <f>IFERROR(__xludf.DUMMYFUNCTION("""COMPUTED_VALUE"""),2.73)</f>
        <v>2.73</v>
      </c>
      <c r="E2681" s="1">
        <f>IFERROR(__xludf.DUMMYFUNCTION("""COMPUTED_VALUE"""),2.77)</f>
        <v>2.77</v>
      </c>
      <c r="F2681" s="1">
        <f>IFERROR(__xludf.DUMMYFUNCTION("""COMPUTED_VALUE"""),2820255.0)</f>
        <v>2820255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IFERROR(__xludf.DUMMYFUNCTION("""COMPUTED_VALUE"""),2.8)</f>
        <v>2.8</v>
      </c>
      <c r="C2682" s="1">
        <f>IFERROR(__xludf.DUMMYFUNCTION("""COMPUTED_VALUE"""),2.84)</f>
        <v>2.84</v>
      </c>
      <c r="D2682" s="1">
        <f>IFERROR(__xludf.DUMMYFUNCTION("""COMPUTED_VALUE"""),2.79)</f>
        <v>2.79</v>
      </c>
      <c r="E2682" s="1">
        <f>IFERROR(__xludf.DUMMYFUNCTION("""COMPUTED_VALUE"""),2.81)</f>
        <v>2.81</v>
      </c>
      <c r="F2682" s="1">
        <f>IFERROR(__xludf.DUMMYFUNCTION("""COMPUTED_VALUE"""),2291765.0)</f>
        <v>2291765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IFERROR(__xludf.DUMMYFUNCTION("""COMPUTED_VALUE"""),2.72)</f>
        <v>2.72</v>
      </c>
      <c r="C2683" s="1">
        <f>IFERROR(__xludf.DUMMYFUNCTION("""COMPUTED_VALUE"""),2.77)</f>
        <v>2.77</v>
      </c>
      <c r="D2683" s="1">
        <f>IFERROR(__xludf.DUMMYFUNCTION("""COMPUTED_VALUE"""),2.72)</f>
        <v>2.72</v>
      </c>
      <c r="E2683" s="1">
        <f>IFERROR(__xludf.DUMMYFUNCTION("""COMPUTED_VALUE"""),2.73)</f>
        <v>2.73</v>
      </c>
      <c r="F2683" s="1">
        <f>IFERROR(__xludf.DUMMYFUNCTION("""COMPUTED_VALUE"""),2139784.0)</f>
        <v>2139784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IFERROR(__xludf.DUMMYFUNCTION("""COMPUTED_VALUE"""),2.81)</f>
        <v>2.81</v>
      </c>
      <c r="C2684" s="1">
        <f>IFERROR(__xludf.DUMMYFUNCTION("""COMPUTED_VALUE"""),2.82)</f>
        <v>2.82</v>
      </c>
      <c r="D2684" s="1">
        <f>IFERROR(__xludf.DUMMYFUNCTION("""COMPUTED_VALUE"""),2.78)</f>
        <v>2.78</v>
      </c>
      <c r="E2684" s="1">
        <f>IFERROR(__xludf.DUMMYFUNCTION("""COMPUTED_VALUE"""),2.82)</f>
        <v>2.82</v>
      </c>
      <c r="F2684" s="1">
        <f>IFERROR(__xludf.DUMMYFUNCTION("""COMPUTED_VALUE"""),1576662.0)</f>
        <v>1576662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IFERROR(__xludf.DUMMYFUNCTION("""COMPUTED_VALUE"""),2.8)</f>
        <v>2.8</v>
      </c>
      <c r="C2685" s="1">
        <f>IFERROR(__xludf.DUMMYFUNCTION("""COMPUTED_VALUE"""),2.81)</f>
        <v>2.81</v>
      </c>
      <c r="D2685" s="1">
        <f>IFERROR(__xludf.DUMMYFUNCTION("""COMPUTED_VALUE"""),2.74)</f>
        <v>2.74</v>
      </c>
      <c r="E2685" s="1">
        <f>IFERROR(__xludf.DUMMYFUNCTION("""COMPUTED_VALUE"""),2.74)</f>
        <v>2.74</v>
      </c>
      <c r="F2685" s="1">
        <f>IFERROR(__xludf.DUMMYFUNCTION("""COMPUTED_VALUE"""),1791349.0)</f>
        <v>1791349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IFERROR(__xludf.DUMMYFUNCTION("""COMPUTED_VALUE"""),2.67)</f>
        <v>2.67</v>
      </c>
      <c r="C2686" s="1">
        <f>IFERROR(__xludf.DUMMYFUNCTION("""COMPUTED_VALUE"""),2.73)</f>
        <v>2.73</v>
      </c>
      <c r="D2686" s="1">
        <f>IFERROR(__xludf.DUMMYFUNCTION("""COMPUTED_VALUE"""),2.65)</f>
        <v>2.65</v>
      </c>
      <c r="E2686" s="1">
        <f>IFERROR(__xludf.DUMMYFUNCTION("""COMPUTED_VALUE"""),2.69)</f>
        <v>2.69</v>
      </c>
      <c r="F2686" s="1">
        <f>IFERROR(__xludf.DUMMYFUNCTION("""COMPUTED_VALUE"""),2236787.0)</f>
        <v>2236787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IFERROR(__xludf.DUMMYFUNCTION("""COMPUTED_VALUE"""),2.67)</f>
        <v>2.67</v>
      </c>
      <c r="C2687" s="1">
        <f>IFERROR(__xludf.DUMMYFUNCTION("""COMPUTED_VALUE"""),2.72)</f>
        <v>2.72</v>
      </c>
      <c r="D2687" s="1">
        <f>IFERROR(__xludf.DUMMYFUNCTION("""COMPUTED_VALUE"""),2.65)</f>
        <v>2.65</v>
      </c>
      <c r="E2687" s="1">
        <f>IFERROR(__xludf.DUMMYFUNCTION("""COMPUTED_VALUE"""),2.72)</f>
        <v>2.72</v>
      </c>
      <c r="F2687" s="1">
        <f>IFERROR(__xludf.DUMMYFUNCTION("""COMPUTED_VALUE"""),1853558.0)</f>
        <v>1853558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IFERROR(__xludf.DUMMYFUNCTION("""COMPUTED_VALUE"""),2.73)</f>
        <v>2.73</v>
      </c>
      <c r="C2688" s="1">
        <f>IFERROR(__xludf.DUMMYFUNCTION("""COMPUTED_VALUE"""),2.78)</f>
        <v>2.78</v>
      </c>
      <c r="D2688" s="1">
        <f>IFERROR(__xludf.DUMMYFUNCTION("""COMPUTED_VALUE"""),2.67)</f>
        <v>2.67</v>
      </c>
      <c r="E2688" s="1">
        <f>IFERROR(__xludf.DUMMYFUNCTION("""COMPUTED_VALUE"""),2.69)</f>
        <v>2.69</v>
      </c>
      <c r="F2688" s="1">
        <f>IFERROR(__xludf.DUMMYFUNCTION("""COMPUTED_VALUE"""),3124054.0)</f>
        <v>3124054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IFERROR(__xludf.DUMMYFUNCTION("""COMPUTED_VALUE"""),2.74)</f>
        <v>2.74</v>
      </c>
      <c r="C2689" s="1">
        <f>IFERROR(__xludf.DUMMYFUNCTION("""COMPUTED_VALUE"""),2.79)</f>
        <v>2.79</v>
      </c>
      <c r="D2689" s="1">
        <f>IFERROR(__xludf.DUMMYFUNCTION("""COMPUTED_VALUE"""),2.69)</f>
        <v>2.69</v>
      </c>
      <c r="E2689" s="1">
        <f>IFERROR(__xludf.DUMMYFUNCTION("""COMPUTED_VALUE"""),2.77)</f>
        <v>2.77</v>
      </c>
      <c r="F2689" s="1">
        <f>IFERROR(__xludf.DUMMYFUNCTION("""COMPUTED_VALUE"""),2187372.0)</f>
        <v>2187372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IFERROR(__xludf.DUMMYFUNCTION("""COMPUTED_VALUE"""),2.67)</f>
        <v>2.67</v>
      </c>
      <c r="C2690" s="1">
        <f>IFERROR(__xludf.DUMMYFUNCTION("""COMPUTED_VALUE"""),2.69)</f>
        <v>2.69</v>
      </c>
      <c r="D2690" s="1">
        <f>IFERROR(__xludf.DUMMYFUNCTION("""COMPUTED_VALUE"""),2.64)</f>
        <v>2.64</v>
      </c>
      <c r="E2690" s="1">
        <f>IFERROR(__xludf.DUMMYFUNCTION("""COMPUTED_VALUE"""),2.65)</f>
        <v>2.65</v>
      </c>
      <c r="F2690" s="1">
        <f>IFERROR(__xludf.DUMMYFUNCTION("""COMPUTED_VALUE"""),2421756.0)</f>
        <v>2421756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IFERROR(__xludf.DUMMYFUNCTION("""COMPUTED_VALUE"""),2.74)</f>
        <v>2.74</v>
      </c>
      <c r="C2691" s="1">
        <f>IFERROR(__xludf.DUMMYFUNCTION("""COMPUTED_VALUE"""),2.77)</f>
        <v>2.77</v>
      </c>
      <c r="D2691" s="1">
        <f>IFERROR(__xludf.DUMMYFUNCTION("""COMPUTED_VALUE"""),2.73)</f>
        <v>2.73</v>
      </c>
      <c r="E2691" s="1">
        <f>IFERROR(__xludf.DUMMYFUNCTION("""COMPUTED_VALUE"""),2.75)</f>
        <v>2.75</v>
      </c>
      <c r="F2691" s="1">
        <f>IFERROR(__xludf.DUMMYFUNCTION("""COMPUTED_VALUE"""),1354950.0)</f>
        <v>1354950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IFERROR(__xludf.DUMMYFUNCTION("""COMPUTED_VALUE"""),2.75)</f>
        <v>2.75</v>
      </c>
      <c r="C2692" s="1">
        <f>IFERROR(__xludf.DUMMYFUNCTION("""COMPUTED_VALUE"""),2.78)</f>
        <v>2.78</v>
      </c>
      <c r="D2692" s="1">
        <f>IFERROR(__xludf.DUMMYFUNCTION("""COMPUTED_VALUE"""),2.68)</f>
        <v>2.68</v>
      </c>
      <c r="E2692" s="1">
        <f>IFERROR(__xludf.DUMMYFUNCTION("""COMPUTED_VALUE"""),2.68)</f>
        <v>2.68</v>
      </c>
      <c r="F2692" s="1">
        <f>IFERROR(__xludf.DUMMYFUNCTION("""COMPUTED_VALUE"""),1881866.0)</f>
        <v>1881866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IFERROR(__xludf.DUMMYFUNCTION("""COMPUTED_VALUE"""),2.69)</f>
        <v>2.69</v>
      </c>
      <c r="C2693" s="1">
        <f>IFERROR(__xludf.DUMMYFUNCTION("""COMPUTED_VALUE"""),2.72)</f>
        <v>2.72</v>
      </c>
      <c r="D2693" s="1">
        <f>IFERROR(__xludf.DUMMYFUNCTION("""COMPUTED_VALUE"""),2.67)</f>
        <v>2.67</v>
      </c>
      <c r="E2693" s="1">
        <f>IFERROR(__xludf.DUMMYFUNCTION("""COMPUTED_VALUE"""),2.71)</f>
        <v>2.71</v>
      </c>
      <c r="F2693" s="1">
        <f>IFERROR(__xludf.DUMMYFUNCTION("""COMPUTED_VALUE"""),1205509.0)</f>
        <v>1205509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IFERROR(__xludf.DUMMYFUNCTION("""COMPUTED_VALUE"""),2.71)</f>
        <v>2.71</v>
      </c>
      <c r="C2694" s="1">
        <f>IFERROR(__xludf.DUMMYFUNCTION("""COMPUTED_VALUE"""),2.74)</f>
        <v>2.74</v>
      </c>
      <c r="D2694" s="1">
        <f>IFERROR(__xludf.DUMMYFUNCTION("""COMPUTED_VALUE"""),2.7)</f>
        <v>2.7</v>
      </c>
      <c r="E2694" s="1">
        <f>IFERROR(__xludf.DUMMYFUNCTION("""COMPUTED_VALUE"""),2.72)</f>
        <v>2.72</v>
      </c>
      <c r="F2694" s="1">
        <f>IFERROR(__xludf.DUMMYFUNCTION("""COMPUTED_VALUE"""),1206221.0)</f>
        <v>1206221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IFERROR(__xludf.DUMMYFUNCTION("""COMPUTED_VALUE"""),2.71)</f>
        <v>2.71</v>
      </c>
      <c r="C2695" s="1">
        <f>IFERROR(__xludf.DUMMYFUNCTION("""COMPUTED_VALUE"""),2.71)</f>
        <v>2.71</v>
      </c>
      <c r="D2695" s="1">
        <f>IFERROR(__xludf.DUMMYFUNCTION("""COMPUTED_VALUE"""),2.65)</f>
        <v>2.65</v>
      </c>
      <c r="E2695" s="1">
        <f>IFERROR(__xludf.DUMMYFUNCTION("""COMPUTED_VALUE"""),2.65)</f>
        <v>2.65</v>
      </c>
      <c r="F2695" s="1">
        <f>IFERROR(__xludf.DUMMYFUNCTION("""COMPUTED_VALUE"""),1265699.0)</f>
        <v>1265699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IFERROR(__xludf.DUMMYFUNCTION("""COMPUTED_VALUE"""),2.62)</f>
        <v>2.62</v>
      </c>
      <c r="C2696" s="1">
        <f>IFERROR(__xludf.DUMMYFUNCTION("""COMPUTED_VALUE"""),2.67)</f>
        <v>2.67</v>
      </c>
      <c r="D2696" s="1">
        <f>IFERROR(__xludf.DUMMYFUNCTION("""COMPUTED_VALUE"""),2.6)</f>
        <v>2.6</v>
      </c>
      <c r="E2696" s="1">
        <f>IFERROR(__xludf.DUMMYFUNCTION("""COMPUTED_VALUE"""),2.63)</f>
        <v>2.63</v>
      </c>
      <c r="F2696" s="1">
        <f>IFERROR(__xludf.DUMMYFUNCTION("""COMPUTED_VALUE"""),1895443.0)</f>
        <v>1895443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IFERROR(__xludf.DUMMYFUNCTION("""COMPUTED_VALUE"""),2.59)</f>
        <v>2.59</v>
      </c>
      <c r="C2697" s="1">
        <f>IFERROR(__xludf.DUMMYFUNCTION("""COMPUTED_VALUE"""),2.63)</f>
        <v>2.63</v>
      </c>
      <c r="D2697" s="1">
        <f>IFERROR(__xludf.DUMMYFUNCTION("""COMPUTED_VALUE"""),2.58)</f>
        <v>2.58</v>
      </c>
      <c r="E2697" s="1">
        <f>IFERROR(__xludf.DUMMYFUNCTION("""COMPUTED_VALUE"""),2.61)</f>
        <v>2.61</v>
      </c>
      <c r="F2697" s="1">
        <f>IFERROR(__xludf.DUMMYFUNCTION("""COMPUTED_VALUE"""),1915155.0)</f>
        <v>1915155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IFERROR(__xludf.DUMMYFUNCTION("""COMPUTED_VALUE"""),2.56)</f>
        <v>2.56</v>
      </c>
      <c r="C2698" s="1">
        <f>IFERROR(__xludf.DUMMYFUNCTION("""COMPUTED_VALUE"""),2.57)</f>
        <v>2.57</v>
      </c>
      <c r="D2698" s="1">
        <f>IFERROR(__xludf.DUMMYFUNCTION("""COMPUTED_VALUE"""),2.51)</f>
        <v>2.51</v>
      </c>
      <c r="E2698" s="1">
        <f>IFERROR(__xludf.DUMMYFUNCTION("""COMPUTED_VALUE"""),2.53)</f>
        <v>2.53</v>
      </c>
      <c r="F2698" s="1">
        <f>IFERROR(__xludf.DUMMYFUNCTION("""COMPUTED_VALUE"""),2498925.0)</f>
        <v>2498925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IFERROR(__xludf.DUMMYFUNCTION("""COMPUTED_VALUE"""),2.45)</f>
        <v>2.45</v>
      </c>
      <c r="C2699" s="1">
        <f>IFERROR(__xludf.DUMMYFUNCTION("""COMPUTED_VALUE"""),2.45)</f>
        <v>2.45</v>
      </c>
      <c r="D2699" s="1">
        <f>IFERROR(__xludf.DUMMYFUNCTION("""COMPUTED_VALUE"""),2.39)</f>
        <v>2.39</v>
      </c>
      <c r="E2699" s="1">
        <f>IFERROR(__xludf.DUMMYFUNCTION("""COMPUTED_VALUE"""),2.44)</f>
        <v>2.44</v>
      </c>
      <c r="F2699" s="1">
        <f>IFERROR(__xludf.DUMMYFUNCTION("""COMPUTED_VALUE"""),3326737.0)</f>
        <v>3326737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IFERROR(__xludf.DUMMYFUNCTION("""COMPUTED_VALUE"""),2.42)</f>
        <v>2.42</v>
      </c>
      <c r="C2700" s="1">
        <f>IFERROR(__xludf.DUMMYFUNCTION("""COMPUTED_VALUE"""),2.45)</f>
        <v>2.45</v>
      </c>
      <c r="D2700" s="1">
        <f>IFERROR(__xludf.DUMMYFUNCTION("""COMPUTED_VALUE"""),2.35)</f>
        <v>2.35</v>
      </c>
      <c r="E2700" s="1">
        <f>IFERROR(__xludf.DUMMYFUNCTION("""COMPUTED_VALUE"""),2.37)</f>
        <v>2.37</v>
      </c>
      <c r="F2700" s="1">
        <f>IFERROR(__xludf.DUMMYFUNCTION("""COMPUTED_VALUE"""),2687208.0)</f>
        <v>2687208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IFERROR(__xludf.DUMMYFUNCTION("""COMPUTED_VALUE"""),2.38)</f>
        <v>2.38</v>
      </c>
      <c r="C2701" s="1">
        <f>IFERROR(__xludf.DUMMYFUNCTION("""COMPUTED_VALUE"""),2.4)</f>
        <v>2.4</v>
      </c>
      <c r="D2701" s="1">
        <f>IFERROR(__xludf.DUMMYFUNCTION("""COMPUTED_VALUE"""),2.31)</f>
        <v>2.31</v>
      </c>
      <c r="E2701" s="1">
        <f>IFERROR(__xludf.DUMMYFUNCTION("""COMPUTED_VALUE"""),2.32)</f>
        <v>2.32</v>
      </c>
      <c r="F2701" s="1">
        <f>IFERROR(__xludf.DUMMYFUNCTION("""COMPUTED_VALUE"""),1833518.0)</f>
        <v>1833518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IFERROR(__xludf.DUMMYFUNCTION("""COMPUTED_VALUE"""),2.34)</f>
        <v>2.34</v>
      </c>
      <c r="C2702" s="1">
        <f>IFERROR(__xludf.DUMMYFUNCTION("""COMPUTED_VALUE"""),2.4)</f>
        <v>2.4</v>
      </c>
      <c r="D2702" s="1">
        <f>IFERROR(__xludf.DUMMYFUNCTION("""COMPUTED_VALUE"""),2.33)</f>
        <v>2.33</v>
      </c>
      <c r="E2702" s="1">
        <f>IFERROR(__xludf.DUMMYFUNCTION("""COMPUTED_VALUE"""),2.37)</f>
        <v>2.37</v>
      </c>
      <c r="F2702" s="1">
        <f>IFERROR(__xludf.DUMMYFUNCTION("""COMPUTED_VALUE"""),2874237.0)</f>
        <v>2874237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IFERROR(__xludf.DUMMYFUNCTION("""COMPUTED_VALUE"""),2.37)</f>
        <v>2.37</v>
      </c>
      <c r="C2703" s="1">
        <f>IFERROR(__xludf.DUMMYFUNCTION("""COMPUTED_VALUE"""),2.39)</f>
        <v>2.39</v>
      </c>
      <c r="D2703" s="1">
        <f>IFERROR(__xludf.DUMMYFUNCTION("""COMPUTED_VALUE"""),2.34)</f>
        <v>2.34</v>
      </c>
      <c r="E2703" s="1">
        <f>IFERROR(__xludf.DUMMYFUNCTION("""COMPUTED_VALUE"""),2.37)</f>
        <v>2.37</v>
      </c>
      <c r="F2703" s="1">
        <f>IFERROR(__xludf.DUMMYFUNCTION("""COMPUTED_VALUE"""),2274987.0)</f>
        <v>2274987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IFERROR(__xludf.DUMMYFUNCTION("""COMPUTED_VALUE"""),2.5)</f>
        <v>2.5</v>
      </c>
      <c r="C2704" s="1">
        <f>IFERROR(__xludf.DUMMYFUNCTION("""COMPUTED_VALUE"""),2.56)</f>
        <v>2.56</v>
      </c>
      <c r="D2704" s="1">
        <f>IFERROR(__xludf.DUMMYFUNCTION("""COMPUTED_VALUE"""),2.5)</f>
        <v>2.5</v>
      </c>
      <c r="E2704" s="1">
        <f>IFERROR(__xludf.DUMMYFUNCTION("""COMPUTED_VALUE"""),2.53)</f>
        <v>2.53</v>
      </c>
      <c r="F2704" s="1">
        <f>IFERROR(__xludf.DUMMYFUNCTION("""COMPUTED_VALUE"""),1919169.0)</f>
        <v>1919169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IFERROR(__xludf.DUMMYFUNCTION("""COMPUTED_VALUE"""),2.53)</f>
        <v>2.53</v>
      </c>
      <c r="C2705" s="1">
        <f>IFERROR(__xludf.DUMMYFUNCTION("""COMPUTED_VALUE"""),2.53)</f>
        <v>2.53</v>
      </c>
      <c r="D2705" s="1">
        <f>IFERROR(__xludf.DUMMYFUNCTION("""COMPUTED_VALUE"""),2.48)</f>
        <v>2.48</v>
      </c>
      <c r="E2705" s="1">
        <f>IFERROR(__xludf.DUMMYFUNCTION("""COMPUTED_VALUE"""),2.51)</f>
        <v>2.51</v>
      </c>
      <c r="F2705" s="1">
        <f>IFERROR(__xludf.DUMMYFUNCTION("""COMPUTED_VALUE"""),2724578.0)</f>
        <v>2724578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IFERROR(__xludf.DUMMYFUNCTION("""COMPUTED_VALUE"""),2.54)</f>
        <v>2.54</v>
      </c>
      <c r="C2706" s="1">
        <f>IFERROR(__xludf.DUMMYFUNCTION("""COMPUTED_VALUE"""),2.6)</f>
        <v>2.6</v>
      </c>
      <c r="D2706" s="1">
        <f>IFERROR(__xludf.DUMMYFUNCTION("""COMPUTED_VALUE"""),2.54)</f>
        <v>2.54</v>
      </c>
      <c r="E2706" s="1">
        <f>IFERROR(__xludf.DUMMYFUNCTION("""COMPUTED_VALUE"""),2.56)</f>
        <v>2.56</v>
      </c>
      <c r="F2706" s="1">
        <f>IFERROR(__xludf.DUMMYFUNCTION("""COMPUTED_VALUE"""),1622298.0)</f>
        <v>1622298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IFERROR(__xludf.DUMMYFUNCTION("""COMPUTED_VALUE"""),2.7)</f>
        <v>2.7</v>
      </c>
      <c r="C2707" s="1">
        <f>IFERROR(__xludf.DUMMYFUNCTION("""COMPUTED_VALUE"""),2.73)</f>
        <v>2.73</v>
      </c>
      <c r="D2707" s="1">
        <f>IFERROR(__xludf.DUMMYFUNCTION("""COMPUTED_VALUE"""),2.65)</f>
        <v>2.65</v>
      </c>
      <c r="E2707" s="1">
        <f>IFERROR(__xludf.DUMMYFUNCTION("""COMPUTED_VALUE"""),2.68)</f>
        <v>2.68</v>
      </c>
      <c r="F2707" s="1">
        <f>IFERROR(__xludf.DUMMYFUNCTION("""COMPUTED_VALUE"""),1915846.0)</f>
        <v>1915846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IFERROR(__xludf.DUMMYFUNCTION("""COMPUTED_VALUE"""),2.68)</f>
        <v>2.68</v>
      </c>
      <c r="C2708" s="1">
        <f>IFERROR(__xludf.DUMMYFUNCTION("""COMPUTED_VALUE"""),2.75)</f>
        <v>2.75</v>
      </c>
      <c r="D2708" s="1">
        <f>IFERROR(__xludf.DUMMYFUNCTION("""COMPUTED_VALUE"""),2.67)</f>
        <v>2.67</v>
      </c>
      <c r="E2708" s="1">
        <f>IFERROR(__xludf.DUMMYFUNCTION("""COMPUTED_VALUE"""),2.74)</f>
        <v>2.74</v>
      </c>
      <c r="F2708" s="1">
        <f>IFERROR(__xludf.DUMMYFUNCTION("""COMPUTED_VALUE"""),2442732.0)</f>
        <v>2442732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IFERROR(__xludf.DUMMYFUNCTION("""COMPUTED_VALUE"""),2.78)</f>
        <v>2.78</v>
      </c>
      <c r="C2709" s="1">
        <f>IFERROR(__xludf.DUMMYFUNCTION("""COMPUTED_VALUE"""),2.79)</f>
        <v>2.79</v>
      </c>
      <c r="D2709" s="1">
        <f>IFERROR(__xludf.DUMMYFUNCTION("""COMPUTED_VALUE"""),2.75)</f>
        <v>2.75</v>
      </c>
      <c r="E2709" s="1">
        <f>IFERROR(__xludf.DUMMYFUNCTION("""COMPUTED_VALUE"""),2.77)</f>
        <v>2.77</v>
      </c>
      <c r="F2709" s="1">
        <f>IFERROR(__xludf.DUMMYFUNCTION("""COMPUTED_VALUE"""),1858029.0)</f>
        <v>1858029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IFERROR(__xludf.DUMMYFUNCTION("""COMPUTED_VALUE"""),2.92)</f>
        <v>2.92</v>
      </c>
      <c r="C2710" s="1">
        <f>IFERROR(__xludf.DUMMYFUNCTION("""COMPUTED_VALUE"""),2.96)</f>
        <v>2.96</v>
      </c>
      <c r="D2710" s="1">
        <f>IFERROR(__xludf.DUMMYFUNCTION("""COMPUTED_VALUE"""),2.87)</f>
        <v>2.87</v>
      </c>
      <c r="E2710" s="1">
        <f>IFERROR(__xludf.DUMMYFUNCTION("""COMPUTED_VALUE"""),2.87)</f>
        <v>2.87</v>
      </c>
      <c r="F2710" s="1">
        <f>IFERROR(__xludf.DUMMYFUNCTION("""COMPUTED_VALUE"""),3946864.0)</f>
        <v>3946864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IFERROR(__xludf.DUMMYFUNCTION("""COMPUTED_VALUE"""),2.94)</f>
        <v>2.94</v>
      </c>
      <c r="C2711" s="1">
        <f>IFERROR(__xludf.DUMMYFUNCTION("""COMPUTED_VALUE"""),2.97)</f>
        <v>2.97</v>
      </c>
      <c r="D2711" s="1">
        <f>IFERROR(__xludf.DUMMYFUNCTION("""COMPUTED_VALUE"""),2.93)</f>
        <v>2.93</v>
      </c>
      <c r="E2711" s="1">
        <f>IFERROR(__xludf.DUMMYFUNCTION("""COMPUTED_VALUE"""),2.96)</f>
        <v>2.96</v>
      </c>
      <c r="F2711" s="1">
        <f>IFERROR(__xludf.DUMMYFUNCTION("""COMPUTED_VALUE"""),1721154.0)</f>
        <v>1721154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IFERROR(__xludf.DUMMYFUNCTION("""COMPUTED_VALUE"""),3.02)</f>
        <v>3.02</v>
      </c>
      <c r="C2712" s="1">
        <f>IFERROR(__xludf.DUMMYFUNCTION("""COMPUTED_VALUE"""),3.05)</f>
        <v>3.05</v>
      </c>
      <c r="D2712" s="1">
        <f>IFERROR(__xludf.DUMMYFUNCTION("""COMPUTED_VALUE"""),3.0)</f>
        <v>3</v>
      </c>
      <c r="E2712" s="1">
        <f>IFERROR(__xludf.DUMMYFUNCTION("""COMPUTED_VALUE"""),3.04)</f>
        <v>3.04</v>
      </c>
      <c r="F2712" s="1">
        <f>IFERROR(__xludf.DUMMYFUNCTION("""COMPUTED_VALUE"""),2350174.0)</f>
        <v>2350174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IFERROR(__xludf.DUMMYFUNCTION("""COMPUTED_VALUE"""),3.06)</f>
        <v>3.06</v>
      </c>
      <c r="C2713" s="1">
        <f>IFERROR(__xludf.DUMMYFUNCTION("""COMPUTED_VALUE"""),3.06)</f>
        <v>3.06</v>
      </c>
      <c r="D2713" s="1">
        <f>IFERROR(__xludf.DUMMYFUNCTION("""COMPUTED_VALUE"""),3.02)</f>
        <v>3.02</v>
      </c>
      <c r="E2713" s="1">
        <f>IFERROR(__xludf.DUMMYFUNCTION("""COMPUTED_VALUE"""),3.02)</f>
        <v>3.02</v>
      </c>
      <c r="F2713" s="1">
        <f>IFERROR(__xludf.DUMMYFUNCTION("""COMPUTED_VALUE"""),2586073.0)</f>
        <v>2586073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IFERROR(__xludf.DUMMYFUNCTION("""COMPUTED_VALUE"""),3.1)</f>
        <v>3.1</v>
      </c>
      <c r="C2714" s="1">
        <f>IFERROR(__xludf.DUMMYFUNCTION("""COMPUTED_VALUE"""),3.11)</f>
        <v>3.11</v>
      </c>
      <c r="D2714" s="1">
        <f>IFERROR(__xludf.DUMMYFUNCTION("""COMPUTED_VALUE"""),3.08)</f>
        <v>3.08</v>
      </c>
      <c r="E2714" s="1">
        <f>IFERROR(__xludf.DUMMYFUNCTION("""COMPUTED_VALUE"""),3.11)</f>
        <v>3.11</v>
      </c>
      <c r="F2714" s="1">
        <f>IFERROR(__xludf.DUMMYFUNCTION("""COMPUTED_VALUE"""),1739523.0)</f>
        <v>1739523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IFERROR(__xludf.DUMMYFUNCTION("""COMPUTED_VALUE"""),2.97)</f>
        <v>2.97</v>
      </c>
      <c r="C2715" s="1">
        <f>IFERROR(__xludf.DUMMYFUNCTION("""COMPUTED_VALUE"""),2.97)</f>
        <v>2.97</v>
      </c>
      <c r="D2715" s="1">
        <f>IFERROR(__xludf.DUMMYFUNCTION("""COMPUTED_VALUE"""),2.85)</f>
        <v>2.85</v>
      </c>
      <c r="E2715" s="1">
        <f>IFERROR(__xludf.DUMMYFUNCTION("""COMPUTED_VALUE"""),2.86)</f>
        <v>2.86</v>
      </c>
      <c r="F2715" s="1">
        <f>IFERROR(__xludf.DUMMYFUNCTION("""COMPUTED_VALUE"""),2638767.0)</f>
        <v>2638767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IFERROR(__xludf.DUMMYFUNCTION("""COMPUTED_VALUE"""),2.83)</f>
        <v>2.83</v>
      </c>
      <c r="C2716" s="1">
        <f>IFERROR(__xludf.DUMMYFUNCTION("""COMPUTED_VALUE"""),2.86)</f>
        <v>2.86</v>
      </c>
      <c r="D2716" s="1">
        <f>IFERROR(__xludf.DUMMYFUNCTION("""COMPUTED_VALUE"""),2.81)</f>
        <v>2.81</v>
      </c>
      <c r="E2716" s="1">
        <f>IFERROR(__xludf.DUMMYFUNCTION("""COMPUTED_VALUE"""),2.82)</f>
        <v>2.82</v>
      </c>
      <c r="F2716" s="1">
        <f>IFERROR(__xludf.DUMMYFUNCTION("""COMPUTED_VALUE"""),1271274.0)</f>
        <v>1271274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IFERROR(__xludf.DUMMYFUNCTION("""COMPUTED_VALUE"""),2.72)</f>
        <v>2.72</v>
      </c>
      <c r="C2717" s="1">
        <f>IFERROR(__xludf.DUMMYFUNCTION("""COMPUTED_VALUE"""),2.75)</f>
        <v>2.75</v>
      </c>
      <c r="D2717" s="1">
        <f>IFERROR(__xludf.DUMMYFUNCTION("""COMPUTED_VALUE"""),2.72)</f>
        <v>2.72</v>
      </c>
      <c r="E2717" s="1">
        <f>IFERROR(__xludf.DUMMYFUNCTION("""COMPUTED_VALUE"""),2.75)</f>
        <v>2.75</v>
      </c>
      <c r="F2717" s="1">
        <f>IFERROR(__xludf.DUMMYFUNCTION("""COMPUTED_VALUE"""),1408064.0)</f>
        <v>1408064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IFERROR(__xludf.DUMMYFUNCTION("""COMPUTED_VALUE"""),2.78)</f>
        <v>2.78</v>
      </c>
      <c r="C2718" s="1">
        <f>IFERROR(__xludf.DUMMYFUNCTION("""COMPUTED_VALUE"""),2.84)</f>
        <v>2.84</v>
      </c>
      <c r="D2718" s="1">
        <f>IFERROR(__xludf.DUMMYFUNCTION("""COMPUTED_VALUE"""),2.77)</f>
        <v>2.77</v>
      </c>
      <c r="E2718" s="1">
        <f>IFERROR(__xludf.DUMMYFUNCTION("""COMPUTED_VALUE"""),2.81)</f>
        <v>2.81</v>
      </c>
      <c r="F2718" s="1">
        <f>IFERROR(__xludf.DUMMYFUNCTION("""COMPUTED_VALUE"""),1216455.0)</f>
        <v>1216455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IFERROR(__xludf.DUMMYFUNCTION("""COMPUTED_VALUE"""),2.82)</f>
        <v>2.82</v>
      </c>
      <c r="C2719" s="1">
        <f>IFERROR(__xludf.DUMMYFUNCTION("""COMPUTED_VALUE"""),2.88)</f>
        <v>2.88</v>
      </c>
      <c r="D2719" s="1">
        <f>IFERROR(__xludf.DUMMYFUNCTION("""COMPUTED_VALUE"""),2.81)</f>
        <v>2.81</v>
      </c>
      <c r="E2719" s="1">
        <f>IFERROR(__xludf.DUMMYFUNCTION("""COMPUTED_VALUE"""),2.82)</f>
        <v>2.82</v>
      </c>
      <c r="F2719" s="1">
        <f>IFERROR(__xludf.DUMMYFUNCTION("""COMPUTED_VALUE"""),1151801.0)</f>
        <v>1151801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IFERROR(__xludf.DUMMYFUNCTION("""COMPUTED_VALUE"""),2.85)</f>
        <v>2.85</v>
      </c>
      <c r="C2720" s="1">
        <f>IFERROR(__xludf.DUMMYFUNCTION("""COMPUTED_VALUE"""),2.89)</f>
        <v>2.89</v>
      </c>
      <c r="D2720" s="1">
        <f>IFERROR(__xludf.DUMMYFUNCTION("""COMPUTED_VALUE"""),2.85)</f>
        <v>2.85</v>
      </c>
      <c r="E2720" s="1">
        <f>IFERROR(__xludf.DUMMYFUNCTION("""COMPUTED_VALUE"""),2.86)</f>
        <v>2.86</v>
      </c>
      <c r="F2720" s="1">
        <f>IFERROR(__xludf.DUMMYFUNCTION("""COMPUTED_VALUE"""),1198272.0)</f>
        <v>1198272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IFERROR(__xludf.DUMMYFUNCTION("""COMPUTED_VALUE"""),2.89)</f>
        <v>2.89</v>
      </c>
      <c r="C2721" s="1">
        <f>IFERROR(__xludf.DUMMYFUNCTION("""COMPUTED_VALUE"""),2.9)</f>
        <v>2.9</v>
      </c>
      <c r="D2721" s="1">
        <f>IFERROR(__xludf.DUMMYFUNCTION("""COMPUTED_VALUE"""),2.87)</f>
        <v>2.87</v>
      </c>
      <c r="E2721" s="1">
        <f>IFERROR(__xludf.DUMMYFUNCTION("""COMPUTED_VALUE"""),2.88)</f>
        <v>2.88</v>
      </c>
      <c r="F2721" s="1">
        <f>IFERROR(__xludf.DUMMYFUNCTION("""COMPUTED_VALUE"""),1509935.0)</f>
        <v>1509935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IFERROR(__xludf.DUMMYFUNCTION("""COMPUTED_VALUE"""),2.82)</f>
        <v>2.82</v>
      </c>
      <c r="C2722" s="1">
        <f>IFERROR(__xludf.DUMMYFUNCTION("""COMPUTED_VALUE"""),2.89)</f>
        <v>2.89</v>
      </c>
      <c r="D2722" s="1">
        <f>IFERROR(__xludf.DUMMYFUNCTION("""COMPUTED_VALUE"""),2.82)</f>
        <v>2.82</v>
      </c>
      <c r="E2722" s="1">
        <f>IFERROR(__xludf.DUMMYFUNCTION("""COMPUTED_VALUE"""),2.88)</f>
        <v>2.88</v>
      </c>
      <c r="F2722" s="1">
        <f>IFERROR(__xludf.DUMMYFUNCTION("""COMPUTED_VALUE"""),1208180.0)</f>
        <v>1208180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IFERROR(__xludf.DUMMYFUNCTION("""COMPUTED_VALUE"""),2.92)</f>
        <v>2.92</v>
      </c>
      <c r="C2723" s="1">
        <f>IFERROR(__xludf.DUMMYFUNCTION("""COMPUTED_VALUE"""),2.94)</f>
        <v>2.94</v>
      </c>
      <c r="D2723" s="1">
        <f>IFERROR(__xludf.DUMMYFUNCTION("""COMPUTED_VALUE"""),2.89)</f>
        <v>2.89</v>
      </c>
      <c r="E2723" s="1">
        <f>IFERROR(__xludf.DUMMYFUNCTION("""COMPUTED_VALUE"""),2.92)</f>
        <v>2.92</v>
      </c>
      <c r="F2723" s="1">
        <f>IFERROR(__xludf.DUMMYFUNCTION("""COMPUTED_VALUE"""),1439634.0)</f>
        <v>1439634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IFERROR(__xludf.DUMMYFUNCTION("""COMPUTED_VALUE"""),2.93)</f>
        <v>2.93</v>
      </c>
      <c r="C2724" s="1">
        <f>IFERROR(__xludf.DUMMYFUNCTION("""COMPUTED_VALUE"""),2.93)</f>
        <v>2.93</v>
      </c>
      <c r="D2724" s="1">
        <f>IFERROR(__xludf.DUMMYFUNCTION("""COMPUTED_VALUE"""),2.87)</f>
        <v>2.87</v>
      </c>
      <c r="E2724" s="1">
        <f>IFERROR(__xludf.DUMMYFUNCTION("""COMPUTED_VALUE"""),2.93)</f>
        <v>2.93</v>
      </c>
      <c r="F2724" s="1">
        <f>IFERROR(__xludf.DUMMYFUNCTION("""COMPUTED_VALUE"""),2339595.0)</f>
        <v>2339595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IFERROR(__xludf.DUMMYFUNCTION("""COMPUTED_VALUE"""),2.91)</f>
        <v>2.91</v>
      </c>
      <c r="C2725" s="1">
        <f>IFERROR(__xludf.DUMMYFUNCTION("""COMPUTED_VALUE"""),2.92)</f>
        <v>2.92</v>
      </c>
      <c r="D2725" s="1">
        <f>IFERROR(__xludf.DUMMYFUNCTION("""COMPUTED_VALUE"""),2.81)</f>
        <v>2.81</v>
      </c>
      <c r="E2725" s="1">
        <f>IFERROR(__xludf.DUMMYFUNCTION("""COMPUTED_VALUE"""),2.81)</f>
        <v>2.81</v>
      </c>
      <c r="F2725" s="1">
        <f>IFERROR(__xludf.DUMMYFUNCTION("""COMPUTED_VALUE"""),1707085.0)</f>
        <v>1707085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IFERROR(__xludf.DUMMYFUNCTION("""COMPUTED_VALUE"""),2.68)</f>
        <v>2.68</v>
      </c>
      <c r="C2726" s="1">
        <f>IFERROR(__xludf.DUMMYFUNCTION("""COMPUTED_VALUE"""),2.71)</f>
        <v>2.71</v>
      </c>
      <c r="D2726" s="1">
        <f>IFERROR(__xludf.DUMMYFUNCTION("""COMPUTED_VALUE"""),2.64)</f>
        <v>2.64</v>
      </c>
      <c r="E2726" s="1">
        <f>IFERROR(__xludf.DUMMYFUNCTION("""COMPUTED_VALUE"""),2.64)</f>
        <v>2.64</v>
      </c>
      <c r="F2726" s="1">
        <f>IFERROR(__xludf.DUMMYFUNCTION("""COMPUTED_VALUE"""),3023924.0)</f>
        <v>3023924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IFERROR(__xludf.DUMMYFUNCTION("""COMPUTED_VALUE"""),2.61)</f>
        <v>2.61</v>
      </c>
      <c r="C2727" s="1">
        <f>IFERROR(__xludf.DUMMYFUNCTION("""COMPUTED_VALUE"""),2.69)</f>
        <v>2.69</v>
      </c>
      <c r="D2727" s="1">
        <f>IFERROR(__xludf.DUMMYFUNCTION("""COMPUTED_VALUE"""),2.6)</f>
        <v>2.6</v>
      </c>
      <c r="E2727" s="1">
        <f>IFERROR(__xludf.DUMMYFUNCTION("""COMPUTED_VALUE"""),2.66)</f>
        <v>2.66</v>
      </c>
      <c r="F2727" s="1">
        <f>IFERROR(__xludf.DUMMYFUNCTION("""COMPUTED_VALUE"""),2587173.0)</f>
        <v>2587173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IFERROR(__xludf.DUMMYFUNCTION("""COMPUTED_VALUE"""),2.63)</f>
        <v>2.63</v>
      </c>
      <c r="C2728" s="1">
        <f>IFERROR(__xludf.DUMMYFUNCTION("""COMPUTED_VALUE"""),2.7)</f>
        <v>2.7</v>
      </c>
      <c r="D2728" s="1">
        <f>IFERROR(__xludf.DUMMYFUNCTION("""COMPUTED_VALUE"""),2.6)</f>
        <v>2.6</v>
      </c>
      <c r="E2728" s="1">
        <f>IFERROR(__xludf.DUMMYFUNCTION("""COMPUTED_VALUE"""),2.7)</f>
        <v>2.7</v>
      </c>
      <c r="F2728" s="1">
        <f>IFERROR(__xludf.DUMMYFUNCTION("""COMPUTED_VALUE"""),1993279.0)</f>
        <v>1993279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IFERROR(__xludf.DUMMYFUNCTION("""COMPUTED_VALUE"""),2.72)</f>
        <v>2.72</v>
      </c>
      <c r="C2729" s="1">
        <f>IFERROR(__xludf.DUMMYFUNCTION("""COMPUTED_VALUE"""),2.77)</f>
        <v>2.77</v>
      </c>
      <c r="D2729" s="1">
        <f>IFERROR(__xludf.DUMMYFUNCTION("""COMPUTED_VALUE"""),2.7)</f>
        <v>2.7</v>
      </c>
      <c r="E2729" s="1">
        <f>IFERROR(__xludf.DUMMYFUNCTION("""COMPUTED_VALUE"""),2.75)</f>
        <v>2.75</v>
      </c>
      <c r="F2729" s="1">
        <f>IFERROR(__xludf.DUMMYFUNCTION("""COMPUTED_VALUE"""),2028614.0)</f>
        <v>2028614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IFERROR(__xludf.DUMMYFUNCTION("""COMPUTED_VALUE"""),2.91)</f>
        <v>2.91</v>
      </c>
      <c r="C2730" s="1">
        <f>IFERROR(__xludf.DUMMYFUNCTION("""COMPUTED_VALUE"""),2.96)</f>
        <v>2.96</v>
      </c>
      <c r="D2730" s="1">
        <f>IFERROR(__xludf.DUMMYFUNCTION("""COMPUTED_VALUE"""),2.9)</f>
        <v>2.9</v>
      </c>
      <c r="E2730" s="1">
        <f>IFERROR(__xludf.DUMMYFUNCTION("""COMPUTED_VALUE"""),2.95)</f>
        <v>2.95</v>
      </c>
      <c r="F2730" s="1">
        <f>IFERROR(__xludf.DUMMYFUNCTION("""COMPUTED_VALUE"""),2437984.0)</f>
        <v>2437984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IFERROR(__xludf.DUMMYFUNCTION("""COMPUTED_VALUE"""),2.79)</f>
        <v>2.79</v>
      </c>
      <c r="C2731" s="1">
        <f>IFERROR(__xludf.DUMMYFUNCTION("""COMPUTED_VALUE"""),2.84)</f>
        <v>2.84</v>
      </c>
      <c r="D2731" s="1">
        <f>IFERROR(__xludf.DUMMYFUNCTION("""COMPUTED_VALUE"""),2.75)</f>
        <v>2.75</v>
      </c>
      <c r="E2731" s="1">
        <f>IFERROR(__xludf.DUMMYFUNCTION("""COMPUTED_VALUE"""),2.76)</f>
        <v>2.76</v>
      </c>
      <c r="F2731" s="1">
        <f>IFERROR(__xludf.DUMMYFUNCTION("""COMPUTED_VALUE"""),2062061.0)</f>
        <v>2062061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IFERROR(__xludf.DUMMYFUNCTION("""COMPUTED_VALUE"""),2.81)</f>
        <v>2.81</v>
      </c>
      <c r="C2732" s="1">
        <f>IFERROR(__xludf.DUMMYFUNCTION("""COMPUTED_VALUE"""),2.87)</f>
        <v>2.87</v>
      </c>
      <c r="D2732" s="1">
        <f>IFERROR(__xludf.DUMMYFUNCTION("""COMPUTED_VALUE"""),2.81)</f>
        <v>2.81</v>
      </c>
      <c r="E2732" s="1">
        <f>IFERROR(__xludf.DUMMYFUNCTION("""COMPUTED_VALUE"""),2.84)</f>
        <v>2.84</v>
      </c>
      <c r="F2732" s="1">
        <f>IFERROR(__xludf.DUMMYFUNCTION("""COMPUTED_VALUE"""),1518749.0)</f>
        <v>1518749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IFERROR(__xludf.DUMMYFUNCTION("""COMPUTED_VALUE"""),2.93)</f>
        <v>2.93</v>
      </c>
      <c r="C2733" s="1">
        <f>IFERROR(__xludf.DUMMYFUNCTION("""COMPUTED_VALUE"""),2.93)</f>
        <v>2.93</v>
      </c>
      <c r="D2733" s="1">
        <f>IFERROR(__xludf.DUMMYFUNCTION("""COMPUTED_VALUE"""),2.87)</f>
        <v>2.87</v>
      </c>
      <c r="E2733" s="1">
        <f>IFERROR(__xludf.DUMMYFUNCTION("""COMPUTED_VALUE"""),2.88)</f>
        <v>2.88</v>
      </c>
      <c r="F2733" s="1">
        <f>IFERROR(__xludf.DUMMYFUNCTION("""COMPUTED_VALUE"""),1583571.0)</f>
        <v>1583571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IFERROR(__xludf.DUMMYFUNCTION("""COMPUTED_VALUE"""),3.23)</f>
        <v>3.23</v>
      </c>
      <c r="C2734" s="1">
        <f>IFERROR(__xludf.DUMMYFUNCTION("""COMPUTED_VALUE"""),3.28)</f>
        <v>3.28</v>
      </c>
      <c r="D2734" s="1">
        <f>IFERROR(__xludf.DUMMYFUNCTION("""COMPUTED_VALUE"""),3.16)</f>
        <v>3.16</v>
      </c>
      <c r="E2734" s="1">
        <f>IFERROR(__xludf.DUMMYFUNCTION("""COMPUTED_VALUE"""),3.26)</f>
        <v>3.26</v>
      </c>
      <c r="F2734" s="1">
        <f>IFERROR(__xludf.DUMMYFUNCTION("""COMPUTED_VALUE"""),4302223.0)</f>
        <v>4302223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IFERROR(__xludf.DUMMYFUNCTION("""COMPUTED_VALUE"""),3.36)</f>
        <v>3.36</v>
      </c>
      <c r="C2735" s="1">
        <f>IFERROR(__xludf.DUMMYFUNCTION("""COMPUTED_VALUE"""),3.41)</f>
        <v>3.41</v>
      </c>
      <c r="D2735" s="1">
        <f>IFERROR(__xludf.DUMMYFUNCTION("""COMPUTED_VALUE"""),3.35)</f>
        <v>3.35</v>
      </c>
      <c r="E2735" s="1">
        <f>IFERROR(__xludf.DUMMYFUNCTION("""COMPUTED_VALUE"""),3.38)</f>
        <v>3.38</v>
      </c>
      <c r="F2735" s="1">
        <f>IFERROR(__xludf.DUMMYFUNCTION("""COMPUTED_VALUE"""),2707527.0)</f>
        <v>2707527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IFERROR(__xludf.DUMMYFUNCTION("""COMPUTED_VALUE"""),3.39)</f>
        <v>3.39</v>
      </c>
      <c r="C2736" s="1">
        <f>IFERROR(__xludf.DUMMYFUNCTION("""COMPUTED_VALUE"""),3.39)</f>
        <v>3.39</v>
      </c>
      <c r="D2736" s="1">
        <f>IFERROR(__xludf.DUMMYFUNCTION("""COMPUTED_VALUE"""),3.29)</f>
        <v>3.29</v>
      </c>
      <c r="E2736" s="1">
        <f>IFERROR(__xludf.DUMMYFUNCTION("""COMPUTED_VALUE"""),3.31)</f>
        <v>3.31</v>
      </c>
      <c r="F2736" s="1">
        <f>IFERROR(__xludf.DUMMYFUNCTION("""COMPUTED_VALUE"""),1909215.0)</f>
        <v>1909215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IFERROR(__xludf.DUMMYFUNCTION("""COMPUTED_VALUE"""),3.32)</f>
        <v>3.32</v>
      </c>
      <c r="C2737" s="1">
        <f>IFERROR(__xludf.DUMMYFUNCTION("""COMPUTED_VALUE"""),3.35)</f>
        <v>3.35</v>
      </c>
      <c r="D2737" s="1">
        <f>IFERROR(__xludf.DUMMYFUNCTION("""COMPUTED_VALUE"""),3.28)</f>
        <v>3.28</v>
      </c>
      <c r="E2737" s="1">
        <f>IFERROR(__xludf.DUMMYFUNCTION("""COMPUTED_VALUE"""),3.3)</f>
        <v>3.3</v>
      </c>
      <c r="F2737" s="1">
        <f>IFERROR(__xludf.DUMMYFUNCTION("""COMPUTED_VALUE"""),2347733.0)</f>
        <v>2347733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IFERROR(__xludf.DUMMYFUNCTION("""COMPUTED_VALUE"""),3.35)</f>
        <v>3.35</v>
      </c>
      <c r="C2738" s="1">
        <f>IFERROR(__xludf.DUMMYFUNCTION("""COMPUTED_VALUE"""),3.4)</f>
        <v>3.4</v>
      </c>
      <c r="D2738" s="1">
        <f>IFERROR(__xludf.DUMMYFUNCTION("""COMPUTED_VALUE"""),3.35)</f>
        <v>3.35</v>
      </c>
      <c r="E2738" s="1">
        <f>IFERROR(__xludf.DUMMYFUNCTION("""COMPUTED_VALUE"""),3.4)</f>
        <v>3.4</v>
      </c>
      <c r="F2738" s="1">
        <f>IFERROR(__xludf.DUMMYFUNCTION("""COMPUTED_VALUE"""),1722743.0)</f>
        <v>1722743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IFERROR(__xludf.DUMMYFUNCTION("""COMPUTED_VALUE"""),3.5)</f>
        <v>3.5</v>
      </c>
      <c r="C2739" s="1">
        <f>IFERROR(__xludf.DUMMYFUNCTION("""COMPUTED_VALUE"""),3.51)</f>
        <v>3.51</v>
      </c>
      <c r="D2739" s="1">
        <f>IFERROR(__xludf.DUMMYFUNCTION("""COMPUTED_VALUE"""),3.44)</f>
        <v>3.44</v>
      </c>
      <c r="E2739" s="1">
        <f>IFERROR(__xludf.DUMMYFUNCTION("""COMPUTED_VALUE"""),3.47)</f>
        <v>3.47</v>
      </c>
      <c r="F2739" s="1">
        <f>IFERROR(__xludf.DUMMYFUNCTION("""COMPUTED_VALUE"""),2052559.0)</f>
        <v>2052559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IFERROR(__xludf.DUMMYFUNCTION("""COMPUTED_VALUE"""),3.55)</f>
        <v>3.55</v>
      </c>
      <c r="C2740" s="1">
        <f>IFERROR(__xludf.DUMMYFUNCTION("""COMPUTED_VALUE"""),3.61)</f>
        <v>3.61</v>
      </c>
      <c r="D2740" s="1">
        <f>IFERROR(__xludf.DUMMYFUNCTION("""COMPUTED_VALUE"""),3.53)</f>
        <v>3.53</v>
      </c>
      <c r="E2740" s="1">
        <f>IFERROR(__xludf.DUMMYFUNCTION("""COMPUTED_VALUE"""),3.61)</f>
        <v>3.61</v>
      </c>
      <c r="F2740" s="1">
        <f>IFERROR(__xludf.DUMMYFUNCTION("""COMPUTED_VALUE"""),1991861.0)</f>
        <v>1991861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IFERROR(__xludf.DUMMYFUNCTION("""COMPUTED_VALUE"""),3.56)</f>
        <v>3.56</v>
      </c>
      <c r="C2741" s="1">
        <f>IFERROR(__xludf.DUMMYFUNCTION("""COMPUTED_VALUE"""),3.6)</f>
        <v>3.6</v>
      </c>
      <c r="D2741" s="1">
        <f>IFERROR(__xludf.DUMMYFUNCTION("""COMPUTED_VALUE"""),3.5)</f>
        <v>3.5</v>
      </c>
      <c r="E2741" s="1">
        <f>IFERROR(__xludf.DUMMYFUNCTION("""COMPUTED_VALUE"""),3.5)</f>
        <v>3.5</v>
      </c>
      <c r="F2741" s="1">
        <f>IFERROR(__xludf.DUMMYFUNCTION("""COMPUTED_VALUE"""),2142498.0)</f>
        <v>2142498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IFERROR(__xludf.DUMMYFUNCTION("""COMPUTED_VALUE"""),3.48)</f>
        <v>3.48</v>
      </c>
      <c r="C2742" s="1">
        <f>IFERROR(__xludf.DUMMYFUNCTION("""COMPUTED_VALUE"""),3.54)</f>
        <v>3.54</v>
      </c>
      <c r="D2742" s="1">
        <f>IFERROR(__xludf.DUMMYFUNCTION("""COMPUTED_VALUE"""),3.46)</f>
        <v>3.46</v>
      </c>
      <c r="E2742" s="1">
        <f>IFERROR(__xludf.DUMMYFUNCTION("""COMPUTED_VALUE"""),3.53)</f>
        <v>3.53</v>
      </c>
      <c r="F2742" s="1">
        <f>IFERROR(__xludf.DUMMYFUNCTION("""COMPUTED_VALUE"""),1301889.0)</f>
        <v>1301889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IFERROR(__xludf.DUMMYFUNCTION("""COMPUTED_VALUE"""),3.51)</f>
        <v>3.51</v>
      </c>
      <c r="C2743" s="1">
        <f>IFERROR(__xludf.DUMMYFUNCTION("""COMPUTED_VALUE"""),3.54)</f>
        <v>3.54</v>
      </c>
      <c r="D2743" s="1">
        <f>IFERROR(__xludf.DUMMYFUNCTION("""COMPUTED_VALUE"""),3.48)</f>
        <v>3.48</v>
      </c>
      <c r="E2743" s="1">
        <f>IFERROR(__xludf.DUMMYFUNCTION("""COMPUTED_VALUE"""),3.53)</f>
        <v>3.53</v>
      </c>
      <c r="F2743" s="1">
        <f>IFERROR(__xludf.DUMMYFUNCTION("""COMPUTED_VALUE"""),1890816.0)</f>
        <v>1890816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IFERROR(__xludf.DUMMYFUNCTION("""COMPUTED_VALUE"""),3.57)</f>
        <v>3.57</v>
      </c>
      <c r="C2744" s="1">
        <f>IFERROR(__xludf.DUMMYFUNCTION("""COMPUTED_VALUE"""),3.6)</f>
        <v>3.6</v>
      </c>
      <c r="D2744" s="1">
        <f>IFERROR(__xludf.DUMMYFUNCTION("""COMPUTED_VALUE"""),3.55)</f>
        <v>3.55</v>
      </c>
      <c r="E2744" s="1">
        <f>IFERROR(__xludf.DUMMYFUNCTION("""COMPUTED_VALUE"""),3.58)</f>
        <v>3.58</v>
      </c>
      <c r="F2744" s="1">
        <f>IFERROR(__xludf.DUMMYFUNCTION("""COMPUTED_VALUE"""),1114179.0)</f>
        <v>1114179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IFERROR(__xludf.DUMMYFUNCTION("""COMPUTED_VALUE"""),3.72)</f>
        <v>3.72</v>
      </c>
      <c r="C2745" s="1">
        <f>IFERROR(__xludf.DUMMYFUNCTION("""COMPUTED_VALUE"""),3.84)</f>
        <v>3.84</v>
      </c>
      <c r="D2745" s="1">
        <f>IFERROR(__xludf.DUMMYFUNCTION("""COMPUTED_VALUE"""),3.71)</f>
        <v>3.71</v>
      </c>
      <c r="E2745" s="1">
        <f>IFERROR(__xludf.DUMMYFUNCTION("""COMPUTED_VALUE"""),3.81)</f>
        <v>3.81</v>
      </c>
      <c r="F2745" s="1">
        <f>IFERROR(__xludf.DUMMYFUNCTION("""COMPUTED_VALUE"""),2049512.0)</f>
        <v>2049512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IFERROR(__xludf.DUMMYFUNCTION("""COMPUTED_VALUE"""),3.67)</f>
        <v>3.67</v>
      </c>
      <c r="C2746" s="1">
        <f>IFERROR(__xludf.DUMMYFUNCTION("""COMPUTED_VALUE"""),3.67)</f>
        <v>3.67</v>
      </c>
      <c r="D2746" s="1">
        <f>IFERROR(__xludf.DUMMYFUNCTION("""COMPUTED_VALUE"""),3.6)</f>
        <v>3.6</v>
      </c>
      <c r="E2746" s="1">
        <f>IFERROR(__xludf.DUMMYFUNCTION("""COMPUTED_VALUE"""),3.65)</f>
        <v>3.65</v>
      </c>
      <c r="F2746" s="1">
        <f>IFERROR(__xludf.DUMMYFUNCTION("""COMPUTED_VALUE"""),2438163.0)</f>
        <v>2438163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IFERROR(__xludf.DUMMYFUNCTION("""COMPUTED_VALUE"""),3.64)</f>
        <v>3.64</v>
      </c>
      <c r="C2747" s="1">
        <f>IFERROR(__xludf.DUMMYFUNCTION("""COMPUTED_VALUE"""),3.67)</f>
        <v>3.67</v>
      </c>
      <c r="D2747" s="1">
        <f>IFERROR(__xludf.DUMMYFUNCTION("""COMPUTED_VALUE"""),3.6)</f>
        <v>3.6</v>
      </c>
      <c r="E2747" s="1">
        <f>IFERROR(__xludf.DUMMYFUNCTION("""COMPUTED_VALUE"""),3.63)</f>
        <v>3.63</v>
      </c>
      <c r="F2747" s="1">
        <f>IFERROR(__xludf.DUMMYFUNCTION("""COMPUTED_VALUE"""),1518648.0)</f>
        <v>1518648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IFERROR(__xludf.DUMMYFUNCTION("""COMPUTED_VALUE"""),3.77)</f>
        <v>3.77</v>
      </c>
      <c r="C2748" s="1">
        <f>IFERROR(__xludf.DUMMYFUNCTION("""COMPUTED_VALUE"""),3.78)</f>
        <v>3.78</v>
      </c>
      <c r="D2748" s="1">
        <f>IFERROR(__xludf.DUMMYFUNCTION("""COMPUTED_VALUE"""),3.64)</f>
        <v>3.64</v>
      </c>
      <c r="E2748" s="1">
        <f>IFERROR(__xludf.DUMMYFUNCTION("""COMPUTED_VALUE"""),3.64)</f>
        <v>3.64</v>
      </c>
      <c r="F2748" s="1">
        <f>IFERROR(__xludf.DUMMYFUNCTION("""COMPUTED_VALUE"""),3939346.0)</f>
        <v>3939346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IFERROR(__xludf.DUMMYFUNCTION("""COMPUTED_VALUE"""),3.7)</f>
        <v>3.7</v>
      </c>
      <c r="C2749" s="1">
        <f>IFERROR(__xludf.DUMMYFUNCTION("""COMPUTED_VALUE"""),3.79)</f>
        <v>3.79</v>
      </c>
      <c r="D2749" s="1">
        <f>IFERROR(__xludf.DUMMYFUNCTION("""COMPUTED_VALUE"""),3.7)</f>
        <v>3.7</v>
      </c>
      <c r="E2749" s="1">
        <f>IFERROR(__xludf.DUMMYFUNCTION("""COMPUTED_VALUE"""),3.78)</f>
        <v>3.78</v>
      </c>
      <c r="F2749" s="1">
        <f>IFERROR(__xludf.DUMMYFUNCTION("""COMPUTED_VALUE"""),2070066.0)</f>
        <v>2070066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IFERROR(__xludf.DUMMYFUNCTION("""COMPUTED_VALUE"""),3.72)</f>
        <v>3.72</v>
      </c>
      <c r="C2750" s="1">
        <f>IFERROR(__xludf.DUMMYFUNCTION("""COMPUTED_VALUE"""),3.79)</f>
        <v>3.79</v>
      </c>
      <c r="D2750" s="1">
        <f>IFERROR(__xludf.DUMMYFUNCTION("""COMPUTED_VALUE"""),3.72)</f>
        <v>3.72</v>
      </c>
      <c r="E2750" s="1">
        <f>IFERROR(__xludf.DUMMYFUNCTION("""COMPUTED_VALUE"""),3.76)</f>
        <v>3.76</v>
      </c>
      <c r="F2750" s="1">
        <f>IFERROR(__xludf.DUMMYFUNCTION("""COMPUTED_VALUE"""),2058840.0)</f>
        <v>2058840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IFERROR(__xludf.DUMMYFUNCTION("""COMPUTED_VALUE"""),3.76)</f>
        <v>3.76</v>
      </c>
      <c r="C2751" s="1">
        <f>IFERROR(__xludf.DUMMYFUNCTION("""COMPUTED_VALUE"""),3.8)</f>
        <v>3.8</v>
      </c>
      <c r="D2751" s="1">
        <f>IFERROR(__xludf.DUMMYFUNCTION("""COMPUTED_VALUE"""),3.74)</f>
        <v>3.74</v>
      </c>
      <c r="E2751" s="1">
        <f>IFERROR(__xludf.DUMMYFUNCTION("""COMPUTED_VALUE"""),3.77)</f>
        <v>3.77</v>
      </c>
      <c r="F2751" s="1">
        <f>IFERROR(__xludf.DUMMYFUNCTION("""COMPUTED_VALUE"""),1355698.0)</f>
        <v>1355698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IFERROR(__xludf.DUMMYFUNCTION("""COMPUTED_VALUE"""),3.83)</f>
        <v>3.83</v>
      </c>
      <c r="C2752" s="1">
        <f>IFERROR(__xludf.DUMMYFUNCTION("""COMPUTED_VALUE"""),3.87)</f>
        <v>3.87</v>
      </c>
      <c r="D2752" s="1">
        <f>IFERROR(__xludf.DUMMYFUNCTION("""COMPUTED_VALUE"""),3.82)</f>
        <v>3.82</v>
      </c>
      <c r="E2752" s="1">
        <f>IFERROR(__xludf.DUMMYFUNCTION("""COMPUTED_VALUE"""),3.83)</f>
        <v>3.83</v>
      </c>
      <c r="F2752" s="1">
        <f>IFERROR(__xludf.DUMMYFUNCTION("""COMPUTED_VALUE"""),2266942.0)</f>
        <v>2266942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IFERROR(__xludf.DUMMYFUNCTION("""COMPUTED_VALUE"""),3.78)</f>
        <v>3.78</v>
      </c>
      <c r="C2753" s="1">
        <f>IFERROR(__xludf.DUMMYFUNCTION("""COMPUTED_VALUE"""),3.78)</f>
        <v>3.78</v>
      </c>
      <c r="D2753" s="1">
        <f>IFERROR(__xludf.DUMMYFUNCTION("""COMPUTED_VALUE"""),3.74)</f>
        <v>3.74</v>
      </c>
      <c r="E2753" s="1">
        <f>IFERROR(__xludf.DUMMYFUNCTION("""COMPUTED_VALUE"""),3.76)</f>
        <v>3.76</v>
      </c>
      <c r="F2753" s="1">
        <f>IFERROR(__xludf.DUMMYFUNCTION("""COMPUTED_VALUE"""),1773780.0)</f>
        <v>1773780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IFERROR(__xludf.DUMMYFUNCTION("""COMPUTED_VALUE"""),3.71)</f>
        <v>3.71</v>
      </c>
      <c r="C2754" s="1">
        <f>IFERROR(__xludf.DUMMYFUNCTION("""COMPUTED_VALUE"""),3.74)</f>
        <v>3.74</v>
      </c>
      <c r="D2754" s="1">
        <f>IFERROR(__xludf.DUMMYFUNCTION("""COMPUTED_VALUE"""),3.7)</f>
        <v>3.7</v>
      </c>
      <c r="E2754" s="1">
        <f>IFERROR(__xludf.DUMMYFUNCTION("""COMPUTED_VALUE"""),3.72)</f>
        <v>3.72</v>
      </c>
      <c r="F2754" s="1">
        <f>IFERROR(__xludf.DUMMYFUNCTION("""COMPUTED_VALUE"""),1057757.0)</f>
        <v>1057757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IFERROR(__xludf.DUMMYFUNCTION("""COMPUTED_VALUE"""),3.83)</f>
        <v>3.83</v>
      </c>
      <c r="C2755" s="1">
        <f>IFERROR(__xludf.DUMMYFUNCTION("""COMPUTED_VALUE"""),3.83)</f>
        <v>3.83</v>
      </c>
      <c r="D2755" s="1">
        <f>IFERROR(__xludf.DUMMYFUNCTION("""COMPUTED_VALUE"""),3.75)</f>
        <v>3.75</v>
      </c>
      <c r="E2755" s="1">
        <f>IFERROR(__xludf.DUMMYFUNCTION("""COMPUTED_VALUE"""),3.8)</f>
        <v>3.8</v>
      </c>
      <c r="F2755" s="1">
        <f>IFERROR(__xludf.DUMMYFUNCTION("""COMPUTED_VALUE"""),1518645.0)</f>
        <v>1518645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IFERROR(__xludf.DUMMYFUNCTION("""COMPUTED_VALUE"""),3.64)</f>
        <v>3.64</v>
      </c>
      <c r="C2756" s="1">
        <f>IFERROR(__xludf.DUMMYFUNCTION("""COMPUTED_VALUE"""),3.74)</f>
        <v>3.74</v>
      </c>
      <c r="D2756" s="1">
        <f>IFERROR(__xludf.DUMMYFUNCTION("""COMPUTED_VALUE"""),3.64)</f>
        <v>3.64</v>
      </c>
      <c r="E2756" s="1">
        <f>IFERROR(__xludf.DUMMYFUNCTION("""COMPUTED_VALUE"""),3.72)</f>
        <v>3.72</v>
      </c>
      <c r="F2756" s="1">
        <f>IFERROR(__xludf.DUMMYFUNCTION("""COMPUTED_VALUE"""),2337531.0)</f>
        <v>2337531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IFERROR(__xludf.DUMMYFUNCTION("""COMPUTED_VALUE"""),3.59)</f>
        <v>3.59</v>
      </c>
      <c r="C2757" s="1">
        <f>IFERROR(__xludf.DUMMYFUNCTION("""COMPUTED_VALUE"""),3.61)</f>
        <v>3.61</v>
      </c>
      <c r="D2757" s="1">
        <f>IFERROR(__xludf.DUMMYFUNCTION("""COMPUTED_VALUE"""),3.53)</f>
        <v>3.53</v>
      </c>
      <c r="E2757" s="1">
        <f>IFERROR(__xludf.DUMMYFUNCTION("""COMPUTED_VALUE"""),3.53)</f>
        <v>3.53</v>
      </c>
      <c r="F2757" s="1">
        <f>IFERROR(__xludf.DUMMYFUNCTION("""COMPUTED_VALUE"""),1775775.0)</f>
        <v>1775775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IFERROR(__xludf.DUMMYFUNCTION("""COMPUTED_VALUE"""),3.6)</f>
        <v>3.6</v>
      </c>
      <c r="C2758" s="1">
        <f>IFERROR(__xludf.DUMMYFUNCTION("""COMPUTED_VALUE"""),3.62)</f>
        <v>3.62</v>
      </c>
      <c r="D2758" s="1">
        <f>IFERROR(__xludf.DUMMYFUNCTION("""COMPUTED_VALUE"""),3.54)</f>
        <v>3.54</v>
      </c>
      <c r="E2758" s="1">
        <f>IFERROR(__xludf.DUMMYFUNCTION("""COMPUTED_VALUE"""),3.54)</f>
        <v>3.54</v>
      </c>
      <c r="F2758" s="1">
        <f>IFERROR(__xludf.DUMMYFUNCTION("""COMPUTED_VALUE"""),2013023.0)</f>
        <v>2013023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IFERROR(__xludf.DUMMYFUNCTION("""COMPUTED_VALUE"""),3.62)</f>
        <v>3.62</v>
      </c>
      <c r="C2759" s="1">
        <f>IFERROR(__xludf.DUMMYFUNCTION("""COMPUTED_VALUE"""),3.71)</f>
        <v>3.71</v>
      </c>
      <c r="D2759" s="1">
        <f>IFERROR(__xludf.DUMMYFUNCTION("""COMPUTED_VALUE"""),3.6)</f>
        <v>3.6</v>
      </c>
      <c r="E2759" s="1">
        <f>IFERROR(__xludf.DUMMYFUNCTION("""COMPUTED_VALUE"""),3.68)</f>
        <v>3.68</v>
      </c>
      <c r="F2759" s="1">
        <f>IFERROR(__xludf.DUMMYFUNCTION("""COMPUTED_VALUE"""),2460819.0)</f>
        <v>2460819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IFERROR(__xludf.DUMMYFUNCTION("""COMPUTED_VALUE"""),3.78)</f>
        <v>3.78</v>
      </c>
      <c r="C2760" s="1">
        <f>IFERROR(__xludf.DUMMYFUNCTION("""COMPUTED_VALUE"""),3.8)</f>
        <v>3.8</v>
      </c>
      <c r="D2760" s="1">
        <f>IFERROR(__xludf.DUMMYFUNCTION("""COMPUTED_VALUE"""),3.73)</f>
        <v>3.73</v>
      </c>
      <c r="E2760" s="1">
        <f>IFERROR(__xludf.DUMMYFUNCTION("""COMPUTED_VALUE"""),3.75)</f>
        <v>3.75</v>
      </c>
      <c r="F2760" s="1">
        <f>IFERROR(__xludf.DUMMYFUNCTION("""COMPUTED_VALUE"""),1527614.0)</f>
        <v>1527614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IFERROR(__xludf.DUMMYFUNCTION("""COMPUTED_VALUE"""),3.83)</f>
        <v>3.83</v>
      </c>
      <c r="C2761" s="1">
        <f>IFERROR(__xludf.DUMMYFUNCTION("""COMPUTED_VALUE"""),3.85)</f>
        <v>3.85</v>
      </c>
      <c r="D2761" s="1">
        <f>IFERROR(__xludf.DUMMYFUNCTION("""COMPUTED_VALUE"""),3.8)</f>
        <v>3.8</v>
      </c>
      <c r="E2761" s="1">
        <f>IFERROR(__xludf.DUMMYFUNCTION("""COMPUTED_VALUE"""),3.82)</f>
        <v>3.82</v>
      </c>
      <c r="F2761" s="1">
        <f>IFERROR(__xludf.DUMMYFUNCTION("""COMPUTED_VALUE"""),2221662.0)</f>
        <v>2221662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IFERROR(__xludf.DUMMYFUNCTION("""COMPUTED_VALUE"""),3.76)</f>
        <v>3.76</v>
      </c>
      <c r="C2762" s="1">
        <f>IFERROR(__xludf.DUMMYFUNCTION("""COMPUTED_VALUE"""),3.76)</f>
        <v>3.76</v>
      </c>
      <c r="D2762" s="1">
        <f>IFERROR(__xludf.DUMMYFUNCTION("""COMPUTED_VALUE"""),3.7)</f>
        <v>3.7</v>
      </c>
      <c r="E2762" s="1">
        <f>IFERROR(__xludf.DUMMYFUNCTION("""COMPUTED_VALUE"""),3.72)</f>
        <v>3.72</v>
      </c>
      <c r="F2762" s="1">
        <f>IFERROR(__xludf.DUMMYFUNCTION("""COMPUTED_VALUE"""),2041864.0)</f>
        <v>2041864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IFERROR(__xludf.DUMMYFUNCTION("""COMPUTED_VALUE"""),3.59)</f>
        <v>3.59</v>
      </c>
      <c r="C2763" s="1">
        <f>IFERROR(__xludf.DUMMYFUNCTION("""COMPUTED_VALUE"""),3.66)</f>
        <v>3.66</v>
      </c>
      <c r="D2763" s="1">
        <f>IFERROR(__xludf.DUMMYFUNCTION("""COMPUTED_VALUE"""),3.56)</f>
        <v>3.56</v>
      </c>
      <c r="E2763" s="1">
        <f>IFERROR(__xludf.DUMMYFUNCTION("""COMPUTED_VALUE"""),3.65)</f>
        <v>3.65</v>
      </c>
      <c r="F2763" s="1">
        <f>IFERROR(__xludf.DUMMYFUNCTION("""COMPUTED_VALUE"""),1970396.0)</f>
        <v>1970396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IFERROR(__xludf.DUMMYFUNCTION("""COMPUTED_VALUE"""),3.7)</f>
        <v>3.7</v>
      </c>
      <c r="C2764" s="1">
        <f>IFERROR(__xludf.DUMMYFUNCTION("""COMPUTED_VALUE"""),3.7)</f>
        <v>3.7</v>
      </c>
      <c r="D2764" s="1">
        <f>IFERROR(__xludf.DUMMYFUNCTION("""COMPUTED_VALUE"""),3.65)</f>
        <v>3.65</v>
      </c>
      <c r="E2764" s="1">
        <f>IFERROR(__xludf.DUMMYFUNCTION("""COMPUTED_VALUE"""),3.66)</f>
        <v>3.66</v>
      </c>
      <c r="F2764" s="1">
        <f>IFERROR(__xludf.DUMMYFUNCTION("""COMPUTED_VALUE"""),1218082.0)</f>
        <v>1218082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IFERROR(__xludf.DUMMYFUNCTION("""COMPUTED_VALUE"""),3.76)</f>
        <v>3.76</v>
      </c>
      <c r="C2765" s="1">
        <f>IFERROR(__xludf.DUMMYFUNCTION("""COMPUTED_VALUE"""),3.84)</f>
        <v>3.84</v>
      </c>
      <c r="D2765" s="1">
        <f>IFERROR(__xludf.DUMMYFUNCTION("""COMPUTED_VALUE"""),3.76)</f>
        <v>3.76</v>
      </c>
      <c r="E2765" s="1">
        <f>IFERROR(__xludf.DUMMYFUNCTION("""COMPUTED_VALUE"""),3.8)</f>
        <v>3.8</v>
      </c>
      <c r="F2765" s="1">
        <f>IFERROR(__xludf.DUMMYFUNCTION("""COMPUTED_VALUE"""),2270442.0)</f>
        <v>2270442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IFERROR(__xludf.DUMMYFUNCTION("""COMPUTED_VALUE"""),3.8)</f>
        <v>3.8</v>
      </c>
      <c r="C2766" s="1">
        <f>IFERROR(__xludf.DUMMYFUNCTION("""COMPUTED_VALUE"""),3.82)</f>
        <v>3.82</v>
      </c>
      <c r="D2766" s="1">
        <f>IFERROR(__xludf.DUMMYFUNCTION("""COMPUTED_VALUE"""),3.77)</f>
        <v>3.77</v>
      </c>
      <c r="E2766" s="1">
        <f>IFERROR(__xludf.DUMMYFUNCTION("""COMPUTED_VALUE"""),3.8)</f>
        <v>3.8</v>
      </c>
      <c r="F2766" s="1">
        <f>IFERROR(__xludf.DUMMYFUNCTION("""COMPUTED_VALUE"""),1356468.0)</f>
        <v>1356468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IFERROR(__xludf.DUMMYFUNCTION("""COMPUTED_VALUE"""),3.91)</f>
        <v>3.91</v>
      </c>
      <c r="C2767" s="1">
        <f>IFERROR(__xludf.DUMMYFUNCTION("""COMPUTED_VALUE"""),3.96)</f>
        <v>3.96</v>
      </c>
      <c r="D2767" s="1">
        <f>IFERROR(__xludf.DUMMYFUNCTION("""COMPUTED_VALUE"""),3.88)</f>
        <v>3.88</v>
      </c>
      <c r="E2767" s="1">
        <f>IFERROR(__xludf.DUMMYFUNCTION("""COMPUTED_VALUE"""),3.89)</f>
        <v>3.89</v>
      </c>
      <c r="F2767" s="1">
        <f>IFERROR(__xludf.DUMMYFUNCTION("""COMPUTED_VALUE"""),2069851.0)</f>
        <v>2069851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IFERROR(__xludf.DUMMYFUNCTION("""COMPUTED_VALUE"""),3.94)</f>
        <v>3.94</v>
      </c>
      <c r="C2768" s="1">
        <f>IFERROR(__xludf.DUMMYFUNCTION("""COMPUTED_VALUE"""),3.95)</f>
        <v>3.95</v>
      </c>
      <c r="D2768" s="1">
        <f>IFERROR(__xludf.DUMMYFUNCTION("""COMPUTED_VALUE"""),3.88)</f>
        <v>3.88</v>
      </c>
      <c r="E2768" s="1">
        <f>IFERROR(__xludf.DUMMYFUNCTION("""COMPUTED_VALUE"""),3.89)</f>
        <v>3.89</v>
      </c>
      <c r="F2768" s="1">
        <f>IFERROR(__xludf.DUMMYFUNCTION("""COMPUTED_VALUE"""),3133652.0)</f>
        <v>3133652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IFERROR(__xludf.DUMMYFUNCTION("""COMPUTED_VALUE"""),3.92)</f>
        <v>3.92</v>
      </c>
      <c r="C2769" s="1">
        <f>IFERROR(__xludf.DUMMYFUNCTION("""COMPUTED_VALUE"""),3.95)</f>
        <v>3.95</v>
      </c>
      <c r="D2769" s="1">
        <f>IFERROR(__xludf.DUMMYFUNCTION("""COMPUTED_VALUE"""),3.91)</f>
        <v>3.91</v>
      </c>
      <c r="E2769" s="1">
        <f>IFERROR(__xludf.DUMMYFUNCTION("""COMPUTED_VALUE"""),3.92)</f>
        <v>3.92</v>
      </c>
      <c r="F2769" s="1">
        <f>IFERROR(__xludf.DUMMYFUNCTION("""COMPUTED_VALUE"""),2095055.0)</f>
        <v>2095055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IFERROR(__xludf.DUMMYFUNCTION("""COMPUTED_VALUE"""),3.94)</f>
        <v>3.94</v>
      </c>
      <c r="C2770" s="1">
        <f>IFERROR(__xludf.DUMMYFUNCTION("""COMPUTED_VALUE"""),3.95)</f>
        <v>3.95</v>
      </c>
      <c r="D2770" s="1">
        <f>IFERROR(__xludf.DUMMYFUNCTION("""COMPUTED_VALUE"""),3.89)</f>
        <v>3.89</v>
      </c>
      <c r="E2770" s="1">
        <f>IFERROR(__xludf.DUMMYFUNCTION("""COMPUTED_VALUE"""),3.95)</f>
        <v>3.95</v>
      </c>
      <c r="F2770" s="1">
        <f>IFERROR(__xludf.DUMMYFUNCTION("""COMPUTED_VALUE"""),1070485.0)</f>
        <v>1070485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IFERROR(__xludf.DUMMYFUNCTION("""COMPUTED_VALUE"""),3.96)</f>
        <v>3.96</v>
      </c>
      <c r="C2771" s="1">
        <f>IFERROR(__xludf.DUMMYFUNCTION("""COMPUTED_VALUE"""),3.97)</f>
        <v>3.97</v>
      </c>
      <c r="D2771" s="1">
        <f>IFERROR(__xludf.DUMMYFUNCTION("""COMPUTED_VALUE"""),3.85)</f>
        <v>3.85</v>
      </c>
      <c r="E2771" s="1">
        <f>IFERROR(__xludf.DUMMYFUNCTION("""COMPUTED_VALUE"""),3.88)</f>
        <v>3.88</v>
      </c>
      <c r="F2771" s="1">
        <f>IFERROR(__xludf.DUMMYFUNCTION("""COMPUTED_VALUE"""),2988978.0)</f>
        <v>2988978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IFERROR(__xludf.DUMMYFUNCTION("""COMPUTED_VALUE"""),3.92)</f>
        <v>3.92</v>
      </c>
      <c r="C2772" s="1">
        <f>IFERROR(__xludf.DUMMYFUNCTION("""COMPUTED_VALUE"""),3.98)</f>
        <v>3.98</v>
      </c>
      <c r="D2772" s="1">
        <f>IFERROR(__xludf.DUMMYFUNCTION("""COMPUTED_VALUE"""),3.9)</f>
        <v>3.9</v>
      </c>
      <c r="E2772" s="1">
        <f>IFERROR(__xludf.DUMMYFUNCTION("""COMPUTED_VALUE"""),3.96)</f>
        <v>3.96</v>
      </c>
      <c r="F2772" s="1">
        <f>IFERROR(__xludf.DUMMYFUNCTION("""COMPUTED_VALUE"""),2560609.0)</f>
        <v>2560609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IFERROR(__xludf.DUMMYFUNCTION("""COMPUTED_VALUE"""),4.15)</f>
        <v>4.15</v>
      </c>
      <c r="C2773" s="1">
        <f>IFERROR(__xludf.DUMMYFUNCTION("""COMPUTED_VALUE"""),4.26)</f>
        <v>4.26</v>
      </c>
      <c r="D2773" s="1">
        <f>IFERROR(__xludf.DUMMYFUNCTION("""COMPUTED_VALUE"""),4.14)</f>
        <v>4.14</v>
      </c>
      <c r="E2773" s="1">
        <f>IFERROR(__xludf.DUMMYFUNCTION("""COMPUTED_VALUE"""),4.24)</f>
        <v>4.24</v>
      </c>
      <c r="F2773" s="1">
        <f>IFERROR(__xludf.DUMMYFUNCTION("""COMPUTED_VALUE"""),3459893.0)</f>
        <v>3459893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IFERROR(__xludf.DUMMYFUNCTION("""COMPUTED_VALUE"""),4.3)</f>
        <v>4.3</v>
      </c>
      <c r="C2774" s="1">
        <f>IFERROR(__xludf.DUMMYFUNCTION("""COMPUTED_VALUE"""),4.38)</f>
        <v>4.38</v>
      </c>
      <c r="D2774" s="1">
        <f>IFERROR(__xludf.DUMMYFUNCTION("""COMPUTED_VALUE"""),4.3)</f>
        <v>4.3</v>
      </c>
      <c r="E2774" s="1">
        <f>IFERROR(__xludf.DUMMYFUNCTION("""COMPUTED_VALUE"""),4.35)</f>
        <v>4.35</v>
      </c>
      <c r="F2774" s="1">
        <f>IFERROR(__xludf.DUMMYFUNCTION("""COMPUTED_VALUE"""),2188918.0)</f>
        <v>2188918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IFERROR(__xludf.DUMMYFUNCTION("""COMPUTED_VALUE"""),4.26)</f>
        <v>4.26</v>
      </c>
      <c r="C2775" s="1">
        <f>IFERROR(__xludf.DUMMYFUNCTION("""COMPUTED_VALUE"""),4.28)</f>
        <v>4.28</v>
      </c>
      <c r="D2775" s="1">
        <f>IFERROR(__xludf.DUMMYFUNCTION("""COMPUTED_VALUE"""),4.2)</f>
        <v>4.2</v>
      </c>
      <c r="E2775" s="1">
        <f>IFERROR(__xludf.DUMMYFUNCTION("""COMPUTED_VALUE"""),4.27)</f>
        <v>4.27</v>
      </c>
      <c r="F2775" s="1">
        <f>IFERROR(__xludf.DUMMYFUNCTION("""COMPUTED_VALUE"""),2476433.0)</f>
        <v>2476433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IFERROR(__xludf.DUMMYFUNCTION("""COMPUTED_VALUE"""),4.16)</f>
        <v>4.16</v>
      </c>
      <c r="C2776" s="1">
        <f>IFERROR(__xludf.DUMMYFUNCTION("""COMPUTED_VALUE"""),4.22)</f>
        <v>4.22</v>
      </c>
      <c r="D2776" s="1">
        <f>IFERROR(__xludf.DUMMYFUNCTION("""COMPUTED_VALUE"""),4.16)</f>
        <v>4.16</v>
      </c>
      <c r="E2776" s="1">
        <f>IFERROR(__xludf.DUMMYFUNCTION("""COMPUTED_VALUE"""),4.21)</f>
        <v>4.21</v>
      </c>
      <c r="F2776" s="1">
        <f>IFERROR(__xludf.DUMMYFUNCTION("""COMPUTED_VALUE"""),1424837.0)</f>
        <v>1424837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IFERROR(__xludf.DUMMYFUNCTION("""COMPUTED_VALUE"""),4.24)</f>
        <v>4.24</v>
      </c>
      <c r="C2777" s="1">
        <f>IFERROR(__xludf.DUMMYFUNCTION("""COMPUTED_VALUE"""),4.31)</f>
        <v>4.31</v>
      </c>
      <c r="D2777" s="1">
        <f>IFERROR(__xludf.DUMMYFUNCTION("""COMPUTED_VALUE"""),4.23)</f>
        <v>4.23</v>
      </c>
      <c r="E2777" s="1">
        <f>IFERROR(__xludf.DUMMYFUNCTION("""COMPUTED_VALUE"""),4.31)</f>
        <v>4.31</v>
      </c>
      <c r="F2777" s="1">
        <f>IFERROR(__xludf.DUMMYFUNCTION("""COMPUTED_VALUE"""),1284798.0)</f>
        <v>1284798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IFERROR(__xludf.DUMMYFUNCTION("""COMPUTED_VALUE"""),4.28)</f>
        <v>4.28</v>
      </c>
      <c r="C2778" s="1">
        <f>IFERROR(__xludf.DUMMYFUNCTION("""COMPUTED_VALUE"""),4.29)</f>
        <v>4.29</v>
      </c>
      <c r="D2778" s="1">
        <f>IFERROR(__xludf.DUMMYFUNCTION("""COMPUTED_VALUE"""),4.19)</f>
        <v>4.19</v>
      </c>
      <c r="E2778" s="1">
        <f>IFERROR(__xludf.DUMMYFUNCTION("""COMPUTED_VALUE"""),4.19)</f>
        <v>4.19</v>
      </c>
      <c r="F2778" s="1">
        <f>IFERROR(__xludf.DUMMYFUNCTION("""COMPUTED_VALUE"""),2495258.0)</f>
        <v>2495258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IFERROR(__xludf.DUMMYFUNCTION("""COMPUTED_VALUE"""),4.21)</f>
        <v>4.21</v>
      </c>
      <c r="C2779" s="1">
        <f>IFERROR(__xludf.DUMMYFUNCTION("""COMPUTED_VALUE"""),4.26)</f>
        <v>4.26</v>
      </c>
      <c r="D2779" s="1">
        <f>IFERROR(__xludf.DUMMYFUNCTION("""COMPUTED_VALUE"""),4.21)</f>
        <v>4.21</v>
      </c>
      <c r="E2779" s="1">
        <f>IFERROR(__xludf.DUMMYFUNCTION("""COMPUTED_VALUE"""),4.24)</f>
        <v>4.24</v>
      </c>
      <c r="F2779" s="1">
        <f>IFERROR(__xludf.DUMMYFUNCTION("""COMPUTED_VALUE"""),1317199.0)</f>
        <v>1317199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IFERROR(__xludf.DUMMYFUNCTION("""COMPUTED_VALUE"""),4.38)</f>
        <v>4.38</v>
      </c>
      <c r="C2780" s="1">
        <f>IFERROR(__xludf.DUMMYFUNCTION("""COMPUTED_VALUE"""),4.4)</f>
        <v>4.4</v>
      </c>
      <c r="D2780" s="1">
        <f>IFERROR(__xludf.DUMMYFUNCTION("""COMPUTED_VALUE"""),4.27)</f>
        <v>4.27</v>
      </c>
      <c r="E2780" s="1">
        <f>IFERROR(__xludf.DUMMYFUNCTION("""COMPUTED_VALUE"""),4.38)</f>
        <v>4.38</v>
      </c>
      <c r="F2780" s="1">
        <f>IFERROR(__xludf.DUMMYFUNCTION("""COMPUTED_VALUE"""),3528450.0)</f>
        <v>3528450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IFERROR(__xludf.DUMMYFUNCTION("""COMPUTED_VALUE"""),4.31)</f>
        <v>4.31</v>
      </c>
      <c r="C2781" s="1">
        <f>IFERROR(__xludf.DUMMYFUNCTION("""COMPUTED_VALUE"""),4.32)</f>
        <v>4.32</v>
      </c>
      <c r="D2781" s="1">
        <f>IFERROR(__xludf.DUMMYFUNCTION("""COMPUTED_VALUE"""),4.26)</f>
        <v>4.26</v>
      </c>
      <c r="E2781" s="1">
        <f>IFERROR(__xludf.DUMMYFUNCTION("""COMPUTED_VALUE"""),4.27)</f>
        <v>4.27</v>
      </c>
      <c r="F2781" s="1">
        <f>IFERROR(__xludf.DUMMYFUNCTION("""COMPUTED_VALUE"""),1768546.0)</f>
        <v>1768546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IFERROR(__xludf.DUMMYFUNCTION("""COMPUTED_VALUE"""),4.28)</f>
        <v>4.28</v>
      </c>
      <c r="C2782" s="1">
        <f>IFERROR(__xludf.DUMMYFUNCTION("""COMPUTED_VALUE"""),4.31)</f>
        <v>4.31</v>
      </c>
      <c r="D2782" s="1">
        <f>IFERROR(__xludf.DUMMYFUNCTION("""COMPUTED_VALUE"""),4.26)</f>
        <v>4.26</v>
      </c>
      <c r="E2782" s="1">
        <f>IFERROR(__xludf.DUMMYFUNCTION("""COMPUTED_VALUE"""),4.3)</f>
        <v>4.3</v>
      </c>
      <c r="F2782" s="1">
        <f>IFERROR(__xludf.DUMMYFUNCTION("""COMPUTED_VALUE"""),812486.0)</f>
        <v>812486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IFERROR(__xludf.DUMMYFUNCTION("""COMPUTED_VALUE"""),4.3)</f>
        <v>4.3</v>
      </c>
      <c r="C2783" s="1">
        <f>IFERROR(__xludf.DUMMYFUNCTION("""COMPUTED_VALUE"""),4.31)</f>
        <v>4.31</v>
      </c>
      <c r="D2783" s="1">
        <f>IFERROR(__xludf.DUMMYFUNCTION("""COMPUTED_VALUE"""),4.26)</f>
        <v>4.26</v>
      </c>
      <c r="E2783" s="1">
        <f>IFERROR(__xludf.DUMMYFUNCTION("""COMPUTED_VALUE"""),4.28)</f>
        <v>4.28</v>
      </c>
      <c r="F2783" s="1">
        <f>IFERROR(__xludf.DUMMYFUNCTION("""COMPUTED_VALUE"""),1294554.0)</f>
        <v>1294554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IFERROR(__xludf.DUMMYFUNCTION("""COMPUTED_VALUE"""),4.23)</f>
        <v>4.23</v>
      </c>
      <c r="C2784" s="1">
        <f>IFERROR(__xludf.DUMMYFUNCTION("""COMPUTED_VALUE"""),4.26)</f>
        <v>4.26</v>
      </c>
      <c r="D2784" s="1">
        <f>IFERROR(__xludf.DUMMYFUNCTION("""COMPUTED_VALUE"""),4.21)</f>
        <v>4.21</v>
      </c>
      <c r="E2784" s="1">
        <f>IFERROR(__xludf.DUMMYFUNCTION("""COMPUTED_VALUE"""),4.23)</f>
        <v>4.23</v>
      </c>
      <c r="F2784" s="1">
        <f>IFERROR(__xludf.DUMMYFUNCTION("""COMPUTED_VALUE"""),1034614.0)</f>
        <v>1034614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IFERROR(__xludf.DUMMYFUNCTION("""COMPUTED_VALUE"""),4.04)</f>
        <v>4.04</v>
      </c>
      <c r="C2785" s="1">
        <f>IFERROR(__xludf.DUMMYFUNCTION("""COMPUTED_VALUE"""),4.09)</f>
        <v>4.09</v>
      </c>
      <c r="D2785" s="1">
        <f>IFERROR(__xludf.DUMMYFUNCTION("""COMPUTED_VALUE"""),4.0)</f>
        <v>4</v>
      </c>
      <c r="E2785" s="1">
        <f>IFERROR(__xludf.DUMMYFUNCTION("""COMPUTED_VALUE"""),4.04)</f>
        <v>4.04</v>
      </c>
      <c r="F2785" s="1">
        <f>IFERROR(__xludf.DUMMYFUNCTION("""COMPUTED_VALUE"""),1900699.0)</f>
        <v>1900699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IFERROR(__xludf.DUMMYFUNCTION("""COMPUTED_VALUE"""),4.16)</f>
        <v>4.16</v>
      </c>
      <c r="C2786" s="1">
        <f>IFERROR(__xludf.DUMMYFUNCTION("""COMPUTED_VALUE"""),4.17)</f>
        <v>4.17</v>
      </c>
      <c r="D2786" s="1">
        <f>IFERROR(__xludf.DUMMYFUNCTION("""COMPUTED_VALUE"""),4.11)</f>
        <v>4.11</v>
      </c>
      <c r="E2786" s="1">
        <f>IFERROR(__xludf.DUMMYFUNCTION("""COMPUTED_VALUE"""),4.12)</f>
        <v>4.12</v>
      </c>
      <c r="F2786" s="1">
        <f>IFERROR(__xludf.DUMMYFUNCTION("""COMPUTED_VALUE"""),1789575.0)</f>
        <v>1789575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IFERROR(__xludf.DUMMYFUNCTION("""COMPUTED_VALUE"""),4.14)</f>
        <v>4.14</v>
      </c>
      <c r="C2787" s="1">
        <f>IFERROR(__xludf.DUMMYFUNCTION("""COMPUTED_VALUE"""),4.14)</f>
        <v>4.14</v>
      </c>
      <c r="D2787" s="1">
        <f>IFERROR(__xludf.DUMMYFUNCTION("""COMPUTED_VALUE"""),4.03)</f>
        <v>4.03</v>
      </c>
      <c r="E2787" s="1">
        <f>IFERROR(__xludf.DUMMYFUNCTION("""COMPUTED_VALUE"""),4.03)</f>
        <v>4.03</v>
      </c>
      <c r="F2787" s="1">
        <f>IFERROR(__xludf.DUMMYFUNCTION("""COMPUTED_VALUE"""),4101189.0)</f>
        <v>4101189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IFERROR(__xludf.DUMMYFUNCTION("""COMPUTED_VALUE"""),4.13)</f>
        <v>4.13</v>
      </c>
      <c r="C2788" s="1">
        <f>IFERROR(__xludf.DUMMYFUNCTION("""COMPUTED_VALUE"""),4.19)</f>
        <v>4.19</v>
      </c>
      <c r="D2788" s="1">
        <f>IFERROR(__xludf.DUMMYFUNCTION("""COMPUTED_VALUE"""),4.12)</f>
        <v>4.12</v>
      </c>
      <c r="E2788" s="1">
        <f>IFERROR(__xludf.DUMMYFUNCTION("""COMPUTED_VALUE"""),4.16)</f>
        <v>4.16</v>
      </c>
      <c r="F2788" s="1">
        <f>IFERROR(__xludf.DUMMYFUNCTION("""COMPUTED_VALUE"""),2292588.0)</f>
        <v>2292588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IFERROR(__xludf.DUMMYFUNCTION("""COMPUTED_VALUE"""),4.12)</f>
        <v>4.12</v>
      </c>
      <c r="C2789" s="1">
        <f>IFERROR(__xludf.DUMMYFUNCTION("""COMPUTED_VALUE"""),4.13)</f>
        <v>4.13</v>
      </c>
      <c r="D2789" s="1">
        <f>IFERROR(__xludf.DUMMYFUNCTION("""COMPUTED_VALUE"""),4.01)</f>
        <v>4.01</v>
      </c>
      <c r="E2789" s="1">
        <f>IFERROR(__xludf.DUMMYFUNCTION("""COMPUTED_VALUE"""),4.09)</f>
        <v>4.09</v>
      </c>
      <c r="F2789" s="1">
        <f>IFERROR(__xludf.DUMMYFUNCTION("""COMPUTED_VALUE"""),3558602.0)</f>
        <v>3558602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IFERROR(__xludf.DUMMYFUNCTION("""COMPUTED_VALUE"""),4.13)</f>
        <v>4.13</v>
      </c>
      <c r="C2790" s="1">
        <f>IFERROR(__xludf.DUMMYFUNCTION("""COMPUTED_VALUE"""),4.14)</f>
        <v>4.14</v>
      </c>
      <c r="D2790" s="1">
        <f>IFERROR(__xludf.DUMMYFUNCTION("""COMPUTED_VALUE"""),4.09)</f>
        <v>4.09</v>
      </c>
      <c r="E2790" s="1">
        <f>IFERROR(__xludf.DUMMYFUNCTION("""COMPUTED_VALUE"""),4.13)</f>
        <v>4.13</v>
      </c>
      <c r="F2790" s="1">
        <f>IFERROR(__xludf.DUMMYFUNCTION("""COMPUTED_VALUE"""),1376980.0)</f>
        <v>1376980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IFERROR(__xludf.DUMMYFUNCTION("""COMPUTED_VALUE"""),4.16)</f>
        <v>4.16</v>
      </c>
      <c r="C2791" s="1">
        <f>IFERROR(__xludf.DUMMYFUNCTION("""COMPUTED_VALUE"""),4.2)</f>
        <v>4.2</v>
      </c>
      <c r="D2791" s="1">
        <f>IFERROR(__xludf.DUMMYFUNCTION("""COMPUTED_VALUE"""),4.15)</f>
        <v>4.15</v>
      </c>
      <c r="E2791" s="1">
        <f>IFERROR(__xludf.DUMMYFUNCTION("""COMPUTED_VALUE"""),4.16)</f>
        <v>4.16</v>
      </c>
      <c r="F2791" s="1">
        <f>IFERROR(__xludf.DUMMYFUNCTION("""COMPUTED_VALUE"""),1672403.0)</f>
        <v>1672403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IFERROR(__xludf.DUMMYFUNCTION("""COMPUTED_VALUE"""),4.2)</f>
        <v>4.2</v>
      </c>
      <c r="C2792" s="1">
        <f>IFERROR(__xludf.DUMMYFUNCTION("""COMPUTED_VALUE"""),4.23)</f>
        <v>4.23</v>
      </c>
      <c r="D2792" s="1">
        <f>IFERROR(__xludf.DUMMYFUNCTION("""COMPUTED_VALUE"""),4.16)</f>
        <v>4.16</v>
      </c>
      <c r="E2792" s="1">
        <f>IFERROR(__xludf.DUMMYFUNCTION("""COMPUTED_VALUE"""),4.16)</f>
        <v>4.16</v>
      </c>
      <c r="F2792" s="1">
        <f>IFERROR(__xludf.DUMMYFUNCTION("""COMPUTED_VALUE"""),6477759.0)</f>
        <v>6477759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IFERROR(__xludf.DUMMYFUNCTION("""COMPUTED_VALUE"""),4.24)</f>
        <v>4.24</v>
      </c>
      <c r="C2793" s="1">
        <f>IFERROR(__xludf.DUMMYFUNCTION("""COMPUTED_VALUE"""),4.3)</f>
        <v>4.3</v>
      </c>
      <c r="D2793" s="1">
        <f>IFERROR(__xludf.DUMMYFUNCTION("""COMPUTED_VALUE"""),4.24)</f>
        <v>4.24</v>
      </c>
      <c r="E2793" s="1">
        <f>IFERROR(__xludf.DUMMYFUNCTION("""COMPUTED_VALUE"""),4.27)</f>
        <v>4.27</v>
      </c>
      <c r="F2793" s="1">
        <f>IFERROR(__xludf.DUMMYFUNCTION("""COMPUTED_VALUE"""),7342000.0)</f>
        <v>7342000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IFERROR(__xludf.DUMMYFUNCTION("""COMPUTED_VALUE"""),4.32)</f>
        <v>4.32</v>
      </c>
      <c r="C2794" s="1">
        <f>IFERROR(__xludf.DUMMYFUNCTION("""COMPUTED_VALUE"""),4.34)</f>
        <v>4.34</v>
      </c>
      <c r="D2794" s="1">
        <f>IFERROR(__xludf.DUMMYFUNCTION("""COMPUTED_VALUE"""),4.27)</f>
        <v>4.27</v>
      </c>
      <c r="E2794" s="1">
        <f>IFERROR(__xludf.DUMMYFUNCTION("""COMPUTED_VALUE"""),4.31)</f>
        <v>4.31</v>
      </c>
      <c r="F2794" s="1">
        <f>IFERROR(__xludf.DUMMYFUNCTION("""COMPUTED_VALUE"""),1905691.0)</f>
        <v>1905691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IFERROR(__xludf.DUMMYFUNCTION("""COMPUTED_VALUE"""),4.35)</f>
        <v>4.35</v>
      </c>
      <c r="C2795" s="1">
        <f>IFERROR(__xludf.DUMMYFUNCTION("""COMPUTED_VALUE"""),4.38)</f>
        <v>4.38</v>
      </c>
      <c r="D2795" s="1">
        <f>IFERROR(__xludf.DUMMYFUNCTION("""COMPUTED_VALUE"""),4.31)</f>
        <v>4.31</v>
      </c>
      <c r="E2795" s="1">
        <f>IFERROR(__xludf.DUMMYFUNCTION("""COMPUTED_VALUE"""),4.32)</f>
        <v>4.32</v>
      </c>
      <c r="F2795" s="1">
        <f>IFERROR(__xludf.DUMMYFUNCTION("""COMPUTED_VALUE"""),1099154.0)</f>
        <v>1099154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IFERROR(__xludf.DUMMYFUNCTION("""COMPUTED_VALUE"""),4.37)</f>
        <v>4.37</v>
      </c>
      <c r="C2796" s="1">
        <f>IFERROR(__xludf.DUMMYFUNCTION("""COMPUTED_VALUE"""),4.43)</f>
        <v>4.43</v>
      </c>
      <c r="D2796" s="1">
        <f>IFERROR(__xludf.DUMMYFUNCTION("""COMPUTED_VALUE"""),4.35)</f>
        <v>4.35</v>
      </c>
      <c r="E2796" s="1">
        <f>IFERROR(__xludf.DUMMYFUNCTION("""COMPUTED_VALUE"""),4.39)</f>
        <v>4.39</v>
      </c>
      <c r="F2796" s="1">
        <f>IFERROR(__xludf.DUMMYFUNCTION("""COMPUTED_VALUE"""),2112496.0)</f>
        <v>2112496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IFERROR(__xludf.DUMMYFUNCTION("""COMPUTED_VALUE"""),4.38)</f>
        <v>4.38</v>
      </c>
      <c r="C2797" s="1">
        <f>IFERROR(__xludf.DUMMYFUNCTION("""COMPUTED_VALUE"""),4.4)</f>
        <v>4.4</v>
      </c>
      <c r="D2797" s="1">
        <f>IFERROR(__xludf.DUMMYFUNCTION("""COMPUTED_VALUE"""),4.35)</f>
        <v>4.35</v>
      </c>
      <c r="E2797" s="1">
        <f>IFERROR(__xludf.DUMMYFUNCTION("""COMPUTED_VALUE"""),4.36)</f>
        <v>4.36</v>
      </c>
      <c r="F2797" s="1">
        <f>IFERROR(__xludf.DUMMYFUNCTION("""COMPUTED_VALUE"""),1431867.0)</f>
        <v>1431867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IFERROR(__xludf.DUMMYFUNCTION("""COMPUTED_VALUE"""),4.57)</f>
        <v>4.57</v>
      </c>
      <c r="C2798" s="1">
        <f>IFERROR(__xludf.DUMMYFUNCTION("""COMPUTED_VALUE"""),4.62)</f>
        <v>4.62</v>
      </c>
      <c r="D2798" s="1">
        <f>IFERROR(__xludf.DUMMYFUNCTION("""COMPUTED_VALUE"""),4.46)</f>
        <v>4.46</v>
      </c>
      <c r="E2798" s="1">
        <f>IFERROR(__xludf.DUMMYFUNCTION("""COMPUTED_VALUE"""),4.56)</f>
        <v>4.56</v>
      </c>
      <c r="F2798" s="1">
        <f>IFERROR(__xludf.DUMMYFUNCTION("""COMPUTED_VALUE"""),3510253.0)</f>
        <v>3510253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IFERROR(__xludf.DUMMYFUNCTION("""COMPUTED_VALUE"""),4.44)</f>
        <v>4.44</v>
      </c>
      <c r="C2799" s="1">
        <f>IFERROR(__xludf.DUMMYFUNCTION("""COMPUTED_VALUE"""),4.51)</f>
        <v>4.51</v>
      </c>
      <c r="D2799" s="1">
        <f>IFERROR(__xludf.DUMMYFUNCTION("""COMPUTED_VALUE"""),4.44)</f>
        <v>4.44</v>
      </c>
      <c r="E2799" s="1">
        <f>IFERROR(__xludf.DUMMYFUNCTION("""COMPUTED_VALUE"""),4.49)</f>
        <v>4.49</v>
      </c>
      <c r="F2799" s="1">
        <f>IFERROR(__xludf.DUMMYFUNCTION("""COMPUTED_VALUE"""),1656069.0)</f>
        <v>1656069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IFERROR(__xludf.DUMMYFUNCTION("""COMPUTED_VALUE"""),4.57)</f>
        <v>4.57</v>
      </c>
      <c r="C2800" s="1">
        <f>IFERROR(__xludf.DUMMYFUNCTION("""COMPUTED_VALUE"""),4.65)</f>
        <v>4.65</v>
      </c>
      <c r="D2800" s="1">
        <f>IFERROR(__xludf.DUMMYFUNCTION("""COMPUTED_VALUE"""),4.56)</f>
        <v>4.56</v>
      </c>
      <c r="E2800" s="1">
        <f>IFERROR(__xludf.DUMMYFUNCTION("""COMPUTED_VALUE"""),4.64)</f>
        <v>4.64</v>
      </c>
      <c r="F2800" s="1">
        <f>IFERROR(__xludf.DUMMYFUNCTION("""COMPUTED_VALUE"""),1473988.0)</f>
        <v>1473988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IFERROR(__xludf.DUMMYFUNCTION("""COMPUTED_VALUE"""),4.63)</f>
        <v>4.63</v>
      </c>
      <c r="C2801" s="1">
        <f>IFERROR(__xludf.DUMMYFUNCTION("""COMPUTED_VALUE"""),4.63)</f>
        <v>4.63</v>
      </c>
      <c r="D2801" s="1">
        <f>IFERROR(__xludf.DUMMYFUNCTION("""COMPUTED_VALUE"""),4.59)</f>
        <v>4.59</v>
      </c>
      <c r="E2801" s="1">
        <f>IFERROR(__xludf.DUMMYFUNCTION("""COMPUTED_VALUE"""),4.63)</f>
        <v>4.63</v>
      </c>
      <c r="F2801" s="1">
        <f>IFERROR(__xludf.DUMMYFUNCTION("""COMPUTED_VALUE"""),1433291.0)</f>
        <v>1433291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IFERROR(__xludf.DUMMYFUNCTION("""COMPUTED_VALUE"""),4.58)</f>
        <v>4.58</v>
      </c>
      <c r="C2802" s="1">
        <f>IFERROR(__xludf.DUMMYFUNCTION("""COMPUTED_VALUE"""),4.59)</f>
        <v>4.59</v>
      </c>
      <c r="D2802" s="1">
        <f>IFERROR(__xludf.DUMMYFUNCTION("""COMPUTED_VALUE"""),4.51)</f>
        <v>4.51</v>
      </c>
      <c r="E2802" s="1">
        <f>IFERROR(__xludf.DUMMYFUNCTION("""COMPUTED_VALUE"""),4.55)</f>
        <v>4.55</v>
      </c>
      <c r="F2802" s="1">
        <f>IFERROR(__xludf.DUMMYFUNCTION("""COMPUTED_VALUE"""),2110779.0)</f>
        <v>2110779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IFERROR(__xludf.DUMMYFUNCTION("""COMPUTED_VALUE"""),4.7)</f>
        <v>4.7</v>
      </c>
      <c r="C2803" s="1">
        <f>IFERROR(__xludf.DUMMYFUNCTION("""COMPUTED_VALUE"""),4.75)</f>
        <v>4.75</v>
      </c>
      <c r="D2803" s="1">
        <f>IFERROR(__xludf.DUMMYFUNCTION("""COMPUTED_VALUE"""),4.69)</f>
        <v>4.69</v>
      </c>
      <c r="E2803" s="1">
        <f>IFERROR(__xludf.DUMMYFUNCTION("""COMPUTED_VALUE"""),4.73)</f>
        <v>4.73</v>
      </c>
      <c r="F2803" s="1">
        <f>IFERROR(__xludf.DUMMYFUNCTION("""COMPUTED_VALUE"""),1508853.0)</f>
        <v>1508853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IFERROR(__xludf.DUMMYFUNCTION("""COMPUTED_VALUE"""),4.81)</f>
        <v>4.81</v>
      </c>
      <c r="C2804" s="1">
        <f>IFERROR(__xludf.DUMMYFUNCTION("""COMPUTED_VALUE"""),4.91)</f>
        <v>4.91</v>
      </c>
      <c r="D2804" s="1">
        <f>IFERROR(__xludf.DUMMYFUNCTION("""COMPUTED_VALUE"""),4.81)</f>
        <v>4.81</v>
      </c>
      <c r="E2804" s="1">
        <f>IFERROR(__xludf.DUMMYFUNCTION("""COMPUTED_VALUE"""),4.89)</f>
        <v>4.89</v>
      </c>
      <c r="F2804" s="1">
        <f>IFERROR(__xludf.DUMMYFUNCTION("""COMPUTED_VALUE"""),2628277.0)</f>
        <v>2628277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IFERROR(__xludf.DUMMYFUNCTION("""COMPUTED_VALUE"""),4.84)</f>
        <v>4.84</v>
      </c>
      <c r="C2805" s="1">
        <f>IFERROR(__xludf.DUMMYFUNCTION("""COMPUTED_VALUE"""),4.86)</f>
        <v>4.86</v>
      </c>
      <c r="D2805" s="1">
        <f>IFERROR(__xludf.DUMMYFUNCTION("""COMPUTED_VALUE"""),4.78)</f>
        <v>4.78</v>
      </c>
      <c r="E2805" s="1">
        <f>IFERROR(__xludf.DUMMYFUNCTION("""COMPUTED_VALUE"""),4.85)</f>
        <v>4.85</v>
      </c>
      <c r="F2805" s="1">
        <f>IFERROR(__xludf.DUMMYFUNCTION("""COMPUTED_VALUE"""),1945366.0)</f>
        <v>1945366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IFERROR(__xludf.DUMMYFUNCTION("""COMPUTED_VALUE"""),4.85)</f>
        <v>4.85</v>
      </c>
      <c r="C2806" s="1">
        <f>IFERROR(__xludf.DUMMYFUNCTION("""COMPUTED_VALUE"""),4.93)</f>
        <v>4.93</v>
      </c>
      <c r="D2806" s="1">
        <f>IFERROR(__xludf.DUMMYFUNCTION("""COMPUTED_VALUE"""),4.84)</f>
        <v>4.84</v>
      </c>
      <c r="E2806" s="1">
        <f>IFERROR(__xludf.DUMMYFUNCTION("""COMPUTED_VALUE"""),4.93)</f>
        <v>4.93</v>
      </c>
      <c r="F2806" s="1">
        <f>IFERROR(__xludf.DUMMYFUNCTION("""COMPUTED_VALUE"""),2072163.0)</f>
        <v>2072163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IFERROR(__xludf.DUMMYFUNCTION("""COMPUTED_VALUE"""),4.93)</f>
        <v>4.93</v>
      </c>
      <c r="C2807" s="1">
        <f>IFERROR(__xludf.DUMMYFUNCTION("""COMPUTED_VALUE"""),4.94)</f>
        <v>4.94</v>
      </c>
      <c r="D2807" s="1">
        <f>IFERROR(__xludf.DUMMYFUNCTION("""COMPUTED_VALUE"""),4.77)</f>
        <v>4.77</v>
      </c>
      <c r="E2807" s="1">
        <f>IFERROR(__xludf.DUMMYFUNCTION("""COMPUTED_VALUE"""),4.79)</f>
        <v>4.79</v>
      </c>
      <c r="F2807" s="1">
        <f>IFERROR(__xludf.DUMMYFUNCTION("""COMPUTED_VALUE"""),2967585.0)</f>
        <v>2967585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IFERROR(__xludf.DUMMYFUNCTION("""COMPUTED_VALUE"""),4.76)</f>
        <v>4.76</v>
      </c>
      <c r="C2808" s="1">
        <f>IFERROR(__xludf.DUMMYFUNCTION("""COMPUTED_VALUE"""),4.79)</f>
        <v>4.79</v>
      </c>
      <c r="D2808" s="1">
        <f>IFERROR(__xludf.DUMMYFUNCTION("""COMPUTED_VALUE"""),4.72)</f>
        <v>4.72</v>
      </c>
      <c r="E2808" s="1">
        <f>IFERROR(__xludf.DUMMYFUNCTION("""COMPUTED_VALUE"""),4.73)</f>
        <v>4.73</v>
      </c>
      <c r="F2808" s="1">
        <f>IFERROR(__xludf.DUMMYFUNCTION("""COMPUTED_VALUE"""),2238355.0)</f>
        <v>2238355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IFERROR(__xludf.DUMMYFUNCTION("""COMPUTED_VALUE"""),4.83)</f>
        <v>4.83</v>
      </c>
      <c r="C2809" s="1">
        <f>IFERROR(__xludf.DUMMYFUNCTION("""COMPUTED_VALUE"""),4.9)</f>
        <v>4.9</v>
      </c>
      <c r="D2809" s="1">
        <f>IFERROR(__xludf.DUMMYFUNCTION("""COMPUTED_VALUE"""),4.83)</f>
        <v>4.83</v>
      </c>
      <c r="E2809" s="1">
        <f>IFERROR(__xludf.DUMMYFUNCTION("""COMPUTED_VALUE"""),4.86)</f>
        <v>4.86</v>
      </c>
      <c r="F2809" s="1">
        <f>IFERROR(__xludf.DUMMYFUNCTION("""COMPUTED_VALUE"""),1585477.0)</f>
        <v>1585477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IFERROR(__xludf.DUMMYFUNCTION("""COMPUTED_VALUE"""),4.85)</f>
        <v>4.85</v>
      </c>
      <c r="C2810" s="1">
        <f>IFERROR(__xludf.DUMMYFUNCTION("""COMPUTED_VALUE"""),4.89)</f>
        <v>4.89</v>
      </c>
      <c r="D2810" s="1">
        <f>IFERROR(__xludf.DUMMYFUNCTION("""COMPUTED_VALUE"""),4.83)</f>
        <v>4.83</v>
      </c>
      <c r="E2810" s="1">
        <f>IFERROR(__xludf.DUMMYFUNCTION("""COMPUTED_VALUE"""),4.84)</f>
        <v>4.84</v>
      </c>
      <c r="F2810" s="1">
        <f>IFERROR(__xludf.DUMMYFUNCTION("""COMPUTED_VALUE"""),2054897.0)</f>
        <v>2054897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IFERROR(__xludf.DUMMYFUNCTION("""COMPUTED_VALUE"""),4.96)</f>
        <v>4.96</v>
      </c>
      <c r="C2811" s="1">
        <f>IFERROR(__xludf.DUMMYFUNCTION("""COMPUTED_VALUE"""),5.04)</f>
        <v>5.04</v>
      </c>
      <c r="D2811" s="1">
        <f>IFERROR(__xludf.DUMMYFUNCTION("""COMPUTED_VALUE"""),4.96)</f>
        <v>4.96</v>
      </c>
      <c r="E2811" s="1">
        <f>IFERROR(__xludf.DUMMYFUNCTION("""COMPUTED_VALUE"""),5.01)</f>
        <v>5.01</v>
      </c>
      <c r="F2811" s="1">
        <f>IFERROR(__xludf.DUMMYFUNCTION("""COMPUTED_VALUE"""),2667696.0)</f>
        <v>2667696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IFERROR(__xludf.DUMMYFUNCTION("""COMPUTED_VALUE"""),4.95)</f>
        <v>4.95</v>
      </c>
      <c r="C2812" s="1">
        <f>IFERROR(__xludf.DUMMYFUNCTION("""COMPUTED_VALUE"""),4.98)</f>
        <v>4.98</v>
      </c>
      <c r="D2812" s="1">
        <f>IFERROR(__xludf.DUMMYFUNCTION("""COMPUTED_VALUE"""),4.82)</f>
        <v>4.82</v>
      </c>
      <c r="E2812" s="1">
        <f>IFERROR(__xludf.DUMMYFUNCTION("""COMPUTED_VALUE"""),4.91)</f>
        <v>4.91</v>
      </c>
      <c r="F2812" s="1">
        <f>IFERROR(__xludf.DUMMYFUNCTION("""COMPUTED_VALUE"""),3871918.0)</f>
        <v>3871918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IFERROR(__xludf.DUMMYFUNCTION("""COMPUTED_VALUE"""),4.94)</f>
        <v>4.94</v>
      </c>
      <c r="C2813" s="1">
        <f>IFERROR(__xludf.DUMMYFUNCTION("""COMPUTED_VALUE"""),4.94)</f>
        <v>4.94</v>
      </c>
      <c r="D2813" s="1">
        <f>IFERROR(__xludf.DUMMYFUNCTION("""COMPUTED_VALUE"""),4.79)</f>
        <v>4.79</v>
      </c>
      <c r="E2813" s="1">
        <f>IFERROR(__xludf.DUMMYFUNCTION("""COMPUTED_VALUE"""),4.9)</f>
        <v>4.9</v>
      </c>
      <c r="F2813" s="1">
        <f>IFERROR(__xludf.DUMMYFUNCTION("""COMPUTED_VALUE"""),3660998.0)</f>
        <v>3660998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IFERROR(__xludf.DUMMYFUNCTION("""COMPUTED_VALUE"""),4.98)</f>
        <v>4.98</v>
      </c>
      <c r="C2814" s="1">
        <f>IFERROR(__xludf.DUMMYFUNCTION("""COMPUTED_VALUE"""),5.09)</f>
        <v>5.09</v>
      </c>
      <c r="D2814" s="1">
        <f>IFERROR(__xludf.DUMMYFUNCTION("""COMPUTED_VALUE"""),4.97)</f>
        <v>4.97</v>
      </c>
      <c r="E2814" s="1">
        <f>IFERROR(__xludf.DUMMYFUNCTION("""COMPUTED_VALUE"""),5.03)</f>
        <v>5.03</v>
      </c>
      <c r="F2814" s="1">
        <f>IFERROR(__xludf.DUMMYFUNCTION("""COMPUTED_VALUE"""),4151967.0)</f>
        <v>4151967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IFERROR(__xludf.DUMMYFUNCTION("""COMPUTED_VALUE"""),5.0)</f>
        <v>5</v>
      </c>
      <c r="C2815" s="1">
        <f>IFERROR(__xludf.DUMMYFUNCTION("""COMPUTED_VALUE"""),5.11)</f>
        <v>5.11</v>
      </c>
      <c r="D2815" s="1">
        <f>IFERROR(__xludf.DUMMYFUNCTION("""COMPUTED_VALUE"""),4.97)</f>
        <v>4.97</v>
      </c>
      <c r="E2815" s="1">
        <f>IFERROR(__xludf.DUMMYFUNCTION("""COMPUTED_VALUE"""),5.04)</f>
        <v>5.04</v>
      </c>
      <c r="F2815" s="1">
        <f>IFERROR(__xludf.DUMMYFUNCTION("""COMPUTED_VALUE"""),4096623.0)</f>
        <v>4096623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IFERROR(__xludf.DUMMYFUNCTION("""COMPUTED_VALUE"""),5.04)</f>
        <v>5.04</v>
      </c>
      <c r="C2816" s="1">
        <f>IFERROR(__xludf.DUMMYFUNCTION("""COMPUTED_VALUE"""),5.08)</f>
        <v>5.08</v>
      </c>
      <c r="D2816" s="1">
        <f>IFERROR(__xludf.DUMMYFUNCTION("""COMPUTED_VALUE"""),5.0)</f>
        <v>5</v>
      </c>
      <c r="E2816" s="1">
        <f>IFERROR(__xludf.DUMMYFUNCTION("""COMPUTED_VALUE"""),5.06)</f>
        <v>5.06</v>
      </c>
      <c r="F2816" s="1">
        <f>IFERROR(__xludf.DUMMYFUNCTION("""COMPUTED_VALUE"""),2769433.0)</f>
        <v>2769433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IFERROR(__xludf.DUMMYFUNCTION("""COMPUTED_VALUE"""),4.93)</f>
        <v>4.93</v>
      </c>
      <c r="C2817" s="1">
        <f>IFERROR(__xludf.DUMMYFUNCTION("""COMPUTED_VALUE"""),4.97)</f>
        <v>4.97</v>
      </c>
      <c r="D2817" s="1">
        <f>IFERROR(__xludf.DUMMYFUNCTION("""COMPUTED_VALUE"""),4.89)</f>
        <v>4.89</v>
      </c>
      <c r="E2817" s="1">
        <f>IFERROR(__xludf.DUMMYFUNCTION("""COMPUTED_VALUE"""),4.94)</f>
        <v>4.94</v>
      </c>
      <c r="F2817" s="1">
        <f>IFERROR(__xludf.DUMMYFUNCTION("""COMPUTED_VALUE"""),2006631.0)</f>
        <v>2006631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IFERROR(__xludf.DUMMYFUNCTION("""COMPUTED_VALUE"""),4.96)</f>
        <v>4.96</v>
      </c>
      <c r="C2818" s="1">
        <f>IFERROR(__xludf.DUMMYFUNCTION("""COMPUTED_VALUE"""),5.01)</f>
        <v>5.01</v>
      </c>
      <c r="D2818" s="1">
        <f>IFERROR(__xludf.DUMMYFUNCTION("""COMPUTED_VALUE"""),4.96)</f>
        <v>4.96</v>
      </c>
      <c r="E2818" s="1">
        <f>IFERROR(__xludf.DUMMYFUNCTION("""COMPUTED_VALUE"""),4.99)</f>
        <v>4.99</v>
      </c>
      <c r="F2818" s="1">
        <f>IFERROR(__xludf.DUMMYFUNCTION("""COMPUTED_VALUE"""),1672766.0)</f>
        <v>1672766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IFERROR(__xludf.DUMMYFUNCTION("""COMPUTED_VALUE"""),4.91)</f>
        <v>4.91</v>
      </c>
      <c r="C2819" s="1">
        <f>IFERROR(__xludf.DUMMYFUNCTION("""COMPUTED_VALUE"""),4.93)</f>
        <v>4.93</v>
      </c>
      <c r="D2819" s="1">
        <f>IFERROR(__xludf.DUMMYFUNCTION("""COMPUTED_VALUE"""),4.85)</f>
        <v>4.85</v>
      </c>
      <c r="E2819" s="1">
        <f>IFERROR(__xludf.DUMMYFUNCTION("""COMPUTED_VALUE"""),4.93)</f>
        <v>4.93</v>
      </c>
      <c r="F2819" s="1">
        <f>IFERROR(__xludf.DUMMYFUNCTION("""COMPUTED_VALUE"""),1897425.0)</f>
        <v>1897425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IFERROR(__xludf.DUMMYFUNCTION("""COMPUTED_VALUE"""),4.91)</f>
        <v>4.91</v>
      </c>
      <c r="C2820" s="1">
        <f>IFERROR(__xludf.DUMMYFUNCTION("""COMPUTED_VALUE"""),4.92)</f>
        <v>4.92</v>
      </c>
      <c r="D2820" s="1">
        <f>IFERROR(__xludf.DUMMYFUNCTION("""COMPUTED_VALUE"""),4.81)</f>
        <v>4.81</v>
      </c>
      <c r="E2820" s="1">
        <f>IFERROR(__xludf.DUMMYFUNCTION("""COMPUTED_VALUE"""),4.86)</f>
        <v>4.86</v>
      </c>
      <c r="F2820" s="1">
        <f>IFERROR(__xludf.DUMMYFUNCTION("""COMPUTED_VALUE"""),1973179.0)</f>
        <v>1973179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IFERROR(__xludf.DUMMYFUNCTION("""COMPUTED_VALUE"""),4.82)</f>
        <v>4.82</v>
      </c>
      <c r="C2821" s="1">
        <f>IFERROR(__xludf.DUMMYFUNCTION("""COMPUTED_VALUE"""),4.88)</f>
        <v>4.88</v>
      </c>
      <c r="D2821" s="1">
        <f>IFERROR(__xludf.DUMMYFUNCTION("""COMPUTED_VALUE"""),4.81)</f>
        <v>4.81</v>
      </c>
      <c r="E2821" s="1">
        <f>IFERROR(__xludf.DUMMYFUNCTION("""COMPUTED_VALUE"""),4.87)</f>
        <v>4.87</v>
      </c>
      <c r="F2821" s="1">
        <f>IFERROR(__xludf.DUMMYFUNCTION("""COMPUTED_VALUE"""),2665471.0)</f>
        <v>2665471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IFERROR(__xludf.DUMMYFUNCTION("""COMPUTED_VALUE"""),4.86)</f>
        <v>4.86</v>
      </c>
      <c r="C2822" s="1">
        <f>IFERROR(__xludf.DUMMYFUNCTION("""COMPUTED_VALUE"""),4.97)</f>
        <v>4.97</v>
      </c>
      <c r="D2822" s="1">
        <f>IFERROR(__xludf.DUMMYFUNCTION("""COMPUTED_VALUE"""),4.85)</f>
        <v>4.85</v>
      </c>
      <c r="E2822" s="1">
        <f>IFERROR(__xludf.DUMMYFUNCTION("""COMPUTED_VALUE"""),4.86)</f>
        <v>4.86</v>
      </c>
      <c r="F2822" s="1">
        <f>IFERROR(__xludf.DUMMYFUNCTION("""COMPUTED_VALUE"""),2932455.0)</f>
        <v>2932455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IFERROR(__xludf.DUMMYFUNCTION("""COMPUTED_VALUE"""),4.86)</f>
        <v>4.86</v>
      </c>
      <c r="C2823" s="1">
        <f>IFERROR(__xludf.DUMMYFUNCTION("""COMPUTED_VALUE"""),4.89)</f>
        <v>4.89</v>
      </c>
      <c r="D2823" s="1">
        <f>IFERROR(__xludf.DUMMYFUNCTION("""COMPUTED_VALUE"""),4.76)</f>
        <v>4.76</v>
      </c>
      <c r="E2823" s="1">
        <f>IFERROR(__xludf.DUMMYFUNCTION("""COMPUTED_VALUE"""),4.83)</f>
        <v>4.83</v>
      </c>
      <c r="F2823" s="1">
        <f>IFERROR(__xludf.DUMMYFUNCTION("""COMPUTED_VALUE"""),4709952.0)</f>
        <v>4709952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IFERROR(__xludf.DUMMYFUNCTION("""COMPUTED_VALUE"""),4.75)</f>
        <v>4.75</v>
      </c>
      <c r="C2824" s="1">
        <f>IFERROR(__xludf.DUMMYFUNCTION("""COMPUTED_VALUE"""),4.75)</f>
        <v>4.75</v>
      </c>
      <c r="D2824" s="1">
        <f>IFERROR(__xludf.DUMMYFUNCTION("""COMPUTED_VALUE"""),4.68)</f>
        <v>4.68</v>
      </c>
      <c r="E2824" s="1">
        <f>IFERROR(__xludf.DUMMYFUNCTION("""COMPUTED_VALUE"""),4.68)</f>
        <v>4.68</v>
      </c>
      <c r="F2824" s="1">
        <f>IFERROR(__xludf.DUMMYFUNCTION("""COMPUTED_VALUE"""),1697259.0)</f>
        <v>1697259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IFERROR(__xludf.DUMMYFUNCTION("""COMPUTED_VALUE"""),4.57)</f>
        <v>4.57</v>
      </c>
      <c r="C2825" s="1">
        <f>IFERROR(__xludf.DUMMYFUNCTION("""COMPUTED_VALUE"""),4.6)</f>
        <v>4.6</v>
      </c>
      <c r="D2825" s="1">
        <f>IFERROR(__xludf.DUMMYFUNCTION("""COMPUTED_VALUE"""),4.49)</f>
        <v>4.49</v>
      </c>
      <c r="E2825" s="1">
        <f>IFERROR(__xludf.DUMMYFUNCTION("""COMPUTED_VALUE"""),4.5)</f>
        <v>4.5</v>
      </c>
      <c r="F2825" s="1">
        <f>IFERROR(__xludf.DUMMYFUNCTION("""COMPUTED_VALUE"""),2495568.0)</f>
        <v>2495568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IFERROR(__xludf.DUMMYFUNCTION("""COMPUTED_VALUE"""),4.51)</f>
        <v>4.51</v>
      </c>
      <c r="C2826" s="1">
        <f>IFERROR(__xludf.DUMMYFUNCTION("""COMPUTED_VALUE"""),4.62)</f>
        <v>4.62</v>
      </c>
      <c r="D2826" s="1">
        <f>IFERROR(__xludf.DUMMYFUNCTION("""COMPUTED_VALUE"""),4.51)</f>
        <v>4.51</v>
      </c>
      <c r="E2826" s="1">
        <f>IFERROR(__xludf.DUMMYFUNCTION("""COMPUTED_VALUE"""),4.56)</f>
        <v>4.56</v>
      </c>
      <c r="F2826" s="1">
        <f>IFERROR(__xludf.DUMMYFUNCTION("""COMPUTED_VALUE"""),2824671.0)</f>
        <v>2824671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IFERROR(__xludf.DUMMYFUNCTION("""COMPUTED_VALUE"""),4.57)</f>
        <v>4.57</v>
      </c>
      <c r="C2827" s="1">
        <f>IFERROR(__xludf.DUMMYFUNCTION("""COMPUTED_VALUE"""),4.74)</f>
        <v>4.74</v>
      </c>
      <c r="D2827" s="1">
        <f>IFERROR(__xludf.DUMMYFUNCTION("""COMPUTED_VALUE"""),4.55)</f>
        <v>4.55</v>
      </c>
      <c r="E2827" s="1">
        <f>IFERROR(__xludf.DUMMYFUNCTION("""COMPUTED_VALUE"""),4.73)</f>
        <v>4.73</v>
      </c>
      <c r="F2827" s="1">
        <f>IFERROR(__xludf.DUMMYFUNCTION("""COMPUTED_VALUE"""),4200214.0)</f>
        <v>4200214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IFERROR(__xludf.DUMMYFUNCTION("""COMPUTED_VALUE"""),4.72)</f>
        <v>4.72</v>
      </c>
      <c r="C2828" s="1">
        <f>IFERROR(__xludf.DUMMYFUNCTION("""COMPUTED_VALUE"""),4.77)</f>
        <v>4.77</v>
      </c>
      <c r="D2828" s="1">
        <f>IFERROR(__xludf.DUMMYFUNCTION("""COMPUTED_VALUE"""),4.65)</f>
        <v>4.65</v>
      </c>
      <c r="E2828" s="1">
        <f>IFERROR(__xludf.DUMMYFUNCTION("""COMPUTED_VALUE"""),4.7)</f>
        <v>4.7</v>
      </c>
      <c r="F2828" s="1">
        <f>IFERROR(__xludf.DUMMYFUNCTION("""COMPUTED_VALUE"""),1882102.0)</f>
        <v>1882102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IFERROR(__xludf.DUMMYFUNCTION("""COMPUTED_VALUE"""),4.71)</f>
        <v>4.71</v>
      </c>
      <c r="C2829" s="1">
        <f>IFERROR(__xludf.DUMMYFUNCTION("""COMPUTED_VALUE"""),4.76)</f>
        <v>4.76</v>
      </c>
      <c r="D2829" s="1">
        <f>IFERROR(__xludf.DUMMYFUNCTION("""COMPUTED_VALUE"""),4.67)</f>
        <v>4.67</v>
      </c>
      <c r="E2829" s="1">
        <f>IFERROR(__xludf.DUMMYFUNCTION("""COMPUTED_VALUE"""),4.68)</f>
        <v>4.68</v>
      </c>
      <c r="F2829" s="1">
        <f>IFERROR(__xludf.DUMMYFUNCTION("""COMPUTED_VALUE"""),2776614.0)</f>
        <v>2776614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IFERROR(__xludf.DUMMYFUNCTION("""COMPUTED_VALUE"""),4.77)</f>
        <v>4.77</v>
      </c>
      <c r="C2830" s="1">
        <f>IFERROR(__xludf.DUMMYFUNCTION("""COMPUTED_VALUE"""),4.85)</f>
        <v>4.85</v>
      </c>
      <c r="D2830" s="1">
        <f>IFERROR(__xludf.DUMMYFUNCTION("""COMPUTED_VALUE"""),4.77)</f>
        <v>4.77</v>
      </c>
      <c r="E2830" s="1">
        <f>IFERROR(__xludf.DUMMYFUNCTION("""COMPUTED_VALUE"""),4.82)</f>
        <v>4.82</v>
      </c>
      <c r="F2830" s="1">
        <f>IFERROR(__xludf.DUMMYFUNCTION("""COMPUTED_VALUE"""),1890240.0)</f>
        <v>1890240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IFERROR(__xludf.DUMMYFUNCTION("""COMPUTED_VALUE"""),4.78)</f>
        <v>4.78</v>
      </c>
      <c r="C2831" s="1">
        <f>IFERROR(__xludf.DUMMYFUNCTION("""COMPUTED_VALUE"""),4.79)</f>
        <v>4.79</v>
      </c>
      <c r="D2831" s="1">
        <f>IFERROR(__xludf.DUMMYFUNCTION("""COMPUTED_VALUE"""),4.71)</f>
        <v>4.71</v>
      </c>
      <c r="E2831" s="1">
        <f>IFERROR(__xludf.DUMMYFUNCTION("""COMPUTED_VALUE"""),4.73)</f>
        <v>4.73</v>
      </c>
      <c r="F2831" s="1">
        <f>IFERROR(__xludf.DUMMYFUNCTION("""COMPUTED_VALUE"""),2252036.0)</f>
        <v>2252036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IFERROR(__xludf.DUMMYFUNCTION("""COMPUTED_VALUE"""),4.76)</f>
        <v>4.76</v>
      </c>
      <c r="C2832" s="1">
        <f>IFERROR(__xludf.DUMMYFUNCTION("""COMPUTED_VALUE"""),4.79)</f>
        <v>4.79</v>
      </c>
      <c r="D2832" s="1">
        <f>IFERROR(__xludf.DUMMYFUNCTION("""COMPUTED_VALUE"""),4.72)</f>
        <v>4.72</v>
      </c>
      <c r="E2832" s="1">
        <f>IFERROR(__xludf.DUMMYFUNCTION("""COMPUTED_VALUE"""),4.78)</f>
        <v>4.78</v>
      </c>
      <c r="F2832" s="1">
        <f>IFERROR(__xludf.DUMMYFUNCTION("""COMPUTED_VALUE"""),1250173.0)</f>
        <v>1250173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IFERROR(__xludf.DUMMYFUNCTION("""COMPUTED_VALUE"""),4.83)</f>
        <v>4.83</v>
      </c>
      <c r="C2833" s="1">
        <f>IFERROR(__xludf.DUMMYFUNCTION("""COMPUTED_VALUE"""),4.87)</f>
        <v>4.87</v>
      </c>
      <c r="D2833" s="1">
        <f>IFERROR(__xludf.DUMMYFUNCTION("""COMPUTED_VALUE"""),4.8)</f>
        <v>4.8</v>
      </c>
      <c r="E2833" s="1">
        <f>IFERROR(__xludf.DUMMYFUNCTION("""COMPUTED_VALUE"""),4.82)</f>
        <v>4.82</v>
      </c>
      <c r="F2833" s="1">
        <f>IFERROR(__xludf.DUMMYFUNCTION("""COMPUTED_VALUE"""),924882.0)</f>
        <v>924882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IFERROR(__xludf.DUMMYFUNCTION("""COMPUTED_VALUE"""),4.86)</f>
        <v>4.86</v>
      </c>
      <c r="C2834" s="1">
        <f>IFERROR(__xludf.DUMMYFUNCTION("""COMPUTED_VALUE"""),4.89)</f>
        <v>4.89</v>
      </c>
      <c r="D2834" s="1">
        <f>IFERROR(__xludf.DUMMYFUNCTION("""COMPUTED_VALUE"""),4.79)</f>
        <v>4.79</v>
      </c>
      <c r="E2834" s="1">
        <f>IFERROR(__xludf.DUMMYFUNCTION("""COMPUTED_VALUE"""),4.81)</f>
        <v>4.81</v>
      </c>
      <c r="F2834" s="1">
        <f>IFERROR(__xludf.DUMMYFUNCTION("""COMPUTED_VALUE"""),1481407.0)</f>
        <v>1481407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IFERROR(__xludf.DUMMYFUNCTION("""COMPUTED_VALUE"""),4.84)</f>
        <v>4.84</v>
      </c>
      <c r="C2835" s="1">
        <f>IFERROR(__xludf.DUMMYFUNCTION("""COMPUTED_VALUE"""),4.86)</f>
        <v>4.86</v>
      </c>
      <c r="D2835" s="1">
        <f>IFERROR(__xludf.DUMMYFUNCTION("""COMPUTED_VALUE"""),4.78)</f>
        <v>4.78</v>
      </c>
      <c r="E2835" s="1">
        <f>IFERROR(__xludf.DUMMYFUNCTION("""COMPUTED_VALUE"""),4.82)</f>
        <v>4.82</v>
      </c>
      <c r="F2835" s="1">
        <f>IFERROR(__xludf.DUMMYFUNCTION("""COMPUTED_VALUE"""),1121654.0)</f>
        <v>1121654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IFERROR(__xludf.DUMMYFUNCTION("""COMPUTED_VALUE"""),4.73)</f>
        <v>4.73</v>
      </c>
      <c r="C2836" s="1">
        <f>IFERROR(__xludf.DUMMYFUNCTION("""COMPUTED_VALUE"""),4.74)</f>
        <v>4.74</v>
      </c>
      <c r="D2836" s="1">
        <f>IFERROR(__xludf.DUMMYFUNCTION("""COMPUTED_VALUE"""),4.68)</f>
        <v>4.68</v>
      </c>
      <c r="E2836" s="1">
        <f>IFERROR(__xludf.DUMMYFUNCTION("""COMPUTED_VALUE"""),4.73)</f>
        <v>4.73</v>
      </c>
      <c r="F2836" s="1">
        <f>IFERROR(__xludf.DUMMYFUNCTION("""COMPUTED_VALUE"""),1119432.0)</f>
        <v>1119432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IFERROR(__xludf.DUMMYFUNCTION("""COMPUTED_VALUE"""),4.72)</f>
        <v>4.72</v>
      </c>
      <c r="C2837" s="1">
        <f>IFERROR(__xludf.DUMMYFUNCTION("""COMPUTED_VALUE"""),4.73)</f>
        <v>4.73</v>
      </c>
      <c r="D2837" s="1">
        <f>IFERROR(__xludf.DUMMYFUNCTION("""COMPUTED_VALUE"""),4.68)</f>
        <v>4.68</v>
      </c>
      <c r="E2837" s="1">
        <f>IFERROR(__xludf.DUMMYFUNCTION("""COMPUTED_VALUE"""),4.7)</f>
        <v>4.7</v>
      </c>
      <c r="F2837" s="1">
        <f>IFERROR(__xludf.DUMMYFUNCTION("""COMPUTED_VALUE"""),991443.0)</f>
        <v>991443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IFERROR(__xludf.DUMMYFUNCTION("""COMPUTED_VALUE"""),4.72)</f>
        <v>4.72</v>
      </c>
      <c r="C2838" s="1">
        <f>IFERROR(__xludf.DUMMYFUNCTION("""COMPUTED_VALUE"""),4.74)</f>
        <v>4.74</v>
      </c>
      <c r="D2838" s="1">
        <f>IFERROR(__xludf.DUMMYFUNCTION("""COMPUTED_VALUE"""),4.68)</f>
        <v>4.68</v>
      </c>
      <c r="E2838" s="1">
        <f>IFERROR(__xludf.DUMMYFUNCTION("""COMPUTED_VALUE"""),4.71)</f>
        <v>4.71</v>
      </c>
      <c r="F2838" s="1">
        <f>IFERROR(__xludf.DUMMYFUNCTION("""COMPUTED_VALUE"""),1013942.0)</f>
        <v>1013942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IFERROR(__xludf.DUMMYFUNCTION("""COMPUTED_VALUE"""),4.64)</f>
        <v>4.64</v>
      </c>
      <c r="C2839" s="1">
        <f>IFERROR(__xludf.DUMMYFUNCTION("""COMPUTED_VALUE"""),4.64)</f>
        <v>4.64</v>
      </c>
      <c r="D2839" s="1">
        <f>IFERROR(__xludf.DUMMYFUNCTION("""COMPUTED_VALUE"""),4.6)</f>
        <v>4.6</v>
      </c>
      <c r="E2839" s="1">
        <f>IFERROR(__xludf.DUMMYFUNCTION("""COMPUTED_VALUE"""),4.61)</f>
        <v>4.61</v>
      </c>
      <c r="F2839" s="1">
        <f>IFERROR(__xludf.DUMMYFUNCTION("""COMPUTED_VALUE"""),1427701.0)</f>
        <v>1427701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IFERROR(__xludf.DUMMYFUNCTION("""COMPUTED_VALUE"""),4.62)</f>
        <v>4.62</v>
      </c>
      <c r="C2840" s="1">
        <f>IFERROR(__xludf.DUMMYFUNCTION("""COMPUTED_VALUE"""),4.69)</f>
        <v>4.69</v>
      </c>
      <c r="D2840" s="1">
        <f>IFERROR(__xludf.DUMMYFUNCTION("""COMPUTED_VALUE"""),4.62)</f>
        <v>4.62</v>
      </c>
      <c r="E2840" s="1">
        <f>IFERROR(__xludf.DUMMYFUNCTION("""COMPUTED_VALUE"""),4.66)</f>
        <v>4.66</v>
      </c>
      <c r="F2840" s="1">
        <f>IFERROR(__xludf.DUMMYFUNCTION("""COMPUTED_VALUE"""),1559522.0)</f>
        <v>1559522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IFERROR(__xludf.DUMMYFUNCTION("""COMPUTED_VALUE"""),4.62)</f>
        <v>4.62</v>
      </c>
      <c r="C2841" s="1">
        <f>IFERROR(__xludf.DUMMYFUNCTION("""COMPUTED_VALUE"""),4.62)</f>
        <v>4.62</v>
      </c>
      <c r="D2841" s="1">
        <f>IFERROR(__xludf.DUMMYFUNCTION("""COMPUTED_VALUE"""),4.56)</f>
        <v>4.56</v>
      </c>
      <c r="E2841" s="1">
        <f>IFERROR(__xludf.DUMMYFUNCTION("""COMPUTED_VALUE"""),4.59)</f>
        <v>4.59</v>
      </c>
      <c r="F2841" s="1">
        <f>IFERROR(__xludf.DUMMYFUNCTION("""COMPUTED_VALUE"""),1283260.0)</f>
        <v>1283260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IFERROR(__xludf.DUMMYFUNCTION("""COMPUTED_VALUE"""),4.59)</f>
        <v>4.59</v>
      </c>
      <c r="C2842" s="1">
        <f>IFERROR(__xludf.DUMMYFUNCTION("""COMPUTED_VALUE"""),4.63)</f>
        <v>4.63</v>
      </c>
      <c r="D2842" s="1">
        <f>IFERROR(__xludf.DUMMYFUNCTION("""COMPUTED_VALUE"""),4.58)</f>
        <v>4.58</v>
      </c>
      <c r="E2842" s="1">
        <f>IFERROR(__xludf.DUMMYFUNCTION("""COMPUTED_VALUE"""),4.62)</f>
        <v>4.62</v>
      </c>
      <c r="F2842" s="1">
        <f>IFERROR(__xludf.DUMMYFUNCTION("""COMPUTED_VALUE"""),759505.0)</f>
        <v>759505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IFERROR(__xludf.DUMMYFUNCTION("""COMPUTED_VALUE"""),4.64)</f>
        <v>4.64</v>
      </c>
      <c r="C2843" s="1">
        <f>IFERROR(__xludf.DUMMYFUNCTION("""COMPUTED_VALUE"""),4.67)</f>
        <v>4.67</v>
      </c>
      <c r="D2843" s="1">
        <f>IFERROR(__xludf.DUMMYFUNCTION("""COMPUTED_VALUE"""),4.62)</f>
        <v>4.62</v>
      </c>
      <c r="E2843" s="1">
        <f>IFERROR(__xludf.DUMMYFUNCTION("""COMPUTED_VALUE"""),4.63)</f>
        <v>4.63</v>
      </c>
      <c r="F2843" s="1">
        <f>IFERROR(__xludf.DUMMYFUNCTION("""COMPUTED_VALUE"""),2542274.0)</f>
        <v>2542274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IFERROR(__xludf.DUMMYFUNCTION("""COMPUTED_VALUE"""),4.57)</f>
        <v>4.57</v>
      </c>
      <c r="C2844" s="1">
        <f>IFERROR(__xludf.DUMMYFUNCTION("""COMPUTED_VALUE"""),4.58)</f>
        <v>4.58</v>
      </c>
      <c r="D2844" s="1">
        <f>IFERROR(__xludf.DUMMYFUNCTION("""COMPUTED_VALUE"""),4.46)</f>
        <v>4.46</v>
      </c>
      <c r="E2844" s="1">
        <f>IFERROR(__xludf.DUMMYFUNCTION("""COMPUTED_VALUE"""),4.48)</f>
        <v>4.48</v>
      </c>
      <c r="F2844" s="1">
        <f>IFERROR(__xludf.DUMMYFUNCTION("""COMPUTED_VALUE"""),2930837.0)</f>
        <v>2930837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IFERROR(__xludf.DUMMYFUNCTION("""COMPUTED_VALUE"""),4.45)</f>
        <v>4.45</v>
      </c>
      <c r="C2845" s="1">
        <f>IFERROR(__xludf.DUMMYFUNCTION("""COMPUTED_VALUE"""),4.54)</f>
        <v>4.54</v>
      </c>
      <c r="D2845" s="1">
        <f>IFERROR(__xludf.DUMMYFUNCTION("""COMPUTED_VALUE"""),4.43)</f>
        <v>4.43</v>
      </c>
      <c r="E2845" s="1">
        <f>IFERROR(__xludf.DUMMYFUNCTION("""COMPUTED_VALUE"""),4.54)</f>
        <v>4.54</v>
      </c>
      <c r="F2845" s="1">
        <f>IFERROR(__xludf.DUMMYFUNCTION("""COMPUTED_VALUE"""),1490698.0)</f>
        <v>1490698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IFERROR(__xludf.DUMMYFUNCTION("""COMPUTED_VALUE"""),4.45)</f>
        <v>4.45</v>
      </c>
      <c r="C2846" s="1">
        <f>IFERROR(__xludf.DUMMYFUNCTION("""COMPUTED_VALUE"""),4.47)</f>
        <v>4.47</v>
      </c>
      <c r="D2846" s="1">
        <f>IFERROR(__xludf.DUMMYFUNCTION("""COMPUTED_VALUE"""),4.39)</f>
        <v>4.39</v>
      </c>
      <c r="E2846" s="1">
        <f>IFERROR(__xludf.DUMMYFUNCTION("""COMPUTED_VALUE"""),4.41)</f>
        <v>4.41</v>
      </c>
      <c r="F2846" s="1">
        <f>IFERROR(__xludf.DUMMYFUNCTION("""COMPUTED_VALUE"""),1949341.0)</f>
        <v>1949341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IFERROR(__xludf.DUMMYFUNCTION("""COMPUTED_VALUE"""),4.44)</f>
        <v>4.44</v>
      </c>
      <c r="C2847" s="1">
        <f>IFERROR(__xludf.DUMMYFUNCTION("""COMPUTED_VALUE"""),4.53)</f>
        <v>4.53</v>
      </c>
      <c r="D2847" s="1">
        <f>IFERROR(__xludf.DUMMYFUNCTION("""COMPUTED_VALUE"""),4.42)</f>
        <v>4.42</v>
      </c>
      <c r="E2847" s="1">
        <f>IFERROR(__xludf.DUMMYFUNCTION("""COMPUTED_VALUE"""),4.51)</f>
        <v>4.51</v>
      </c>
      <c r="F2847" s="1">
        <f>IFERROR(__xludf.DUMMYFUNCTION("""COMPUTED_VALUE"""),1693049.0)</f>
        <v>1693049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IFERROR(__xludf.DUMMYFUNCTION("""COMPUTED_VALUE"""),4.59)</f>
        <v>4.59</v>
      </c>
      <c r="C2848" s="1">
        <f>IFERROR(__xludf.DUMMYFUNCTION("""COMPUTED_VALUE"""),4.64)</f>
        <v>4.64</v>
      </c>
      <c r="D2848" s="1">
        <f>IFERROR(__xludf.DUMMYFUNCTION("""COMPUTED_VALUE"""),4.57)</f>
        <v>4.57</v>
      </c>
      <c r="E2848" s="1">
        <f>IFERROR(__xludf.DUMMYFUNCTION("""COMPUTED_VALUE"""),4.59)</f>
        <v>4.59</v>
      </c>
      <c r="F2848" s="1">
        <f>IFERROR(__xludf.DUMMYFUNCTION("""COMPUTED_VALUE"""),1943146.0)</f>
        <v>1943146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IFERROR(__xludf.DUMMYFUNCTION("""COMPUTED_VALUE"""),4.57)</f>
        <v>4.57</v>
      </c>
      <c r="C2849" s="1">
        <f>IFERROR(__xludf.DUMMYFUNCTION("""COMPUTED_VALUE"""),4.6)</f>
        <v>4.6</v>
      </c>
      <c r="D2849" s="1">
        <f>IFERROR(__xludf.DUMMYFUNCTION("""COMPUTED_VALUE"""),4.55)</f>
        <v>4.55</v>
      </c>
      <c r="E2849" s="1">
        <f>IFERROR(__xludf.DUMMYFUNCTION("""COMPUTED_VALUE"""),4.59)</f>
        <v>4.59</v>
      </c>
      <c r="F2849" s="1">
        <f>IFERROR(__xludf.DUMMYFUNCTION("""COMPUTED_VALUE"""),1088363.0)</f>
        <v>1088363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IFERROR(__xludf.DUMMYFUNCTION("""COMPUTED_VALUE"""),4.62)</f>
        <v>4.62</v>
      </c>
      <c r="C2850" s="1">
        <f>IFERROR(__xludf.DUMMYFUNCTION("""COMPUTED_VALUE"""),4.65)</f>
        <v>4.65</v>
      </c>
      <c r="D2850" s="1">
        <f>IFERROR(__xludf.DUMMYFUNCTION("""COMPUTED_VALUE"""),4.61)</f>
        <v>4.61</v>
      </c>
      <c r="E2850" s="1">
        <f>IFERROR(__xludf.DUMMYFUNCTION("""COMPUTED_VALUE"""),4.65)</f>
        <v>4.65</v>
      </c>
      <c r="F2850" s="1">
        <f>IFERROR(__xludf.DUMMYFUNCTION("""COMPUTED_VALUE"""),951568.0)</f>
        <v>951568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IFERROR(__xludf.DUMMYFUNCTION("""COMPUTED_VALUE"""),4.7)</f>
        <v>4.7</v>
      </c>
      <c r="C2851" s="1">
        <f>IFERROR(__xludf.DUMMYFUNCTION("""COMPUTED_VALUE"""),4.71)</f>
        <v>4.71</v>
      </c>
      <c r="D2851" s="1">
        <f>IFERROR(__xludf.DUMMYFUNCTION("""COMPUTED_VALUE"""),4.64)</f>
        <v>4.64</v>
      </c>
      <c r="E2851" s="1">
        <f>IFERROR(__xludf.DUMMYFUNCTION("""COMPUTED_VALUE"""),4.69)</f>
        <v>4.69</v>
      </c>
      <c r="F2851" s="1">
        <f>IFERROR(__xludf.DUMMYFUNCTION("""COMPUTED_VALUE"""),1377674.0)</f>
        <v>1377674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IFERROR(__xludf.DUMMYFUNCTION("""COMPUTED_VALUE"""),4.64)</f>
        <v>4.64</v>
      </c>
      <c r="C2852" s="1">
        <f>IFERROR(__xludf.DUMMYFUNCTION("""COMPUTED_VALUE"""),4.65)</f>
        <v>4.65</v>
      </c>
      <c r="D2852" s="1">
        <f>IFERROR(__xludf.DUMMYFUNCTION("""COMPUTED_VALUE"""),4.58)</f>
        <v>4.58</v>
      </c>
      <c r="E2852" s="1">
        <f>IFERROR(__xludf.DUMMYFUNCTION("""COMPUTED_VALUE"""),4.59)</f>
        <v>4.59</v>
      </c>
      <c r="F2852" s="1">
        <f>IFERROR(__xludf.DUMMYFUNCTION("""COMPUTED_VALUE"""),1559244.0)</f>
        <v>1559244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IFERROR(__xludf.DUMMYFUNCTION("""COMPUTED_VALUE"""),4.66)</f>
        <v>4.66</v>
      </c>
      <c r="C2853" s="1">
        <f>IFERROR(__xludf.DUMMYFUNCTION("""COMPUTED_VALUE"""),4.68)</f>
        <v>4.68</v>
      </c>
      <c r="D2853" s="1">
        <f>IFERROR(__xludf.DUMMYFUNCTION("""COMPUTED_VALUE"""),4.63)</f>
        <v>4.63</v>
      </c>
      <c r="E2853" s="1">
        <f>IFERROR(__xludf.DUMMYFUNCTION("""COMPUTED_VALUE"""),4.65)</f>
        <v>4.65</v>
      </c>
      <c r="F2853" s="1">
        <f>IFERROR(__xludf.DUMMYFUNCTION("""COMPUTED_VALUE"""),1125995.0)</f>
        <v>1125995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IFERROR(__xludf.DUMMYFUNCTION("""COMPUTED_VALUE"""),4.61)</f>
        <v>4.61</v>
      </c>
      <c r="C2854" s="1">
        <f>IFERROR(__xludf.DUMMYFUNCTION("""COMPUTED_VALUE"""),4.64)</f>
        <v>4.64</v>
      </c>
      <c r="D2854" s="1">
        <f>IFERROR(__xludf.DUMMYFUNCTION("""COMPUTED_VALUE"""),4.53)</f>
        <v>4.53</v>
      </c>
      <c r="E2854" s="1">
        <f>IFERROR(__xludf.DUMMYFUNCTION("""COMPUTED_VALUE"""),4.56)</f>
        <v>4.56</v>
      </c>
      <c r="F2854" s="1">
        <f>IFERROR(__xludf.DUMMYFUNCTION("""COMPUTED_VALUE"""),1817473.0)</f>
        <v>1817473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IFERROR(__xludf.DUMMYFUNCTION("""COMPUTED_VALUE"""),4.61)</f>
        <v>4.61</v>
      </c>
      <c r="C2855" s="1">
        <f>IFERROR(__xludf.DUMMYFUNCTION("""COMPUTED_VALUE"""),4.7)</f>
        <v>4.7</v>
      </c>
      <c r="D2855" s="1">
        <f>IFERROR(__xludf.DUMMYFUNCTION("""COMPUTED_VALUE"""),4.6)</f>
        <v>4.6</v>
      </c>
      <c r="E2855" s="1">
        <f>IFERROR(__xludf.DUMMYFUNCTION("""COMPUTED_VALUE"""),4.67)</f>
        <v>4.67</v>
      </c>
      <c r="F2855" s="1">
        <f>IFERROR(__xludf.DUMMYFUNCTION("""COMPUTED_VALUE"""),1021646.0)</f>
        <v>1021646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IFERROR(__xludf.DUMMYFUNCTION("""COMPUTED_VALUE"""),4.66)</f>
        <v>4.66</v>
      </c>
      <c r="C2856" s="1">
        <f>IFERROR(__xludf.DUMMYFUNCTION("""COMPUTED_VALUE"""),4.69)</f>
        <v>4.69</v>
      </c>
      <c r="D2856" s="1">
        <f>IFERROR(__xludf.DUMMYFUNCTION("""COMPUTED_VALUE"""),4.61)</f>
        <v>4.61</v>
      </c>
      <c r="E2856" s="1">
        <f>IFERROR(__xludf.DUMMYFUNCTION("""COMPUTED_VALUE"""),4.69)</f>
        <v>4.69</v>
      </c>
      <c r="F2856" s="1">
        <f>IFERROR(__xludf.DUMMYFUNCTION("""COMPUTED_VALUE"""),1835845.0)</f>
        <v>1835845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IFERROR(__xludf.DUMMYFUNCTION("""COMPUTED_VALUE"""),4.71)</f>
        <v>4.71</v>
      </c>
      <c r="C2857" s="1">
        <f>IFERROR(__xludf.DUMMYFUNCTION("""COMPUTED_VALUE"""),4.82)</f>
        <v>4.82</v>
      </c>
      <c r="D2857" s="1">
        <f>IFERROR(__xludf.DUMMYFUNCTION("""COMPUTED_VALUE"""),4.71)</f>
        <v>4.71</v>
      </c>
      <c r="E2857" s="1">
        <f>IFERROR(__xludf.DUMMYFUNCTION("""COMPUTED_VALUE"""),4.8)</f>
        <v>4.8</v>
      </c>
      <c r="F2857" s="1">
        <f>IFERROR(__xludf.DUMMYFUNCTION("""COMPUTED_VALUE"""),2006705.0)</f>
        <v>2006705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IFERROR(__xludf.DUMMYFUNCTION("""COMPUTED_VALUE"""),4.78)</f>
        <v>4.78</v>
      </c>
      <c r="C2858" s="1">
        <f>IFERROR(__xludf.DUMMYFUNCTION("""COMPUTED_VALUE"""),4.82)</f>
        <v>4.82</v>
      </c>
      <c r="D2858" s="1">
        <f>IFERROR(__xludf.DUMMYFUNCTION("""COMPUTED_VALUE"""),4.73)</f>
        <v>4.73</v>
      </c>
      <c r="E2858" s="1">
        <f>IFERROR(__xludf.DUMMYFUNCTION("""COMPUTED_VALUE"""),4.74)</f>
        <v>4.74</v>
      </c>
      <c r="F2858" s="1">
        <f>IFERROR(__xludf.DUMMYFUNCTION("""COMPUTED_VALUE"""),1868959.0)</f>
        <v>1868959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IFERROR(__xludf.DUMMYFUNCTION("""COMPUTED_VALUE"""),4.69)</f>
        <v>4.69</v>
      </c>
      <c r="C2859" s="1">
        <f>IFERROR(__xludf.DUMMYFUNCTION("""COMPUTED_VALUE"""),4.75)</f>
        <v>4.75</v>
      </c>
      <c r="D2859" s="1">
        <f>IFERROR(__xludf.DUMMYFUNCTION("""COMPUTED_VALUE"""),4.67)</f>
        <v>4.67</v>
      </c>
      <c r="E2859" s="1">
        <f>IFERROR(__xludf.DUMMYFUNCTION("""COMPUTED_VALUE"""),4.7)</f>
        <v>4.7</v>
      </c>
      <c r="F2859" s="1">
        <f>IFERROR(__xludf.DUMMYFUNCTION("""COMPUTED_VALUE"""),2290134.0)</f>
        <v>2290134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IFERROR(__xludf.DUMMYFUNCTION("""COMPUTED_VALUE"""),4.97)</f>
        <v>4.97</v>
      </c>
      <c r="C2860" s="1">
        <f>IFERROR(__xludf.DUMMYFUNCTION("""COMPUTED_VALUE"""),5.08)</f>
        <v>5.08</v>
      </c>
      <c r="D2860" s="1">
        <f>IFERROR(__xludf.DUMMYFUNCTION("""COMPUTED_VALUE"""),4.94)</f>
        <v>4.94</v>
      </c>
      <c r="E2860" s="1">
        <f>IFERROR(__xludf.DUMMYFUNCTION("""COMPUTED_VALUE"""),4.96)</f>
        <v>4.96</v>
      </c>
      <c r="F2860" s="1">
        <f>IFERROR(__xludf.DUMMYFUNCTION("""COMPUTED_VALUE"""),4424877.0)</f>
        <v>4424877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IFERROR(__xludf.DUMMYFUNCTION("""COMPUTED_VALUE"""),4.82)</f>
        <v>4.82</v>
      </c>
      <c r="C2861" s="1">
        <f>IFERROR(__xludf.DUMMYFUNCTION("""COMPUTED_VALUE"""),4.87)</f>
        <v>4.87</v>
      </c>
      <c r="D2861" s="1">
        <f>IFERROR(__xludf.DUMMYFUNCTION("""COMPUTED_VALUE"""),4.78)</f>
        <v>4.78</v>
      </c>
      <c r="E2861" s="1">
        <f>IFERROR(__xludf.DUMMYFUNCTION("""COMPUTED_VALUE"""),4.85)</f>
        <v>4.85</v>
      </c>
      <c r="F2861" s="1">
        <f>IFERROR(__xludf.DUMMYFUNCTION("""COMPUTED_VALUE"""),2992997.0)</f>
        <v>2992997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IFERROR(__xludf.DUMMYFUNCTION("""COMPUTED_VALUE"""),4.86)</f>
        <v>4.86</v>
      </c>
      <c r="C2862" s="1">
        <f>IFERROR(__xludf.DUMMYFUNCTION("""COMPUTED_VALUE"""),4.91)</f>
        <v>4.91</v>
      </c>
      <c r="D2862" s="1">
        <f>IFERROR(__xludf.DUMMYFUNCTION("""COMPUTED_VALUE"""),4.85)</f>
        <v>4.85</v>
      </c>
      <c r="E2862" s="1">
        <f>IFERROR(__xludf.DUMMYFUNCTION("""COMPUTED_VALUE"""),4.89)</f>
        <v>4.89</v>
      </c>
      <c r="F2862" s="1">
        <f>IFERROR(__xludf.DUMMYFUNCTION("""COMPUTED_VALUE"""),1269848.0)</f>
        <v>1269848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IFERROR(__xludf.DUMMYFUNCTION("""COMPUTED_VALUE"""),4.83)</f>
        <v>4.83</v>
      </c>
      <c r="C2863" s="1">
        <f>IFERROR(__xludf.DUMMYFUNCTION("""COMPUTED_VALUE"""),4.87)</f>
        <v>4.87</v>
      </c>
      <c r="D2863" s="1">
        <f>IFERROR(__xludf.DUMMYFUNCTION("""COMPUTED_VALUE"""),4.81)</f>
        <v>4.81</v>
      </c>
      <c r="E2863" s="1">
        <f>IFERROR(__xludf.DUMMYFUNCTION("""COMPUTED_VALUE"""),4.84)</f>
        <v>4.84</v>
      </c>
      <c r="F2863" s="1">
        <f>IFERROR(__xludf.DUMMYFUNCTION("""COMPUTED_VALUE"""),2441896.0)</f>
        <v>2441896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IFERROR(__xludf.DUMMYFUNCTION("""COMPUTED_VALUE"""),4.87)</f>
        <v>4.87</v>
      </c>
      <c r="C2864" s="1">
        <f>IFERROR(__xludf.DUMMYFUNCTION("""COMPUTED_VALUE"""),4.89)</f>
        <v>4.89</v>
      </c>
      <c r="D2864" s="1">
        <f>IFERROR(__xludf.DUMMYFUNCTION("""COMPUTED_VALUE"""),4.83)</f>
        <v>4.83</v>
      </c>
      <c r="E2864" s="1">
        <f>IFERROR(__xludf.DUMMYFUNCTION("""COMPUTED_VALUE"""),4.83)</f>
        <v>4.83</v>
      </c>
      <c r="F2864" s="1">
        <f>IFERROR(__xludf.DUMMYFUNCTION("""COMPUTED_VALUE"""),1318115.0)</f>
        <v>1318115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IFERROR(__xludf.DUMMYFUNCTION("""COMPUTED_VALUE"""),4.73)</f>
        <v>4.73</v>
      </c>
      <c r="C2865" s="1">
        <f>IFERROR(__xludf.DUMMYFUNCTION("""COMPUTED_VALUE"""),4.78)</f>
        <v>4.78</v>
      </c>
      <c r="D2865" s="1">
        <f>IFERROR(__xludf.DUMMYFUNCTION("""COMPUTED_VALUE"""),4.66)</f>
        <v>4.66</v>
      </c>
      <c r="E2865" s="1">
        <f>IFERROR(__xludf.DUMMYFUNCTION("""COMPUTED_VALUE"""),4.74)</f>
        <v>4.74</v>
      </c>
      <c r="F2865" s="1">
        <f>IFERROR(__xludf.DUMMYFUNCTION("""COMPUTED_VALUE"""),2480109.0)</f>
        <v>2480109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IFERROR(__xludf.DUMMYFUNCTION("""COMPUTED_VALUE"""),4.71)</f>
        <v>4.71</v>
      </c>
      <c r="C2866" s="1">
        <f>IFERROR(__xludf.DUMMYFUNCTION("""COMPUTED_VALUE"""),4.73)</f>
        <v>4.73</v>
      </c>
      <c r="D2866" s="1">
        <f>IFERROR(__xludf.DUMMYFUNCTION("""COMPUTED_VALUE"""),4.66)</f>
        <v>4.66</v>
      </c>
      <c r="E2866" s="1">
        <f>IFERROR(__xludf.DUMMYFUNCTION("""COMPUTED_VALUE"""),4.7)</f>
        <v>4.7</v>
      </c>
      <c r="F2866" s="1">
        <f>IFERROR(__xludf.DUMMYFUNCTION("""COMPUTED_VALUE"""),1680566.0)</f>
        <v>1680566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IFERROR(__xludf.DUMMYFUNCTION("""COMPUTED_VALUE"""),4.7)</f>
        <v>4.7</v>
      </c>
      <c r="C2867" s="1">
        <f>IFERROR(__xludf.DUMMYFUNCTION("""COMPUTED_VALUE"""),4.73)</f>
        <v>4.73</v>
      </c>
      <c r="D2867" s="1">
        <f>IFERROR(__xludf.DUMMYFUNCTION("""COMPUTED_VALUE"""),4.66)</f>
        <v>4.66</v>
      </c>
      <c r="E2867" s="1">
        <f>IFERROR(__xludf.DUMMYFUNCTION("""COMPUTED_VALUE"""),4.73)</f>
        <v>4.73</v>
      </c>
      <c r="F2867" s="1">
        <f>IFERROR(__xludf.DUMMYFUNCTION("""COMPUTED_VALUE"""),1222281.0)</f>
        <v>1222281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IFERROR(__xludf.DUMMYFUNCTION("""COMPUTED_VALUE"""),4.69)</f>
        <v>4.69</v>
      </c>
      <c r="C2868" s="1">
        <f>IFERROR(__xludf.DUMMYFUNCTION("""COMPUTED_VALUE"""),4.71)</f>
        <v>4.71</v>
      </c>
      <c r="D2868" s="1">
        <f>IFERROR(__xludf.DUMMYFUNCTION("""COMPUTED_VALUE"""),4.67)</f>
        <v>4.67</v>
      </c>
      <c r="E2868" s="1">
        <f>IFERROR(__xludf.DUMMYFUNCTION("""COMPUTED_VALUE"""),4.71)</f>
        <v>4.71</v>
      </c>
      <c r="F2868" s="1">
        <f>IFERROR(__xludf.DUMMYFUNCTION("""COMPUTED_VALUE"""),891018.0)</f>
        <v>891018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IFERROR(__xludf.DUMMYFUNCTION("""COMPUTED_VALUE"""),4.72)</f>
        <v>4.72</v>
      </c>
      <c r="C2869" s="1">
        <f>IFERROR(__xludf.DUMMYFUNCTION("""COMPUTED_VALUE"""),4.74)</f>
        <v>4.74</v>
      </c>
      <c r="D2869" s="1">
        <f>IFERROR(__xludf.DUMMYFUNCTION("""COMPUTED_VALUE"""),4.62)</f>
        <v>4.62</v>
      </c>
      <c r="E2869" s="1">
        <f>IFERROR(__xludf.DUMMYFUNCTION("""COMPUTED_VALUE"""),4.63)</f>
        <v>4.63</v>
      </c>
      <c r="F2869" s="1">
        <f>IFERROR(__xludf.DUMMYFUNCTION("""COMPUTED_VALUE"""),3086941.0)</f>
        <v>3086941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IFERROR(__xludf.DUMMYFUNCTION("""COMPUTED_VALUE"""),4.6)</f>
        <v>4.6</v>
      </c>
      <c r="C2870" s="1">
        <f>IFERROR(__xludf.DUMMYFUNCTION("""COMPUTED_VALUE"""),4.64)</f>
        <v>4.64</v>
      </c>
      <c r="D2870" s="1">
        <f>IFERROR(__xludf.DUMMYFUNCTION("""COMPUTED_VALUE"""),4.57)</f>
        <v>4.57</v>
      </c>
      <c r="E2870" s="1">
        <f>IFERROR(__xludf.DUMMYFUNCTION("""COMPUTED_VALUE"""),4.63)</f>
        <v>4.63</v>
      </c>
      <c r="F2870" s="1">
        <f>IFERROR(__xludf.DUMMYFUNCTION("""COMPUTED_VALUE"""),867621.0)</f>
        <v>867621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IFERROR(__xludf.DUMMYFUNCTION("""COMPUTED_VALUE"""),4.69)</f>
        <v>4.69</v>
      </c>
      <c r="C2871" s="1">
        <f>IFERROR(__xludf.DUMMYFUNCTION("""COMPUTED_VALUE"""),4.73)</f>
        <v>4.73</v>
      </c>
      <c r="D2871" s="1">
        <f>IFERROR(__xludf.DUMMYFUNCTION("""COMPUTED_VALUE"""),4.66)</f>
        <v>4.66</v>
      </c>
      <c r="E2871" s="1">
        <f>IFERROR(__xludf.DUMMYFUNCTION("""COMPUTED_VALUE"""),4.73)</f>
        <v>4.73</v>
      </c>
      <c r="F2871" s="1">
        <f>IFERROR(__xludf.DUMMYFUNCTION("""COMPUTED_VALUE"""),2001836.0)</f>
        <v>2001836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IFERROR(__xludf.DUMMYFUNCTION("""COMPUTED_VALUE"""),4.71)</f>
        <v>4.71</v>
      </c>
      <c r="C2872" s="1">
        <f>IFERROR(__xludf.DUMMYFUNCTION("""COMPUTED_VALUE"""),4.73)</f>
        <v>4.73</v>
      </c>
      <c r="D2872" s="1">
        <f>IFERROR(__xludf.DUMMYFUNCTION("""COMPUTED_VALUE"""),4.67)</f>
        <v>4.67</v>
      </c>
      <c r="E2872" s="1">
        <f>IFERROR(__xludf.DUMMYFUNCTION("""COMPUTED_VALUE"""),4.72)</f>
        <v>4.72</v>
      </c>
      <c r="F2872" s="1">
        <f>IFERROR(__xludf.DUMMYFUNCTION("""COMPUTED_VALUE"""),1419290.0)</f>
        <v>1419290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IFERROR(__xludf.DUMMYFUNCTION("""COMPUTED_VALUE"""),4.74)</f>
        <v>4.74</v>
      </c>
      <c r="C2873" s="1">
        <f>IFERROR(__xludf.DUMMYFUNCTION("""COMPUTED_VALUE"""),4.76)</f>
        <v>4.76</v>
      </c>
      <c r="D2873" s="1">
        <f>IFERROR(__xludf.DUMMYFUNCTION("""COMPUTED_VALUE"""),4.71)</f>
        <v>4.71</v>
      </c>
      <c r="E2873" s="1">
        <f>IFERROR(__xludf.DUMMYFUNCTION("""COMPUTED_VALUE"""),4.71)</f>
        <v>4.71</v>
      </c>
      <c r="F2873" s="1">
        <f>IFERROR(__xludf.DUMMYFUNCTION("""COMPUTED_VALUE"""),1132693.0)</f>
        <v>1132693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IFERROR(__xludf.DUMMYFUNCTION("""COMPUTED_VALUE"""),4.77)</f>
        <v>4.77</v>
      </c>
      <c r="C2874" s="1">
        <f>IFERROR(__xludf.DUMMYFUNCTION("""COMPUTED_VALUE"""),4.77)</f>
        <v>4.77</v>
      </c>
      <c r="D2874" s="1">
        <f>IFERROR(__xludf.DUMMYFUNCTION("""COMPUTED_VALUE"""),4.73)</f>
        <v>4.73</v>
      </c>
      <c r="E2874" s="1">
        <f>IFERROR(__xludf.DUMMYFUNCTION("""COMPUTED_VALUE"""),4.74)</f>
        <v>4.74</v>
      </c>
      <c r="F2874" s="1">
        <f>IFERROR(__xludf.DUMMYFUNCTION("""COMPUTED_VALUE"""),1621156.0)</f>
        <v>1621156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IFERROR(__xludf.DUMMYFUNCTION("""COMPUTED_VALUE"""),4.74)</f>
        <v>4.74</v>
      </c>
      <c r="C2875" s="1">
        <f>IFERROR(__xludf.DUMMYFUNCTION("""COMPUTED_VALUE"""),4.75)</f>
        <v>4.75</v>
      </c>
      <c r="D2875" s="1">
        <f>IFERROR(__xludf.DUMMYFUNCTION("""COMPUTED_VALUE"""),4.71)</f>
        <v>4.71</v>
      </c>
      <c r="E2875" s="1">
        <f>IFERROR(__xludf.DUMMYFUNCTION("""COMPUTED_VALUE"""),4.72)</f>
        <v>4.72</v>
      </c>
      <c r="F2875" s="1">
        <f>IFERROR(__xludf.DUMMYFUNCTION("""COMPUTED_VALUE"""),1796818.0)</f>
        <v>1796818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IFERROR(__xludf.DUMMYFUNCTION("""COMPUTED_VALUE"""),4.72)</f>
        <v>4.72</v>
      </c>
      <c r="C2876" s="1">
        <f>IFERROR(__xludf.DUMMYFUNCTION("""COMPUTED_VALUE"""),4.73)</f>
        <v>4.73</v>
      </c>
      <c r="D2876" s="1">
        <f>IFERROR(__xludf.DUMMYFUNCTION("""COMPUTED_VALUE"""),4.64)</f>
        <v>4.64</v>
      </c>
      <c r="E2876" s="1">
        <f>IFERROR(__xludf.DUMMYFUNCTION("""COMPUTED_VALUE"""),4.7)</f>
        <v>4.7</v>
      </c>
      <c r="F2876" s="1">
        <f>IFERROR(__xludf.DUMMYFUNCTION("""COMPUTED_VALUE"""),3645689.0)</f>
        <v>3645689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IFERROR(__xludf.DUMMYFUNCTION("""COMPUTED_VALUE"""),4.62)</f>
        <v>4.62</v>
      </c>
      <c r="C2877" s="1">
        <f>IFERROR(__xludf.DUMMYFUNCTION("""COMPUTED_VALUE"""),4.63)</f>
        <v>4.63</v>
      </c>
      <c r="D2877" s="1">
        <f>IFERROR(__xludf.DUMMYFUNCTION("""COMPUTED_VALUE"""),4.59)</f>
        <v>4.59</v>
      </c>
      <c r="E2877" s="1">
        <f>IFERROR(__xludf.DUMMYFUNCTION("""COMPUTED_VALUE"""),4.59)</f>
        <v>4.59</v>
      </c>
      <c r="F2877" s="1">
        <f>IFERROR(__xludf.DUMMYFUNCTION("""COMPUTED_VALUE"""),1270427.0)</f>
        <v>1270427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IFERROR(__xludf.DUMMYFUNCTION("""COMPUTED_VALUE"""),4.55)</f>
        <v>4.55</v>
      </c>
      <c r="C2878" s="1">
        <f>IFERROR(__xludf.DUMMYFUNCTION("""COMPUTED_VALUE"""),4.58)</f>
        <v>4.58</v>
      </c>
      <c r="D2878" s="1">
        <f>IFERROR(__xludf.DUMMYFUNCTION("""COMPUTED_VALUE"""),4.53)</f>
        <v>4.53</v>
      </c>
      <c r="E2878" s="1">
        <f>IFERROR(__xludf.DUMMYFUNCTION("""COMPUTED_VALUE"""),4.56)</f>
        <v>4.56</v>
      </c>
      <c r="F2878" s="1">
        <f>IFERROR(__xludf.DUMMYFUNCTION("""COMPUTED_VALUE"""),890024.0)</f>
        <v>890024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IFERROR(__xludf.DUMMYFUNCTION("""COMPUTED_VALUE"""),4.52)</f>
        <v>4.52</v>
      </c>
      <c r="C2879" s="1">
        <f>IFERROR(__xludf.DUMMYFUNCTION("""COMPUTED_VALUE"""),4.53)</f>
        <v>4.53</v>
      </c>
      <c r="D2879" s="1">
        <f>IFERROR(__xludf.DUMMYFUNCTION("""COMPUTED_VALUE"""),4.49)</f>
        <v>4.49</v>
      </c>
      <c r="E2879" s="1">
        <f>IFERROR(__xludf.DUMMYFUNCTION("""COMPUTED_VALUE"""),4.51)</f>
        <v>4.51</v>
      </c>
      <c r="F2879" s="1">
        <f>IFERROR(__xludf.DUMMYFUNCTION("""COMPUTED_VALUE"""),2091172.0)</f>
        <v>2091172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IFERROR(__xludf.DUMMYFUNCTION("""COMPUTED_VALUE"""),4.58)</f>
        <v>4.58</v>
      </c>
      <c r="C2880" s="1">
        <f>IFERROR(__xludf.DUMMYFUNCTION("""COMPUTED_VALUE"""),4.59)</f>
        <v>4.59</v>
      </c>
      <c r="D2880" s="1">
        <f>IFERROR(__xludf.DUMMYFUNCTION("""COMPUTED_VALUE"""),4.45)</f>
        <v>4.45</v>
      </c>
      <c r="E2880" s="1">
        <f>IFERROR(__xludf.DUMMYFUNCTION("""COMPUTED_VALUE"""),4.45)</f>
        <v>4.45</v>
      </c>
      <c r="F2880" s="1">
        <f>IFERROR(__xludf.DUMMYFUNCTION("""COMPUTED_VALUE"""),1335445.0)</f>
        <v>1335445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IFERROR(__xludf.DUMMYFUNCTION("""COMPUTED_VALUE"""),4.52)</f>
        <v>4.52</v>
      </c>
      <c r="C2881" s="1">
        <f>IFERROR(__xludf.DUMMYFUNCTION("""COMPUTED_VALUE"""),4.54)</f>
        <v>4.54</v>
      </c>
      <c r="D2881" s="1">
        <f>IFERROR(__xludf.DUMMYFUNCTION("""COMPUTED_VALUE"""),4.51)</f>
        <v>4.51</v>
      </c>
      <c r="E2881" s="1">
        <f>IFERROR(__xludf.DUMMYFUNCTION("""COMPUTED_VALUE"""),4.53)</f>
        <v>4.53</v>
      </c>
      <c r="F2881" s="1">
        <f>IFERROR(__xludf.DUMMYFUNCTION("""COMPUTED_VALUE"""),1533953.0)</f>
        <v>1533953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IFERROR(__xludf.DUMMYFUNCTION("""COMPUTED_VALUE"""),4.51)</f>
        <v>4.51</v>
      </c>
      <c r="C2882" s="1">
        <f>IFERROR(__xludf.DUMMYFUNCTION("""COMPUTED_VALUE"""),4.53)</f>
        <v>4.53</v>
      </c>
      <c r="D2882" s="1">
        <f>IFERROR(__xludf.DUMMYFUNCTION("""COMPUTED_VALUE"""),4.48)</f>
        <v>4.48</v>
      </c>
      <c r="E2882" s="1">
        <f>IFERROR(__xludf.DUMMYFUNCTION("""COMPUTED_VALUE"""),4.48)</f>
        <v>4.48</v>
      </c>
      <c r="F2882" s="1">
        <f>IFERROR(__xludf.DUMMYFUNCTION("""COMPUTED_VALUE"""),1147155.0)</f>
        <v>1147155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IFERROR(__xludf.DUMMYFUNCTION("""COMPUTED_VALUE"""),4.49)</f>
        <v>4.49</v>
      </c>
      <c r="C2883" s="1">
        <f>IFERROR(__xludf.DUMMYFUNCTION("""COMPUTED_VALUE"""),4.52)</f>
        <v>4.52</v>
      </c>
      <c r="D2883" s="1">
        <f>IFERROR(__xludf.DUMMYFUNCTION("""COMPUTED_VALUE"""),4.48)</f>
        <v>4.48</v>
      </c>
      <c r="E2883" s="1">
        <f>IFERROR(__xludf.DUMMYFUNCTION("""COMPUTED_VALUE"""),4.52)</f>
        <v>4.52</v>
      </c>
      <c r="F2883" s="1">
        <f>IFERROR(__xludf.DUMMYFUNCTION("""COMPUTED_VALUE"""),1484766.0)</f>
        <v>1484766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IFERROR(__xludf.DUMMYFUNCTION("""COMPUTED_VALUE"""),4.49)</f>
        <v>4.49</v>
      </c>
      <c r="C2884" s="1">
        <f>IFERROR(__xludf.DUMMYFUNCTION("""COMPUTED_VALUE"""),4.5)</f>
        <v>4.5</v>
      </c>
      <c r="D2884" s="1">
        <f>IFERROR(__xludf.DUMMYFUNCTION("""COMPUTED_VALUE"""),4.44)</f>
        <v>4.44</v>
      </c>
      <c r="E2884" s="1">
        <f>IFERROR(__xludf.DUMMYFUNCTION("""COMPUTED_VALUE"""),4.49)</f>
        <v>4.49</v>
      </c>
      <c r="F2884" s="1">
        <f>IFERROR(__xludf.DUMMYFUNCTION("""COMPUTED_VALUE"""),2137003.0)</f>
        <v>2137003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IFERROR(__xludf.DUMMYFUNCTION("""COMPUTED_VALUE"""),4.56)</f>
        <v>4.56</v>
      </c>
      <c r="C2885" s="1">
        <f>IFERROR(__xludf.DUMMYFUNCTION("""COMPUTED_VALUE"""),4.57)</f>
        <v>4.57</v>
      </c>
      <c r="D2885" s="1">
        <f>IFERROR(__xludf.DUMMYFUNCTION("""COMPUTED_VALUE"""),4.39)</f>
        <v>4.39</v>
      </c>
      <c r="E2885" s="1">
        <f>IFERROR(__xludf.DUMMYFUNCTION("""COMPUTED_VALUE"""),4.39)</f>
        <v>4.39</v>
      </c>
      <c r="F2885" s="1">
        <f>IFERROR(__xludf.DUMMYFUNCTION("""COMPUTED_VALUE"""),3800113.0)</f>
        <v>3800113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IFERROR(__xludf.DUMMYFUNCTION("""COMPUTED_VALUE"""),4.23)</f>
        <v>4.23</v>
      </c>
      <c r="C2886" s="1">
        <f>IFERROR(__xludf.DUMMYFUNCTION("""COMPUTED_VALUE"""),4.26)</f>
        <v>4.26</v>
      </c>
      <c r="D2886" s="1">
        <f>IFERROR(__xludf.DUMMYFUNCTION("""COMPUTED_VALUE"""),4.16)</f>
        <v>4.16</v>
      </c>
      <c r="E2886" s="1">
        <f>IFERROR(__xludf.DUMMYFUNCTION("""COMPUTED_VALUE"""),4.16)</f>
        <v>4.16</v>
      </c>
      <c r="F2886" s="1">
        <f>IFERROR(__xludf.DUMMYFUNCTION("""COMPUTED_VALUE"""),3304422.0)</f>
        <v>3304422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IFERROR(__xludf.DUMMYFUNCTION("""COMPUTED_VALUE"""),4.22)</f>
        <v>4.22</v>
      </c>
      <c r="C2887" s="1">
        <f>IFERROR(__xludf.DUMMYFUNCTION("""COMPUTED_VALUE"""),4.26)</f>
        <v>4.26</v>
      </c>
      <c r="D2887" s="1">
        <f>IFERROR(__xludf.DUMMYFUNCTION("""COMPUTED_VALUE"""),4.22)</f>
        <v>4.22</v>
      </c>
      <c r="E2887" s="1">
        <f>IFERROR(__xludf.DUMMYFUNCTION("""COMPUTED_VALUE"""),4.26)</f>
        <v>4.26</v>
      </c>
      <c r="F2887" s="1">
        <f>IFERROR(__xludf.DUMMYFUNCTION("""COMPUTED_VALUE"""),886972.0)</f>
        <v>886972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IFERROR(__xludf.DUMMYFUNCTION("""COMPUTED_VALUE"""),4.18)</f>
        <v>4.18</v>
      </c>
      <c r="C2888" s="1">
        <f>IFERROR(__xludf.DUMMYFUNCTION("""COMPUTED_VALUE"""),4.19)</f>
        <v>4.19</v>
      </c>
      <c r="D2888" s="1">
        <f>IFERROR(__xludf.DUMMYFUNCTION("""COMPUTED_VALUE"""),4.15)</f>
        <v>4.15</v>
      </c>
      <c r="E2888" s="1">
        <f>IFERROR(__xludf.DUMMYFUNCTION("""COMPUTED_VALUE"""),4.18)</f>
        <v>4.18</v>
      </c>
      <c r="F2888" s="1">
        <f>IFERROR(__xludf.DUMMYFUNCTION("""COMPUTED_VALUE"""),1539404.0)</f>
        <v>1539404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IFERROR(__xludf.DUMMYFUNCTION("""COMPUTED_VALUE"""),4.17)</f>
        <v>4.17</v>
      </c>
      <c r="C2889" s="1">
        <f>IFERROR(__xludf.DUMMYFUNCTION("""COMPUTED_VALUE"""),4.18)</f>
        <v>4.18</v>
      </c>
      <c r="D2889" s="1">
        <f>IFERROR(__xludf.DUMMYFUNCTION("""COMPUTED_VALUE"""),4.13)</f>
        <v>4.13</v>
      </c>
      <c r="E2889" s="1">
        <f>IFERROR(__xludf.DUMMYFUNCTION("""COMPUTED_VALUE"""),4.15)</f>
        <v>4.15</v>
      </c>
      <c r="F2889" s="1">
        <f>IFERROR(__xludf.DUMMYFUNCTION("""COMPUTED_VALUE"""),1246537.0)</f>
        <v>1246537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IFERROR(__xludf.DUMMYFUNCTION("""COMPUTED_VALUE"""),4.18)</f>
        <v>4.18</v>
      </c>
      <c r="C2890" s="1">
        <f>IFERROR(__xludf.DUMMYFUNCTION("""COMPUTED_VALUE"""),4.23)</f>
        <v>4.23</v>
      </c>
      <c r="D2890" s="1">
        <f>IFERROR(__xludf.DUMMYFUNCTION("""COMPUTED_VALUE"""),4.18)</f>
        <v>4.18</v>
      </c>
      <c r="E2890" s="1">
        <f>IFERROR(__xludf.DUMMYFUNCTION("""COMPUTED_VALUE"""),4.23)</f>
        <v>4.23</v>
      </c>
      <c r="F2890" s="1">
        <f>IFERROR(__xludf.DUMMYFUNCTION("""COMPUTED_VALUE"""),1352341.0)</f>
        <v>1352341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IFERROR(__xludf.DUMMYFUNCTION("""COMPUTED_VALUE"""),4.22)</f>
        <v>4.22</v>
      </c>
      <c r="C2891" s="1">
        <f>IFERROR(__xludf.DUMMYFUNCTION("""COMPUTED_VALUE"""),4.26)</f>
        <v>4.26</v>
      </c>
      <c r="D2891" s="1">
        <f>IFERROR(__xludf.DUMMYFUNCTION("""COMPUTED_VALUE"""),4.2)</f>
        <v>4.2</v>
      </c>
      <c r="E2891" s="1">
        <f>IFERROR(__xludf.DUMMYFUNCTION("""COMPUTED_VALUE"""),4.25)</f>
        <v>4.25</v>
      </c>
      <c r="F2891" s="1">
        <f>IFERROR(__xludf.DUMMYFUNCTION("""COMPUTED_VALUE"""),1922426.0)</f>
        <v>1922426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IFERROR(__xludf.DUMMYFUNCTION("""COMPUTED_VALUE"""),4.21)</f>
        <v>4.21</v>
      </c>
      <c r="C2892" s="1">
        <f>IFERROR(__xludf.DUMMYFUNCTION("""COMPUTED_VALUE"""),4.21)</f>
        <v>4.21</v>
      </c>
      <c r="D2892" s="1">
        <f>IFERROR(__xludf.DUMMYFUNCTION("""COMPUTED_VALUE"""),4.12)</f>
        <v>4.12</v>
      </c>
      <c r="E2892" s="1">
        <f>IFERROR(__xludf.DUMMYFUNCTION("""COMPUTED_VALUE"""),4.14)</f>
        <v>4.14</v>
      </c>
      <c r="F2892" s="1">
        <f>IFERROR(__xludf.DUMMYFUNCTION("""COMPUTED_VALUE"""),1339585.0)</f>
        <v>1339585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IFERROR(__xludf.DUMMYFUNCTION("""COMPUTED_VALUE"""),4.15)</f>
        <v>4.15</v>
      </c>
      <c r="C2893" s="1">
        <f>IFERROR(__xludf.DUMMYFUNCTION("""COMPUTED_VALUE"""),4.16)</f>
        <v>4.16</v>
      </c>
      <c r="D2893" s="1">
        <f>IFERROR(__xludf.DUMMYFUNCTION("""COMPUTED_VALUE"""),4.09)</f>
        <v>4.09</v>
      </c>
      <c r="E2893" s="1">
        <f>IFERROR(__xludf.DUMMYFUNCTION("""COMPUTED_VALUE"""),4.1)</f>
        <v>4.1</v>
      </c>
      <c r="F2893" s="1">
        <f>IFERROR(__xludf.DUMMYFUNCTION("""COMPUTED_VALUE"""),1334517.0)</f>
        <v>1334517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IFERROR(__xludf.DUMMYFUNCTION("""COMPUTED_VALUE"""),4.09)</f>
        <v>4.09</v>
      </c>
      <c r="C2894" s="1">
        <f>IFERROR(__xludf.DUMMYFUNCTION("""COMPUTED_VALUE"""),4.13)</f>
        <v>4.13</v>
      </c>
      <c r="D2894" s="1">
        <f>IFERROR(__xludf.DUMMYFUNCTION("""COMPUTED_VALUE"""),4.08)</f>
        <v>4.08</v>
      </c>
      <c r="E2894" s="1">
        <f>IFERROR(__xludf.DUMMYFUNCTION("""COMPUTED_VALUE"""),4.13)</f>
        <v>4.13</v>
      </c>
      <c r="F2894" s="1">
        <f>IFERROR(__xludf.DUMMYFUNCTION("""COMPUTED_VALUE"""),1538428.0)</f>
        <v>1538428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IFERROR(__xludf.DUMMYFUNCTION("""COMPUTED_VALUE"""),4.16)</f>
        <v>4.16</v>
      </c>
      <c r="C2895" s="1">
        <f>IFERROR(__xludf.DUMMYFUNCTION("""COMPUTED_VALUE"""),4.17)</f>
        <v>4.17</v>
      </c>
      <c r="D2895" s="1">
        <f>IFERROR(__xludf.DUMMYFUNCTION("""COMPUTED_VALUE"""),4.13)</f>
        <v>4.13</v>
      </c>
      <c r="E2895" s="1">
        <f>IFERROR(__xludf.DUMMYFUNCTION("""COMPUTED_VALUE"""),4.15)</f>
        <v>4.15</v>
      </c>
      <c r="F2895" s="1">
        <f>IFERROR(__xludf.DUMMYFUNCTION("""COMPUTED_VALUE"""),2505948.0)</f>
        <v>2505948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IFERROR(__xludf.DUMMYFUNCTION("""COMPUTED_VALUE"""),4.14)</f>
        <v>4.14</v>
      </c>
      <c r="C2896" s="1">
        <f>IFERROR(__xludf.DUMMYFUNCTION("""COMPUTED_VALUE"""),4.15)</f>
        <v>4.15</v>
      </c>
      <c r="D2896" s="1">
        <f>IFERROR(__xludf.DUMMYFUNCTION("""COMPUTED_VALUE"""),4.1)</f>
        <v>4.1</v>
      </c>
      <c r="E2896" s="1">
        <f>IFERROR(__xludf.DUMMYFUNCTION("""COMPUTED_VALUE"""),4.13)</f>
        <v>4.13</v>
      </c>
      <c r="F2896" s="1">
        <f>IFERROR(__xludf.DUMMYFUNCTION("""COMPUTED_VALUE"""),809790.0)</f>
        <v>809790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IFERROR(__xludf.DUMMYFUNCTION("""COMPUTED_VALUE"""),4.11)</f>
        <v>4.11</v>
      </c>
      <c r="C2897" s="1">
        <f>IFERROR(__xludf.DUMMYFUNCTION("""COMPUTED_VALUE"""),4.11)</f>
        <v>4.11</v>
      </c>
      <c r="D2897" s="1">
        <f>IFERROR(__xludf.DUMMYFUNCTION("""COMPUTED_VALUE"""),4.02)</f>
        <v>4.02</v>
      </c>
      <c r="E2897" s="1">
        <f>IFERROR(__xludf.DUMMYFUNCTION("""COMPUTED_VALUE"""),4.04)</f>
        <v>4.04</v>
      </c>
      <c r="F2897" s="1">
        <f>IFERROR(__xludf.DUMMYFUNCTION("""COMPUTED_VALUE"""),1808980.0)</f>
        <v>1808980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IFERROR(__xludf.DUMMYFUNCTION("""COMPUTED_VALUE"""),4.02)</f>
        <v>4.02</v>
      </c>
      <c r="C2898" s="1">
        <f>IFERROR(__xludf.DUMMYFUNCTION("""COMPUTED_VALUE"""),4.06)</f>
        <v>4.06</v>
      </c>
      <c r="D2898" s="1">
        <f>IFERROR(__xludf.DUMMYFUNCTION("""COMPUTED_VALUE"""),4.0)</f>
        <v>4</v>
      </c>
      <c r="E2898" s="1">
        <f>IFERROR(__xludf.DUMMYFUNCTION("""COMPUTED_VALUE"""),4.02)</f>
        <v>4.02</v>
      </c>
      <c r="F2898" s="1">
        <f>IFERROR(__xludf.DUMMYFUNCTION("""COMPUTED_VALUE"""),2480951.0)</f>
        <v>2480951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IFERROR(__xludf.DUMMYFUNCTION("""COMPUTED_VALUE"""),4.02)</f>
        <v>4.02</v>
      </c>
      <c r="C2899" s="1">
        <f>IFERROR(__xludf.DUMMYFUNCTION("""COMPUTED_VALUE"""),4.05)</f>
        <v>4.05</v>
      </c>
      <c r="D2899" s="1">
        <f>IFERROR(__xludf.DUMMYFUNCTION("""COMPUTED_VALUE"""),3.98)</f>
        <v>3.98</v>
      </c>
      <c r="E2899" s="1">
        <f>IFERROR(__xludf.DUMMYFUNCTION("""COMPUTED_VALUE"""),3.99)</f>
        <v>3.99</v>
      </c>
      <c r="F2899" s="1">
        <f>IFERROR(__xludf.DUMMYFUNCTION("""COMPUTED_VALUE"""),3190615.0)</f>
        <v>3190615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IFERROR(__xludf.DUMMYFUNCTION("""COMPUTED_VALUE"""),4.15)</f>
        <v>4.15</v>
      </c>
      <c r="C2900" s="1">
        <f>IFERROR(__xludf.DUMMYFUNCTION("""COMPUTED_VALUE"""),4.2)</f>
        <v>4.2</v>
      </c>
      <c r="D2900" s="1">
        <f>IFERROR(__xludf.DUMMYFUNCTION("""COMPUTED_VALUE"""),4.12)</f>
        <v>4.12</v>
      </c>
      <c r="E2900" s="1">
        <f>IFERROR(__xludf.DUMMYFUNCTION("""COMPUTED_VALUE"""),4.2)</f>
        <v>4.2</v>
      </c>
      <c r="F2900" s="1">
        <f>IFERROR(__xludf.DUMMYFUNCTION("""COMPUTED_VALUE"""),1899872.0)</f>
        <v>1899872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IFERROR(__xludf.DUMMYFUNCTION("""COMPUTED_VALUE"""),4.12)</f>
        <v>4.12</v>
      </c>
      <c r="C2901" s="1">
        <f>IFERROR(__xludf.DUMMYFUNCTION("""COMPUTED_VALUE"""),4.2)</f>
        <v>4.2</v>
      </c>
      <c r="D2901" s="1">
        <f>IFERROR(__xludf.DUMMYFUNCTION("""COMPUTED_VALUE"""),4.12)</f>
        <v>4.12</v>
      </c>
      <c r="E2901" s="1">
        <f>IFERROR(__xludf.DUMMYFUNCTION("""COMPUTED_VALUE"""),4.17)</f>
        <v>4.17</v>
      </c>
      <c r="F2901" s="1">
        <f>IFERROR(__xludf.DUMMYFUNCTION("""COMPUTED_VALUE"""),1355716.0)</f>
        <v>1355716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IFERROR(__xludf.DUMMYFUNCTION("""COMPUTED_VALUE"""),4.17)</f>
        <v>4.17</v>
      </c>
      <c r="C2902" s="1">
        <f>IFERROR(__xludf.DUMMYFUNCTION("""COMPUTED_VALUE"""),4.17)</f>
        <v>4.17</v>
      </c>
      <c r="D2902" s="1">
        <f>IFERROR(__xludf.DUMMYFUNCTION("""COMPUTED_VALUE"""),4.11)</f>
        <v>4.11</v>
      </c>
      <c r="E2902" s="1">
        <f>IFERROR(__xludf.DUMMYFUNCTION("""COMPUTED_VALUE"""),4.12)</f>
        <v>4.12</v>
      </c>
      <c r="F2902" s="1">
        <f>IFERROR(__xludf.DUMMYFUNCTION("""COMPUTED_VALUE"""),2242654.0)</f>
        <v>2242654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IFERROR(__xludf.DUMMYFUNCTION("""COMPUTED_VALUE"""),4.16)</f>
        <v>4.16</v>
      </c>
      <c r="C2903" s="1">
        <f>IFERROR(__xludf.DUMMYFUNCTION("""COMPUTED_VALUE"""),4.2)</f>
        <v>4.2</v>
      </c>
      <c r="D2903" s="1">
        <f>IFERROR(__xludf.DUMMYFUNCTION("""COMPUTED_VALUE"""),4.14)</f>
        <v>4.14</v>
      </c>
      <c r="E2903" s="1">
        <f>IFERROR(__xludf.DUMMYFUNCTION("""COMPUTED_VALUE"""),4.16)</f>
        <v>4.16</v>
      </c>
      <c r="F2903" s="1">
        <f>IFERROR(__xludf.DUMMYFUNCTION("""COMPUTED_VALUE"""),1780261.0)</f>
        <v>1780261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IFERROR(__xludf.DUMMYFUNCTION("""COMPUTED_VALUE"""),4.11)</f>
        <v>4.11</v>
      </c>
      <c r="C2904" s="1">
        <f>IFERROR(__xludf.DUMMYFUNCTION("""COMPUTED_VALUE"""),4.16)</f>
        <v>4.16</v>
      </c>
      <c r="D2904" s="1">
        <f>IFERROR(__xludf.DUMMYFUNCTION("""COMPUTED_VALUE"""),4.1)</f>
        <v>4.1</v>
      </c>
      <c r="E2904" s="1">
        <f>IFERROR(__xludf.DUMMYFUNCTION("""COMPUTED_VALUE"""),4.13)</f>
        <v>4.13</v>
      </c>
      <c r="F2904" s="1">
        <f>IFERROR(__xludf.DUMMYFUNCTION("""COMPUTED_VALUE"""),1118420.0)</f>
        <v>1118420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IFERROR(__xludf.DUMMYFUNCTION("""COMPUTED_VALUE"""),4.14)</f>
        <v>4.14</v>
      </c>
      <c r="C2905" s="1">
        <f>IFERROR(__xludf.DUMMYFUNCTION("""COMPUTED_VALUE"""),4.14)</f>
        <v>4.14</v>
      </c>
      <c r="D2905" s="1">
        <f>IFERROR(__xludf.DUMMYFUNCTION("""COMPUTED_VALUE"""),4.04)</f>
        <v>4.04</v>
      </c>
      <c r="E2905" s="1">
        <f>IFERROR(__xludf.DUMMYFUNCTION("""COMPUTED_VALUE"""),4.05)</f>
        <v>4.05</v>
      </c>
      <c r="F2905" s="1">
        <f>IFERROR(__xludf.DUMMYFUNCTION("""COMPUTED_VALUE"""),1260075.0)</f>
        <v>1260075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IFERROR(__xludf.DUMMYFUNCTION("""COMPUTED_VALUE"""),3.96)</f>
        <v>3.96</v>
      </c>
      <c r="C2906" s="1">
        <f>IFERROR(__xludf.DUMMYFUNCTION("""COMPUTED_VALUE"""),3.98)</f>
        <v>3.98</v>
      </c>
      <c r="D2906" s="1">
        <f>IFERROR(__xludf.DUMMYFUNCTION("""COMPUTED_VALUE"""),3.89)</f>
        <v>3.89</v>
      </c>
      <c r="E2906" s="1">
        <f>IFERROR(__xludf.DUMMYFUNCTION("""COMPUTED_VALUE"""),3.93)</f>
        <v>3.93</v>
      </c>
      <c r="F2906" s="1">
        <f>IFERROR(__xludf.DUMMYFUNCTION("""COMPUTED_VALUE"""),3433419.0)</f>
        <v>3433419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IFERROR(__xludf.DUMMYFUNCTION("""COMPUTED_VALUE"""),3.92)</f>
        <v>3.92</v>
      </c>
      <c r="C2907" s="1">
        <f>IFERROR(__xludf.DUMMYFUNCTION("""COMPUTED_VALUE"""),4.03)</f>
        <v>4.03</v>
      </c>
      <c r="D2907" s="1">
        <f>IFERROR(__xludf.DUMMYFUNCTION("""COMPUTED_VALUE"""),3.9)</f>
        <v>3.9</v>
      </c>
      <c r="E2907" s="1">
        <f>IFERROR(__xludf.DUMMYFUNCTION("""COMPUTED_VALUE"""),4.01)</f>
        <v>4.01</v>
      </c>
      <c r="F2907" s="1">
        <f>IFERROR(__xludf.DUMMYFUNCTION("""COMPUTED_VALUE"""),2468416.0)</f>
        <v>2468416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IFERROR(__xludf.DUMMYFUNCTION("""COMPUTED_VALUE"""),4.08)</f>
        <v>4.08</v>
      </c>
      <c r="C2908" s="1">
        <f>IFERROR(__xludf.DUMMYFUNCTION("""COMPUTED_VALUE"""),4.17)</f>
        <v>4.17</v>
      </c>
      <c r="D2908" s="1">
        <f>IFERROR(__xludf.DUMMYFUNCTION("""COMPUTED_VALUE"""),4.08)</f>
        <v>4.08</v>
      </c>
      <c r="E2908" s="1">
        <f>IFERROR(__xludf.DUMMYFUNCTION("""COMPUTED_VALUE"""),4.15)</f>
        <v>4.15</v>
      </c>
      <c r="F2908" s="1">
        <f>IFERROR(__xludf.DUMMYFUNCTION("""COMPUTED_VALUE"""),1701609.0)</f>
        <v>1701609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IFERROR(__xludf.DUMMYFUNCTION("""COMPUTED_VALUE"""),4.17)</f>
        <v>4.17</v>
      </c>
      <c r="C2909" s="1">
        <f>IFERROR(__xludf.DUMMYFUNCTION("""COMPUTED_VALUE"""),4.18)</f>
        <v>4.18</v>
      </c>
      <c r="D2909" s="1">
        <f>IFERROR(__xludf.DUMMYFUNCTION("""COMPUTED_VALUE"""),4.09)</f>
        <v>4.09</v>
      </c>
      <c r="E2909" s="1">
        <f>IFERROR(__xludf.DUMMYFUNCTION("""COMPUTED_VALUE"""),4.1)</f>
        <v>4.1</v>
      </c>
      <c r="F2909" s="1">
        <f>IFERROR(__xludf.DUMMYFUNCTION("""COMPUTED_VALUE"""),1388858.0)</f>
        <v>1388858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IFERROR(__xludf.DUMMYFUNCTION("""COMPUTED_VALUE"""),4.17)</f>
        <v>4.17</v>
      </c>
      <c r="C2910" s="1">
        <f>IFERROR(__xludf.DUMMYFUNCTION("""COMPUTED_VALUE"""),4.2)</f>
        <v>4.2</v>
      </c>
      <c r="D2910" s="1">
        <f>IFERROR(__xludf.DUMMYFUNCTION("""COMPUTED_VALUE"""),4.13)</f>
        <v>4.13</v>
      </c>
      <c r="E2910" s="1">
        <f>IFERROR(__xludf.DUMMYFUNCTION("""COMPUTED_VALUE"""),4.14)</f>
        <v>4.14</v>
      </c>
      <c r="F2910" s="1">
        <f>IFERROR(__xludf.DUMMYFUNCTION("""COMPUTED_VALUE"""),1077339.0)</f>
        <v>1077339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IFERROR(__xludf.DUMMYFUNCTION("""COMPUTED_VALUE"""),4.22)</f>
        <v>4.22</v>
      </c>
      <c r="C2911" s="1">
        <f>IFERROR(__xludf.DUMMYFUNCTION("""COMPUTED_VALUE"""),4.27)</f>
        <v>4.27</v>
      </c>
      <c r="D2911" s="1">
        <f>IFERROR(__xludf.DUMMYFUNCTION("""COMPUTED_VALUE"""),4.2)</f>
        <v>4.2</v>
      </c>
      <c r="E2911" s="1">
        <f>IFERROR(__xludf.DUMMYFUNCTION("""COMPUTED_VALUE"""),4.25)</f>
        <v>4.25</v>
      </c>
      <c r="F2911" s="1">
        <f>IFERROR(__xludf.DUMMYFUNCTION("""COMPUTED_VALUE"""),1437444.0)</f>
        <v>1437444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IFERROR(__xludf.DUMMYFUNCTION("""COMPUTED_VALUE"""),4.16)</f>
        <v>4.16</v>
      </c>
      <c r="C2912" s="1">
        <f>IFERROR(__xludf.DUMMYFUNCTION("""COMPUTED_VALUE"""),4.21)</f>
        <v>4.21</v>
      </c>
      <c r="D2912" s="1">
        <f>IFERROR(__xludf.DUMMYFUNCTION("""COMPUTED_VALUE"""),4.15)</f>
        <v>4.15</v>
      </c>
      <c r="E2912" s="1">
        <f>IFERROR(__xludf.DUMMYFUNCTION("""COMPUTED_VALUE"""),4.19)</f>
        <v>4.19</v>
      </c>
      <c r="F2912" s="1">
        <f>IFERROR(__xludf.DUMMYFUNCTION("""COMPUTED_VALUE"""),1181332.0)</f>
        <v>1181332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IFERROR(__xludf.DUMMYFUNCTION("""COMPUTED_VALUE"""),4.22)</f>
        <v>4.22</v>
      </c>
      <c r="C2913" s="1">
        <f>IFERROR(__xludf.DUMMYFUNCTION("""COMPUTED_VALUE"""),4.26)</f>
        <v>4.26</v>
      </c>
      <c r="D2913" s="1">
        <f>IFERROR(__xludf.DUMMYFUNCTION("""COMPUTED_VALUE"""),4.17)</f>
        <v>4.17</v>
      </c>
      <c r="E2913" s="1">
        <f>IFERROR(__xludf.DUMMYFUNCTION("""COMPUTED_VALUE"""),4.24)</f>
        <v>4.24</v>
      </c>
      <c r="F2913" s="1">
        <f>IFERROR(__xludf.DUMMYFUNCTION("""COMPUTED_VALUE"""),1663666.0)</f>
        <v>1663666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IFERROR(__xludf.DUMMYFUNCTION("""COMPUTED_VALUE"""),4.29)</f>
        <v>4.29</v>
      </c>
      <c r="C2914" s="1">
        <f>IFERROR(__xludf.DUMMYFUNCTION("""COMPUTED_VALUE"""),4.3)</f>
        <v>4.3</v>
      </c>
      <c r="D2914" s="1">
        <f>IFERROR(__xludf.DUMMYFUNCTION("""COMPUTED_VALUE"""),4.26)</f>
        <v>4.26</v>
      </c>
      <c r="E2914" s="1">
        <f>IFERROR(__xludf.DUMMYFUNCTION("""COMPUTED_VALUE"""),4.27)</f>
        <v>4.27</v>
      </c>
      <c r="F2914" s="1">
        <f>IFERROR(__xludf.DUMMYFUNCTION("""COMPUTED_VALUE"""),1164969.0)</f>
        <v>1164969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IFERROR(__xludf.DUMMYFUNCTION("""COMPUTED_VALUE"""),4.23)</f>
        <v>4.23</v>
      </c>
      <c r="C2915" s="1">
        <f>IFERROR(__xludf.DUMMYFUNCTION("""COMPUTED_VALUE"""),4.26)</f>
        <v>4.26</v>
      </c>
      <c r="D2915" s="1">
        <f>IFERROR(__xludf.DUMMYFUNCTION("""COMPUTED_VALUE"""),4.2)</f>
        <v>4.2</v>
      </c>
      <c r="E2915" s="1">
        <f>IFERROR(__xludf.DUMMYFUNCTION("""COMPUTED_VALUE"""),4.21)</f>
        <v>4.21</v>
      </c>
      <c r="F2915" s="1">
        <f>IFERROR(__xludf.DUMMYFUNCTION("""COMPUTED_VALUE"""),1078715.0)</f>
        <v>1078715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IFERROR(__xludf.DUMMYFUNCTION("""COMPUTED_VALUE"""),4.27)</f>
        <v>4.27</v>
      </c>
      <c r="C2916" s="1">
        <f>IFERROR(__xludf.DUMMYFUNCTION("""COMPUTED_VALUE"""),4.32)</f>
        <v>4.32</v>
      </c>
      <c r="D2916" s="1">
        <f>IFERROR(__xludf.DUMMYFUNCTION("""COMPUTED_VALUE"""),4.21)</f>
        <v>4.21</v>
      </c>
      <c r="E2916" s="1">
        <f>IFERROR(__xludf.DUMMYFUNCTION("""COMPUTED_VALUE"""),4.22)</f>
        <v>4.22</v>
      </c>
      <c r="F2916" s="1">
        <f>IFERROR(__xludf.DUMMYFUNCTION("""COMPUTED_VALUE"""),1612242.0)</f>
        <v>1612242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IFERROR(__xludf.DUMMYFUNCTION("""COMPUTED_VALUE"""),4.27)</f>
        <v>4.27</v>
      </c>
      <c r="C2917" s="1">
        <f>IFERROR(__xludf.DUMMYFUNCTION("""COMPUTED_VALUE"""),4.31)</f>
        <v>4.31</v>
      </c>
      <c r="D2917" s="1">
        <f>IFERROR(__xludf.DUMMYFUNCTION("""COMPUTED_VALUE"""),4.21)</f>
        <v>4.21</v>
      </c>
      <c r="E2917" s="1">
        <f>IFERROR(__xludf.DUMMYFUNCTION("""COMPUTED_VALUE"""),4.31)</f>
        <v>4.31</v>
      </c>
      <c r="F2917" s="1">
        <f>IFERROR(__xludf.DUMMYFUNCTION("""COMPUTED_VALUE"""),2124869.0)</f>
        <v>2124869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IFERROR(__xludf.DUMMYFUNCTION("""COMPUTED_VALUE"""),4.26)</f>
        <v>4.26</v>
      </c>
      <c r="C2918" s="1">
        <f>IFERROR(__xludf.DUMMYFUNCTION("""COMPUTED_VALUE"""),4.29)</f>
        <v>4.29</v>
      </c>
      <c r="D2918" s="1">
        <f>IFERROR(__xludf.DUMMYFUNCTION("""COMPUTED_VALUE"""),4.24)</f>
        <v>4.24</v>
      </c>
      <c r="E2918" s="1">
        <f>IFERROR(__xludf.DUMMYFUNCTION("""COMPUTED_VALUE"""),4.26)</f>
        <v>4.26</v>
      </c>
      <c r="F2918" s="1">
        <f>IFERROR(__xludf.DUMMYFUNCTION("""COMPUTED_VALUE"""),1005952.0)</f>
        <v>1005952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IFERROR(__xludf.DUMMYFUNCTION("""COMPUTED_VALUE"""),4.29)</f>
        <v>4.29</v>
      </c>
      <c r="C2919" s="1">
        <f>IFERROR(__xludf.DUMMYFUNCTION("""COMPUTED_VALUE"""),4.33)</f>
        <v>4.33</v>
      </c>
      <c r="D2919" s="1">
        <f>IFERROR(__xludf.DUMMYFUNCTION("""COMPUTED_VALUE"""),4.29)</f>
        <v>4.29</v>
      </c>
      <c r="E2919" s="1">
        <f>IFERROR(__xludf.DUMMYFUNCTION("""COMPUTED_VALUE"""),4.31)</f>
        <v>4.31</v>
      </c>
      <c r="F2919" s="1">
        <f>IFERROR(__xludf.DUMMYFUNCTION("""COMPUTED_VALUE"""),939723.0)</f>
        <v>939723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IFERROR(__xludf.DUMMYFUNCTION("""COMPUTED_VALUE"""),4.36)</f>
        <v>4.36</v>
      </c>
      <c r="C2920" s="1">
        <f>IFERROR(__xludf.DUMMYFUNCTION("""COMPUTED_VALUE"""),4.39)</f>
        <v>4.39</v>
      </c>
      <c r="D2920" s="1">
        <f>IFERROR(__xludf.DUMMYFUNCTION("""COMPUTED_VALUE"""),4.35)</f>
        <v>4.35</v>
      </c>
      <c r="E2920" s="1">
        <f>IFERROR(__xludf.DUMMYFUNCTION("""COMPUTED_VALUE"""),4.39)</f>
        <v>4.39</v>
      </c>
      <c r="F2920" s="1">
        <f>IFERROR(__xludf.DUMMYFUNCTION("""COMPUTED_VALUE"""),1469083.0)</f>
        <v>1469083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IFERROR(__xludf.DUMMYFUNCTION("""COMPUTED_VALUE"""),4.41)</f>
        <v>4.41</v>
      </c>
      <c r="C2921" s="1">
        <f>IFERROR(__xludf.DUMMYFUNCTION("""COMPUTED_VALUE"""),4.44)</f>
        <v>4.44</v>
      </c>
      <c r="D2921" s="1">
        <f>IFERROR(__xludf.DUMMYFUNCTION("""COMPUTED_VALUE"""),4.39)</f>
        <v>4.39</v>
      </c>
      <c r="E2921" s="1">
        <f>IFERROR(__xludf.DUMMYFUNCTION("""COMPUTED_VALUE"""),4.42)</f>
        <v>4.42</v>
      </c>
      <c r="F2921" s="1">
        <f>IFERROR(__xludf.DUMMYFUNCTION("""COMPUTED_VALUE"""),1495770.0)</f>
        <v>1495770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IFERROR(__xludf.DUMMYFUNCTION("""COMPUTED_VALUE"""),4.42)</f>
        <v>4.42</v>
      </c>
      <c r="C2922" s="1">
        <f>IFERROR(__xludf.DUMMYFUNCTION("""COMPUTED_VALUE"""),4.48)</f>
        <v>4.48</v>
      </c>
      <c r="D2922" s="1">
        <f>IFERROR(__xludf.DUMMYFUNCTION("""COMPUTED_VALUE"""),4.41)</f>
        <v>4.41</v>
      </c>
      <c r="E2922" s="1">
        <f>IFERROR(__xludf.DUMMYFUNCTION("""COMPUTED_VALUE"""),4.47)</f>
        <v>4.47</v>
      </c>
      <c r="F2922" s="1">
        <f>IFERROR(__xludf.DUMMYFUNCTION("""COMPUTED_VALUE"""),1308112.0)</f>
        <v>1308112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IFERROR(__xludf.DUMMYFUNCTION("""COMPUTED_VALUE"""),4.5)</f>
        <v>4.5</v>
      </c>
      <c r="C2923" s="1">
        <f>IFERROR(__xludf.DUMMYFUNCTION("""COMPUTED_VALUE"""),4.57)</f>
        <v>4.57</v>
      </c>
      <c r="D2923" s="1">
        <f>IFERROR(__xludf.DUMMYFUNCTION("""COMPUTED_VALUE"""),4.49)</f>
        <v>4.49</v>
      </c>
      <c r="E2923" s="1">
        <f>IFERROR(__xludf.DUMMYFUNCTION("""COMPUTED_VALUE"""),4.56)</f>
        <v>4.56</v>
      </c>
      <c r="F2923" s="1">
        <f>IFERROR(__xludf.DUMMYFUNCTION("""COMPUTED_VALUE"""),1465169.0)</f>
        <v>1465169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IFERROR(__xludf.DUMMYFUNCTION("""COMPUTED_VALUE"""),4.92)</f>
        <v>4.92</v>
      </c>
      <c r="C2924" s="1">
        <f>IFERROR(__xludf.DUMMYFUNCTION("""COMPUTED_VALUE"""),4.97)</f>
        <v>4.97</v>
      </c>
      <c r="D2924" s="1">
        <f>IFERROR(__xludf.DUMMYFUNCTION("""COMPUTED_VALUE"""),4.85)</f>
        <v>4.85</v>
      </c>
      <c r="E2924" s="1">
        <f>IFERROR(__xludf.DUMMYFUNCTION("""COMPUTED_VALUE"""),4.87)</f>
        <v>4.87</v>
      </c>
      <c r="F2924" s="1">
        <f>IFERROR(__xludf.DUMMYFUNCTION("""COMPUTED_VALUE"""),2841152.0)</f>
        <v>2841152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IFERROR(__xludf.DUMMYFUNCTION("""COMPUTED_VALUE"""),4.97)</f>
        <v>4.97</v>
      </c>
      <c r="C2925" s="1">
        <f>IFERROR(__xludf.DUMMYFUNCTION("""COMPUTED_VALUE"""),4.99)</f>
        <v>4.99</v>
      </c>
      <c r="D2925" s="1">
        <f>IFERROR(__xludf.DUMMYFUNCTION("""COMPUTED_VALUE"""),4.92)</f>
        <v>4.92</v>
      </c>
      <c r="E2925" s="1">
        <f>IFERROR(__xludf.DUMMYFUNCTION("""COMPUTED_VALUE"""),4.95)</f>
        <v>4.95</v>
      </c>
      <c r="F2925" s="1">
        <f>IFERROR(__xludf.DUMMYFUNCTION("""COMPUTED_VALUE"""),3083982.0)</f>
        <v>3083982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IFERROR(__xludf.DUMMYFUNCTION("""COMPUTED_VALUE"""),4.97)</f>
        <v>4.97</v>
      </c>
      <c r="C2926" s="1">
        <f>IFERROR(__xludf.DUMMYFUNCTION("""COMPUTED_VALUE"""),5.0)</f>
        <v>5</v>
      </c>
      <c r="D2926" s="1">
        <f>IFERROR(__xludf.DUMMYFUNCTION("""COMPUTED_VALUE"""),4.94)</f>
        <v>4.94</v>
      </c>
      <c r="E2926" s="1">
        <f>IFERROR(__xludf.DUMMYFUNCTION("""COMPUTED_VALUE"""),5.0)</f>
        <v>5</v>
      </c>
      <c r="F2926" s="1">
        <f>IFERROR(__xludf.DUMMYFUNCTION("""COMPUTED_VALUE"""),3176066.0)</f>
        <v>3176066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IFERROR(__xludf.DUMMYFUNCTION("""COMPUTED_VALUE"""),4.92)</f>
        <v>4.92</v>
      </c>
      <c r="C2927" s="1">
        <f>IFERROR(__xludf.DUMMYFUNCTION("""COMPUTED_VALUE"""),4.96)</f>
        <v>4.96</v>
      </c>
      <c r="D2927" s="1">
        <f>IFERROR(__xludf.DUMMYFUNCTION("""COMPUTED_VALUE"""),4.84)</f>
        <v>4.84</v>
      </c>
      <c r="E2927" s="1">
        <f>IFERROR(__xludf.DUMMYFUNCTION("""COMPUTED_VALUE"""),4.87)</f>
        <v>4.87</v>
      </c>
      <c r="F2927" s="1">
        <f>IFERROR(__xludf.DUMMYFUNCTION("""COMPUTED_VALUE"""),2412024.0)</f>
        <v>2412024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IFERROR(__xludf.DUMMYFUNCTION("""COMPUTED_VALUE"""),4.91)</f>
        <v>4.91</v>
      </c>
      <c r="C2928" s="1">
        <f>IFERROR(__xludf.DUMMYFUNCTION("""COMPUTED_VALUE"""),4.98)</f>
        <v>4.98</v>
      </c>
      <c r="D2928" s="1">
        <f>IFERROR(__xludf.DUMMYFUNCTION("""COMPUTED_VALUE"""),4.9)</f>
        <v>4.9</v>
      </c>
      <c r="E2928" s="1">
        <f>IFERROR(__xludf.DUMMYFUNCTION("""COMPUTED_VALUE"""),4.93)</f>
        <v>4.93</v>
      </c>
      <c r="F2928" s="1">
        <f>IFERROR(__xludf.DUMMYFUNCTION("""COMPUTED_VALUE"""),2030037.0)</f>
        <v>2030037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IFERROR(__xludf.DUMMYFUNCTION("""COMPUTED_VALUE"""),4.82)</f>
        <v>4.82</v>
      </c>
      <c r="C2929" s="1">
        <f>IFERROR(__xludf.DUMMYFUNCTION("""COMPUTED_VALUE"""),4.86)</f>
        <v>4.86</v>
      </c>
      <c r="D2929" s="1">
        <f>IFERROR(__xludf.DUMMYFUNCTION("""COMPUTED_VALUE"""),4.8)</f>
        <v>4.8</v>
      </c>
      <c r="E2929" s="1">
        <f>IFERROR(__xludf.DUMMYFUNCTION("""COMPUTED_VALUE"""),4.84)</f>
        <v>4.84</v>
      </c>
      <c r="F2929" s="1">
        <f>IFERROR(__xludf.DUMMYFUNCTION("""COMPUTED_VALUE"""),2240956.0)</f>
        <v>2240956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IFERROR(__xludf.DUMMYFUNCTION("""COMPUTED_VALUE"""),4.82)</f>
        <v>4.82</v>
      </c>
      <c r="C2930" s="1">
        <f>IFERROR(__xludf.DUMMYFUNCTION("""COMPUTED_VALUE"""),4.89)</f>
        <v>4.89</v>
      </c>
      <c r="D2930" s="1">
        <f>IFERROR(__xludf.DUMMYFUNCTION("""COMPUTED_VALUE"""),4.82)</f>
        <v>4.82</v>
      </c>
      <c r="E2930" s="1">
        <f>IFERROR(__xludf.DUMMYFUNCTION("""COMPUTED_VALUE"""),4.89)</f>
        <v>4.89</v>
      </c>
      <c r="F2930" s="1">
        <f>IFERROR(__xludf.DUMMYFUNCTION("""COMPUTED_VALUE"""),1541806.0)</f>
        <v>1541806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IFERROR(__xludf.DUMMYFUNCTION("""COMPUTED_VALUE"""),4.93)</f>
        <v>4.93</v>
      </c>
      <c r="C2931" s="1">
        <f>IFERROR(__xludf.DUMMYFUNCTION("""COMPUTED_VALUE"""),4.95)</f>
        <v>4.95</v>
      </c>
      <c r="D2931" s="1">
        <f>IFERROR(__xludf.DUMMYFUNCTION("""COMPUTED_VALUE"""),4.92)</f>
        <v>4.92</v>
      </c>
      <c r="E2931" s="1">
        <f>IFERROR(__xludf.DUMMYFUNCTION("""COMPUTED_VALUE"""),4.93)</f>
        <v>4.93</v>
      </c>
      <c r="F2931" s="1">
        <f>IFERROR(__xludf.DUMMYFUNCTION("""COMPUTED_VALUE"""),1190373.0)</f>
        <v>1190373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IFERROR(__xludf.DUMMYFUNCTION("""COMPUTED_VALUE"""),4.94)</f>
        <v>4.94</v>
      </c>
      <c r="C2932" s="1">
        <f>IFERROR(__xludf.DUMMYFUNCTION("""COMPUTED_VALUE"""),4.98)</f>
        <v>4.98</v>
      </c>
      <c r="D2932" s="1">
        <f>IFERROR(__xludf.DUMMYFUNCTION("""COMPUTED_VALUE"""),4.94)</f>
        <v>4.94</v>
      </c>
      <c r="E2932" s="1">
        <f>IFERROR(__xludf.DUMMYFUNCTION("""COMPUTED_VALUE"""),4.98)</f>
        <v>4.98</v>
      </c>
      <c r="F2932" s="1">
        <f>IFERROR(__xludf.DUMMYFUNCTION("""COMPUTED_VALUE"""),644932.0)</f>
        <v>644932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IFERROR(__xludf.DUMMYFUNCTION("""COMPUTED_VALUE"""),5.02)</f>
        <v>5.02</v>
      </c>
      <c r="C2933" s="1">
        <f>IFERROR(__xludf.DUMMYFUNCTION("""COMPUTED_VALUE"""),5.05)</f>
        <v>5.05</v>
      </c>
      <c r="D2933" s="1">
        <f>IFERROR(__xludf.DUMMYFUNCTION("""COMPUTED_VALUE"""),4.99)</f>
        <v>4.99</v>
      </c>
      <c r="E2933" s="1">
        <f>IFERROR(__xludf.DUMMYFUNCTION("""COMPUTED_VALUE"""),5.05)</f>
        <v>5.05</v>
      </c>
      <c r="F2933" s="1">
        <f>IFERROR(__xludf.DUMMYFUNCTION("""COMPUTED_VALUE"""),1148769.0)</f>
        <v>1148769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IFERROR(__xludf.DUMMYFUNCTION("""COMPUTED_VALUE"""),4.97)</f>
        <v>4.97</v>
      </c>
      <c r="C2934" s="1">
        <f>IFERROR(__xludf.DUMMYFUNCTION("""COMPUTED_VALUE"""),4.98)</f>
        <v>4.98</v>
      </c>
      <c r="D2934" s="1">
        <f>IFERROR(__xludf.DUMMYFUNCTION("""COMPUTED_VALUE"""),4.9)</f>
        <v>4.9</v>
      </c>
      <c r="E2934" s="1">
        <f>IFERROR(__xludf.DUMMYFUNCTION("""COMPUTED_VALUE"""),4.9)</f>
        <v>4.9</v>
      </c>
      <c r="F2934" s="1">
        <f>IFERROR(__xludf.DUMMYFUNCTION("""COMPUTED_VALUE"""),1332714.0)</f>
        <v>1332714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IFERROR(__xludf.DUMMYFUNCTION("""COMPUTED_VALUE"""),4.9)</f>
        <v>4.9</v>
      </c>
      <c r="C2935" s="1">
        <f>IFERROR(__xludf.DUMMYFUNCTION("""COMPUTED_VALUE"""),4.96)</f>
        <v>4.96</v>
      </c>
      <c r="D2935" s="1">
        <f>IFERROR(__xludf.DUMMYFUNCTION("""COMPUTED_VALUE"""),4.89)</f>
        <v>4.89</v>
      </c>
      <c r="E2935" s="1">
        <f>IFERROR(__xludf.DUMMYFUNCTION("""COMPUTED_VALUE"""),4.95)</f>
        <v>4.95</v>
      </c>
      <c r="F2935" s="1">
        <f>IFERROR(__xludf.DUMMYFUNCTION("""COMPUTED_VALUE"""),715380.0)</f>
        <v>715380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IFERROR(__xludf.DUMMYFUNCTION("""COMPUTED_VALUE"""),4.93)</f>
        <v>4.93</v>
      </c>
      <c r="C2936" s="1">
        <f>IFERROR(__xludf.DUMMYFUNCTION("""COMPUTED_VALUE"""),4.93)</f>
        <v>4.93</v>
      </c>
      <c r="D2936" s="1">
        <f>IFERROR(__xludf.DUMMYFUNCTION("""COMPUTED_VALUE"""),4.89)</f>
        <v>4.89</v>
      </c>
      <c r="E2936" s="1">
        <f>IFERROR(__xludf.DUMMYFUNCTION("""COMPUTED_VALUE"""),4.9)</f>
        <v>4.9</v>
      </c>
      <c r="F2936" s="1">
        <f>IFERROR(__xludf.DUMMYFUNCTION("""COMPUTED_VALUE"""),961797.0)</f>
        <v>961797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IFERROR(__xludf.DUMMYFUNCTION("""COMPUTED_VALUE"""),4.89)</f>
        <v>4.89</v>
      </c>
      <c r="C2937" s="1">
        <f>IFERROR(__xludf.DUMMYFUNCTION("""COMPUTED_VALUE"""),4.93)</f>
        <v>4.93</v>
      </c>
      <c r="D2937" s="1">
        <f>IFERROR(__xludf.DUMMYFUNCTION("""COMPUTED_VALUE"""),4.88)</f>
        <v>4.88</v>
      </c>
      <c r="E2937" s="1">
        <f>IFERROR(__xludf.DUMMYFUNCTION("""COMPUTED_VALUE"""),4.9)</f>
        <v>4.9</v>
      </c>
      <c r="F2937" s="1">
        <f>IFERROR(__xludf.DUMMYFUNCTION("""COMPUTED_VALUE"""),1331741.0)</f>
        <v>1331741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IFERROR(__xludf.DUMMYFUNCTION("""COMPUTED_VALUE"""),4.92)</f>
        <v>4.92</v>
      </c>
      <c r="C2938" s="1">
        <f>IFERROR(__xludf.DUMMYFUNCTION("""COMPUTED_VALUE"""),4.94)</f>
        <v>4.94</v>
      </c>
      <c r="D2938" s="1">
        <f>IFERROR(__xludf.DUMMYFUNCTION("""COMPUTED_VALUE"""),4.89)</f>
        <v>4.89</v>
      </c>
      <c r="E2938" s="1">
        <f>IFERROR(__xludf.DUMMYFUNCTION("""COMPUTED_VALUE"""),4.9)</f>
        <v>4.9</v>
      </c>
      <c r="F2938" s="1">
        <f>IFERROR(__xludf.DUMMYFUNCTION("""COMPUTED_VALUE"""),1109656.0)</f>
        <v>1109656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IFERROR(__xludf.DUMMYFUNCTION("""COMPUTED_VALUE"""),4.92)</f>
        <v>4.92</v>
      </c>
      <c r="C2939" s="1">
        <f>IFERROR(__xludf.DUMMYFUNCTION("""COMPUTED_VALUE"""),4.96)</f>
        <v>4.96</v>
      </c>
      <c r="D2939" s="1">
        <f>IFERROR(__xludf.DUMMYFUNCTION("""COMPUTED_VALUE"""),4.91)</f>
        <v>4.91</v>
      </c>
      <c r="E2939" s="1">
        <f>IFERROR(__xludf.DUMMYFUNCTION("""COMPUTED_VALUE"""),4.94)</f>
        <v>4.94</v>
      </c>
      <c r="F2939" s="1">
        <f>IFERROR(__xludf.DUMMYFUNCTION("""COMPUTED_VALUE"""),831692.0)</f>
        <v>831692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IFERROR(__xludf.DUMMYFUNCTION("""COMPUTED_VALUE"""),4.92)</f>
        <v>4.92</v>
      </c>
      <c r="C2940" s="1">
        <f>IFERROR(__xludf.DUMMYFUNCTION("""COMPUTED_VALUE"""),4.93)</f>
        <v>4.93</v>
      </c>
      <c r="D2940" s="1">
        <f>IFERROR(__xludf.DUMMYFUNCTION("""COMPUTED_VALUE"""),4.89)</f>
        <v>4.89</v>
      </c>
      <c r="E2940" s="1">
        <f>IFERROR(__xludf.DUMMYFUNCTION("""COMPUTED_VALUE"""),4.92)</f>
        <v>4.92</v>
      </c>
      <c r="F2940" s="1">
        <f>IFERROR(__xludf.DUMMYFUNCTION("""COMPUTED_VALUE"""),1008068.0)</f>
        <v>1008068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IFERROR(__xludf.DUMMYFUNCTION("""COMPUTED_VALUE"""),4.9)</f>
        <v>4.9</v>
      </c>
      <c r="C2941" s="1">
        <f>IFERROR(__xludf.DUMMYFUNCTION("""COMPUTED_VALUE"""),4.93)</f>
        <v>4.93</v>
      </c>
      <c r="D2941" s="1">
        <f>IFERROR(__xludf.DUMMYFUNCTION("""COMPUTED_VALUE"""),4.88)</f>
        <v>4.88</v>
      </c>
      <c r="E2941" s="1">
        <f>IFERROR(__xludf.DUMMYFUNCTION("""COMPUTED_VALUE"""),4.89)</f>
        <v>4.89</v>
      </c>
      <c r="F2941" s="1">
        <f>IFERROR(__xludf.DUMMYFUNCTION("""COMPUTED_VALUE"""),961525.0)</f>
        <v>961525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IFERROR(__xludf.DUMMYFUNCTION("""COMPUTED_VALUE"""),4.87)</f>
        <v>4.87</v>
      </c>
      <c r="C2942" s="1">
        <f>IFERROR(__xludf.DUMMYFUNCTION("""COMPUTED_VALUE"""),4.89)</f>
        <v>4.89</v>
      </c>
      <c r="D2942" s="1">
        <f>IFERROR(__xludf.DUMMYFUNCTION("""COMPUTED_VALUE"""),4.83)</f>
        <v>4.83</v>
      </c>
      <c r="E2942" s="1">
        <f>IFERROR(__xludf.DUMMYFUNCTION("""COMPUTED_VALUE"""),4.85)</f>
        <v>4.85</v>
      </c>
      <c r="F2942" s="1">
        <f>IFERROR(__xludf.DUMMYFUNCTION("""COMPUTED_VALUE"""),1104132.0)</f>
        <v>1104132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IFERROR(__xludf.DUMMYFUNCTION("""COMPUTED_VALUE"""),4.85)</f>
        <v>4.85</v>
      </c>
      <c r="C2943" s="1">
        <f>IFERROR(__xludf.DUMMYFUNCTION("""COMPUTED_VALUE"""),4.88)</f>
        <v>4.88</v>
      </c>
      <c r="D2943" s="1">
        <f>IFERROR(__xludf.DUMMYFUNCTION("""COMPUTED_VALUE"""),4.83)</f>
        <v>4.83</v>
      </c>
      <c r="E2943" s="1">
        <f>IFERROR(__xludf.DUMMYFUNCTION("""COMPUTED_VALUE"""),4.84)</f>
        <v>4.84</v>
      </c>
      <c r="F2943" s="1">
        <f>IFERROR(__xludf.DUMMYFUNCTION("""COMPUTED_VALUE"""),893430.0)</f>
        <v>893430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IFERROR(__xludf.DUMMYFUNCTION("""COMPUTED_VALUE"""),4.87)</f>
        <v>4.87</v>
      </c>
      <c r="C2944" s="1">
        <f>IFERROR(__xludf.DUMMYFUNCTION("""COMPUTED_VALUE"""),4.88)</f>
        <v>4.88</v>
      </c>
      <c r="D2944" s="1">
        <f>IFERROR(__xludf.DUMMYFUNCTION("""COMPUTED_VALUE"""),4.82)</f>
        <v>4.82</v>
      </c>
      <c r="E2944" s="1">
        <f>IFERROR(__xludf.DUMMYFUNCTION("""COMPUTED_VALUE"""),4.82)</f>
        <v>4.82</v>
      </c>
      <c r="F2944" s="1">
        <f>IFERROR(__xludf.DUMMYFUNCTION("""COMPUTED_VALUE"""),935045.0)</f>
        <v>935045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IFERROR(__xludf.DUMMYFUNCTION("""COMPUTED_VALUE"""),4.91)</f>
        <v>4.91</v>
      </c>
      <c r="C2945" s="1">
        <f>IFERROR(__xludf.DUMMYFUNCTION("""COMPUTED_VALUE"""),4.97)</f>
        <v>4.97</v>
      </c>
      <c r="D2945" s="1">
        <f>IFERROR(__xludf.DUMMYFUNCTION("""COMPUTED_VALUE"""),4.88)</f>
        <v>4.88</v>
      </c>
      <c r="E2945" s="1">
        <f>IFERROR(__xludf.DUMMYFUNCTION("""COMPUTED_VALUE"""),4.96)</f>
        <v>4.96</v>
      </c>
      <c r="F2945" s="1">
        <f>IFERROR(__xludf.DUMMYFUNCTION("""COMPUTED_VALUE"""),1233719.0)</f>
        <v>1233719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IFERROR(__xludf.DUMMYFUNCTION("""COMPUTED_VALUE"""),4.98)</f>
        <v>4.98</v>
      </c>
      <c r="C2946" s="1">
        <f>IFERROR(__xludf.DUMMYFUNCTION("""COMPUTED_VALUE"""),4.99)</f>
        <v>4.99</v>
      </c>
      <c r="D2946" s="1">
        <f>IFERROR(__xludf.DUMMYFUNCTION("""COMPUTED_VALUE"""),4.87)</f>
        <v>4.87</v>
      </c>
      <c r="E2946" s="1">
        <f>IFERROR(__xludf.DUMMYFUNCTION("""COMPUTED_VALUE"""),4.88)</f>
        <v>4.88</v>
      </c>
      <c r="F2946" s="1">
        <f>IFERROR(__xludf.DUMMYFUNCTION("""COMPUTED_VALUE"""),1196764.0)</f>
        <v>1196764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IFERROR(__xludf.DUMMYFUNCTION("""COMPUTED_VALUE"""),4.89)</f>
        <v>4.89</v>
      </c>
      <c r="C2947" s="1">
        <f>IFERROR(__xludf.DUMMYFUNCTION("""COMPUTED_VALUE"""),4.93)</f>
        <v>4.93</v>
      </c>
      <c r="D2947" s="1">
        <f>IFERROR(__xludf.DUMMYFUNCTION("""COMPUTED_VALUE"""),4.88)</f>
        <v>4.88</v>
      </c>
      <c r="E2947" s="1">
        <f>IFERROR(__xludf.DUMMYFUNCTION("""COMPUTED_VALUE"""),4.92)</f>
        <v>4.92</v>
      </c>
      <c r="F2947" s="1">
        <f>IFERROR(__xludf.DUMMYFUNCTION("""COMPUTED_VALUE"""),1123623.0)</f>
        <v>1123623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IFERROR(__xludf.DUMMYFUNCTION("""COMPUTED_VALUE"""),4.93)</f>
        <v>4.93</v>
      </c>
      <c r="C2948" s="1">
        <f>IFERROR(__xludf.DUMMYFUNCTION("""COMPUTED_VALUE"""),4.94)</f>
        <v>4.94</v>
      </c>
      <c r="D2948" s="1">
        <f>IFERROR(__xludf.DUMMYFUNCTION("""COMPUTED_VALUE"""),4.88)</f>
        <v>4.88</v>
      </c>
      <c r="E2948" s="1">
        <f>IFERROR(__xludf.DUMMYFUNCTION("""COMPUTED_VALUE"""),4.9)</f>
        <v>4.9</v>
      </c>
      <c r="F2948" s="1">
        <f>IFERROR(__xludf.DUMMYFUNCTION("""COMPUTED_VALUE"""),758155.0)</f>
        <v>758155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IFERROR(__xludf.DUMMYFUNCTION("""COMPUTED_VALUE"""),4.92)</f>
        <v>4.92</v>
      </c>
      <c r="C2949" s="1">
        <f>IFERROR(__xludf.DUMMYFUNCTION("""COMPUTED_VALUE"""),4.95)</f>
        <v>4.95</v>
      </c>
      <c r="D2949" s="1">
        <f>IFERROR(__xludf.DUMMYFUNCTION("""COMPUTED_VALUE"""),4.84)</f>
        <v>4.84</v>
      </c>
      <c r="E2949" s="1">
        <f>IFERROR(__xludf.DUMMYFUNCTION("""COMPUTED_VALUE"""),4.85)</f>
        <v>4.85</v>
      </c>
      <c r="F2949" s="1">
        <f>IFERROR(__xludf.DUMMYFUNCTION("""COMPUTED_VALUE"""),1375464.0)</f>
        <v>1375464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IFERROR(__xludf.DUMMYFUNCTION("""COMPUTED_VALUE"""),4.7)</f>
        <v>4.7</v>
      </c>
      <c r="C2950" s="1">
        <f>IFERROR(__xludf.DUMMYFUNCTION("""COMPUTED_VALUE"""),4.72)</f>
        <v>4.72</v>
      </c>
      <c r="D2950" s="1">
        <f>IFERROR(__xludf.DUMMYFUNCTION("""COMPUTED_VALUE"""),4.66)</f>
        <v>4.66</v>
      </c>
      <c r="E2950" s="1">
        <f>IFERROR(__xludf.DUMMYFUNCTION("""COMPUTED_VALUE"""),4.71)</f>
        <v>4.71</v>
      </c>
      <c r="F2950" s="1">
        <f>IFERROR(__xludf.DUMMYFUNCTION("""COMPUTED_VALUE"""),2411685.0)</f>
        <v>2411685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IFERROR(__xludf.DUMMYFUNCTION("""COMPUTED_VALUE"""),4.7)</f>
        <v>4.7</v>
      </c>
      <c r="C2951" s="1">
        <f>IFERROR(__xludf.DUMMYFUNCTION("""COMPUTED_VALUE"""),4.73)</f>
        <v>4.73</v>
      </c>
      <c r="D2951" s="1">
        <f>IFERROR(__xludf.DUMMYFUNCTION("""COMPUTED_VALUE"""),4.65)</f>
        <v>4.65</v>
      </c>
      <c r="E2951" s="1">
        <f>IFERROR(__xludf.DUMMYFUNCTION("""COMPUTED_VALUE"""),4.67)</f>
        <v>4.67</v>
      </c>
      <c r="F2951" s="1">
        <f>IFERROR(__xludf.DUMMYFUNCTION("""COMPUTED_VALUE"""),1338288.0)</f>
        <v>1338288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IFERROR(__xludf.DUMMYFUNCTION("""COMPUTED_VALUE"""),4.69)</f>
        <v>4.69</v>
      </c>
      <c r="C2952" s="1">
        <f>IFERROR(__xludf.DUMMYFUNCTION("""COMPUTED_VALUE"""),4.76)</f>
        <v>4.76</v>
      </c>
      <c r="D2952" s="1">
        <f>IFERROR(__xludf.DUMMYFUNCTION("""COMPUTED_VALUE"""),4.68)</f>
        <v>4.68</v>
      </c>
      <c r="E2952" s="1">
        <f>IFERROR(__xludf.DUMMYFUNCTION("""COMPUTED_VALUE"""),4.73)</f>
        <v>4.73</v>
      </c>
      <c r="F2952" s="1">
        <f>IFERROR(__xludf.DUMMYFUNCTION("""COMPUTED_VALUE"""),1379846.0)</f>
        <v>1379846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IFERROR(__xludf.DUMMYFUNCTION("""COMPUTED_VALUE"""),4.72)</f>
        <v>4.72</v>
      </c>
      <c r="C2953" s="1">
        <f>IFERROR(__xludf.DUMMYFUNCTION("""COMPUTED_VALUE"""),4.79)</f>
        <v>4.79</v>
      </c>
      <c r="D2953" s="1">
        <f>IFERROR(__xludf.DUMMYFUNCTION("""COMPUTED_VALUE"""),4.72)</f>
        <v>4.72</v>
      </c>
      <c r="E2953" s="1">
        <f>IFERROR(__xludf.DUMMYFUNCTION("""COMPUTED_VALUE"""),4.77)</f>
        <v>4.77</v>
      </c>
      <c r="F2953" s="1">
        <f>IFERROR(__xludf.DUMMYFUNCTION("""COMPUTED_VALUE"""),1669218.0)</f>
        <v>1669218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IFERROR(__xludf.DUMMYFUNCTION("""COMPUTED_VALUE"""),4.83)</f>
        <v>4.83</v>
      </c>
      <c r="C2954" s="1">
        <f>IFERROR(__xludf.DUMMYFUNCTION("""COMPUTED_VALUE"""),4.89)</f>
        <v>4.89</v>
      </c>
      <c r="D2954" s="1">
        <f>IFERROR(__xludf.DUMMYFUNCTION("""COMPUTED_VALUE"""),4.83)</f>
        <v>4.83</v>
      </c>
      <c r="E2954" s="1">
        <f>IFERROR(__xludf.DUMMYFUNCTION("""COMPUTED_VALUE"""),4.86)</f>
        <v>4.86</v>
      </c>
      <c r="F2954" s="1">
        <f>IFERROR(__xludf.DUMMYFUNCTION("""COMPUTED_VALUE"""),1015191.0)</f>
        <v>1015191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IFERROR(__xludf.DUMMYFUNCTION("""COMPUTED_VALUE"""),4.95)</f>
        <v>4.95</v>
      </c>
      <c r="C2955" s="1">
        <f>IFERROR(__xludf.DUMMYFUNCTION("""COMPUTED_VALUE"""),5.01)</f>
        <v>5.01</v>
      </c>
      <c r="D2955" s="1">
        <f>IFERROR(__xludf.DUMMYFUNCTION("""COMPUTED_VALUE"""),4.95)</f>
        <v>4.95</v>
      </c>
      <c r="E2955" s="1">
        <f>IFERROR(__xludf.DUMMYFUNCTION("""COMPUTED_VALUE"""),5.0)</f>
        <v>5</v>
      </c>
      <c r="F2955" s="1">
        <f>IFERROR(__xludf.DUMMYFUNCTION("""COMPUTED_VALUE"""),1392638.0)</f>
        <v>1392638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IFERROR(__xludf.DUMMYFUNCTION("""COMPUTED_VALUE"""),5.08)</f>
        <v>5.08</v>
      </c>
      <c r="C2956" s="1">
        <f>IFERROR(__xludf.DUMMYFUNCTION("""COMPUTED_VALUE"""),5.11)</f>
        <v>5.11</v>
      </c>
      <c r="D2956" s="1">
        <f>IFERROR(__xludf.DUMMYFUNCTION("""COMPUTED_VALUE"""),4.99)</f>
        <v>4.99</v>
      </c>
      <c r="E2956" s="1">
        <f>IFERROR(__xludf.DUMMYFUNCTION("""COMPUTED_VALUE"""),5.0)</f>
        <v>5</v>
      </c>
      <c r="F2956" s="1">
        <f>IFERROR(__xludf.DUMMYFUNCTION("""COMPUTED_VALUE"""),3075313.0)</f>
        <v>3075313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IFERROR(__xludf.DUMMYFUNCTION("""COMPUTED_VALUE"""),5.11)</f>
        <v>5.11</v>
      </c>
      <c r="C2957" s="1">
        <f>IFERROR(__xludf.DUMMYFUNCTION("""COMPUTED_VALUE"""),5.12)</f>
        <v>5.12</v>
      </c>
      <c r="D2957" s="1">
        <f>IFERROR(__xludf.DUMMYFUNCTION("""COMPUTED_VALUE"""),5.07)</f>
        <v>5.07</v>
      </c>
      <c r="E2957" s="1">
        <f>IFERROR(__xludf.DUMMYFUNCTION("""COMPUTED_VALUE"""),5.09)</f>
        <v>5.09</v>
      </c>
      <c r="F2957" s="1">
        <f>IFERROR(__xludf.DUMMYFUNCTION("""COMPUTED_VALUE"""),1516635.0)</f>
        <v>1516635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IFERROR(__xludf.DUMMYFUNCTION("""COMPUTED_VALUE"""),5.11)</f>
        <v>5.11</v>
      </c>
      <c r="C2958" s="1">
        <f>IFERROR(__xludf.DUMMYFUNCTION("""COMPUTED_VALUE"""),5.14)</f>
        <v>5.14</v>
      </c>
      <c r="D2958" s="1">
        <f>IFERROR(__xludf.DUMMYFUNCTION("""COMPUTED_VALUE"""),5.07)</f>
        <v>5.07</v>
      </c>
      <c r="E2958" s="1">
        <f>IFERROR(__xludf.DUMMYFUNCTION("""COMPUTED_VALUE"""),5.09)</f>
        <v>5.09</v>
      </c>
      <c r="F2958" s="1">
        <f>IFERROR(__xludf.DUMMYFUNCTION("""COMPUTED_VALUE"""),2232746.0)</f>
        <v>2232746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IFERROR(__xludf.DUMMYFUNCTION("""COMPUTED_VALUE"""),5.05)</f>
        <v>5.05</v>
      </c>
      <c r="C2959" s="1">
        <f>IFERROR(__xludf.DUMMYFUNCTION("""COMPUTED_VALUE"""),5.09)</f>
        <v>5.09</v>
      </c>
      <c r="D2959" s="1">
        <f>IFERROR(__xludf.DUMMYFUNCTION("""COMPUTED_VALUE"""),4.98)</f>
        <v>4.98</v>
      </c>
      <c r="E2959" s="1">
        <f>IFERROR(__xludf.DUMMYFUNCTION("""COMPUTED_VALUE"""),5.07)</f>
        <v>5.07</v>
      </c>
      <c r="F2959" s="1">
        <f>IFERROR(__xludf.DUMMYFUNCTION("""COMPUTED_VALUE"""),1755845.0)</f>
        <v>1755845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IFERROR(__xludf.DUMMYFUNCTION("""COMPUTED_VALUE"""),5.05)</f>
        <v>5.05</v>
      </c>
      <c r="C2960" s="1">
        <f>IFERROR(__xludf.DUMMYFUNCTION("""COMPUTED_VALUE"""),5.11)</f>
        <v>5.11</v>
      </c>
      <c r="D2960" s="1">
        <f>IFERROR(__xludf.DUMMYFUNCTION("""COMPUTED_VALUE"""),5.03)</f>
        <v>5.03</v>
      </c>
      <c r="E2960" s="1">
        <f>IFERROR(__xludf.DUMMYFUNCTION("""COMPUTED_VALUE"""),5.04)</f>
        <v>5.04</v>
      </c>
      <c r="F2960" s="1">
        <f>IFERROR(__xludf.DUMMYFUNCTION("""COMPUTED_VALUE"""),1594239.0)</f>
        <v>1594239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IFERROR(__xludf.DUMMYFUNCTION("""COMPUTED_VALUE"""),5.08)</f>
        <v>5.08</v>
      </c>
      <c r="C2961" s="1">
        <f>IFERROR(__xludf.DUMMYFUNCTION("""COMPUTED_VALUE"""),5.19)</f>
        <v>5.19</v>
      </c>
      <c r="D2961" s="1">
        <f>IFERROR(__xludf.DUMMYFUNCTION("""COMPUTED_VALUE"""),5.07)</f>
        <v>5.07</v>
      </c>
      <c r="E2961" s="1">
        <f>IFERROR(__xludf.DUMMYFUNCTION("""COMPUTED_VALUE"""),5.18)</f>
        <v>5.18</v>
      </c>
      <c r="F2961" s="1">
        <f>IFERROR(__xludf.DUMMYFUNCTION("""COMPUTED_VALUE"""),3479628.0)</f>
        <v>3479628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IFERROR(__xludf.DUMMYFUNCTION("""COMPUTED_VALUE"""),5.08)</f>
        <v>5.08</v>
      </c>
      <c r="C2962" s="1">
        <f>IFERROR(__xludf.DUMMYFUNCTION("""COMPUTED_VALUE"""),5.16)</f>
        <v>5.16</v>
      </c>
      <c r="D2962" s="1">
        <f>IFERROR(__xludf.DUMMYFUNCTION("""COMPUTED_VALUE"""),5.05)</f>
        <v>5.05</v>
      </c>
      <c r="E2962" s="1">
        <f>IFERROR(__xludf.DUMMYFUNCTION("""COMPUTED_VALUE"""),5.14)</f>
        <v>5.14</v>
      </c>
      <c r="F2962" s="1">
        <f>IFERROR(__xludf.DUMMYFUNCTION("""COMPUTED_VALUE"""),3040463.0)</f>
        <v>3040463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IFERROR(__xludf.DUMMYFUNCTION("""COMPUTED_VALUE"""),5.2)</f>
        <v>5.2</v>
      </c>
      <c r="C2963" s="1">
        <f>IFERROR(__xludf.DUMMYFUNCTION("""COMPUTED_VALUE"""),5.24)</f>
        <v>5.24</v>
      </c>
      <c r="D2963" s="1">
        <f>IFERROR(__xludf.DUMMYFUNCTION("""COMPUTED_VALUE"""),5.17)</f>
        <v>5.17</v>
      </c>
      <c r="E2963" s="1">
        <f>IFERROR(__xludf.DUMMYFUNCTION("""COMPUTED_VALUE"""),5.18)</f>
        <v>5.18</v>
      </c>
      <c r="F2963" s="1">
        <f>IFERROR(__xludf.DUMMYFUNCTION("""COMPUTED_VALUE"""),1626994.0)</f>
        <v>1626994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IFERROR(__xludf.DUMMYFUNCTION("""COMPUTED_VALUE"""),5.22)</f>
        <v>5.22</v>
      </c>
      <c r="C2964" s="1">
        <f>IFERROR(__xludf.DUMMYFUNCTION("""COMPUTED_VALUE"""),5.26)</f>
        <v>5.26</v>
      </c>
      <c r="D2964" s="1">
        <f>IFERROR(__xludf.DUMMYFUNCTION("""COMPUTED_VALUE"""),5.21)</f>
        <v>5.21</v>
      </c>
      <c r="E2964" s="1">
        <f>IFERROR(__xludf.DUMMYFUNCTION("""COMPUTED_VALUE"""),5.24)</f>
        <v>5.24</v>
      </c>
      <c r="F2964" s="1">
        <f>IFERROR(__xludf.DUMMYFUNCTION("""COMPUTED_VALUE"""),1406984.0)</f>
        <v>1406984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IFERROR(__xludf.DUMMYFUNCTION("""COMPUTED_VALUE"""),5.26)</f>
        <v>5.26</v>
      </c>
      <c r="C2965" s="1">
        <f>IFERROR(__xludf.DUMMYFUNCTION("""COMPUTED_VALUE"""),5.29)</f>
        <v>5.29</v>
      </c>
      <c r="D2965" s="1">
        <f>IFERROR(__xludf.DUMMYFUNCTION("""COMPUTED_VALUE"""),5.2)</f>
        <v>5.2</v>
      </c>
      <c r="E2965" s="1">
        <f>IFERROR(__xludf.DUMMYFUNCTION("""COMPUTED_VALUE"""),5.21)</f>
        <v>5.21</v>
      </c>
      <c r="F2965" s="1">
        <f>IFERROR(__xludf.DUMMYFUNCTION("""COMPUTED_VALUE"""),1189687.0)</f>
        <v>1189687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IFERROR(__xludf.DUMMYFUNCTION("""COMPUTED_VALUE"""),5.22)</f>
        <v>5.22</v>
      </c>
      <c r="C2966" s="1">
        <f>IFERROR(__xludf.DUMMYFUNCTION("""COMPUTED_VALUE"""),5.25)</f>
        <v>5.25</v>
      </c>
      <c r="D2966" s="1">
        <f>IFERROR(__xludf.DUMMYFUNCTION("""COMPUTED_VALUE"""),5.18)</f>
        <v>5.18</v>
      </c>
      <c r="E2966" s="1">
        <f>IFERROR(__xludf.DUMMYFUNCTION("""COMPUTED_VALUE"""),5.23)</f>
        <v>5.23</v>
      </c>
      <c r="F2966" s="1">
        <f>IFERROR(__xludf.DUMMYFUNCTION("""COMPUTED_VALUE"""),1142815.0)</f>
        <v>1142815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IFERROR(__xludf.DUMMYFUNCTION("""COMPUTED_VALUE"""),5.14)</f>
        <v>5.14</v>
      </c>
      <c r="C2967" s="1">
        <f>IFERROR(__xludf.DUMMYFUNCTION("""COMPUTED_VALUE"""),5.15)</f>
        <v>5.15</v>
      </c>
      <c r="D2967" s="1">
        <f>IFERROR(__xludf.DUMMYFUNCTION("""COMPUTED_VALUE"""),5.06)</f>
        <v>5.06</v>
      </c>
      <c r="E2967" s="1">
        <f>IFERROR(__xludf.DUMMYFUNCTION("""COMPUTED_VALUE"""),5.1)</f>
        <v>5.1</v>
      </c>
      <c r="F2967" s="1">
        <f>IFERROR(__xludf.DUMMYFUNCTION("""COMPUTED_VALUE"""),2026523.0)</f>
        <v>2026523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IFERROR(__xludf.DUMMYFUNCTION("""COMPUTED_VALUE"""),5.13)</f>
        <v>5.13</v>
      </c>
      <c r="C2968" s="1">
        <f>IFERROR(__xludf.DUMMYFUNCTION("""COMPUTED_VALUE"""),5.15)</f>
        <v>5.15</v>
      </c>
      <c r="D2968" s="1">
        <f>IFERROR(__xludf.DUMMYFUNCTION("""COMPUTED_VALUE"""),5.11)</f>
        <v>5.11</v>
      </c>
      <c r="E2968" s="1">
        <f>IFERROR(__xludf.DUMMYFUNCTION("""COMPUTED_VALUE"""),5.12)</f>
        <v>5.12</v>
      </c>
      <c r="F2968" s="1">
        <f>IFERROR(__xludf.DUMMYFUNCTION("""COMPUTED_VALUE"""),947282.0)</f>
        <v>947282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IFERROR(__xludf.DUMMYFUNCTION("""COMPUTED_VALUE"""),5.16)</f>
        <v>5.16</v>
      </c>
      <c r="C2969" s="1">
        <f>IFERROR(__xludf.DUMMYFUNCTION("""COMPUTED_VALUE"""),5.19)</f>
        <v>5.19</v>
      </c>
      <c r="D2969" s="1">
        <f>IFERROR(__xludf.DUMMYFUNCTION("""COMPUTED_VALUE"""),5.13)</f>
        <v>5.13</v>
      </c>
      <c r="E2969" s="1">
        <f>IFERROR(__xludf.DUMMYFUNCTION("""COMPUTED_VALUE"""),5.18)</f>
        <v>5.18</v>
      </c>
      <c r="F2969" s="1">
        <f>IFERROR(__xludf.DUMMYFUNCTION("""COMPUTED_VALUE"""),1185335.0)</f>
        <v>1185335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IFERROR(__xludf.DUMMYFUNCTION("""COMPUTED_VALUE"""),5.12)</f>
        <v>5.12</v>
      </c>
      <c r="C2970" s="1">
        <f>IFERROR(__xludf.DUMMYFUNCTION("""COMPUTED_VALUE"""),5.15)</f>
        <v>5.15</v>
      </c>
      <c r="D2970" s="1">
        <f>IFERROR(__xludf.DUMMYFUNCTION("""COMPUTED_VALUE"""),5.1)</f>
        <v>5.1</v>
      </c>
      <c r="E2970" s="1">
        <f>IFERROR(__xludf.DUMMYFUNCTION("""COMPUTED_VALUE"""),5.12)</f>
        <v>5.12</v>
      </c>
      <c r="F2970" s="1">
        <f>IFERROR(__xludf.DUMMYFUNCTION("""COMPUTED_VALUE"""),1133483.0)</f>
        <v>1133483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IFERROR(__xludf.DUMMYFUNCTION("""COMPUTED_VALUE"""),5.15)</f>
        <v>5.15</v>
      </c>
      <c r="C2971" s="1">
        <f>IFERROR(__xludf.DUMMYFUNCTION("""COMPUTED_VALUE"""),5.18)</f>
        <v>5.18</v>
      </c>
      <c r="D2971" s="1">
        <f>IFERROR(__xludf.DUMMYFUNCTION("""COMPUTED_VALUE"""),5.15)</f>
        <v>5.15</v>
      </c>
      <c r="E2971" s="1">
        <f>IFERROR(__xludf.DUMMYFUNCTION("""COMPUTED_VALUE"""),5.18)</f>
        <v>5.18</v>
      </c>
      <c r="F2971" s="1">
        <f>IFERROR(__xludf.DUMMYFUNCTION("""COMPUTED_VALUE"""),976671.0)</f>
        <v>976671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IFERROR(__xludf.DUMMYFUNCTION("""COMPUTED_VALUE"""),5.14)</f>
        <v>5.14</v>
      </c>
      <c r="C2972" s="1">
        <f>IFERROR(__xludf.DUMMYFUNCTION("""COMPUTED_VALUE"""),5.2)</f>
        <v>5.2</v>
      </c>
      <c r="D2972" s="1">
        <f>IFERROR(__xludf.DUMMYFUNCTION("""COMPUTED_VALUE"""),5.13)</f>
        <v>5.13</v>
      </c>
      <c r="E2972" s="1">
        <f>IFERROR(__xludf.DUMMYFUNCTION("""COMPUTED_VALUE"""),5.17)</f>
        <v>5.17</v>
      </c>
      <c r="F2972" s="1">
        <f>IFERROR(__xludf.DUMMYFUNCTION("""COMPUTED_VALUE"""),1874285.0)</f>
        <v>1874285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IFERROR(__xludf.DUMMYFUNCTION("""COMPUTED_VALUE"""),5.18)</f>
        <v>5.18</v>
      </c>
      <c r="C2973" s="1">
        <f>IFERROR(__xludf.DUMMYFUNCTION("""COMPUTED_VALUE"""),5.2)</f>
        <v>5.2</v>
      </c>
      <c r="D2973" s="1">
        <f>IFERROR(__xludf.DUMMYFUNCTION("""COMPUTED_VALUE"""),5.14)</f>
        <v>5.14</v>
      </c>
      <c r="E2973" s="1">
        <f>IFERROR(__xludf.DUMMYFUNCTION("""COMPUTED_VALUE"""),5.16)</f>
        <v>5.16</v>
      </c>
      <c r="F2973" s="1">
        <f>IFERROR(__xludf.DUMMYFUNCTION("""COMPUTED_VALUE"""),1021816.0)</f>
        <v>1021816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IFERROR(__xludf.DUMMYFUNCTION("""COMPUTED_VALUE"""),5.18)</f>
        <v>5.18</v>
      </c>
      <c r="C2974" s="1">
        <f>IFERROR(__xludf.DUMMYFUNCTION("""COMPUTED_VALUE"""),5.25)</f>
        <v>5.25</v>
      </c>
      <c r="D2974" s="1">
        <f>IFERROR(__xludf.DUMMYFUNCTION("""COMPUTED_VALUE"""),5.15)</f>
        <v>5.15</v>
      </c>
      <c r="E2974" s="1">
        <f>IFERROR(__xludf.DUMMYFUNCTION("""COMPUTED_VALUE"""),5.25)</f>
        <v>5.25</v>
      </c>
      <c r="F2974" s="1">
        <f>IFERROR(__xludf.DUMMYFUNCTION("""COMPUTED_VALUE"""),1212107.0)</f>
        <v>1212107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IFERROR(__xludf.DUMMYFUNCTION("""COMPUTED_VALUE"""),5.24)</f>
        <v>5.24</v>
      </c>
      <c r="C2975" s="1">
        <f>IFERROR(__xludf.DUMMYFUNCTION("""COMPUTED_VALUE"""),5.24)</f>
        <v>5.24</v>
      </c>
      <c r="D2975" s="1">
        <f>IFERROR(__xludf.DUMMYFUNCTION("""COMPUTED_VALUE"""),5.21)</f>
        <v>5.21</v>
      </c>
      <c r="E2975" s="1">
        <f>IFERROR(__xludf.DUMMYFUNCTION("""COMPUTED_VALUE"""),5.22)</f>
        <v>5.22</v>
      </c>
      <c r="F2975" s="1">
        <f>IFERROR(__xludf.DUMMYFUNCTION("""COMPUTED_VALUE"""),992216.0)</f>
        <v>992216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IFERROR(__xludf.DUMMYFUNCTION("""COMPUTED_VALUE"""),5.26)</f>
        <v>5.26</v>
      </c>
      <c r="C2976" s="1">
        <f>IFERROR(__xludf.DUMMYFUNCTION("""COMPUTED_VALUE"""),5.29)</f>
        <v>5.29</v>
      </c>
      <c r="D2976" s="1">
        <f>IFERROR(__xludf.DUMMYFUNCTION("""COMPUTED_VALUE"""),5.21)</f>
        <v>5.21</v>
      </c>
      <c r="E2976" s="1">
        <f>IFERROR(__xludf.DUMMYFUNCTION("""COMPUTED_VALUE"""),5.22)</f>
        <v>5.22</v>
      </c>
      <c r="F2976" s="1">
        <f>IFERROR(__xludf.DUMMYFUNCTION("""COMPUTED_VALUE"""),882786.0)</f>
        <v>882786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IFERROR(__xludf.DUMMYFUNCTION("""COMPUTED_VALUE"""),5.16)</f>
        <v>5.16</v>
      </c>
      <c r="C2977" s="1">
        <f>IFERROR(__xludf.DUMMYFUNCTION("""COMPUTED_VALUE"""),5.2)</f>
        <v>5.2</v>
      </c>
      <c r="D2977" s="1">
        <f>IFERROR(__xludf.DUMMYFUNCTION("""COMPUTED_VALUE"""),5.1)</f>
        <v>5.1</v>
      </c>
      <c r="E2977" s="1">
        <f>IFERROR(__xludf.DUMMYFUNCTION("""COMPUTED_VALUE"""),5.1)</f>
        <v>5.1</v>
      </c>
      <c r="F2977" s="1">
        <f>IFERROR(__xludf.DUMMYFUNCTION("""COMPUTED_VALUE"""),1992702.0)</f>
        <v>1992702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IFERROR(__xludf.DUMMYFUNCTION("""COMPUTED_VALUE"""),5.09)</f>
        <v>5.09</v>
      </c>
      <c r="C2978" s="1">
        <f>IFERROR(__xludf.DUMMYFUNCTION("""COMPUTED_VALUE"""),5.11)</f>
        <v>5.11</v>
      </c>
      <c r="D2978" s="1">
        <f>IFERROR(__xludf.DUMMYFUNCTION("""COMPUTED_VALUE"""),5.07)</f>
        <v>5.07</v>
      </c>
      <c r="E2978" s="1">
        <f>IFERROR(__xludf.DUMMYFUNCTION("""COMPUTED_VALUE"""),5.1)</f>
        <v>5.1</v>
      </c>
      <c r="F2978" s="1">
        <f>IFERROR(__xludf.DUMMYFUNCTION("""COMPUTED_VALUE"""),1289746.0)</f>
        <v>1289746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IFERROR(__xludf.DUMMYFUNCTION("""COMPUTED_VALUE"""),5.06)</f>
        <v>5.06</v>
      </c>
      <c r="C2979" s="1">
        <f>IFERROR(__xludf.DUMMYFUNCTION("""COMPUTED_VALUE"""),5.08)</f>
        <v>5.08</v>
      </c>
      <c r="D2979" s="1">
        <f>IFERROR(__xludf.DUMMYFUNCTION("""COMPUTED_VALUE"""),5.0)</f>
        <v>5</v>
      </c>
      <c r="E2979" s="1">
        <f>IFERROR(__xludf.DUMMYFUNCTION("""COMPUTED_VALUE"""),5.05)</f>
        <v>5.05</v>
      </c>
      <c r="F2979" s="1">
        <f>IFERROR(__xludf.DUMMYFUNCTION("""COMPUTED_VALUE"""),1838155.0)</f>
        <v>1838155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IFERROR(__xludf.DUMMYFUNCTION("""COMPUTED_VALUE"""),5.06)</f>
        <v>5.06</v>
      </c>
      <c r="C2980" s="1">
        <f>IFERROR(__xludf.DUMMYFUNCTION("""COMPUTED_VALUE"""),5.08)</f>
        <v>5.08</v>
      </c>
      <c r="D2980" s="1">
        <f>IFERROR(__xludf.DUMMYFUNCTION("""COMPUTED_VALUE"""),5.04)</f>
        <v>5.04</v>
      </c>
      <c r="E2980" s="1">
        <f>IFERROR(__xludf.DUMMYFUNCTION("""COMPUTED_VALUE"""),5.08)</f>
        <v>5.08</v>
      </c>
      <c r="F2980" s="1">
        <f>IFERROR(__xludf.DUMMYFUNCTION("""COMPUTED_VALUE"""),1101258.0)</f>
        <v>1101258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IFERROR(__xludf.DUMMYFUNCTION("""COMPUTED_VALUE"""),4.99)</f>
        <v>4.99</v>
      </c>
      <c r="C2981" s="1">
        <f>IFERROR(__xludf.DUMMYFUNCTION("""COMPUTED_VALUE"""),5.04)</f>
        <v>5.04</v>
      </c>
      <c r="D2981" s="1">
        <f>IFERROR(__xludf.DUMMYFUNCTION("""COMPUTED_VALUE"""),4.97)</f>
        <v>4.97</v>
      </c>
      <c r="E2981" s="1">
        <f>IFERROR(__xludf.DUMMYFUNCTION("""COMPUTED_VALUE"""),5.04)</f>
        <v>5.04</v>
      </c>
      <c r="F2981" s="1">
        <f>IFERROR(__xludf.DUMMYFUNCTION("""COMPUTED_VALUE"""),1479817.0)</f>
        <v>1479817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IFERROR(__xludf.DUMMYFUNCTION("""COMPUTED_VALUE"""),4.98)</f>
        <v>4.98</v>
      </c>
      <c r="C2982" s="1">
        <f>IFERROR(__xludf.DUMMYFUNCTION("""COMPUTED_VALUE"""),5.12)</f>
        <v>5.12</v>
      </c>
      <c r="D2982" s="1">
        <f>IFERROR(__xludf.DUMMYFUNCTION("""COMPUTED_VALUE"""),4.97)</f>
        <v>4.97</v>
      </c>
      <c r="E2982" s="1">
        <f>IFERROR(__xludf.DUMMYFUNCTION("""COMPUTED_VALUE"""),5.06)</f>
        <v>5.06</v>
      </c>
      <c r="F2982" s="1">
        <f>IFERROR(__xludf.DUMMYFUNCTION("""COMPUTED_VALUE"""),2131192.0)</f>
        <v>2131192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IFERROR(__xludf.DUMMYFUNCTION("""COMPUTED_VALUE"""),5.07)</f>
        <v>5.07</v>
      </c>
      <c r="C2983" s="1">
        <f>IFERROR(__xludf.DUMMYFUNCTION("""COMPUTED_VALUE"""),5.07)</f>
        <v>5.07</v>
      </c>
      <c r="D2983" s="1">
        <f>IFERROR(__xludf.DUMMYFUNCTION("""COMPUTED_VALUE"""),4.88)</f>
        <v>4.88</v>
      </c>
      <c r="E2983" s="1">
        <f>IFERROR(__xludf.DUMMYFUNCTION("""COMPUTED_VALUE"""),4.93)</f>
        <v>4.93</v>
      </c>
      <c r="F2983" s="1">
        <f>IFERROR(__xludf.DUMMYFUNCTION("""COMPUTED_VALUE"""),2632396.0)</f>
        <v>2632396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IFERROR(__xludf.DUMMYFUNCTION("""COMPUTED_VALUE"""),5.0)</f>
        <v>5</v>
      </c>
      <c r="C2984" s="1">
        <f>IFERROR(__xludf.DUMMYFUNCTION("""COMPUTED_VALUE"""),5.03)</f>
        <v>5.03</v>
      </c>
      <c r="D2984" s="1">
        <f>IFERROR(__xludf.DUMMYFUNCTION("""COMPUTED_VALUE"""),4.94)</f>
        <v>4.94</v>
      </c>
      <c r="E2984" s="1">
        <f>IFERROR(__xludf.DUMMYFUNCTION("""COMPUTED_VALUE"""),4.99)</f>
        <v>4.99</v>
      </c>
      <c r="F2984" s="1">
        <f>IFERROR(__xludf.DUMMYFUNCTION("""COMPUTED_VALUE"""),2214324.0)</f>
        <v>2214324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IFERROR(__xludf.DUMMYFUNCTION("""COMPUTED_VALUE"""),4.98)</f>
        <v>4.98</v>
      </c>
      <c r="C2985" s="1">
        <f>IFERROR(__xludf.DUMMYFUNCTION("""COMPUTED_VALUE"""),5.01)</f>
        <v>5.01</v>
      </c>
      <c r="D2985" s="1">
        <f>IFERROR(__xludf.DUMMYFUNCTION("""COMPUTED_VALUE"""),4.95)</f>
        <v>4.95</v>
      </c>
      <c r="E2985" s="1">
        <f>IFERROR(__xludf.DUMMYFUNCTION("""COMPUTED_VALUE"""),4.95)</f>
        <v>4.95</v>
      </c>
      <c r="F2985" s="1">
        <f>IFERROR(__xludf.DUMMYFUNCTION("""COMPUTED_VALUE"""),1218432.0)</f>
        <v>1218432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IFERROR(__xludf.DUMMYFUNCTION("""COMPUTED_VALUE"""),4.94)</f>
        <v>4.94</v>
      </c>
      <c r="C2986" s="1">
        <f>IFERROR(__xludf.DUMMYFUNCTION("""COMPUTED_VALUE"""),4.94)</f>
        <v>4.94</v>
      </c>
      <c r="D2986" s="1">
        <f>IFERROR(__xludf.DUMMYFUNCTION("""COMPUTED_VALUE"""),4.88)</f>
        <v>4.88</v>
      </c>
      <c r="E2986" s="1">
        <f>IFERROR(__xludf.DUMMYFUNCTION("""COMPUTED_VALUE"""),4.89)</f>
        <v>4.89</v>
      </c>
      <c r="F2986" s="1">
        <f>IFERROR(__xludf.DUMMYFUNCTION("""COMPUTED_VALUE"""),1269708.0)</f>
        <v>1269708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IFERROR(__xludf.DUMMYFUNCTION("""COMPUTED_VALUE"""),4.93)</f>
        <v>4.93</v>
      </c>
      <c r="C2987" s="1">
        <f>IFERROR(__xludf.DUMMYFUNCTION("""COMPUTED_VALUE"""),4.96)</f>
        <v>4.96</v>
      </c>
      <c r="D2987" s="1">
        <f>IFERROR(__xludf.DUMMYFUNCTION("""COMPUTED_VALUE"""),4.85)</f>
        <v>4.85</v>
      </c>
      <c r="E2987" s="1">
        <f>IFERROR(__xludf.DUMMYFUNCTION("""COMPUTED_VALUE"""),4.85)</f>
        <v>4.85</v>
      </c>
      <c r="F2987" s="1">
        <f>IFERROR(__xludf.DUMMYFUNCTION("""COMPUTED_VALUE"""),2084740.0)</f>
        <v>2084740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IFERROR(__xludf.DUMMYFUNCTION("""COMPUTED_VALUE"""),4.87)</f>
        <v>4.87</v>
      </c>
      <c r="C2988" s="1">
        <f>IFERROR(__xludf.DUMMYFUNCTION("""COMPUTED_VALUE"""),4.91)</f>
        <v>4.91</v>
      </c>
      <c r="D2988" s="1">
        <f>IFERROR(__xludf.DUMMYFUNCTION("""COMPUTED_VALUE"""),4.86)</f>
        <v>4.86</v>
      </c>
      <c r="E2988" s="1">
        <f>IFERROR(__xludf.DUMMYFUNCTION("""COMPUTED_VALUE"""),4.87)</f>
        <v>4.87</v>
      </c>
      <c r="F2988" s="1">
        <f>IFERROR(__xludf.DUMMYFUNCTION("""COMPUTED_VALUE"""),1574711.0)</f>
        <v>1574711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IFERROR(__xludf.DUMMYFUNCTION("""COMPUTED_VALUE"""),4.88)</f>
        <v>4.88</v>
      </c>
      <c r="C2989" s="1">
        <f>IFERROR(__xludf.DUMMYFUNCTION("""COMPUTED_VALUE"""),4.9)</f>
        <v>4.9</v>
      </c>
      <c r="D2989" s="1">
        <f>IFERROR(__xludf.DUMMYFUNCTION("""COMPUTED_VALUE"""),4.86)</f>
        <v>4.86</v>
      </c>
      <c r="E2989" s="1">
        <f>IFERROR(__xludf.DUMMYFUNCTION("""COMPUTED_VALUE"""),4.89)</f>
        <v>4.89</v>
      </c>
      <c r="F2989" s="1">
        <f>IFERROR(__xludf.DUMMYFUNCTION("""COMPUTED_VALUE"""),1300332.0)</f>
        <v>1300332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IFERROR(__xludf.DUMMYFUNCTION("""COMPUTED_VALUE"""),4.88)</f>
        <v>4.88</v>
      </c>
      <c r="C2990" s="1">
        <f>IFERROR(__xludf.DUMMYFUNCTION("""COMPUTED_VALUE"""),4.93)</f>
        <v>4.93</v>
      </c>
      <c r="D2990" s="1">
        <f>IFERROR(__xludf.DUMMYFUNCTION("""COMPUTED_VALUE"""),4.85)</f>
        <v>4.85</v>
      </c>
      <c r="E2990" s="1">
        <f>IFERROR(__xludf.DUMMYFUNCTION("""COMPUTED_VALUE"""),4.91)</f>
        <v>4.91</v>
      </c>
      <c r="F2990" s="1">
        <f>IFERROR(__xludf.DUMMYFUNCTION("""COMPUTED_VALUE"""),1368108.0)</f>
        <v>1368108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IFERROR(__xludf.DUMMYFUNCTION("""COMPUTED_VALUE"""),4.94)</f>
        <v>4.94</v>
      </c>
      <c r="C2991" s="1">
        <f>IFERROR(__xludf.DUMMYFUNCTION("""COMPUTED_VALUE"""),4.96)</f>
        <v>4.96</v>
      </c>
      <c r="D2991" s="1">
        <f>IFERROR(__xludf.DUMMYFUNCTION("""COMPUTED_VALUE"""),4.91)</f>
        <v>4.91</v>
      </c>
      <c r="E2991" s="1">
        <f>IFERROR(__xludf.DUMMYFUNCTION("""COMPUTED_VALUE"""),4.91)</f>
        <v>4.91</v>
      </c>
      <c r="F2991" s="1">
        <f>IFERROR(__xludf.DUMMYFUNCTION("""COMPUTED_VALUE"""),1329898.0)</f>
        <v>1329898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IFERROR(__xludf.DUMMYFUNCTION("""COMPUTED_VALUE"""),4.93)</f>
        <v>4.93</v>
      </c>
      <c r="C2992" s="1">
        <f>IFERROR(__xludf.DUMMYFUNCTION("""COMPUTED_VALUE"""),4.95)</f>
        <v>4.95</v>
      </c>
      <c r="D2992" s="1">
        <f>IFERROR(__xludf.DUMMYFUNCTION("""COMPUTED_VALUE"""),4.91)</f>
        <v>4.91</v>
      </c>
      <c r="E2992" s="1">
        <f>IFERROR(__xludf.DUMMYFUNCTION("""COMPUTED_VALUE"""),4.91)</f>
        <v>4.91</v>
      </c>
      <c r="F2992" s="1">
        <f>IFERROR(__xludf.DUMMYFUNCTION("""COMPUTED_VALUE"""),1845699.0)</f>
        <v>1845699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IFERROR(__xludf.DUMMYFUNCTION("""COMPUTED_VALUE"""),4.93)</f>
        <v>4.93</v>
      </c>
      <c r="C2993" s="1">
        <f>IFERROR(__xludf.DUMMYFUNCTION("""COMPUTED_VALUE"""),4.95)</f>
        <v>4.95</v>
      </c>
      <c r="D2993" s="1">
        <f>IFERROR(__xludf.DUMMYFUNCTION("""COMPUTED_VALUE"""),4.91)</f>
        <v>4.91</v>
      </c>
      <c r="E2993" s="1">
        <f>IFERROR(__xludf.DUMMYFUNCTION("""COMPUTED_VALUE"""),4.92)</f>
        <v>4.92</v>
      </c>
      <c r="F2993" s="1">
        <f>IFERROR(__xludf.DUMMYFUNCTION("""COMPUTED_VALUE"""),1251660.0)</f>
        <v>1251660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IFERROR(__xludf.DUMMYFUNCTION("""COMPUTED_VALUE"""),4.78)</f>
        <v>4.78</v>
      </c>
      <c r="C2994" s="1">
        <f>IFERROR(__xludf.DUMMYFUNCTION("""COMPUTED_VALUE"""),4.78)</f>
        <v>4.78</v>
      </c>
      <c r="D2994" s="1">
        <f>IFERROR(__xludf.DUMMYFUNCTION("""COMPUTED_VALUE"""),4.71)</f>
        <v>4.71</v>
      </c>
      <c r="E2994" s="1">
        <f>IFERROR(__xludf.DUMMYFUNCTION("""COMPUTED_VALUE"""),4.75)</f>
        <v>4.75</v>
      </c>
      <c r="F2994" s="1">
        <f>IFERROR(__xludf.DUMMYFUNCTION("""COMPUTED_VALUE"""),2229064.0)</f>
        <v>2229064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IFERROR(__xludf.DUMMYFUNCTION("""COMPUTED_VALUE"""),4.74)</f>
        <v>4.74</v>
      </c>
      <c r="C2995" s="1">
        <f>IFERROR(__xludf.DUMMYFUNCTION("""COMPUTED_VALUE"""),4.79)</f>
        <v>4.79</v>
      </c>
      <c r="D2995" s="1">
        <f>IFERROR(__xludf.DUMMYFUNCTION("""COMPUTED_VALUE"""),4.71)</f>
        <v>4.71</v>
      </c>
      <c r="E2995" s="1">
        <f>IFERROR(__xludf.DUMMYFUNCTION("""COMPUTED_VALUE"""),4.73)</f>
        <v>4.73</v>
      </c>
      <c r="F2995" s="1">
        <f>IFERROR(__xludf.DUMMYFUNCTION("""COMPUTED_VALUE"""),2052487.0)</f>
        <v>2052487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IFERROR(__xludf.DUMMYFUNCTION("""COMPUTED_VALUE"""),4.73)</f>
        <v>4.73</v>
      </c>
      <c r="C2996" s="1">
        <f>IFERROR(__xludf.DUMMYFUNCTION("""COMPUTED_VALUE"""),4.78)</f>
        <v>4.78</v>
      </c>
      <c r="D2996" s="1">
        <f>IFERROR(__xludf.DUMMYFUNCTION("""COMPUTED_VALUE"""),4.72)</f>
        <v>4.72</v>
      </c>
      <c r="E2996" s="1">
        <f>IFERROR(__xludf.DUMMYFUNCTION("""COMPUTED_VALUE"""),4.78)</f>
        <v>4.78</v>
      </c>
      <c r="F2996" s="1">
        <f>IFERROR(__xludf.DUMMYFUNCTION("""COMPUTED_VALUE"""),1359554.0)</f>
        <v>1359554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IFERROR(__xludf.DUMMYFUNCTION("""COMPUTED_VALUE"""),4.83)</f>
        <v>4.83</v>
      </c>
      <c r="C2997" s="1">
        <f>IFERROR(__xludf.DUMMYFUNCTION("""COMPUTED_VALUE"""),4.87)</f>
        <v>4.87</v>
      </c>
      <c r="D2997" s="1">
        <f>IFERROR(__xludf.DUMMYFUNCTION("""COMPUTED_VALUE"""),4.81)</f>
        <v>4.81</v>
      </c>
      <c r="E2997" s="1">
        <f>IFERROR(__xludf.DUMMYFUNCTION("""COMPUTED_VALUE"""),4.82)</f>
        <v>4.82</v>
      </c>
      <c r="F2997" s="1">
        <f>IFERROR(__xludf.DUMMYFUNCTION("""COMPUTED_VALUE"""),1556632.0)</f>
        <v>1556632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IFERROR(__xludf.DUMMYFUNCTION("""COMPUTED_VALUE"""),4.39)</f>
        <v>4.39</v>
      </c>
      <c r="C2998" s="1">
        <f>IFERROR(__xludf.DUMMYFUNCTION("""COMPUTED_VALUE"""),4.47)</f>
        <v>4.47</v>
      </c>
      <c r="D2998" s="1">
        <f>IFERROR(__xludf.DUMMYFUNCTION("""COMPUTED_VALUE"""),4.34)</f>
        <v>4.34</v>
      </c>
      <c r="E2998" s="1">
        <f>IFERROR(__xludf.DUMMYFUNCTION("""COMPUTED_VALUE"""),4.47)</f>
        <v>4.47</v>
      </c>
      <c r="F2998" s="1">
        <f>IFERROR(__xludf.DUMMYFUNCTION("""COMPUTED_VALUE"""),3477701.0)</f>
        <v>3477701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IFERROR(__xludf.DUMMYFUNCTION("""COMPUTED_VALUE"""),4.5)</f>
        <v>4.5</v>
      </c>
      <c r="C2999" s="1">
        <f>IFERROR(__xludf.DUMMYFUNCTION("""COMPUTED_VALUE"""),4.51)</f>
        <v>4.51</v>
      </c>
      <c r="D2999" s="1">
        <f>IFERROR(__xludf.DUMMYFUNCTION("""COMPUTED_VALUE"""),4.41)</f>
        <v>4.41</v>
      </c>
      <c r="E2999" s="1">
        <f>IFERROR(__xludf.DUMMYFUNCTION("""COMPUTED_VALUE"""),4.46)</f>
        <v>4.46</v>
      </c>
      <c r="F2999" s="1">
        <f>IFERROR(__xludf.DUMMYFUNCTION("""COMPUTED_VALUE"""),3018101.0)</f>
        <v>3018101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IFERROR(__xludf.DUMMYFUNCTION("""COMPUTED_VALUE"""),4.4)</f>
        <v>4.4</v>
      </c>
      <c r="C3000" s="1">
        <f>IFERROR(__xludf.DUMMYFUNCTION("""COMPUTED_VALUE"""),4.42)</f>
        <v>4.42</v>
      </c>
      <c r="D3000" s="1">
        <f>IFERROR(__xludf.DUMMYFUNCTION("""COMPUTED_VALUE"""),4.36)</f>
        <v>4.36</v>
      </c>
      <c r="E3000" s="1">
        <f>IFERROR(__xludf.DUMMYFUNCTION("""COMPUTED_VALUE"""),4.4)</f>
        <v>4.4</v>
      </c>
      <c r="F3000" s="1">
        <f>IFERROR(__xludf.DUMMYFUNCTION("""COMPUTED_VALUE"""),5116999.0)</f>
        <v>5116999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IFERROR(__xludf.DUMMYFUNCTION("""COMPUTED_VALUE"""),4.58)</f>
        <v>4.58</v>
      </c>
      <c r="C3001" s="1">
        <f>IFERROR(__xludf.DUMMYFUNCTION("""COMPUTED_VALUE"""),4.59)</f>
        <v>4.59</v>
      </c>
      <c r="D3001" s="1">
        <f>IFERROR(__xludf.DUMMYFUNCTION("""COMPUTED_VALUE"""),4.42)</f>
        <v>4.42</v>
      </c>
      <c r="E3001" s="1">
        <f>IFERROR(__xludf.DUMMYFUNCTION("""COMPUTED_VALUE"""),4.42)</f>
        <v>4.42</v>
      </c>
      <c r="F3001" s="1">
        <f>IFERROR(__xludf.DUMMYFUNCTION("""COMPUTED_VALUE"""),2740391.0)</f>
        <v>2740391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IFERROR(__xludf.DUMMYFUNCTION("""COMPUTED_VALUE"""),4.53)</f>
        <v>4.53</v>
      </c>
      <c r="C3002" s="1">
        <f>IFERROR(__xludf.DUMMYFUNCTION("""COMPUTED_VALUE"""),4.62)</f>
        <v>4.62</v>
      </c>
      <c r="D3002" s="1">
        <f>IFERROR(__xludf.DUMMYFUNCTION("""COMPUTED_VALUE"""),4.51)</f>
        <v>4.51</v>
      </c>
      <c r="E3002" s="1">
        <f>IFERROR(__xludf.DUMMYFUNCTION("""COMPUTED_VALUE"""),4.6)</f>
        <v>4.6</v>
      </c>
      <c r="F3002" s="1">
        <f>IFERROR(__xludf.DUMMYFUNCTION("""COMPUTED_VALUE"""),2335716.0)</f>
        <v>2335716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IFERROR(__xludf.DUMMYFUNCTION("""COMPUTED_VALUE"""),4.49)</f>
        <v>4.49</v>
      </c>
      <c r="C3003" s="1">
        <f>IFERROR(__xludf.DUMMYFUNCTION("""COMPUTED_VALUE"""),4.51)</f>
        <v>4.51</v>
      </c>
      <c r="D3003" s="1">
        <f>IFERROR(__xludf.DUMMYFUNCTION("""COMPUTED_VALUE"""),4.46)</f>
        <v>4.46</v>
      </c>
      <c r="E3003" s="1">
        <f>IFERROR(__xludf.DUMMYFUNCTION("""COMPUTED_VALUE"""),4.48)</f>
        <v>4.48</v>
      </c>
      <c r="F3003" s="1">
        <f>IFERROR(__xludf.DUMMYFUNCTION("""COMPUTED_VALUE"""),3651927.0)</f>
        <v>3651927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IFERROR(__xludf.DUMMYFUNCTION("""COMPUTED_VALUE"""),4.54)</f>
        <v>4.54</v>
      </c>
      <c r="C3004" s="1">
        <f>IFERROR(__xludf.DUMMYFUNCTION("""COMPUTED_VALUE"""),4.6)</f>
        <v>4.6</v>
      </c>
      <c r="D3004" s="1">
        <f>IFERROR(__xludf.DUMMYFUNCTION("""COMPUTED_VALUE"""),4.53)</f>
        <v>4.53</v>
      </c>
      <c r="E3004" s="1">
        <f>IFERROR(__xludf.DUMMYFUNCTION("""COMPUTED_VALUE"""),4.56)</f>
        <v>4.56</v>
      </c>
      <c r="F3004" s="1">
        <f>IFERROR(__xludf.DUMMYFUNCTION("""COMPUTED_VALUE"""),2022728.0)</f>
        <v>2022728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IFERROR(__xludf.DUMMYFUNCTION("""COMPUTED_VALUE"""),4.62)</f>
        <v>4.62</v>
      </c>
      <c r="C3005" s="1">
        <f>IFERROR(__xludf.DUMMYFUNCTION("""COMPUTED_VALUE"""),4.65)</f>
        <v>4.65</v>
      </c>
      <c r="D3005" s="1">
        <f>IFERROR(__xludf.DUMMYFUNCTION("""COMPUTED_VALUE"""),4.6)</f>
        <v>4.6</v>
      </c>
      <c r="E3005" s="1">
        <f>IFERROR(__xludf.DUMMYFUNCTION("""COMPUTED_VALUE"""),4.62)</f>
        <v>4.62</v>
      </c>
      <c r="F3005" s="1">
        <f>IFERROR(__xludf.DUMMYFUNCTION("""COMPUTED_VALUE"""),1542838.0)</f>
        <v>1542838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IFERROR(__xludf.DUMMYFUNCTION("""COMPUTED_VALUE"""),4.62)</f>
        <v>4.62</v>
      </c>
      <c r="C3006" s="1">
        <f>IFERROR(__xludf.DUMMYFUNCTION("""COMPUTED_VALUE"""),4.64)</f>
        <v>4.64</v>
      </c>
      <c r="D3006" s="1">
        <f>IFERROR(__xludf.DUMMYFUNCTION("""COMPUTED_VALUE"""),4.59)</f>
        <v>4.59</v>
      </c>
      <c r="E3006" s="1">
        <f>IFERROR(__xludf.DUMMYFUNCTION("""COMPUTED_VALUE"""),4.6)</f>
        <v>4.6</v>
      </c>
      <c r="F3006" s="1">
        <f>IFERROR(__xludf.DUMMYFUNCTION("""COMPUTED_VALUE"""),2715719.0)</f>
        <v>2715719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IFERROR(__xludf.DUMMYFUNCTION("""COMPUTED_VALUE"""),4.56)</f>
        <v>4.56</v>
      </c>
      <c r="C3007" s="1">
        <f>IFERROR(__xludf.DUMMYFUNCTION("""COMPUTED_VALUE"""),4.57)</f>
        <v>4.57</v>
      </c>
      <c r="D3007" s="1">
        <f>IFERROR(__xludf.DUMMYFUNCTION("""COMPUTED_VALUE"""),4.53)</f>
        <v>4.53</v>
      </c>
      <c r="E3007" s="1">
        <f>IFERROR(__xludf.DUMMYFUNCTION("""COMPUTED_VALUE"""),4.56)</f>
        <v>4.56</v>
      </c>
      <c r="F3007" s="1">
        <f>IFERROR(__xludf.DUMMYFUNCTION("""COMPUTED_VALUE"""),1180847.0)</f>
        <v>1180847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IFERROR(__xludf.DUMMYFUNCTION("""COMPUTED_VALUE"""),4.55)</f>
        <v>4.55</v>
      </c>
      <c r="C3008" s="1">
        <f>IFERROR(__xludf.DUMMYFUNCTION("""COMPUTED_VALUE"""),4.56)</f>
        <v>4.56</v>
      </c>
      <c r="D3008" s="1">
        <f>IFERROR(__xludf.DUMMYFUNCTION("""COMPUTED_VALUE"""),4.52)</f>
        <v>4.52</v>
      </c>
      <c r="E3008" s="1">
        <f>IFERROR(__xludf.DUMMYFUNCTION("""COMPUTED_VALUE"""),4.56)</f>
        <v>4.56</v>
      </c>
      <c r="F3008" s="1">
        <f>IFERROR(__xludf.DUMMYFUNCTION("""COMPUTED_VALUE"""),2671248.0)</f>
        <v>2671248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IFERROR(__xludf.DUMMYFUNCTION("""COMPUTED_VALUE"""),4.52)</f>
        <v>4.52</v>
      </c>
      <c r="C3009" s="1">
        <f>IFERROR(__xludf.DUMMYFUNCTION("""COMPUTED_VALUE"""),4.54)</f>
        <v>4.54</v>
      </c>
      <c r="D3009" s="1">
        <f>IFERROR(__xludf.DUMMYFUNCTION("""COMPUTED_VALUE"""),4.49)</f>
        <v>4.49</v>
      </c>
      <c r="E3009" s="1">
        <f>IFERROR(__xludf.DUMMYFUNCTION("""COMPUTED_VALUE"""),4.5)</f>
        <v>4.5</v>
      </c>
      <c r="F3009" s="1">
        <f>IFERROR(__xludf.DUMMYFUNCTION("""COMPUTED_VALUE"""),3102699.0)</f>
        <v>3102699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IFERROR(__xludf.DUMMYFUNCTION("""COMPUTED_VALUE"""),4.5)</f>
        <v>4.5</v>
      </c>
      <c r="C3010" s="1">
        <f>IFERROR(__xludf.DUMMYFUNCTION("""COMPUTED_VALUE"""),4.59)</f>
        <v>4.59</v>
      </c>
      <c r="D3010" s="1">
        <f>IFERROR(__xludf.DUMMYFUNCTION("""COMPUTED_VALUE"""),4.5)</f>
        <v>4.5</v>
      </c>
      <c r="E3010" s="1">
        <f>IFERROR(__xludf.DUMMYFUNCTION("""COMPUTED_VALUE"""),4.55)</f>
        <v>4.55</v>
      </c>
      <c r="F3010" s="1">
        <f>IFERROR(__xludf.DUMMYFUNCTION("""COMPUTED_VALUE"""),1912963.0)</f>
        <v>1912963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IFERROR(__xludf.DUMMYFUNCTION("""COMPUTED_VALUE"""),4.62)</f>
        <v>4.62</v>
      </c>
      <c r="C3011" s="1">
        <f>IFERROR(__xludf.DUMMYFUNCTION("""COMPUTED_VALUE"""),4.63)</f>
        <v>4.63</v>
      </c>
      <c r="D3011" s="1">
        <f>IFERROR(__xludf.DUMMYFUNCTION("""COMPUTED_VALUE"""),4.56)</f>
        <v>4.56</v>
      </c>
      <c r="E3011" s="1">
        <f>IFERROR(__xludf.DUMMYFUNCTION("""COMPUTED_VALUE"""),4.62)</f>
        <v>4.62</v>
      </c>
      <c r="F3011" s="1">
        <f>IFERROR(__xludf.DUMMYFUNCTION("""COMPUTED_VALUE"""),2902608.0)</f>
        <v>2902608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IFERROR(__xludf.DUMMYFUNCTION("""COMPUTED_VALUE"""),4.74)</f>
        <v>4.74</v>
      </c>
      <c r="C3012" s="1">
        <f>IFERROR(__xludf.DUMMYFUNCTION("""COMPUTED_VALUE"""),4.76)</f>
        <v>4.76</v>
      </c>
      <c r="D3012" s="1">
        <f>IFERROR(__xludf.DUMMYFUNCTION("""COMPUTED_VALUE"""),4.69)</f>
        <v>4.69</v>
      </c>
      <c r="E3012" s="1">
        <f>IFERROR(__xludf.DUMMYFUNCTION("""COMPUTED_VALUE"""),4.69)</f>
        <v>4.69</v>
      </c>
      <c r="F3012" s="1">
        <f>IFERROR(__xludf.DUMMYFUNCTION("""COMPUTED_VALUE"""),2013656.0)</f>
        <v>2013656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IFERROR(__xludf.DUMMYFUNCTION("""COMPUTED_VALUE"""),4.68)</f>
        <v>4.68</v>
      </c>
      <c r="C3013" s="1">
        <f>IFERROR(__xludf.DUMMYFUNCTION("""COMPUTED_VALUE"""),4.69)</f>
        <v>4.69</v>
      </c>
      <c r="D3013" s="1">
        <f>IFERROR(__xludf.DUMMYFUNCTION("""COMPUTED_VALUE"""),4.61)</f>
        <v>4.61</v>
      </c>
      <c r="E3013" s="1">
        <f>IFERROR(__xludf.DUMMYFUNCTION("""COMPUTED_VALUE"""),4.62)</f>
        <v>4.62</v>
      </c>
      <c r="F3013" s="1">
        <f>IFERROR(__xludf.DUMMYFUNCTION("""COMPUTED_VALUE"""),1657227.0)</f>
        <v>1657227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IFERROR(__xludf.DUMMYFUNCTION("""COMPUTED_VALUE"""),4.56)</f>
        <v>4.56</v>
      </c>
      <c r="C3014" s="1">
        <f>IFERROR(__xludf.DUMMYFUNCTION("""COMPUTED_VALUE"""),4.57)</f>
        <v>4.57</v>
      </c>
      <c r="D3014" s="1">
        <f>IFERROR(__xludf.DUMMYFUNCTION("""COMPUTED_VALUE"""),4.5)</f>
        <v>4.5</v>
      </c>
      <c r="E3014" s="1">
        <f>IFERROR(__xludf.DUMMYFUNCTION("""COMPUTED_VALUE"""),4.54)</f>
        <v>4.54</v>
      </c>
      <c r="F3014" s="1">
        <f>IFERROR(__xludf.DUMMYFUNCTION("""COMPUTED_VALUE"""),3448167.0)</f>
        <v>3448167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IFERROR(__xludf.DUMMYFUNCTION("""COMPUTED_VALUE"""),4.62)</f>
        <v>4.62</v>
      </c>
      <c r="C3015" s="1">
        <f>IFERROR(__xludf.DUMMYFUNCTION("""COMPUTED_VALUE"""),4.69)</f>
        <v>4.69</v>
      </c>
      <c r="D3015" s="1">
        <f>IFERROR(__xludf.DUMMYFUNCTION("""COMPUTED_VALUE"""),4.62)</f>
        <v>4.62</v>
      </c>
      <c r="E3015" s="1">
        <f>IFERROR(__xludf.DUMMYFUNCTION("""COMPUTED_VALUE"""),4.68)</f>
        <v>4.68</v>
      </c>
      <c r="F3015" s="1">
        <f>IFERROR(__xludf.DUMMYFUNCTION("""COMPUTED_VALUE"""),1865425.0)</f>
        <v>1865425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IFERROR(__xludf.DUMMYFUNCTION("""COMPUTED_VALUE"""),4.67)</f>
        <v>4.67</v>
      </c>
      <c r="C3016" s="1">
        <f>IFERROR(__xludf.DUMMYFUNCTION("""COMPUTED_VALUE"""),4.73)</f>
        <v>4.73</v>
      </c>
      <c r="D3016" s="1">
        <f>IFERROR(__xludf.DUMMYFUNCTION("""COMPUTED_VALUE"""),4.66)</f>
        <v>4.66</v>
      </c>
      <c r="E3016" s="1">
        <f>IFERROR(__xludf.DUMMYFUNCTION("""COMPUTED_VALUE"""),4.72)</f>
        <v>4.72</v>
      </c>
      <c r="F3016" s="1">
        <f>IFERROR(__xludf.DUMMYFUNCTION("""COMPUTED_VALUE"""),1345070.0)</f>
        <v>1345070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IFERROR(__xludf.DUMMYFUNCTION("""COMPUTED_VALUE"""),4.89)</f>
        <v>4.89</v>
      </c>
      <c r="C3017" s="1">
        <f>IFERROR(__xludf.DUMMYFUNCTION("""COMPUTED_VALUE"""),4.94)</f>
        <v>4.94</v>
      </c>
      <c r="D3017" s="1">
        <f>IFERROR(__xludf.DUMMYFUNCTION("""COMPUTED_VALUE"""),4.88)</f>
        <v>4.88</v>
      </c>
      <c r="E3017" s="1">
        <f>IFERROR(__xludf.DUMMYFUNCTION("""COMPUTED_VALUE"""),4.93)</f>
        <v>4.93</v>
      </c>
      <c r="F3017" s="1">
        <f>IFERROR(__xludf.DUMMYFUNCTION("""COMPUTED_VALUE"""),1800291.0)</f>
        <v>1800291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IFERROR(__xludf.DUMMYFUNCTION("""COMPUTED_VALUE"""),5.0)</f>
        <v>5</v>
      </c>
      <c r="C3018" s="1">
        <f>IFERROR(__xludf.DUMMYFUNCTION("""COMPUTED_VALUE"""),5.01)</f>
        <v>5.01</v>
      </c>
      <c r="D3018" s="1">
        <f>IFERROR(__xludf.DUMMYFUNCTION("""COMPUTED_VALUE"""),4.95)</f>
        <v>4.95</v>
      </c>
      <c r="E3018" s="1">
        <f>IFERROR(__xludf.DUMMYFUNCTION("""COMPUTED_VALUE"""),4.99)</f>
        <v>4.99</v>
      </c>
      <c r="F3018" s="1">
        <f>IFERROR(__xludf.DUMMYFUNCTION("""COMPUTED_VALUE"""),1522647.0)</f>
        <v>1522647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IFERROR(__xludf.DUMMYFUNCTION("""COMPUTED_VALUE"""),4.99)</f>
        <v>4.99</v>
      </c>
      <c r="C3019" s="1">
        <f>IFERROR(__xludf.DUMMYFUNCTION("""COMPUTED_VALUE"""),5.03)</f>
        <v>5.03</v>
      </c>
      <c r="D3019" s="1">
        <f>IFERROR(__xludf.DUMMYFUNCTION("""COMPUTED_VALUE"""),4.99)</f>
        <v>4.99</v>
      </c>
      <c r="E3019" s="1">
        <f>IFERROR(__xludf.DUMMYFUNCTION("""COMPUTED_VALUE"""),5.01)</f>
        <v>5.01</v>
      </c>
      <c r="F3019" s="1">
        <f>IFERROR(__xludf.DUMMYFUNCTION("""COMPUTED_VALUE"""),1956712.0)</f>
        <v>1956712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IFERROR(__xludf.DUMMYFUNCTION("""COMPUTED_VALUE"""),4.97)</f>
        <v>4.97</v>
      </c>
      <c r="C3020" s="1">
        <f>IFERROR(__xludf.DUMMYFUNCTION("""COMPUTED_VALUE"""),4.99)</f>
        <v>4.99</v>
      </c>
      <c r="D3020" s="1">
        <f>IFERROR(__xludf.DUMMYFUNCTION("""COMPUTED_VALUE"""),4.96)</f>
        <v>4.96</v>
      </c>
      <c r="E3020" s="1">
        <f>IFERROR(__xludf.DUMMYFUNCTION("""COMPUTED_VALUE"""),4.98)</f>
        <v>4.98</v>
      </c>
      <c r="F3020" s="1">
        <f>IFERROR(__xludf.DUMMYFUNCTION("""COMPUTED_VALUE"""),1099459.0)</f>
        <v>1099459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IFERROR(__xludf.DUMMYFUNCTION("""COMPUTED_VALUE"""),4.97)</f>
        <v>4.97</v>
      </c>
      <c r="C3021" s="1">
        <f>IFERROR(__xludf.DUMMYFUNCTION("""COMPUTED_VALUE"""),4.97)</f>
        <v>4.97</v>
      </c>
      <c r="D3021" s="1">
        <f>IFERROR(__xludf.DUMMYFUNCTION("""COMPUTED_VALUE"""),4.92)</f>
        <v>4.92</v>
      </c>
      <c r="E3021" s="1">
        <f>IFERROR(__xludf.DUMMYFUNCTION("""COMPUTED_VALUE"""),4.93)</f>
        <v>4.93</v>
      </c>
      <c r="F3021" s="1">
        <f>IFERROR(__xludf.DUMMYFUNCTION("""COMPUTED_VALUE"""),1309211.0)</f>
        <v>1309211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IFERROR(__xludf.DUMMYFUNCTION("""COMPUTED_VALUE"""),4.92)</f>
        <v>4.92</v>
      </c>
      <c r="C3022" s="1">
        <f>IFERROR(__xludf.DUMMYFUNCTION("""COMPUTED_VALUE"""),4.95)</f>
        <v>4.95</v>
      </c>
      <c r="D3022" s="1">
        <f>IFERROR(__xludf.DUMMYFUNCTION("""COMPUTED_VALUE"""),4.91)</f>
        <v>4.91</v>
      </c>
      <c r="E3022" s="1">
        <f>IFERROR(__xludf.DUMMYFUNCTION("""COMPUTED_VALUE"""),4.94)</f>
        <v>4.94</v>
      </c>
      <c r="F3022" s="1">
        <f>IFERROR(__xludf.DUMMYFUNCTION("""COMPUTED_VALUE"""),723736.0)</f>
        <v>723736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IFERROR(__xludf.DUMMYFUNCTION("""COMPUTED_VALUE"""),4.98)</f>
        <v>4.98</v>
      </c>
      <c r="C3023" s="1">
        <f>IFERROR(__xludf.DUMMYFUNCTION("""COMPUTED_VALUE"""),5.01)</f>
        <v>5.01</v>
      </c>
      <c r="D3023" s="1">
        <f>IFERROR(__xludf.DUMMYFUNCTION("""COMPUTED_VALUE"""),4.97)</f>
        <v>4.97</v>
      </c>
      <c r="E3023" s="1">
        <f>IFERROR(__xludf.DUMMYFUNCTION("""COMPUTED_VALUE"""),5.0)</f>
        <v>5</v>
      </c>
      <c r="F3023" s="1">
        <f>IFERROR(__xludf.DUMMYFUNCTION("""COMPUTED_VALUE"""),1751672.0)</f>
        <v>1751672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IFERROR(__xludf.DUMMYFUNCTION("""COMPUTED_VALUE"""),5.13)</f>
        <v>5.13</v>
      </c>
      <c r="C3024" s="1">
        <f>IFERROR(__xludf.DUMMYFUNCTION("""COMPUTED_VALUE"""),5.18)</f>
        <v>5.18</v>
      </c>
      <c r="D3024" s="1">
        <f>IFERROR(__xludf.DUMMYFUNCTION("""COMPUTED_VALUE"""),5.12)</f>
        <v>5.12</v>
      </c>
      <c r="E3024" s="1">
        <f>IFERROR(__xludf.DUMMYFUNCTION("""COMPUTED_VALUE"""),5.13)</f>
        <v>5.13</v>
      </c>
      <c r="F3024" s="1">
        <f>IFERROR(__xludf.DUMMYFUNCTION("""COMPUTED_VALUE"""),1737646.0)</f>
        <v>1737646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IFERROR(__xludf.DUMMYFUNCTION("""COMPUTED_VALUE"""),5.2)</f>
        <v>5.2</v>
      </c>
      <c r="C3025" s="1">
        <f>IFERROR(__xludf.DUMMYFUNCTION("""COMPUTED_VALUE"""),5.22)</f>
        <v>5.22</v>
      </c>
      <c r="D3025" s="1">
        <f>IFERROR(__xludf.DUMMYFUNCTION("""COMPUTED_VALUE"""),5.12)</f>
        <v>5.12</v>
      </c>
      <c r="E3025" s="1">
        <f>IFERROR(__xludf.DUMMYFUNCTION("""COMPUTED_VALUE"""),5.12)</f>
        <v>5.12</v>
      </c>
      <c r="F3025" s="1">
        <f>IFERROR(__xludf.DUMMYFUNCTION("""COMPUTED_VALUE"""),2186446.0)</f>
        <v>2186446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IFERROR(__xludf.DUMMYFUNCTION("""COMPUTED_VALUE"""),5.18)</f>
        <v>5.18</v>
      </c>
      <c r="C3026" s="1">
        <f>IFERROR(__xludf.DUMMYFUNCTION("""COMPUTED_VALUE"""),5.28)</f>
        <v>5.28</v>
      </c>
      <c r="D3026" s="1">
        <f>IFERROR(__xludf.DUMMYFUNCTION("""COMPUTED_VALUE"""),5.13)</f>
        <v>5.13</v>
      </c>
      <c r="E3026" s="1">
        <f>IFERROR(__xludf.DUMMYFUNCTION("""COMPUTED_VALUE"""),5.27)</f>
        <v>5.27</v>
      </c>
      <c r="F3026" s="1">
        <f>IFERROR(__xludf.DUMMYFUNCTION("""COMPUTED_VALUE"""),8049066.0)</f>
        <v>8049066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IFERROR(__xludf.DUMMYFUNCTION("""COMPUTED_VALUE"""),5.32)</f>
        <v>5.32</v>
      </c>
      <c r="C3027" s="1">
        <f>IFERROR(__xludf.DUMMYFUNCTION("""COMPUTED_VALUE"""),5.56)</f>
        <v>5.56</v>
      </c>
      <c r="D3027" s="1">
        <f>IFERROR(__xludf.DUMMYFUNCTION("""COMPUTED_VALUE"""),5.32)</f>
        <v>5.32</v>
      </c>
      <c r="E3027" s="1">
        <f>IFERROR(__xludf.DUMMYFUNCTION("""COMPUTED_VALUE"""),5.55)</f>
        <v>5.55</v>
      </c>
      <c r="F3027" s="1">
        <f>IFERROR(__xludf.DUMMYFUNCTION("""COMPUTED_VALUE"""),1.0758113E7)</f>
        <v>10758113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IFERROR(__xludf.DUMMYFUNCTION("""COMPUTED_VALUE"""),5.51)</f>
        <v>5.51</v>
      </c>
      <c r="C3028" s="1">
        <f>IFERROR(__xludf.DUMMYFUNCTION("""COMPUTED_VALUE"""),5.56)</f>
        <v>5.56</v>
      </c>
      <c r="D3028" s="1">
        <f>IFERROR(__xludf.DUMMYFUNCTION("""COMPUTED_VALUE"""),5.5)</f>
        <v>5.5</v>
      </c>
      <c r="E3028" s="1">
        <f>IFERROR(__xludf.DUMMYFUNCTION("""COMPUTED_VALUE"""),5.53)</f>
        <v>5.53</v>
      </c>
      <c r="F3028" s="1">
        <f>IFERROR(__xludf.DUMMYFUNCTION("""COMPUTED_VALUE"""),6643977.0)</f>
        <v>6643977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IFERROR(__xludf.DUMMYFUNCTION("""COMPUTED_VALUE"""),5.53)</f>
        <v>5.53</v>
      </c>
      <c r="C3029" s="1">
        <f>IFERROR(__xludf.DUMMYFUNCTION("""COMPUTED_VALUE"""),5.65)</f>
        <v>5.65</v>
      </c>
      <c r="D3029" s="1">
        <f>IFERROR(__xludf.DUMMYFUNCTION("""COMPUTED_VALUE"""),5.51)</f>
        <v>5.51</v>
      </c>
      <c r="E3029" s="1">
        <f>IFERROR(__xludf.DUMMYFUNCTION("""COMPUTED_VALUE"""),5.65)</f>
        <v>5.65</v>
      </c>
      <c r="F3029" s="1">
        <f>IFERROR(__xludf.DUMMYFUNCTION("""COMPUTED_VALUE"""),5420748.0)</f>
        <v>5420748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IFERROR(__xludf.DUMMYFUNCTION("""COMPUTED_VALUE"""),5.75)</f>
        <v>5.75</v>
      </c>
      <c r="C3030" s="1">
        <f>IFERROR(__xludf.DUMMYFUNCTION("""COMPUTED_VALUE"""),5.81)</f>
        <v>5.81</v>
      </c>
      <c r="D3030" s="1">
        <f>IFERROR(__xludf.DUMMYFUNCTION("""COMPUTED_VALUE"""),5.73)</f>
        <v>5.73</v>
      </c>
      <c r="E3030" s="1">
        <f>IFERROR(__xludf.DUMMYFUNCTION("""COMPUTED_VALUE"""),5.8)</f>
        <v>5.8</v>
      </c>
      <c r="F3030" s="1">
        <f>IFERROR(__xludf.DUMMYFUNCTION("""COMPUTED_VALUE"""),6196482.0)</f>
        <v>6196482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IFERROR(__xludf.DUMMYFUNCTION("""COMPUTED_VALUE"""),5.84)</f>
        <v>5.84</v>
      </c>
      <c r="C3031" s="1">
        <f>IFERROR(__xludf.DUMMYFUNCTION("""COMPUTED_VALUE"""),5.87)</f>
        <v>5.87</v>
      </c>
      <c r="D3031" s="1">
        <f>IFERROR(__xludf.DUMMYFUNCTION("""COMPUTED_VALUE"""),5.82)</f>
        <v>5.82</v>
      </c>
      <c r="E3031" s="1">
        <f>IFERROR(__xludf.DUMMYFUNCTION("""COMPUTED_VALUE"""),5.83)</f>
        <v>5.83</v>
      </c>
      <c r="F3031" s="1">
        <f>IFERROR(__xludf.DUMMYFUNCTION("""COMPUTED_VALUE"""),3002245.0)</f>
        <v>3002245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IFERROR(__xludf.DUMMYFUNCTION("""COMPUTED_VALUE"""),5.78)</f>
        <v>5.78</v>
      </c>
      <c r="C3032" s="1">
        <f>IFERROR(__xludf.DUMMYFUNCTION("""COMPUTED_VALUE"""),5.86)</f>
        <v>5.86</v>
      </c>
      <c r="D3032" s="1">
        <f>IFERROR(__xludf.DUMMYFUNCTION("""COMPUTED_VALUE"""),5.77)</f>
        <v>5.77</v>
      </c>
      <c r="E3032" s="1">
        <f>IFERROR(__xludf.DUMMYFUNCTION("""COMPUTED_VALUE"""),5.85)</f>
        <v>5.85</v>
      </c>
      <c r="F3032" s="1">
        <f>IFERROR(__xludf.DUMMYFUNCTION("""COMPUTED_VALUE"""),6440169.0)</f>
        <v>6440169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IFERROR(__xludf.DUMMYFUNCTION("""COMPUTED_VALUE"""),5.77)</f>
        <v>5.77</v>
      </c>
      <c r="C3033" s="1">
        <f>IFERROR(__xludf.DUMMYFUNCTION("""COMPUTED_VALUE"""),5.82)</f>
        <v>5.82</v>
      </c>
      <c r="D3033" s="1">
        <f>IFERROR(__xludf.DUMMYFUNCTION("""COMPUTED_VALUE"""),5.72)</f>
        <v>5.72</v>
      </c>
      <c r="E3033" s="1">
        <f>IFERROR(__xludf.DUMMYFUNCTION("""COMPUTED_VALUE"""),5.81)</f>
        <v>5.81</v>
      </c>
      <c r="F3033" s="1">
        <f>IFERROR(__xludf.DUMMYFUNCTION("""COMPUTED_VALUE"""),5271931.0)</f>
        <v>5271931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IFERROR(__xludf.DUMMYFUNCTION("""COMPUTED_VALUE"""),5.72)</f>
        <v>5.72</v>
      </c>
      <c r="C3034" s="1">
        <f>IFERROR(__xludf.DUMMYFUNCTION("""COMPUTED_VALUE"""),5.74)</f>
        <v>5.74</v>
      </c>
      <c r="D3034" s="1">
        <f>IFERROR(__xludf.DUMMYFUNCTION("""COMPUTED_VALUE"""),5.6)</f>
        <v>5.6</v>
      </c>
      <c r="E3034" s="1">
        <f>IFERROR(__xludf.DUMMYFUNCTION("""COMPUTED_VALUE"""),5.61)</f>
        <v>5.61</v>
      </c>
      <c r="F3034" s="1">
        <f>IFERROR(__xludf.DUMMYFUNCTION("""COMPUTED_VALUE"""),4964349.0)</f>
        <v>4964349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IFERROR(__xludf.DUMMYFUNCTION("""COMPUTED_VALUE"""),5.68)</f>
        <v>5.68</v>
      </c>
      <c r="C3035" s="1">
        <f>IFERROR(__xludf.DUMMYFUNCTION("""COMPUTED_VALUE"""),5.73)</f>
        <v>5.73</v>
      </c>
      <c r="D3035" s="1">
        <f>IFERROR(__xludf.DUMMYFUNCTION("""COMPUTED_VALUE"""),5.61)</f>
        <v>5.61</v>
      </c>
      <c r="E3035" s="1">
        <f>IFERROR(__xludf.DUMMYFUNCTION("""COMPUTED_VALUE"""),5.61)</f>
        <v>5.61</v>
      </c>
      <c r="F3035" s="1">
        <f>IFERROR(__xludf.DUMMYFUNCTION("""COMPUTED_VALUE"""),3077807.0)</f>
        <v>3077807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IFERROR(__xludf.DUMMYFUNCTION("""COMPUTED_VALUE"""),5.59)</f>
        <v>5.59</v>
      </c>
      <c r="C3036" s="1">
        <f>IFERROR(__xludf.DUMMYFUNCTION("""COMPUTED_VALUE"""),5.64)</f>
        <v>5.64</v>
      </c>
      <c r="D3036" s="1">
        <f>IFERROR(__xludf.DUMMYFUNCTION("""COMPUTED_VALUE"""),5.55)</f>
        <v>5.55</v>
      </c>
      <c r="E3036" s="1">
        <f>IFERROR(__xludf.DUMMYFUNCTION("""COMPUTED_VALUE"""),5.59)</f>
        <v>5.59</v>
      </c>
      <c r="F3036" s="1">
        <f>IFERROR(__xludf.DUMMYFUNCTION("""COMPUTED_VALUE"""),6467318.0)</f>
        <v>6467318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IFERROR(__xludf.DUMMYFUNCTION("""COMPUTED_VALUE"""),5.47)</f>
        <v>5.47</v>
      </c>
      <c r="C3037" s="1">
        <f>IFERROR(__xludf.DUMMYFUNCTION("""COMPUTED_VALUE"""),5.58)</f>
        <v>5.58</v>
      </c>
      <c r="D3037" s="1">
        <f>IFERROR(__xludf.DUMMYFUNCTION("""COMPUTED_VALUE"""),5.41)</f>
        <v>5.41</v>
      </c>
      <c r="E3037" s="1">
        <f>IFERROR(__xludf.DUMMYFUNCTION("""COMPUTED_VALUE"""),5.58)</f>
        <v>5.58</v>
      </c>
      <c r="F3037" s="1">
        <f>IFERROR(__xludf.DUMMYFUNCTION("""COMPUTED_VALUE"""),7372926.0)</f>
        <v>7372926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IFERROR(__xludf.DUMMYFUNCTION("""COMPUTED_VALUE"""),5.56)</f>
        <v>5.56</v>
      </c>
      <c r="C3038" s="1">
        <f>IFERROR(__xludf.DUMMYFUNCTION("""COMPUTED_VALUE"""),5.68)</f>
        <v>5.68</v>
      </c>
      <c r="D3038" s="1">
        <f>IFERROR(__xludf.DUMMYFUNCTION("""COMPUTED_VALUE"""),5.46)</f>
        <v>5.46</v>
      </c>
      <c r="E3038" s="1">
        <f>IFERROR(__xludf.DUMMYFUNCTION("""COMPUTED_VALUE"""),5.64)</f>
        <v>5.64</v>
      </c>
      <c r="F3038" s="1">
        <f>IFERROR(__xludf.DUMMYFUNCTION("""COMPUTED_VALUE"""),5918669.0)</f>
        <v>5918669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IFERROR(__xludf.DUMMYFUNCTION("""COMPUTED_VALUE"""),5.71)</f>
        <v>5.71</v>
      </c>
      <c r="C3039" s="1">
        <f>IFERROR(__xludf.DUMMYFUNCTION("""COMPUTED_VALUE"""),5.73)</f>
        <v>5.73</v>
      </c>
      <c r="D3039" s="1">
        <f>IFERROR(__xludf.DUMMYFUNCTION("""COMPUTED_VALUE"""),5.62)</f>
        <v>5.62</v>
      </c>
      <c r="E3039" s="1">
        <f>IFERROR(__xludf.DUMMYFUNCTION("""COMPUTED_VALUE"""),5.67)</f>
        <v>5.67</v>
      </c>
      <c r="F3039" s="1">
        <f>IFERROR(__xludf.DUMMYFUNCTION("""COMPUTED_VALUE"""),5413679.0)</f>
        <v>5413679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IFERROR(__xludf.DUMMYFUNCTION("""COMPUTED_VALUE"""),5.69)</f>
        <v>5.69</v>
      </c>
      <c r="C3040" s="1">
        <f>IFERROR(__xludf.DUMMYFUNCTION("""COMPUTED_VALUE"""),5.77)</f>
        <v>5.77</v>
      </c>
      <c r="D3040" s="1">
        <f>IFERROR(__xludf.DUMMYFUNCTION("""COMPUTED_VALUE"""),5.56)</f>
        <v>5.56</v>
      </c>
      <c r="E3040" s="1">
        <f>IFERROR(__xludf.DUMMYFUNCTION("""COMPUTED_VALUE"""),5.59)</f>
        <v>5.59</v>
      </c>
      <c r="F3040" s="1">
        <f>IFERROR(__xludf.DUMMYFUNCTION("""COMPUTED_VALUE"""),6184512.0)</f>
        <v>6184512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IFERROR(__xludf.DUMMYFUNCTION("""COMPUTED_VALUE"""),5.62)</f>
        <v>5.62</v>
      </c>
      <c r="C3041" s="1">
        <f>IFERROR(__xludf.DUMMYFUNCTION("""COMPUTED_VALUE"""),5.65)</f>
        <v>5.65</v>
      </c>
      <c r="D3041" s="1">
        <f>IFERROR(__xludf.DUMMYFUNCTION("""COMPUTED_VALUE"""),5.54)</f>
        <v>5.54</v>
      </c>
      <c r="E3041" s="1">
        <f>IFERROR(__xludf.DUMMYFUNCTION("""COMPUTED_VALUE"""),5.64)</f>
        <v>5.64</v>
      </c>
      <c r="F3041" s="1">
        <f>IFERROR(__xludf.DUMMYFUNCTION("""COMPUTED_VALUE"""),4982357.0)</f>
        <v>4982357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IFERROR(__xludf.DUMMYFUNCTION("""COMPUTED_VALUE"""),5.62)</f>
        <v>5.62</v>
      </c>
      <c r="C3042" s="1">
        <f>IFERROR(__xludf.DUMMYFUNCTION("""COMPUTED_VALUE"""),5.68)</f>
        <v>5.68</v>
      </c>
      <c r="D3042" s="1">
        <f>IFERROR(__xludf.DUMMYFUNCTION("""COMPUTED_VALUE"""),5.59)</f>
        <v>5.59</v>
      </c>
      <c r="E3042" s="1">
        <f>IFERROR(__xludf.DUMMYFUNCTION("""COMPUTED_VALUE"""),5.67)</f>
        <v>5.67</v>
      </c>
      <c r="F3042" s="1">
        <f>IFERROR(__xludf.DUMMYFUNCTION("""COMPUTED_VALUE"""),3285466.0)</f>
        <v>3285466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IFERROR(__xludf.DUMMYFUNCTION("""COMPUTED_VALUE"""),5.71)</f>
        <v>5.71</v>
      </c>
      <c r="C3043" s="1">
        <f>IFERROR(__xludf.DUMMYFUNCTION("""COMPUTED_VALUE"""),5.82)</f>
        <v>5.82</v>
      </c>
      <c r="D3043" s="1">
        <f>IFERROR(__xludf.DUMMYFUNCTION("""COMPUTED_VALUE"""),5.71)</f>
        <v>5.71</v>
      </c>
      <c r="E3043" s="1">
        <f>IFERROR(__xludf.DUMMYFUNCTION("""COMPUTED_VALUE"""),5.8)</f>
        <v>5.8</v>
      </c>
      <c r="F3043" s="1">
        <f>IFERROR(__xludf.DUMMYFUNCTION("""COMPUTED_VALUE"""),3750146.0)</f>
        <v>3750146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IFERROR(__xludf.DUMMYFUNCTION("""COMPUTED_VALUE"""),5.96)</f>
        <v>5.96</v>
      </c>
      <c r="C3044" s="1">
        <f>IFERROR(__xludf.DUMMYFUNCTION("""COMPUTED_VALUE"""),6.0)</f>
        <v>6</v>
      </c>
      <c r="D3044" s="1">
        <f>IFERROR(__xludf.DUMMYFUNCTION("""COMPUTED_VALUE"""),5.91)</f>
        <v>5.91</v>
      </c>
      <c r="E3044" s="1">
        <f>IFERROR(__xludf.DUMMYFUNCTION("""COMPUTED_VALUE"""),5.99)</f>
        <v>5.99</v>
      </c>
      <c r="F3044" s="1">
        <f>IFERROR(__xludf.DUMMYFUNCTION("""COMPUTED_VALUE"""),3109027.0)</f>
        <v>3109027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IFERROR(__xludf.DUMMYFUNCTION("""COMPUTED_VALUE"""),5.98)</f>
        <v>5.98</v>
      </c>
      <c r="C3045" s="1">
        <f>IFERROR(__xludf.DUMMYFUNCTION("""COMPUTED_VALUE"""),6.02)</f>
        <v>6.02</v>
      </c>
      <c r="D3045" s="1">
        <f>IFERROR(__xludf.DUMMYFUNCTION("""COMPUTED_VALUE"""),5.92)</f>
        <v>5.92</v>
      </c>
      <c r="E3045" s="1">
        <f>IFERROR(__xludf.DUMMYFUNCTION("""COMPUTED_VALUE"""),5.92)</f>
        <v>5.92</v>
      </c>
      <c r="F3045" s="1">
        <f>IFERROR(__xludf.DUMMYFUNCTION("""COMPUTED_VALUE"""),3741454.0)</f>
        <v>3741454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IFERROR(__xludf.DUMMYFUNCTION("""COMPUTED_VALUE"""),5.95)</f>
        <v>5.95</v>
      </c>
      <c r="C3046" s="1">
        <f>IFERROR(__xludf.DUMMYFUNCTION("""COMPUTED_VALUE"""),6.1)</f>
        <v>6.1</v>
      </c>
      <c r="D3046" s="1">
        <f>IFERROR(__xludf.DUMMYFUNCTION("""COMPUTED_VALUE"""),5.93)</f>
        <v>5.93</v>
      </c>
      <c r="E3046" s="1">
        <f>IFERROR(__xludf.DUMMYFUNCTION("""COMPUTED_VALUE"""),6.07)</f>
        <v>6.07</v>
      </c>
      <c r="F3046" s="1">
        <f>IFERROR(__xludf.DUMMYFUNCTION("""COMPUTED_VALUE"""),3567471.0)</f>
        <v>3567471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IFERROR(__xludf.DUMMYFUNCTION("""COMPUTED_VALUE"""),6.07)</f>
        <v>6.07</v>
      </c>
      <c r="C3047" s="1">
        <f>IFERROR(__xludf.DUMMYFUNCTION("""COMPUTED_VALUE"""),6.16)</f>
        <v>6.16</v>
      </c>
      <c r="D3047" s="1">
        <f>IFERROR(__xludf.DUMMYFUNCTION("""COMPUTED_VALUE"""),6.05)</f>
        <v>6.05</v>
      </c>
      <c r="E3047" s="1">
        <f>IFERROR(__xludf.DUMMYFUNCTION("""COMPUTED_VALUE"""),6.13)</f>
        <v>6.13</v>
      </c>
      <c r="F3047" s="1">
        <f>IFERROR(__xludf.DUMMYFUNCTION("""COMPUTED_VALUE"""),2544552.0)</f>
        <v>2544552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IFERROR(__xludf.DUMMYFUNCTION("""COMPUTED_VALUE"""),6.14)</f>
        <v>6.14</v>
      </c>
      <c r="C3048" s="1">
        <f>IFERROR(__xludf.DUMMYFUNCTION("""COMPUTED_VALUE"""),6.22)</f>
        <v>6.22</v>
      </c>
      <c r="D3048" s="1">
        <f>IFERROR(__xludf.DUMMYFUNCTION("""COMPUTED_VALUE"""),6.11)</f>
        <v>6.11</v>
      </c>
      <c r="E3048" s="1">
        <f>IFERROR(__xludf.DUMMYFUNCTION("""COMPUTED_VALUE"""),6.2)</f>
        <v>6.2</v>
      </c>
      <c r="F3048" s="1">
        <f>IFERROR(__xludf.DUMMYFUNCTION("""COMPUTED_VALUE"""),4087544.0)</f>
        <v>4087544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IFERROR(__xludf.DUMMYFUNCTION("""COMPUTED_VALUE"""),5.72)</f>
        <v>5.72</v>
      </c>
      <c r="C3049" s="1">
        <f>IFERROR(__xludf.DUMMYFUNCTION("""COMPUTED_VALUE"""),5.79)</f>
        <v>5.79</v>
      </c>
      <c r="D3049" s="1">
        <f>IFERROR(__xludf.DUMMYFUNCTION("""COMPUTED_VALUE"""),5.67)</f>
        <v>5.67</v>
      </c>
      <c r="E3049" s="1">
        <f>IFERROR(__xludf.DUMMYFUNCTION("""COMPUTED_VALUE"""),5.7)</f>
        <v>5.7</v>
      </c>
      <c r="F3049" s="1">
        <f>IFERROR(__xludf.DUMMYFUNCTION("""COMPUTED_VALUE"""),8569266.0)</f>
        <v>8569266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IFERROR(__xludf.DUMMYFUNCTION("""COMPUTED_VALUE"""),5.72)</f>
        <v>5.72</v>
      </c>
      <c r="C3050" s="1">
        <f>IFERROR(__xludf.DUMMYFUNCTION("""COMPUTED_VALUE"""),5.81)</f>
        <v>5.81</v>
      </c>
      <c r="D3050" s="1">
        <f>IFERROR(__xludf.DUMMYFUNCTION("""COMPUTED_VALUE"""),5.68)</f>
        <v>5.68</v>
      </c>
      <c r="E3050" s="1">
        <f>IFERROR(__xludf.DUMMYFUNCTION("""COMPUTED_VALUE"""),5.69)</f>
        <v>5.69</v>
      </c>
      <c r="F3050" s="1">
        <f>IFERROR(__xludf.DUMMYFUNCTION("""COMPUTED_VALUE"""),6070467.0)</f>
        <v>6070467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IFERROR(__xludf.DUMMYFUNCTION("""COMPUTED_VALUE"""),5.61)</f>
        <v>5.61</v>
      </c>
      <c r="C3051" s="1">
        <f>IFERROR(__xludf.DUMMYFUNCTION("""COMPUTED_VALUE"""),5.73)</f>
        <v>5.73</v>
      </c>
      <c r="D3051" s="1">
        <f>IFERROR(__xludf.DUMMYFUNCTION("""COMPUTED_VALUE"""),5.58)</f>
        <v>5.58</v>
      </c>
      <c r="E3051" s="1">
        <f>IFERROR(__xludf.DUMMYFUNCTION("""COMPUTED_VALUE"""),5.59)</f>
        <v>5.59</v>
      </c>
      <c r="F3051" s="1">
        <f>IFERROR(__xludf.DUMMYFUNCTION("""COMPUTED_VALUE"""),4975333.0)</f>
        <v>4975333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IFERROR(__xludf.DUMMYFUNCTION("""COMPUTED_VALUE"""),5.49)</f>
        <v>5.49</v>
      </c>
      <c r="C3052" s="1">
        <f>IFERROR(__xludf.DUMMYFUNCTION("""COMPUTED_VALUE"""),5.49)</f>
        <v>5.49</v>
      </c>
      <c r="D3052" s="1">
        <f>IFERROR(__xludf.DUMMYFUNCTION("""COMPUTED_VALUE"""),5.39)</f>
        <v>5.39</v>
      </c>
      <c r="E3052" s="1">
        <f>IFERROR(__xludf.DUMMYFUNCTION("""COMPUTED_VALUE"""),5.45)</f>
        <v>5.45</v>
      </c>
      <c r="F3052" s="1">
        <f>IFERROR(__xludf.DUMMYFUNCTION("""COMPUTED_VALUE"""),5932542.0)</f>
        <v>5932542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IFERROR(__xludf.DUMMYFUNCTION("""COMPUTED_VALUE"""),5.49)</f>
        <v>5.49</v>
      </c>
      <c r="C3053" s="1">
        <f>IFERROR(__xludf.DUMMYFUNCTION("""COMPUTED_VALUE"""),5.56)</f>
        <v>5.56</v>
      </c>
      <c r="D3053" s="1">
        <f>IFERROR(__xludf.DUMMYFUNCTION("""COMPUTED_VALUE"""),5.47)</f>
        <v>5.47</v>
      </c>
      <c r="E3053" s="1">
        <f>IFERROR(__xludf.DUMMYFUNCTION("""COMPUTED_VALUE"""),5.54)</f>
        <v>5.54</v>
      </c>
      <c r="F3053" s="1">
        <f>IFERROR(__xludf.DUMMYFUNCTION("""COMPUTED_VALUE"""),4256412.0)</f>
        <v>4256412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IFERROR(__xludf.DUMMYFUNCTION("""COMPUTED_VALUE"""),5.52)</f>
        <v>5.52</v>
      </c>
      <c r="C3054" s="1">
        <f>IFERROR(__xludf.DUMMYFUNCTION("""COMPUTED_VALUE"""),5.62)</f>
        <v>5.62</v>
      </c>
      <c r="D3054" s="1">
        <f>IFERROR(__xludf.DUMMYFUNCTION("""COMPUTED_VALUE"""),5.52)</f>
        <v>5.52</v>
      </c>
      <c r="E3054" s="1">
        <f>IFERROR(__xludf.DUMMYFUNCTION("""COMPUTED_VALUE"""),5.6)</f>
        <v>5.6</v>
      </c>
      <c r="F3054" s="1">
        <f>IFERROR(__xludf.DUMMYFUNCTION("""COMPUTED_VALUE"""),3416057.0)</f>
        <v>3416057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IFERROR(__xludf.DUMMYFUNCTION("""COMPUTED_VALUE"""),5.54)</f>
        <v>5.54</v>
      </c>
      <c r="C3055" s="1">
        <f>IFERROR(__xludf.DUMMYFUNCTION("""COMPUTED_VALUE"""),5.57)</f>
        <v>5.57</v>
      </c>
      <c r="D3055" s="1">
        <f>IFERROR(__xludf.DUMMYFUNCTION("""COMPUTED_VALUE"""),5.45)</f>
        <v>5.45</v>
      </c>
      <c r="E3055" s="1">
        <f>IFERROR(__xludf.DUMMYFUNCTION("""COMPUTED_VALUE"""),5.47)</f>
        <v>5.47</v>
      </c>
      <c r="F3055" s="1">
        <f>IFERROR(__xludf.DUMMYFUNCTION("""COMPUTED_VALUE"""),4012591.0)</f>
        <v>4012591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IFERROR(__xludf.DUMMYFUNCTION("""COMPUTED_VALUE"""),5.44)</f>
        <v>5.44</v>
      </c>
      <c r="C3056" s="1">
        <f>IFERROR(__xludf.DUMMYFUNCTION("""COMPUTED_VALUE"""),5.47)</f>
        <v>5.47</v>
      </c>
      <c r="D3056" s="1">
        <f>IFERROR(__xludf.DUMMYFUNCTION("""COMPUTED_VALUE"""),5.4)</f>
        <v>5.4</v>
      </c>
      <c r="E3056" s="1">
        <f>IFERROR(__xludf.DUMMYFUNCTION("""COMPUTED_VALUE"""),5.41)</f>
        <v>5.41</v>
      </c>
      <c r="F3056" s="1">
        <f>IFERROR(__xludf.DUMMYFUNCTION("""COMPUTED_VALUE"""),3221803.0)</f>
        <v>3221803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IFERROR(__xludf.DUMMYFUNCTION("""COMPUTED_VALUE"""),5.31)</f>
        <v>5.31</v>
      </c>
      <c r="C3057" s="1">
        <f>IFERROR(__xludf.DUMMYFUNCTION("""COMPUTED_VALUE"""),5.38)</f>
        <v>5.38</v>
      </c>
      <c r="D3057" s="1">
        <f>IFERROR(__xludf.DUMMYFUNCTION("""COMPUTED_VALUE"""),5.21)</f>
        <v>5.21</v>
      </c>
      <c r="E3057" s="1">
        <f>IFERROR(__xludf.DUMMYFUNCTION("""COMPUTED_VALUE"""),5.26)</f>
        <v>5.26</v>
      </c>
      <c r="F3057" s="1">
        <f>IFERROR(__xludf.DUMMYFUNCTION("""COMPUTED_VALUE"""),5333221.0)</f>
        <v>5333221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IFERROR(__xludf.DUMMYFUNCTION("""COMPUTED_VALUE"""),5.33)</f>
        <v>5.33</v>
      </c>
      <c r="C3058" s="1">
        <f>IFERROR(__xludf.DUMMYFUNCTION("""COMPUTED_VALUE"""),5.38)</f>
        <v>5.38</v>
      </c>
      <c r="D3058" s="1">
        <f>IFERROR(__xludf.DUMMYFUNCTION("""COMPUTED_VALUE"""),5.21)</f>
        <v>5.21</v>
      </c>
      <c r="E3058" s="1">
        <f>IFERROR(__xludf.DUMMYFUNCTION("""COMPUTED_VALUE"""),5.23)</f>
        <v>5.23</v>
      </c>
      <c r="F3058" s="1">
        <f>IFERROR(__xludf.DUMMYFUNCTION("""COMPUTED_VALUE"""),4381474.0)</f>
        <v>4381474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IFERROR(__xludf.DUMMYFUNCTION("""COMPUTED_VALUE"""),4.9)</f>
        <v>4.9</v>
      </c>
      <c r="C3059" s="1">
        <f>IFERROR(__xludf.DUMMYFUNCTION("""COMPUTED_VALUE"""),4.99)</f>
        <v>4.99</v>
      </c>
      <c r="D3059" s="1">
        <f>IFERROR(__xludf.DUMMYFUNCTION("""COMPUTED_VALUE"""),4.83)</f>
        <v>4.83</v>
      </c>
      <c r="E3059" s="1">
        <f>IFERROR(__xludf.DUMMYFUNCTION("""COMPUTED_VALUE"""),4.98)</f>
        <v>4.98</v>
      </c>
      <c r="F3059" s="1">
        <f>IFERROR(__xludf.DUMMYFUNCTION("""COMPUTED_VALUE"""),9758768.0)</f>
        <v>9758768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IFERROR(__xludf.DUMMYFUNCTION("""COMPUTED_VALUE"""),5.05)</f>
        <v>5.05</v>
      </c>
      <c r="C3060" s="1">
        <f>IFERROR(__xludf.DUMMYFUNCTION("""COMPUTED_VALUE"""),5.19)</f>
        <v>5.19</v>
      </c>
      <c r="D3060" s="1">
        <f>IFERROR(__xludf.DUMMYFUNCTION("""COMPUTED_VALUE"""),5.05)</f>
        <v>5.05</v>
      </c>
      <c r="E3060" s="1">
        <f>IFERROR(__xludf.DUMMYFUNCTION("""COMPUTED_VALUE"""),5.17)</f>
        <v>5.17</v>
      </c>
      <c r="F3060" s="1">
        <f>IFERROR(__xludf.DUMMYFUNCTION("""COMPUTED_VALUE"""),9745889.0)</f>
        <v>9745889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IFERROR(__xludf.DUMMYFUNCTION("""COMPUTED_VALUE"""),4.87)</f>
        <v>4.87</v>
      </c>
      <c r="C3061" s="1">
        <f>IFERROR(__xludf.DUMMYFUNCTION("""COMPUTED_VALUE"""),5.02)</f>
        <v>5.02</v>
      </c>
      <c r="D3061" s="1">
        <f>IFERROR(__xludf.DUMMYFUNCTION("""COMPUTED_VALUE"""),4.86)</f>
        <v>4.86</v>
      </c>
      <c r="E3061" s="1">
        <f>IFERROR(__xludf.DUMMYFUNCTION("""COMPUTED_VALUE"""),4.97)</f>
        <v>4.97</v>
      </c>
      <c r="F3061" s="1">
        <f>IFERROR(__xludf.DUMMYFUNCTION("""COMPUTED_VALUE"""),9582197.0)</f>
        <v>9582197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IFERROR(__xludf.DUMMYFUNCTION("""COMPUTED_VALUE"""),4.86)</f>
        <v>4.86</v>
      </c>
      <c r="C3062" s="1">
        <f>IFERROR(__xludf.DUMMYFUNCTION("""COMPUTED_VALUE"""),4.87)</f>
        <v>4.87</v>
      </c>
      <c r="D3062" s="1">
        <f>IFERROR(__xludf.DUMMYFUNCTION("""COMPUTED_VALUE"""),4.65)</f>
        <v>4.65</v>
      </c>
      <c r="E3062" s="1">
        <f>IFERROR(__xludf.DUMMYFUNCTION("""COMPUTED_VALUE"""),4.68)</f>
        <v>4.68</v>
      </c>
      <c r="F3062" s="1">
        <f>IFERROR(__xludf.DUMMYFUNCTION("""COMPUTED_VALUE"""),1.0109041E7)</f>
        <v>10109041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IFERROR(__xludf.DUMMYFUNCTION("""COMPUTED_VALUE"""),4.79)</f>
        <v>4.79</v>
      </c>
      <c r="C3063" s="1">
        <f>IFERROR(__xludf.DUMMYFUNCTION("""COMPUTED_VALUE"""),4.89)</f>
        <v>4.89</v>
      </c>
      <c r="D3063" s="1">
        <f>IFERROR(__xludf.DUMMYFUNCTION("""COMPUTED_VALUE"""),4.76)</f>
        <v>4.76</v>
      </c>
      <c r="E3063" s="1">
        <f>IFERROR(__xludf.DUMMYFUNCTION("""COMPUTED_VALUE"""),4.85)</f>
        <v>4.85</v>
      </c>
      <c r="F3063" s="1">
        <f>IFERROR(__xludf.DUMMYFUNCTION("""COMPUTED_VALUE"""),7857042.0)</f>
        <v>7857042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IFERROR(__xludf.DUMMYFUNCTION("""COMPUTED_VALUE"""),4.85)</f>
        <v>4.85</v>
      </c>
      <c r="C3064" s="1">
        <f>IFERROR(__xludf.DUMMYFUNCTION("""COMPUTED_VALUE"""),4.86)</f>
        <v>4.86</v>
      </c>
      <c r="D3064" s="1">
        <f>IFERROR(__xludf.DUMMYFUNCTION("""COMPUTED_VALUE"""),4.75)</f>
        <v>4.75</v>
      </c>
      <c r="E3064" s="1">
        <f>IFERROR(__xludf.DUMMYFUNCTION("""COMPUTED_VALUE"""),4.79)</f>
        <v>4.79</v>
      </c>
      <c r="F3064" s="1">
        <f>IFERROR(__xludf.DUMMYFUNCTION("""COMPUTED_VALUE"""),9628324.0)</f>
        <v>9628324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IFERROR(__xludf.DUMMYFUNCTION("""COMPUTED_VALUE"""),4.49)</f>
        <v>4.49</v>
      </c>
      <c r="C3065" s="1">
        <f>IFERROR(__xludf.DUMMYFUNCTION("""COMPUTED_VALUE"""),4.51)</f>
        <v>4.51</v>
      </c>
      <c r="D3065" s="1">
        <f>IFERROR(__xludf.DUMMYFUNCTION("""COMPUTED_VALUE"""),4.36)</f>
        <v>4.36</v>
      </c>
      <c r="E3065" s="1">
        <f>IFERROR(__xludf.DUMMYFUNCTION("""COMPUTED_VALUE"""),4.39)</f>
        <v>4.39</v>
      </c>
      <c r="F3065" s="1">
        <f>IFERROR(__xludf.DUMMYFUNCTION("""COMPUTED_VALUE"""),1.0425718E7)</f>
        <v>10425718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IFERROR(__xludf.DUMMYFUNCTION("""COMPUTED_VALUE"""),4.25)</f>
        <v>4.25</v>
      </c>
      <c r="C3066" s="1">
        <f>IFERROR(__xludf.DUMMYFUNCTION("""COMPUTED_VALUE"""),4.27)</f>
        <v>4.27</v>
      </c>
      <c r="D3066" s="1">
        <f>IFERROR(__xludf.DUMMYFUNCTION("""COMPUTED_VALUE"""),3.99)</f>
        <v>3.99</v>
      </c>
      <c r="E3066" s="1">
        <f>IFERROR(__xludf.DUMMYFUNCTION("""COMPUTED_VALUE"""),3.99)</f>
        <v>3.99</v>
      </c>
      <c r="F3066" s="1">
        <f>IFERROR(__xludf.DUMMYFUNCTION("""COMPUTED_VALUE"""),1.1020645E7)</f>
        <v>11020645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IFERROR(__xludf.DUMMYFUNCTION("""COMPUTED_VALUE"""),4.24)</f>
        <v>4.24</v>
      </c>
      <c r="C3067" s="1">
        <f>IFERROR(__xludf.DUMMYFUNCTION("""COMPUTED_VALUE"""),4.35)</f>
        <v>4.35</v>
      </c>
      <c r="D3067" s="1">
        <f>IFERROR(__xludf.DUMMYFUNCTION("""COMPUTED_VALUE"""),4.1)</f>
        <v>4.1</v>
      </c>
      <c r="E3067" s="1">
        <f>IFERROR(__xludf.DUMMYFUNCTION("""COMPUTED_VALUE"""),4.21)</f>
        <v>4.21</v>
      </c>
      <c r="F3067" s="1">
        <f>IFERROR(__xludf.DUMMYFUNCTION("""COMPUTED_VALUE"""),1.079082E7)</f>
        <v>10790820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IFERROR(__xludf.DUMMYFUNCTION("""COMPUTED_VALUE"""),4.43)</f>
        <v>4.43</v>
      </c>
      <c r="C3068" s="1">
        <f>IFERROR(__xludf.DUMMYFUNCTION("""COMPUTED_VALUE"""),4.5)</f>
        <v>4.5</v>
      </c>
      <c r="D3068" s="1">
        <f>IFERROR(__xludf.DUMMYFUNCTION("""COMPUTED_VALUE"""),4.39)</f>
        <v>4.39</v>
      </c>
      <c r="E3068" s="1">
        <f>IFERROR(__xludf.DUMMYFUNCTION("""COMPUTED_VALUE"""),4.42)</f>
        <v>4.42</v>
      </c>
      <c r="F3068" s="1">
        <f>IFERROR(__xludf.DUMMYFUNCTION("""COMPUTED_VALUE"""),5989154.0)</f>
        <v>5989154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IFERROR(__xludf.DUMMYFUNCTION("""COMPUTED_VALUE"""),4.37)</f>
        <v>4.37</v>
      </c>
      <c r="C3069" s="1">
        <f>IFERROR(__xludf.DUMMYFUNCTION("""COMPUTED_VALUE"""),4.43)</f>
        <v>4.43</v>
      </c>
      <c r="D3069" s="1">
        <f>IFERROR(__xludf.DUMMYFUNCTION("""COMPUTED_VALUE"""),4.32)</f>
        <v>4.32</v>
      </c>
      <c r="E3069" s="1">
        <f>IFERROR(__xludf.DUMMYFUNCTION("""COMPUTED_VALUE"""),4.36)</f>
        <v>4.36</v>
      </c>
      <c r="F3069" s="1">
        <f>IFERROR(__xludf.DUMMYFUNCTION("""COMPUTED_VALUE"""),5204546.0)</f>
        <v>5204546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IFERROR(__xludf.DUMMYFUNCTION("""COMPUTED_VALUE"""),4.44)</f>
        <v>4.44</v>
      </c>
      <c r="C3070" s="1">
        <f>IFERROR(__xludf.DUMMYFUNCTION("""COMPUTED_VALUE"""),4.48)</f>
        <v>4.48</v>
      </c>
      <c r="D3070" s="1">
        <f>IFERROR(__xludf.DUMMYFUNCTION("""COMPUTED_VALUE"""),4.28)</f>
        <v>4.28</v>
      </c>
      <c r="E3070" s="1">
        <f>IFERROR(__xludf.DUMMYFUNCTION("""COMPUTED_VALUE"""),4.28)</f>
        <v>4.28</v>
      </c>
      <c r="F3070" s="1">
        <f>IFERROR(__xludf.DUMMYFUNCTION("""COMPUTED_VALUE"""),2956969.0)</f>
        <v>2956969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IFERROR(__xludf.DUMMYFUNCTION("""COMPUTED_VALUE"""),4.49)</f>
        <v>4.49</v>
      </c>
      <c r="C3071" s="1">
        <f>IFERROR(__xludf.DUMMYFUNCTION("""COMPUTED_VALUE"""),4.61)</f>
        <v>4.61</v>
      </c>
      <c r="D3071" s="1">
        <f>IFERROR(__xludf.DUMMYFUNCTION("""COMPUTED_VALUE"""),4.47)</f>
        <v>4.47</v>
      </c>
      <c r="E3071" s="1">
        <f>IFERROR(__xludf.DUMMYFUNCTION("""COMPUTED_VALUE"""),4.54)</f>
        <v>4.54</v>
      </c>
      <c r="F3071" s="1">
        <f>IFERROR(__xludf.DUMMYFUNCTION("""COMPUTED_VALUE"""),8321703.0)</f>
        <v>8321703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IFERROR(__xludf.DUMMYFUNCTION("""COMPUTED_VALUE"""),4.56)</f>
        <v>4.56</v>
      </c>
      <c r="C3072" s="1">
        <f>IFERROR(__xludf.DUMMYFUNCTION("""COMPUTED_VALUE"""),4.59)</f>
        <v>4.59</v>
      </c>
      <c r="D3072" s="1">
        <f>IFERROR(__xludf.DUMMYFUNCTION("""COMPUTED_VALUE"""),4.5)</f>
        <v>4.5</v>
      </c>
      <c r="E3072" s="1">
        <f>IFERROR(__xludf.DUMMYFUNCTION("""COMPUTED_VALUE"""),4.57)</f>
        <v>4.57</v>
      </c>
      <c r="F3072" s="1">
        <f>IFERROR(__xludf.DUMMYFUNCTION("""COMPUTED_VALUE"""),4661501.0)</f>
        <v>4661501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IFERROR(__xludf.DUMMYFUNCTION("""COMPUTED_VALUE"""),4.76)</f>
        <v>4.76</v>
      </c>
      <c r="C3073" s="1">
        <f>IFERROR(__xludf.DUMMYFUNCTION("""COMPUTED_VALUE"""),4.88)</f>
        <v>4.88</v>
      </c>
      <c r="D3073" s="1">
        <f>IFERROR(__xludf.DUMMYFUNCTION("""COMPUTED_VALUE"""),4.74)</f>
        <v>4.74</v>
      </c>
      <c r="E3073" s="1">
        <f>IFERROR(__xludf.DUMMYFUNCTION("""COMPUTED_VALUE"""),4.84)</f>
        <v>4.84</v>
      </c>
      <c r="F3073" s="1">
        <f>IFERROR(__xludf.DUMMYFUNCTION("""COMPUTED_VALUE"""),7442557.0)</f>
        <v>7442557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IFERROR(__xludf.DUMMYFUNCTION("""COMPUTED_VALUE"""),4.74)</f>
        <v>4.74</v>
      </c>
      <c r="C3074" s="1">
        <f>IFERROR(__xludf.DUMMYFUNCTION("""COMPUTED_VALUE"""),4.83)</f>
        <v>4.83</v>
      </c>
      <c r="D3074" s="1">
        <f>IFERROR(__xludf.DUMMYFUNCTION("""COMPUTED_VALUE"""),4.72)</f>
        <v>4.72</v>
      </c>
      <c r="E3074" s="1">
        <f>IFERROR(__xludf.DUMMYFUNCTION("""COMPUTED_VALUE"""),4.81)</f>
        <v>4.81</v>
      </c>
      <c r="F3074" s="1">
        <f>IFERROR(__xludf.DUMMYFUNCTION("""COMPUTED_VALUE"""),3984762.0)</f>
        <v>3984762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IFERROR(__xludf.DUMMYFUNCTION("""COMPUTED_VALUE"""),4.73)</f>
        <v>4.73</v>
      </c>
      <c r="C3075" s="1">
        <f>IFERROR(__xludf.DUMMYFUNCTION("""COMPUTED_VALUE"""),4.82)</f>
        <v>4.82</v>
      </c>
      <c r="D3075" s="1">
        <f>IFERROR(__xludf.DUMMYFUNCTION("""COMPUTED_VALUE"""),4.7)</f>
        <v>4.7</v>
      </c>
      <c r="E3075" s="1">
        <f>IFERROR(__xludf.DUMMYFUNCTION("""COMPUTED_VALUE"""),4.82)</f>
        <v>4.82</v>
      </c>
      <c r="F3075" s="1">
        <f>IFERROR(__xludf.DUMMYFUNCTION("""COMPUTED_VALUE"""),4144384.0)</f>
        <v>4144384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IFERROR(__xludf.DUMMYFUNCTION("""COMPUTED_VALUE"""),4.83)</f>
        <v>4.83</v>
      </c>
      <c r="C3076" s="1">
        <f>IFERROR(__xludf.DUMMYFUNCTION("""COMPUTED_VALUE"""),4.87)</f>
        <v>4.87</v>
      </c>
      <c r="D3076" s="1">
        <f>IFERROR(__xludf.DUMMYFUNCTION("""COMPUTED_VALUE"""),4.79)</f>
        <v>4.79</v>
      </c>
      <c r="E3076" s="1">
        <f>IFERROR(__xludf.DUMMYFUNCTION("""COMPUTED_VALUE"""),4.81)</f>
        <v>4.81</v>
      </c>
      <c r="F3076" s="1">
        <f>IFERROR(__xludf.DUMMYFUNCTION("""COMPUTED_VALUE"""),3410051.0)</f>
        <v>3410051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IFERROR(__xludf.DUMMYFUNCTION("""COMPUTED_VALUE"""),5.03)</f>
        <v>5.03</v>
      </c>
      <c r="C3077" s="1">
        <f>IFERROR(__xludf.DUMMYFUNCTION("""COMPUTED_VALUE"""),5.1)</f>
        <v>5.1</v>
      </c>
      <c r="D3077" s="1">
        <f>IFERROR(__xludf.DUMMYFUNCTION("""COMPUTED_VALUE"""),5.03)</f>
        <v>5.03</v>
      </c>
      <c r="E3077" s="1">
        <f>IFERROR(__xludf.DUMMYFUNCTION("""COMPUTED_VALUE"""),5.04)</f>
        <v>5.04</v>
      </c>
      <c r="F3077" s="1">
        <f>IFERROR(__xludf.DUMMYFUNCTION("""COMPUTED_VALUE"""),6244078.0)</f>
        <v>6244078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IFERROR(__xludf.DUMMYFUNCTION("""COMPUTED_VALUE"""),5.22)</f>
        <v>5.22</v>
      </c>
      <c r="C3078" s="1">
        <f>IFERROR(__xludf.DUMMYFUNCTION("""COMPUTED_VALUE"""),5.25)</f>
        <v>5.25</v>
      </c>
      <c r="D3078" s="1">
        <f>IFERROR(__xludf.DUMMYFUNCTION("""COMPUTED_VALUE"""),5.11)</f>
        <v>5.11</v>
      </c>
      <c r="E3078" s="1">
        <f>IFERROR(__xludf.DUMMYFUNCTION("""COMPUTED_VALUE"""),5.15)</f>
        <v>5.15</v>
      </c>
      <c r="F3078" s="1">
        <f>IFERROR(__xludf.DUMMYFUNCTION("""COMPUTED_VALUE"""),4217957.0)</f>
        <v>4217957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IFERROR(__xludf.DUMMYFUNCTION("""COMPUTED_VALUE"""),5.13)</f>
        <v>5.13</v>
      </c>
      <c r="C3079" s="1">
        <f>IFERROR(__xludf.DUMMYFUNCTION("""COMPUTED_VALUE"""),5.15)</f>
        <v>5.15</v>
      </c>
      <c r="D3079" s="1">
        <f>IFERROR(__xludf.DUMMYFUNCTION("""COMPUTED_VALUE"""),5.1)</f>
        <v>5.1</v>
      </c>
      <c r="E3079" s="1">
        <f>IFERROR(__xludf.DUMMYFUNCTION("""COMPUTED_VALUE"""),5.12)</f>
        <v>5.12</v>
      </c>
      <c r="F3079" s="1">
        <f>IFERROR(__xludf.DUMMYFUNCTION("""COMPUTED_VALUE"""),2651438.0)</f>
        <v>2651438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IFERROR(__xludf.DUMMYFUNCTION("""COMPUTED_VALUE"""),5.16)</f>
        <v>5.16</v>
      </c>
      <c r="C3080" s="1">
        <f>IFERROR(__xludf.DUMMYFUNCTION("""COMPUTED_VALUE"""),5.24)</f>
        <v>5.24</v>
      </c>
      <c r="D3080" s="1">
        <f>IFERROR(__xludf.DUMMYFUNCTION("""COMPUTED_VALUE"""),5.16)</f>
        <v>5.16</v>
      </c>
      <c r="E3080" s="1">
        <f>IFERROR(__xludf.DUMMYFUNCTION("""COMPUTED_VALUE"""),5.23)</f>
        <v>5.23</v>
      </c>
      <c r="F3080" s="1">
        <f>IFERROR(__xludf.DUMMYFUNCTION("""COMPUTED_VALUE"""),2313951.0)</f>
        <v>2313951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IFERROR(__xludf.DUMMYFUNCTION("""COMPUTED_VALUE"""),5.34)</f>
        <v>5.34</v>
      </c>
      <c r="C3081" s="1">
        <f>IFERROR(__xludf.DUMMYFUNCTION("""COMPUTED_VALUE"""),5.35)</f>
        <v>5.35</v>
      </c>
      <c r="D3081" s="1">
        <f>IFERROR(__xludf.DUMMYFUNCTION("""COMPUTED_VALUE"""),5.21)</f>
        <v>5.21</v>
      </c>
      <c r="E3081" s="1">
        <f>IFERROR(__xludf.DUMMYFUNCTION("""COMPUTED_VALUE"""),5.32)</f>
        <v>5.32</v>
      </c>
      <c r="F3081" s="1">
        <f>IFERROR(__xludf.DUMMYFUNCTION("""COMPUTED_VALUE"""),4514731.0)</f>
        <v>4514731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IFERROR(__xludf.DUMMYFUNCTION("""COMPUTED_VALUE"""),5.45)</f>
        <v>5.45</v>
      </c>
      <c r="C3082" s="1">
        <f>IFERROR(__xludf.DUMMYFUNCTION("""COMPUTED_VALUE"""),5.47)</f>
        <v>5.47</v>
      </c>
      <c r="D3082" s="1">
        <f>IFERROR(__xludf.DUMMYFUNCTION("""COMPUTED_VALUE"""),5.35)</f>
        <v>5.35</v>
      </c>
      <c r="E3082" s="1">
        <f>IFERROR(__xludf.DUMMYFUNCTION("""COMPUTED_VALUE"""),5.41)</f>
        <v>5.41</v>
      </c>
      <c r="F3082" s="1">
        <f>IFERROR(__xludf.DUMMYFUNCTION("""COMPUTED_VALUE"""),4291583.0)</f>
        <v>4291583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IFERROR(__xludf.DUMMYFUNCTION("""COMPUTED_VALUE"""),5.44)</f>
        <v>5.44</v>
      </c>
      <c r="C3083" s="1">
        <f>IFERROR(__xludf.DUMMYFUNCTION("""COMPUTED_VALUE"""),5.45)</f>
        <v>5.45</v>
      </c>
      <c r="D3083" s="1">
        <f>IFERROR(__xludf.DUMMYFUNCTION("""COMPUTED_VALUE"""),5.37)</f>
        <v>5.37</v>
      </c>
      <c r="E3083" s="1">
        <f>IFERROR(__xludf.DUMMYFUNCTION("""COMPUTED_VALUE"""),5.38)</f>
        <v>5.38</v>
      </c>
      <c r="F3083" s="1">
        <f>IFERROR(__xludf.DUMMYFUNCTION("""COMPUTED_VALUE"""),2677460.0)</f>
        <v>2677460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IFERROR(__xludf.DUMMYFUNCTION("""COMPUTED_VALUE"""),5.36)</f>
        <v>5.36</v>
      </c>
      <c r="C3084" s="1">
        <f>IFERROR(__xludf.DUMMYFUNCTION("""COMPUTED_VALUE"""),5.39)</f>
        <v>5.39</v>
      </c>
      <c r="D3084" s="1">
        <f>IFERROR(__xludf.DUMMYFUNCTION("""COMPUTED_VALUE"""),5.29)</f>
        <v>5.29</v>
      </c>
      <c r="E3084" s="1">
        <f>IFERROR(__xludf.DUMMYFUNCTION("""COMPUTED_VALUE"""),5.29)</f>
        <v>5.29</v>
      </c>
      <c r="F3084" s="1">
        <f>IFERROR(__xludf.DUMMYFUNCTION("""COMPUTED_VALUE"""),2354284.0)</f>
        <v>2354284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IFERROR(__xludf.DUMMYFUNCTION("""COMPUTED_VALUE"""),5.46)</f>
        <v>5.46</v>
      </c>
      <c r="C3085" s="1">
        <f>IFERROR(__xludf.DUMMYFUNCTION("""COMPUTED_VALUE"""),5.5)</f>
        <v>5.5</v>
      </c>
      <c r="D3085" s="1">
        <f>IFERROR(__xludf.DUMMYFUNCTION("""COMPUTED_VALUE"""),5.41)</f>
        <v>5.41</v>
      </c>
      <c r="E3085" s="1">
        <f>IFERROR(__xludf.DUMMYFUNCTION("""COMPUTED_VALUE"""),5.49)</f>
        <v>5.49</v>
      </c>
      <c r="F3085" s="1">
        <f>IFERROR(__xludf.DUMMYFUNCTION("""COMPUTED_VALUE"""),2996480.0)</f>
        <v>2996480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IFERROR(__xludf.DUMMYFUNCTION("""COMPUTED_VALUE"""),5.42)</f>
        <v>5.42</v>
      </c>
      <c r="C3086" s="1">
        <f>IFERROR(__xludf.DUMMYFUNCTION("""COMPUTED_VALUE"""),5.43)</f>
        <v>5.43</v>
      </c>
      <c r="D3086" s="1">
        <f>IFERROR(__xludf.DUMMYFUNCTION("""COMPUTED_VALUE"""),5.38)</f>
        <v>5.38</v>
      </c>
      <c r="E3086" s="1">
        <f>IFERROR(__xludf.DUMMYFUNCTION("""COMPUTED_VALUE"""),5.4)</f>
        <v>5.4</v>
      </c>
      <c r="F3086" s="1">
        <f>IFERROR(__xludf.DUMMYFUNCTION("""COMPUTED_VALUE"""),3288866.0)</f>
        <v>3288866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IFERROR(__xludf.DUMMYFUNCTION("""COMPUTED_VALUE"""),5.42)</f>
        <v>5.42</v>
      </c>
      <c r="C3087" s="1">
        <f>IFERROR(__xludf.DUMMYFUNCTION("""COMPUTED_VALUE"""),5.46)</f>
        <v>5.46</v>
      </c>
      <c r="D3087" s="1">
        <f>IFERROR(__xludf.DUMMYFUNCTION("""COMPUTED_VALUE"""),5.38)</f>
        <v>5.38</v>
      </c>
      <c r="E3087" s="1">
        <f>IFERROR(__xludf.DUMMYFUNCTION("""COMPUTED_VALUE"""),5.39)</f>
        <v>5.39</v>
      </c>
      <c r="F3087" s="1">
        <f>IFERROR(__xludf.DUMMYFUNCTION("""COMPUTED_VALUE"""),3864571.0)</f>
        <v>3864571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IFERROR(__xludf.DUMMYFUNCTION("""COMPUTED_VALUE"""),5.38)</f>
        <v>5.38</v>
      </c>
      <c r="C3088" s="1">
        <f>IFERROR(__xludf.DUMMYFUNCTION("""COMPUTED_VALUE"""),5.43)</f>
        <v>5.43</v>
      </c>
      <c r="D3088" s="1">
        <f>IFERROR(__xludf.DUMMYFUNCTION("""COMPUTED_VALUE"""),5.33)</f>
        <v>5.33</v>
      </c>
      <c r="E3088" s="1">
        <f>IFERROR(__xludf.DUMMYFUNCTION("""COMPUTED_VALUE"""),5.4)</f>
        <v>5.4</v>
      </c>
      <c r="F3088" s="1">
        <f>IFERROR(__xludf.DUMMYFUNCTION("""COMPUTED_VALUE"""),4068310.0)</f>
        <v>4068310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IFERROR(__xludf.DUMMYFUNCTION("""COMPUTED_VALUE"""),5.46)</f>
        <v>5.46</v>
      </c>
      <c r="C3089" s="1">
        <f>IFERROR(__xludf.DUMMYFUNCTION("""COMPUTED_VALUE"""),5.48)</f>
        <v>5.48</v>
      </c>
      <c r="D3089" s="1">
        <f>IFERROR(__xludf.DUMMYFUNCTION("""COMPUTED_VALUE"""),5.33)</f>
        <v>5.33</v>
      </c>
      <c r="E3089" s="1">
        <f>IFERROR(__xludf.DUMMYFUNCTION("""COMPUTED_VALUE"""),5.45)</f>
        <v>5.45</v>
      </c>
      <c r="F3089" s="1">
        <f>IFERROR(__xludf.DUMMYFUNCTION("""COMPUTED_VALUE"""),5081240.0)</f>
        <v>5081240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IFERROR(__xludf.DUMMYFUNCTION("""COMPUTED_VALUE"""),5.45)</f>
        <v>5.45</v>
      </c>
      <c r="C3090" s="1">
        <f>IFERROR(__xludf.DUMMYFUNCTION("""COMPUTED_VALUE"""),5.51)</f>
        <v>5.51</v>
      </c>
      <c r="D3090" s="1">
        <f>IFERROR(__xludf.DUMMYFUNCTION("""COMPUTED_VALUE"""),5.44)</f>
        <v>5.44</v>
      </c>
      <c r="E3090" s="1">
        <f>IFERROR(__xludf.DUMMYFUNCTION("""COMPUTED_VALUE"""),5.48)</f>
        <v>5.48</v>
      </c>
      <c r="F3090" s="1">
        <f>IFERROR(__xludf.DUMMYFUNCTION("""COMPUTED_VALUE"""),2500023.0)</f>
        <v>2500023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IFERROR(__xludf.DUMMYFUNCTION("""COMPUTED_VALUE"""),5.54)</f>
        <v>5.54</v>
      </c>
      <c r="C3091" s="1">
        <f>IFERROR(__xludf.DUMMYFUNCTION("""COMPUTED_VALUE"""),5.6)</f>
        <v>5.6</v>
      </c>
      <c r="D3091" s="1">
        <f>IFERROR(__xludf.DUMMYFUNCTION("""COMPUTED_VALUE"""),5.49)</f>
        <v>5.49</v>
      </c>
      <c r="E3091" s="1">
        <f>IFERROR(__xludf.DUMMYFUNCTION("""COMPUTED_VALUE"""),5.49)</f>
        <v>5.49</v>
      </c>
      <c r="F3091" s="1">
        <f>IFERROR(__xludf.DUMMYFUNCTION("""COMPUTED_VALUE"""),2875609.0)</f>
        <v>2875609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IFERROR(__xludf.DUMMYFUNCTION("""COMPUTED_VALUE"""),5.52)</f>
        <v>5.52</v>
      </c>
      <c r="C3092" s="1">
        <f>IFERROR(__xludf.DUMMYFUNCTION("""COMPUTED_VALUE"""),5.58)</f>
        <v>5.58</v>
      </c>
      <c r="D3092" s="1">
        <f>IFERROR(__xludf.DUMMYFUNCTION("""COMPUTED_VALUE"""),5.47)</f>
        <v>5.47</v>
      </c>
      <c r="E3092" s="1">
        <f>IFERROR(__xludf.DUMMYFUNCTION("""COMPUTED_VALUE"""),5.48)</f>
        <v>5.48</v>
      </c>
      <c r="F3092" s="1">
        <f>IFERROR(__xludf.DUMMYFUNCTION("""COMPUTED_VALUE"""),2051400.0)</f>
        <v>2051400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IFERROR(__xludf.DUMMYFUNCTION("""COMPUTED_VALUE"""),5.49)</f>
        <v>5.49</v>
      </c>
      <c r="C3093" s="1">
        <f>IFERROR(__xludf.DUMMYFUNCTION("""COMPUTED_VALUE"""),5.63)</f>
        <v>5.63</v>
      </c>
      <c r="D3093" s="1">
        <f>IFERROR(__xludf.DUMMYFUNCTION("""COMPUTED_VALUE"""),5.49)</f>
        <v>5.49</v>
      </c>
      <c r="E3093" s="1">
        <f>IFERROR(__xludf.DUMMYFUNCTION("""COMPUTED_VALUE"""),5.62)</f>
        <v>5.62</v>
      </c>
      <c r="F3093" s="1">
        <f>IFERROR(__xludf.DUMMYFUNCTION("""COMPUTED_VALUE"""),2341461.0)</f>
        <v>2341461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IFERROR(__xludf.DUMMYFUNCTION("""COMPUTED_VALUE"""),5.62)</f>
        <v>5.62</v>
      </c>
      <c r="C3094" s="1">
        <f>IFERROR(__xludf.DUMMYFUNCTION("""COMPUTED_VALUE"""),5.67)</f>
        <v>5.67</v>
      </c>
      <c r="D3094" s="1">
        <f>IFERROR(__xludf.DUMMYFUNCTION("""COMPUTED_VALUE"""),5.6)</f>
        <v>5.6</v>
      </c>
      <c r="E3094" s="1">
        <f>IFERROR(__xludf.DUMMYFUNCTION("""COMPUTED_VALUE"""),5.62)</f>
        <v>5.62</v>
      </c>
      <c r="F3094" s="1">
        <f>IFERROR(__xludf.DUMMYFUNCTION("""COMPUTED_VALUE"""),2216304.0)</f>
        <v>2216304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IFERROR(__xludf.DUMMYFUNCTION("""COMPUTED_VALUE"""),5.57)</f>
        <v>5.57</v>
      </c>
      <c r="C3095" s="1">
        <f>IFERROR(__xludf.DUMMYFUNCTION("""COMPUTED_VALUE"""),5.7)</f>
        <v>5.7</v>
      </c>
      <c r="D3095" s="1">
        <f>IFERROR(__xludf.DUMMYFUNCTION("""COMPUTED_VALUE"""),5.56)</f>
        <v>5.56</v>
      </c>
      <c r="E3095" s="1">
        <f>IFERROR(__xludf.DUMMYFUNCTION("""COMPUTED_VALUE"""),5.65)</f>
        <v>5.65</v>
      </c>
      <c r="F3095" s="1">
        <f>IFERROR(__xludf.DUMMYFUNCTION("""COMPUTED_VALUE"""),2009008.0)</f>
        <v>2009008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IFERROR(__xludf.DUMMYFUNCTION("""COMPUTED_VALUE"""),5.68)</f>
        <v>5.68</v>
      </c>
      <c r="C3096" s="1">
        <f>IFERROR(__xludf.DUMMYFUNCTION("""COMPUTED_VALUE"""),5.72)</f>
        <v>5.72</v>
      </c>
      <c r="D3096" s="1">
        <f>IFERROR(__xludf.DUMMYFUNCTION("""COMPUTED_VALUE"""),5.66)</f>
        <v>5.66</v>
      </c>
      <c r="E3096" s="1">
        <f>IFERROR(__xludf.DUMMYFUNCTION("""COMPUTED_VALUE"""),5.71)</f>
        <v>5.71</v>
      </c>
      <c r="F3096" s="1">
        <f>IFERROR(__xludf.DUMMYFUNCTION("""COMPUTED_VALUE"""),2215284.0)</f>
        <v>2215284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IFERROR(__xludf.DUMMYFUNCTION("""COMPUTED_VALUE"""),5.82)</f>
        <v>5.82</v>
      </c>
      <c r="C3097" s="1">
        <f>IFERROR(__xludf.DUMMYFUNCTION("""COMPUTED_VALUE"""),5.89)</f>
        <v>5.89</v>
      </c>
      <c r="D3097" s="1">
        <f>IFERROR(__xludf.DUMMYFUNCTION("""COMPUTED_VALUE"""),5.8)</f>
        <v>5.8</v>
      </c>
      <c r="E3097" s="1">
        <f>IFERROR(__xludf.DUMMYFUNCTION("""COMPUTED_VALUE"""),5.83)</f>
        <v>5.83</v>
      </c>
      <c r="F3097" s="1">
        <f>IFERROR(__xludf.DUMMYFUNCTION("""COMPUTED_VALUE"""),2679142.0)</f>
        <v>2679142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IFERROR(__xludf.DUMMYFUNCTION("""COMPUTED_VALUE"""),5.84)</f>
        <v>5.84</v>
      </c>
      <c r="C3098" s="1">
        <f>IFERROR(__xludf.DUMMYFUNCTION("""COMPUTED_VALUE"""),5.87)</f>
        <v>5.87</v>
      </c>
      <c r="D3098" s="1">
        <f>IFERROR(__xludf.DUMMYFUNCTION("""COMPUTED_VALUE"""),5.71)</f>
        <v>5.71</v>
      </c>
      <c r="E3098" s="1">
        <f>IFERROR(__xludf.DUMMYFUNCTION("""COMPUTED_VALUE"""),5.73)</f>
        <v>5.73</v>
      </c>
      <c r="F3098" s="1">
        <f>IFERROR(__xludf.DUMMYFUNCTION("""COMPUTED_VALUE"""),5586350.0)</f>
        <v>5586350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IFERROR(__xludf.DUMMYFUNCTION("""COMPUTED_VALUE"""),5.83)</f>
        <v>5.83</v>
      </c>
      <c r="C3099" s="1">
        <f>IFERROR(__xludf.DUMMYFUNCTION("""COMPUTED_VALUE"""),5.85)</f>
        <v>5.85</v>
      </c>
      <c r="D3099" s="1">
        <f>IFERROR(__xludf.DUMMYFUNCTION("""COMPUTED_VALUE"""),5.71)</f>
        <v>5.71</v>
      </c>
      <c r="E3099" s="1">
        <f>IFERROR(__xludf.DUMMYFUNCTION("""COMPUTED_VALUE"""),5.73)</f>
        <v>5.73</v>
      </c>
      <c r="F3099" s="1">
        <f>IFERROR(__xludf.DUMMYFUNCTION("""COMPUTED_VALUE"""),3790394.0)</f>
        <v>3790394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IFERROR(__xludf.DUMMYFUNCTION("""COMPUTED_VALUE"""),5.56)</f>
        <v>5.56</v>
      </c>
      <c r="C3100" s="1">
        <f>IFERROR(__xludf.DUMMYFUNCTION("""COMPUTED_VALUE"""),5.56)</f>
        <v>5.56</v>
      </c>
      <c r="D3100" s="1">
        <f>IFERROR(__xludf.DUMMYFUNCTION("""COMPUTED_VALUE"""),5.35)</f>
        <v>5.35</v>
      </c>
      <c r="E3100" s="1">
        <f>IFERROR(__xludf.DUMMYFUNCTION("""COMPUTED_VALUE"""),5.51)</f>
        <v>5.51</v>
      </c>
      <c r="F3100" s="1">
        <f>IFERROR(__xludf.DUMMYFUNCTION("""COMPUTED_VALUE"""),5925042.0)</f>
        <v>5925042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IFERROR(__xludf.DUMMYFUNCTION("""COMPUTED_VALUE"""),5.4)</f>
        <v>5.4</v>
      </c>
      <c r="C3101" s="1">
        <f>IFERROR(__xludf.DUMMYFUNCTION("""COMPUTED_VALUE"""),5.46)</f>
        <v>5.46</v>
      </c>
      <c r="D3101" s="1">
        <f>IFERROR(__xludf.DUMMYFUNCTION("""COMPUTED_VALUE"""),5.28)</f>
        <v>5.28</v>
      </c>
      <c r="E3101" s="1">
        <f>IFERROR(__xludf.DUMMYFUNCTION("""COMPUTED_VALUE"""),5.28)</f>
        <v>5.28</v>
      </c>
      <c r="F3101" s="1">
        <f>IFERROR(__xludf.DUMMYFUNCTION("""COMPUTED_VALUE"""),7389136.0)</f>
        <v>7389136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IFERROR(__xludf.DUMMYFUNCTION("""COMPUTED_VALUE"""),5.2)</f>
        <v>5.2</v>
      </c>
      <c r="C3102" s="1">
        <f>IFERROR(__xludf.DUMMYFUNCTION("""COMPUTED_VALUE"""),5.28)</f>
        <v>5.28</v>
      </c>
      <c r="D3102" s="1">
        <f>IFERROR(__xludf.DUMMYFUNCTION("""COMPUTED_VALUE"""),5.18)</f>
        <v>5.18</v>
      </c>
      <c r="E3102" s="1">
        <f>IFERROR(__xludf.DUMMYFUNCTION("""COMPUTED_VALUE"""),5.24)</f>
        <v>5.24</v>
      </c>
      <c r="F3102" s="1">
        <f>IFERROR(__xludf.DUMMYFUNCTION("""COMPUTED_VALUE"""),6123709.0)</f>
        <v>6123709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IFERROR(__xludf.DUMMYFUNCTION("""COMPUTED_VALUE"""),5.14)</f>
        <v>5.14</v>
      </c>
      <c r="C3103" s="1">
        <f>IFERROR(__xludf.DUMMYFUNCTION("""COMPUTED_VALUE"""),5.2)</f>
        <v>5.2</v>
      </c>
      <c r="D3103" s="1">
        <f>IFERROR(__xludf.DUMMYFUNCTION("""COMPUTED_VALUE"""),5.06)</f>
        <v>5.06</v>
      </c>
      <c r="E3103" s="1">
        <f>IFERROR(__xludf.DUMMYFUNCTION("""COMPUTED_VALUE"""),5.17)</f>
        <v>5.17</v>
      </c>
      <c r="F3103" s="1">
        <f>IFERROR(__xludf.DUMMYFUNCTION("""COMPUTED_VALUE"""),6532840.0)</f>
        <v>6532840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IFERROR(__xludf.DUMMYFUNCTION("""COMPUTED_VALUE"""),5.23)</f>
        <v>5.23</v>
      </c>
      <c r="C3104" s="1">
        <f>IFERROR(__xludf.DUMMYFUNCTION("""COMPUTED_VALUE"""),5.28)</f>
        <v>5.28</v>
      </c>
      <c r="D3104" s="1">
        <f>IFERROR(__xludf.DUMMYFUNCTION("""COMPUTED_VALUE"""),5.13)</f>
        <v>5.13</v>
      </c>
      <c r="E3104" s="1">
        <f>IFERROR(__xludf.DUMMYFUNCTION("""COMPUTED_VALUE"""),5.14)</f>
        <v>5.14</v>
      </c>
      <c r="F3104" s="1">
        <f>IFERROR(__xludf.DUMMYFUNCTION("""COMPUTED_VALUE"""),5092812.0)</f>
        <v>5092812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IFERROR(__xludf.DUMMYFUNCTION("""COMPUTED_VALUE"""),5.15)</f>
        <v>5.15</v>
      </c>
      <c r="C3105" s="1">
        <f>IFERROR(__xludf.DUMMYFUNCTION("""COMPUTED_VALUE"""),5.17)</f>
        <v>5.17</v>
      </c>
      <c r="D3105" s="1">
        <f>IFERROR(__xludf.DUMMYFUNCTION("""COMPUTED_VALUE"""),5.04)</f>
        <v>5.04</v>
      </c>
      <c r="E3105" s="1">
        <f>IFERROR(__xludf.DUMMYFUNCTION("""COMPUTED_VALUE"""),5.13)</f>
        <v>5.13</v>
      </c>
      <c r="F3105" s="1">
        <f>IFERROR(__xludf.DUMMYFUNCTION("""COMPUTED_VALUE"""),5283173.0)</f>
        <v>5283173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IFERROR(__xludf.DUMMYFUNCTION("""COMPUTED_VALUE"""),5.21)</f>
        <v>5.21</v>
      </c>
      <c r="C3106" s="1">
        <f>IFERROR(__xludf.DUMMYFUNCTION("""COMPUTED_VALUE"""),5.26)</f>
        <v>5.26</v>
      </c>
      <c r="D3106" s="1">
        <f>IFERROR(__xludf.DUMMYFUNCTION("""COMPUTED_VALUE"""),5.19)</f>
        <v>5.19</v>
      </c>
      <c r="E3106" s="1">
        <f>IFERROR(__xludf.DUMMYFUNCTION("""COMPUTED_VALUE"""),5.21)</f>
        <v>5.21</v>
      </c>
      <c r="F3106" s="1">
        <f>IFERROR(__xludf.DUMMYFUNCTION("""COMPUTED_VALUE"""),4741423.0)</f>
        <v>4741423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IFERROR(__xludf.DUMMYFUNCTION("""COMPUTED_VALUE"""),5.2)</f>
        <v>5.2</v>
      </c>
      <c r="C3107" s="1">
        <f>IFERROR(__xludf.DUMMYFUNCTION("""COMPUTED_VALUE"""),5.32)</f>
        <v>5.32</v>
      </c>
      <c r="D3107" s="1">
        <f>IFERROR(__xludf.DUMMYFUNCTION("""COMPUTED_VALUE"""),5.14)</f>
        <v>5.14</v>
      </c>
      <c r="E3107" s="1">
        <f>IFERROR(__xludf.DUMMYFUNCTION("""COMPUTED_VALUE"""),5.31)</f>
        <v>5.31</v>
      </c>
      <c r="F3107" s="1">
        <f>IFERROR(__xludf.DUMMYFUNCTION("""COMPUTED_VALUE"""),4419772.0)</f>
        <v>4419772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IFERROR(__xludf.DUMMYFUNCTION("""COMPUTED_VALUE"""),5.16)</f>
        <v>5.16</v>
      </c>
      <c r="C3108" s="1">
        <f>IFERROR(__xludf.DUMMYFUNCTION("""COMPUTED_VALUE"""),5.17)</f>
        <v>5.17</v>
      </c>
      <c r="D3108" s="1">
        <f>IFERROR(__xludf.DUMMYFUNCTION("""COMPUTED_VALUE"""),5.02)</f>
        <v>5.02</v>
      </c>
      <c r="E3108" s="1">
        <f>IFERROR(__xludf.DUMMYFUNCTION("""COMPUTED_VALUE"""),5.06)</f>
        <v>5.06</v>
      </c>
      <c r="F3108" s="1">
        <f>IFERROR(__xludf.DUMMYFUNCTION("""COMPUTED_VALUE"""),6217813.0)</f>
        <v>6217813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IFERROR(__xludf.DUMMYFUNCTION("""COMPUTED_VALUE"""),5.07)</f>
        <v>5.07</v>
      </c>
      <c r="C3109" s="1">
        <f>IFERROR(__xludf.DUMMYFUNCTION("""COMPUTED_VALUE"""),5.11)</f>
        <v>5.11</v>
      </c>
      <c r="D3109" s="1">
        <f>IFERROR(__xludf.DUMMYFUNCTION("""COMPUTED_VALUE"""),5.01)</f>
        <v>5.01</v>
      </c>
      <c r="E3109" s="1">
        <f>IFERROR(__xludf.DUMMYFUNCTION("""COMPUTED_VALUE"""),5.08)</f>
        <v>5.08</v>
      </c>
      <c r="F3109" s="1">
        <f>IFERROR(__xludf.DUMMYFUNCTION("""COMPUTED_VALUE"""),6607496.0)</f>
        <v>6607496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IFERROR(__xludf.DUMMYFUNCTION("""COMPUTED_VALUE"""),5.07)</f>
        <v>5.07</v>
      </c>
      <c r="C3110" s="1">
        <f>IFERROR(__xludf.DUMMYFUNCTION("""COMPUTED_VALUE"""),5.09)</f>
        <v>5.09</v>
      </c>
      <c r="D3110" s="1">
        <f>IFERROR(__xludf.DUMMYFUNCTION("""COMPUTED_VALUE"""),4.97)</f>
        <v>4.97</v>
      </c>
      <c r="E3110" s="1">
        <f>IFERROR(__xludf.DUMMYFUNCTION("""COMPUTED_VALUE"""),5.01)</f>
        <v>5.01</v>
      </c>
      <c r="F3110" s="1">
        <f>IFERROR(__xludf.DUMMYFUNCTION("""COMPUTED_VALUE"""),7038057.0)</f>
        <v>7038057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IFERROR(__xludf.DUMMYFUNCTION("""COMPUTED_VALUE"""),5.13)</f>
        <v>5.13</v>
      </c>
      <c r="C3111" s="1">
        <f>IFERROR(__xludf.DUMMYFUNCTION("""COMPUTED_VALUE"""),5.19)</f>
        <v>5.19</v>
      </c>
      <c r="D3111" s="1">
        <f>IFERROR(__xludf.DUMMYFUNCTION("""COMPUTED_VALUE"""),5.04)</f>
        <v>5.04</v>
      </c>
      <c r="E3111" s="1">
        <f>IFERROR(__xludf.DUMMYFUNCTION("""COMPUTED_VALUE"""),5.11)</f>
        <v>5.11</v>
      </c>
      <c r="F3111" s="1">
        <f>IFERROR(__xludf.DUMMYFUNCTION("""COMPUTED_VALUE"""),7234147.0)</f>
        <v>7234147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IFERROR(__xludf.DUMMYFUNCTION("""COMPUTED_VALUE"""),5.1)</f>
        <v>5.1</v>
      </c>
      <c r="C3112" s="1">
        <f>IFERROR(__xludf.DUMMYFUNCTION("""COMPUTED_VALUE"""),5.17)</f>
        <v>5.17</v>
      </c>
      <c r="D3112" s="1">
        <f>IFERROR(__xludf.DUMMYFUNCTION("""COMPUTED_VALUE"""),4.94)</f>
        <v>4.94</v>
      </c>
      <c r="E3112" s="1">
        <f>IFERROR(__xludf.DUMMYFUNCTION("""COMPUTED_VALUE"""),4.94)</f>
        <v>4.94</v>
      </c>
      <c r="F3112" s="1">
        <f>IFERROR(__xludf.DUMMYFUNCTION("""COMPUTED_VALUE"""),7218675.0)</f>
        <v>7218675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IFERROR(__xludf.DUMMYFUNCTION("""COMPUTED_VALUE"""),5.08)</f>
        <v>5.08</v>
      </c>
      <c r="C3113" s="1">
        <f>IFERROR(__xludf.DUMMYFUNCTION("""COMPUTED_VALUE"""),5.12)</f>
        <v>5.12</v>
      </c>
      <c r="D3113" s="1">
        <f>IFERROR(__xludf.DUMMYFUNCTION("""COMPUTED_VALUE"""),4.93)</f>
        <v>4.93</v>
      </c>
      <c r="E3113" s="1">
        <f>IFERROR(__xludf.DUMMYFUNCTION("""COMPUTED_VALUE"""),5.03)</f>
        <v>5.03</v>
      </c>
      <c r="F3113" s="1">
        <f>IFERROR(__xludf.DUMMYFUNCTION("""COMPUTED_VALUE"""),6307981.0)</f>
        <v>6307981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IFERROR(__xludf.DUMMYFUNCTION("""COMPUTED_VALUE"""),5.12)</f>
        <v>5.12</v>
      </c>
      <c r="C3114" s="1">
        <f>IFERROR(__xludf.DUMMYFUNCTION("""COMPUTED_VALUE"""),5.22)</f>
        <v>5.22</v>
      </c>
      <c r="D3114" s="1">
        <f>IFERROR(__xludf.DUMMYFUNCTION("""COMPUTED_VALUE"""),5.12)</f>
        <v>5.12</v>
      </c>
      <c r="E3114" s="1">
        <f>IFERROR(__xludf.DUMMYFUNCTION("""COMPUTED_VALUE"""),5.22)</f>
        <v>5.22</v>
      </c>
      <c r="F3114" s="1">
        <f>IFERROR(__xludf.DUMMYFUNCTION("""COMPUTED_VALUE"""),6845361.0)</f>
        <v>6845361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IFERROR(__xludf.DUMMYFUNCTION("""COMPUTED_VALUE"""),5.12)</f>
        <v>5.12</v>
      </c>
      <c r="C3115" s="1">
        <f>IFERROR(__xludf.DUMMYFUNCTION("""COMPUTED_VALUE"""),5.18)</f>
        <v>5.18</v>
      </c>
      <c r="D3115" s="1">
        <f>IFERROR(__xludf.DUMMYFUNCTION("""COMPUTED_VALUE"""),5.08)</f>
        <v>5.08</v>
      </c>
      <c r="E3115" s="1">
        <f>IFERROR(__xludf.DUMMYFUNCTION("""COMPUTED_VALUE"""),5.13)</f>
        <v>5.13</v>
      </c>
      <c r="F3115" s="1">
        <f>IFERROR(__xludf.DUMMYFUNCTION("""COMPUTED_VALUE"""),7984197.0)</f>
        <v>7984197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IFERROR(__xludf.DUMMYFUNCTION("""COMPUTED_VALUE"""),5.31)</f>
        <v>5.31</v>
      </c>
      <c r="C3116" s="1">
        <f>IFERROR(__xludf.DUMMYFUNCTION("""COMPUTED_VALUE"""),5.4)</f>
        <v>5.4</v>
      </c>
      <c r="D3116" s="1">
        <f>IFERROR(__xludf.DUMMYFUNCTION("""COMPUTED_VALUE"""),5.3)</f>
        <v>5.3</v>
      </c>
      <c r="E3116" s="1">
        <f>IFERROR(__xludf.DUMMYFUNCTION("""COMPUTED_VALUE"""),5.4)</f>
        <v>5.4</v>
      </c>
      <c r="F3116" s="1">
        <f>IFERROR(__xludf.DUMMYFUNCTION("""COMPUTED_VALUE"""),4908484.0)</f>
        <v>4908484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IFERROR(__xludf.DUMMYFUNCTION("""COMPUTED_VALUE"""),5.32)</f>
        <v>5.32</v>
      </c>
      <c r="C3117" s="1">
        <f>IFERROR(__xludf.DUMMYFUNCTION("""COMPUTED_VALUE"""),5.35)</f>
        <v>5.35</v>
      </c>
      <c r="D3117" s="1">
        <f>IFERROR(__xludf.DUMMYFUNCTION("""COMPUTED_VALUE"""),5.19)</f>
        <v>5.19</v>
      </c>
      <c r="E3117" s="1">
        <f>IFERROR(__xludf.DUMMYFUNCTION("""COMPUTED_VALUE"""),5.19)</f>
        <v>5.19</v>
      </c>
      <c r="F3117" s="1">
        <f>IFERROR(__xludf.DUMMYFUNCTION("""COMPUTED_VALUE"""),7301500.0)</f>
        <v>7301500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IFERROR(__xludf.DUMMYFUNCTION("""COMPUTED_VALUE"""),5.02)</f>
        <v>5.02</v>
      </c>
      <c r="C3118" s="1">
        <f>IFERROR(__xludf.DUMMYFUNCTION("""COMPUTED_VALUE"""),5.08)</f>
        <v>5.08</v>
      </c>
      <c r="D3118" s="1">
        <f>IFERROR(__xludf.DUMMYFUNCTION("""COMPUTED_VALUE"""),4.99)</f>
        <v>4.99</v>
      </c>
      <c r="E3118" s="1">
        <f>IFERROR(__xludf.DUMMYFUNCTION("""COMPUTED_VALUE"""),5.04)</f>
        <v>5.04</v>
      </c>
      <c r="F3118" s="1">
        <f>IFERROR(__xludf.DUMMYFUNCTION("""COMPUTED_VALUE"""),8531246.0)</f>
        <v>8531246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IFERROR(__xludf.DUMMYFUNCTION("""COMPUTED_VALUE"""),5.14)</f>
        <v>5.14</v>
      </c>
      <c r="C3119" s="1">
        <f>IFERROR(__xludf.DUMMYFUNCTION("""COMPUTED_VALUE"""),5.15)</f>
        <v>5.15</v>
      </c>
      <c r="D3119" s="1">
        <f>IFERROR(__xludf.DUMMYFUNCTION("""COMPUTED_VALUE"""),4.97)</f>
        <v>4.97</v>
      </c>
      <c r="E3119" s="1">
        <f>IFERROR(__xludf.DUMMYFUNCTION("""COMPUTED_VALUE"""),5.07)</f>
        <v>5.07</v>
      </c>
      <c r="F3119" s="1">
        <f>IFERROR(__xludf.DUMMYFUNCTION("""COMPUTED_VALUE"""),6625137.0)</f>
        <v>6625137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IFERROR(__xludf.DUMMYFUNCTION("""COMPUTED_VALUE"""),5.23)</f>
        <v>5.23</v>
      </c>
      <c r="C3120" s="1">
        <f>IFERROR(__xludf.DUMMYFUNCTION("""COMPUTED_VALUE"""),5.34)</f>
        <v>5.34</v>
      </c>
      <c r="D3120" s="1">
        <f>IFERROR(__xludf.DUMMYFUNCTION("""COMPUTED_VALUE"""),5.23)</f>
        <v>5.23</v>
      </c>
      <c r="E3120" s="1">
        <f>IFERROR(__xludf.DUMMYFUNCTION("""COMPUTED_VALUE"""),5.32)</f>
        <v>5.32</v>
      </c>
      <c r="F3120" s="1">
        <f>IFERROR(__xludf.DUMMYFUNCTION("""COMPUTED_VALUE"""),4834613.0)</f>
        <v>4834613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IFERROR(__xludf.DUMMYFUNCTION("""COMPUTED_VALUE"""),5.27)</f>
        <v>5.27</v>
      </c>
      <c r="C3121" s="1">
        <f>IFERROR(__xludf.DUMMYFUNCTION("""COMPUTED_VALUE"""),5.34)</f>
        <v>5.34</v>
      </c>
      <c r="D3121" s="1">
        <f>IFERROR(__xludf.DUMMYFUNCTION("""COMPUTED_VALUE"""),5.21)</f>
        <v>5.21</v>
      </c>
      <c r="E3121" s="1">
        <f>IFERROR(__xludf.DUMMYFUNCTION("""COMPUTED_VALUE"""),5.34)</f>
        <v>5.34</v>
      </c>
      <c r="F3121" s="1">
        <f>IFERROR(__xludf.DUMMYFUNCTION("""COMPUTED_VALUE"""),6268500.0)</f>
        <v>6268500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IFERROR(__xludf.DUMMYFUNCTION("""COMPUTED_VALUE"""),5.27)</f>
        <v>5.27</v>
      </c>
      <c r="C3122" s="1">
        <f>IFERROR(__xludf.DUMMYFUNCTION("""COMPUTED_VALUE"""),5.37)</f>
        <v>5.37</v>
      </c>
      <c r="D3122" s="1">
        <f>IFERROR(__xludf.DUMMYFUNCTION("""COMPUTED_VALUE"""),5.27)</f>
        <v>5.27</v>
      </c>
      <c r="E3122" s="1">
        <f>IFERROR(__xludf.DUMMYFUNCTION("""COMPUTED_VALUE"""),5.34)</f>
        <v>5.34</v>
      </c>
      <c r="F3122" s="1">
        <f>IFERROR(__xludf.DUMMYFUNCTION("""COMPUTED_VALUE"""),3235574.0)</f>
        <v>3235574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IFERROR(__xludf.DUMMYFUNCTION("""COMPUTED_VALUE"""),5.33)</f>
        <v>5.33</v>
      </c>
      <c r="C3123" s="1">
        <f>IFERROR(__xludf.DUMMYFUNCTION("""COMPUTED_VALUE"""),5.44)</f>
        <v>5.44</v>
      </c>
      <c r="D3123" s="1">
        <f>IFERROR(__xludf.DUMMYFUNCTION("""COMPUTED_VALUE"""),5.33)</f>
        <v>5.33</v>
      </c>
      <c r="E3123" s="1">
        <f>IFERROR(__xludf.DUMMYFUNCTION("""COMPUTED_VALUE"""),5.42)</f>
        <v>5.42</v>
      </c>
      <c r="F3123" s="1">
        <f>IFERROR(__xludf.DUMMYFUNCTION("""COMPUTED_VALUE"""),4721523.0)</f>
        <v>4721523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IFERROR(__xludf.DUMMYFUNCTION("""COMPUTED_VALUE"""),5.45)</f>
        <v>5.45</v>
      </c>
      <c r="C3124" s="1">
        <f>IFERROR(__xludf.DUMMYFUNCTION("""COMPUTED_VALUE"""),5.52)</f>
        <v>5.52</v>
      </c>
      <c r="D3124" s="1">
        <f>IFERROR(__xludf.DUMMYFUNCTION("""COMPUTED_VALUE"""),5.44)</f>
        <v>5.44</v>
      </c>
      <c r="E3124" s="1">
        <f>IFERROR(__xludf.DUMMYFUNCTION("""COMPUTED_VALUE"""),5.49)</f>
        <v>5.49</v>
      </c>
      <c r="F3124" s="1">
        <f>IFERROR(__xludf.DUMMYFUNCTION("""COMPUTED_VALUE"""),4286543.0)</f>
        <v>4286543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IFERROR(__xludf.DUMMYFUNCTION("""COMPUTED_VALUE"""),5.4)</f>
        <v>5.4</v>
      </c>
      <c r="C3125" s="1">
        <f>IFERROR(__xludf.DUMMYFUNCTION("""COMPUTED_VALUE"""),5.42)</f>
        <v>5.42</v>
      </c>
      <c r="D3125" s="1">
        <f>IFERROR(__xludf.DUMMYFUNCTION("""COMPUTED_VALUE"""),5.35)</f>
        <v>5.35</v>
      </c>
      <c r="E3125" s="1">
        <f>IFERROR(__xludf.DUMMYFUNCTION("""COMPUTED_VALUE"""),5.37)</f>
        <v>5.37</v>
      </c>
      <c r="F3125" s="1">
        <f>IFERROR(__xludf.DUMMYFUNCTION("""COMPUTED_VALUE"""),3767420.0)</f>
        <v>3767420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IFERROR(__xludf.DUMMYFUNCTION("""COMPUTED_VALUE"""),5.36)</f>
        <v>5.36</v>
      </c>
      <c r="C3126" s="1">
        <f>IFERROR(__xludf.DUMMYFUNCTION("""COMPUTED_VALUE"""),5.37)</f>
        <v>5.37</v>
      </c>
      <c r="D3126" s="1">
        <f>IFERROR(__xludf.DUMMYFUNCTION("""COMPUTED_VALUE"""),5.22)</f>
        <v>5.22</v>
      </c>
      <c r="E3126" s="1">
        <f>IFERROR(__xludf.DUMMYFUNCTION("""COMPUTED_VALUE"""),5.28)</f>
        <v>5.28</v>
      </c>
      <c r="F3126" s="1">
        <f>IFERROR(__xludf.DUMMYFUNCTION("""COMPUTED_VALUE"""),3974789.0)</f>
        <v>3974789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IFERROR(__xludf.DUMMYFUNCTION("""COMPUTED_VALUE"""),5.2)</f>
        <v>5.2</v>
      </c>
      <c r="C3127" s="1">
        <f>IFERROR(__xludf.DUMMYFUNCTION("""COMPUTED_VALUE"""),5.23)</f>
        <v>5.23</v>
      </c>
      <c r="D3127" s="1">
        <f>IFERROR(__xludf.DUMMYFUNCTION("""COMPUTED_VALUE"""),5.14)</f>
        <v>5.14</v>
      </c>
      <c r="E3127" s="1">
        <f>IFERROR(__xludf.DUMMYFUNCTION("""COMPUTED_VALUE"""),5.22)</f>
        <v>5.22</v>
      </c>
      <c r="F3127" s="1">
        <f>IFERROR(__xludf.DUMMYFUNCTION("""COMPUTED_VALUE"""),3410236.0)</f>
        <v>3410236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IFERROR(__xludf.DUMMYFUNCTION("""COMPUTED_VALUE"""),5.22)</f>
        <v>5.22</v>
      </c>
      <c r="C3128" s="1">
        <f>IFERROR(__xludf.DUMMYFUNCTION("""COMPUTED_VALUE"""),5.28)</f>
        <v>5.28</v>
      </c>
      <c r="D3128" s="1">
        <f>IFERROR(__xludf.DUMMYFUNCTION("""COMPUTED_VALUE"""),5.22)</f>
        <v>5.22</v>
      </c>
      <c r="E3128" s="1">
        <f>IFERROR(__xludf.DUMMYFUNCTION("""COMPUTED_VALUE"""),5.24)</f>
        <v>5.24</v>
      </c>
      <c r="F3128" s="1">
        <f>IFERROR(__xludf.DUMMYFUNCTION("""COMPUTED_VALUE"""),3784320.0)</f>
        <v>3784320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IFERROR(__xludf.DUMMYFUNCTION("""COMPUTED_VALUE"""),5.36)</f>
        <v>5.36</v>
      </c>
      <c r="C3129" s="1">
        <f>IFERROR(__xludf.DUMMYFUNCTION("""COMPUTED_VALUE"""),5.42)</f>
        <v>5.42</v>
      </c>
      <c r="D3129" s="1">
        <f>IFERROR(__xludf.DUMMYFUNCTION("""COMPUTED_VALUE"""),5.34)</f>
        <v>5.34</v>
      </c>
      <c r="E3129" s="1">
        <f>IFERROR(__xludf.DUMMYFUNCTION("""COMPUTED_VALUE"""),5.35)</f>
        <v>5.35</v>
      </c>
      <c r="F3129" s="1">
        <f>IFERROR(__xludf.DUMMYFUNCTION("""COMPUTED_VALUE"""),2970340.0)</f>
        <v>2970340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IFERROR(__xludf.DUMMYFUNCTION("""COMPUTED_VALUE"""),5.32)</f>
        <v>5.32</v>
      </c>
      <c r="C3130" s="1">
        <f>IFERROR(__xludf.DUMMYFUNCTION("""COMPUTED_VALUE"""),5.36)</f>
        <v>5.36</v>
      </c>
      <c r="D3130" s="1">
        <f>IFERROR(__xludf.DUMMYFUNCTION("""COMPUTED_VALUE"""),5.27)</f>
        <v>5.27</v>
      </c>
      <c r="E3130" s="1">
        <f>IFERROR(__xludf.DUMMYFUNCTION("""COMPUTED_VALUE"""),5.34)</f>
        <v>5.34</v>
      </c>
      <c r="F3130" s="1">
        <f>IFERROR(__xludf.DUMMYFUNCTION("""COMPUTED_VALUE"""),3356219.0)</f>
        <v>3356219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IFERROR(__xludf.DUMMYFUNCTION("""COMPUTED_VALUE"""),5.29)</f>
        <v>5.29</v>
      </c>
      <c r="C3131" s="1">
        <f>IFERROR(__xludf.DUMMYFUNCTION("""COMPUTED_VALUE"""),5.31)</f>
        <v>5.31</v>
      </c>
      <c r="D3131" s="1">
        <f>IFERROR(__xludf.DUMMYFUNCTION("""COMPUTED_VALUE"""),5.23)</f>
        <v>5.23</v>
      </c>
      <c r="E3131" s="1">
        <f>IFERROR(__xludf.DUMMYFUNCTION("""COMPUTED_VALUE"""),5.25)</f>
        <v>5.25</v>
      </c>
      <c r="F3131" s="1">
        <f>IFERROR(__xludf.DUMMYFUNCTION("""COMPUTED_VALUE"""),2758313.0)</f>
        <v>2758313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IFERROR(__xludf.DUMMYFUNCTION("""COMPUTED_VALUE"""),5.22)</f>
        <v>5.22</v>
      </c>
      <c r="C3132" s="1">
        <f>IFERROR(__xludf.DUMMYFUNCTION("""COMPUTED_VALUE"""),5.22)</f>
        <v>5.22</v>
      </c>
      <c r="D3132" s="1">
        <f>IFERROR(__xludf.DUMMYFUNCTION("""COMPUTED_VALUE"""),5.11)</f>
        <v>5.11</v>
      </c>
      <c r="E3132" s="1">
        <f>IFERROR(__xludf.DUMMYFUNCTION("""COMPUTED_VALUE"""),5.11)</f>
        <v>5.11</v>
      </c>
      <c r="F3132" s="1">
        <f>IFERROR(__xludf.DUMMYFUNCTION("""COMPUTED_VALUE"""),3770902.0)</f>
        <v>3770902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IFERROR(__xludf.DUMMYFUNCTION("""COMPUTED_VALUE"""),4.94)</f>
        <v>4.94</v>
      </c>
      <c r="C3133" s="1">
        <f>IFERROR(__xludf.DUMMYFUNCTION("""COMPUTED_VALUE"""),4.94)</f>
        <v>4.94</v>
      </c>
      <c r="D3133" s="1">
        <f>IFERROR(__xludf.DUMMYFUNCTION("""COMPUTED_VALUE"""),4.81)</f>
        <v>4.81</v>
      </c>
      <c r="E3133" s="1">
        <f>IFERROR(__xludf.DUMMYFUNCTION("""COMPUTED_VALUE"""),4.83)</f>
        <v>4.83</v>
      </c>
      <c r="F3133" s="1">
        <f>IFERROR(__xludf.DUMMYFUNCTION("""COMPUTED_VALUE"""),6099136.0)</f>
        <v>6099136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IFERROR(__xludf.DUMMYFUNCTION("""COMPUTED_VALUE"""),4.6)</f>
        <v>4.6</v>
      </c>
      <c r="C3134" s="1">
        <f>IFERROR(__xludf.DUMMYFUNCTION("""COMPUTED_VALUE"""),4.63)</f>
        <v>4.63</v>
      </c>
      <c r="D3134" s="1">
        <f>IFERROR(__xludf.DUMMYFUNCTION("""COMPUTED_VALUE"""),4.51)</f>
        <v>4.51</v>
      </c>
      <c r="E3134" s="1">
        <f>IFERROR(__xludf.DUMMYFUNCTION("""COMPUTED_VALUE"""),4.52)</f>
        <v>4.52</v>
      </c>
      <c r="F3134" s="1">
        <f>IFERROR(__xludf.DUMMYFUNCTION("""COMPUTED_VALUE"""),7030613.0)</f>
        <v>7030613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IFERROR(__xludf.DUMMYFUNCTION("""COMPUTED_VALUE"""),4.55)</f>
        <v>4.55</v>
      </c>
      <c r="C3135" s="1">
        <f>IFERROR(__xludf.DUMMYFUNCTION("""COMPUTED_VALUE"""),4.61)</f>
        <v>4.61</v>
      </c>
      <c r="D3135" s="1">
        <f>IFERROR(__xludf.DUMMYFUNCTION("""COMPUTED_VALUE"""),4.49)</f>
        <v>4.49</v>
      </c>
      <c r="E3135" s="1">
        <f>IFERROR(__xludf.DUMMYFUNCTION("""COMPUTED_VALUE"""),4.55)</f>
        <v>4.55</v>
      </c>
      <c r="F3135" s="1">
        <f>IFERROR(__xludf.DUMMYFUNCTION("""COMPUTED_VALUE"""),5224859.0)</f>
        <v>5224859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IFERROR(__xludf.DUMMYFUNCTION("""COMPUTED_VALUE"""),4.71)</f>
        <v>4.71</v>
      </c>
      <c r="C3136" s="1">
        <f>IFERROR(__xludf.DUMMYFUNCTION("""COMPUTED_VALUE"""),4.78)</f>
        <v>4.78</v>
      </c>
      <c r="D3136" s="1">
        <f>IFERROR(__xludf.DUMMYFUNCTION("""COMPUTED_VALUE"""),4.64)</f>
        <v>4.64</v>
      </c>
      <c r="E3136" s="1">
        <f>IFERROR(__xludf.DUMMYFUNCTION("""COMPUTED_VALUE"""),4.74)</f>
        <v>4.74</v>
      </c>
      <c r="F3136" s="1">
        <f>IFERROR(__xludf.DUMMYFUNCTION("""COMPUTED_VALUE"""),9238953.0)</f>
        <v>9238953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IFERROR(__xludf.DUMMYFUNCTION("""COMPUTED_VALUE"""),4.59)</f>
        <v>4.59</v>
      </c>
      <c r="C3137" s="1">
        <f>IFERROR(__xludf.DUMMYFUNCTION("""COMPUTED_VALUE"""),4.61)</f>
        <v>4.61</v>
      </c>
      <c r="D3137" s="1">
        <f>IFERROR(__xludf.DUMMYFUNCTION("""COMPUTED_VALUE"""),4.52)</f>
        <v>4.52</v>
      </c>
      <c r="E3137" s="1">
        <f>IFERROR(__xludf.DUMMYFUNCTION("""COMPUTED_VALUE"""),4.56)</f>
        <v>4.56</v>
      </c>
      <c r="F3137" s="1">
        <f>IFERROR(__xludf.DUMMYFUNCTION("""COMPUTED_VALUE"""),6345534.0)</f>
        <v>6345534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IFERROR(__xludf.DUMMYFUNCTION("""COMPUTED_VALUE"""),4.58)</f>
        <v>4.58</v>
      </c>
      <c r="C3138" s="1">
        <f>IFERROR(__xludf.DUMMYFUNCTION("""COMPUTED_VALUE"""),4.61)</f>
        <v>4.61</v>
      </c>
      <c r="D3138" s="1">
        <f>IFERROR(__xludf.DUMMYFUNCTION("""COMPUTED_VALUE"""),4.51)</f>
        <v>4.51</v>
      </c>
      <c r="E3138" s="1">
        <f>IFERROR(__xludf.DUMMYFUNCTION("""COMPUTED_VALUE"""),4.57)</f>
        <v>4.57</v>
      </c>
      <c r="F3138" s="1">
        <f>IFERROR(__xludf.DUMMYFUNCTION("""COMPUTED_VALUE"""),7207247.0)</f>
        <v>7207247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IFERROR(__xludf.DUMMYFUNCTION("""COMPUTED_VALUE"""),4.71)</f>
        <v>4.71</v>
      </c>
      <c r="C3139" s="1">
        <f>IFERROR(__xludf.DUMMYFUNCTION("""COMPUTED_VALUE"""),4.72)</f>
        <v>4.72</v>
      </c>
      <c r="D3139" s="1">
        <f>IFERROR(__xludf.DUMMYFUNCTION("""COMPUTED_VALUE"""),4.67)</f>
        <v>4.67</v>
      </c>
      <c r="E3139" s="1">
        <f>IFERROR(__xludf.DUMMYFUNCTION("""COMPUTED_VALUE"""),4.69)</f>
        <v>4.69</v>
      </c>
      <c r="F3139" s="1">
        <f>IFERROR(__xludf.DUMMYFUNCTION("""COMPUTED_VALUE"""),2874063.0)</f>
        <v>2874063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IFERROR(__xludf.DUMMYFUNCTION("""COMPUTED_VALUE"""),4.57)</f>
        <v>4.57</v>
      </c>
      <c r="C3140" s="1">
        <f>IFERROR(__xludf.DUMMYFUNCTION("""COMPUTED_VALUE"""),4.66)</f>
        <v>4.66</v>
      </c>
      <c r="D3140" s="1">
        <f>IFERROR(__xludf.DUMMYFUNCTION("""COMPUTED_VALUE"""),4.56)</f>
        <v>4.56</v>
      </c>
      <c r="E3140" s="1">
        <f>IFERROR(__xludf.DUMMYFUNCTION("""COMPUTED_VALUE"""),4.6)</f>
        <v>4.6</v>
      </c>
      <c r="F3140" s="1">
        <f>IFERROR(__xludf.DUMMYFUNCTION("""COMPUTED_VALUE"""),2771702.0)</f>
        <v>2771702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IFERROR(__xludf.DUMMYFUNCTION("""COMPUTED_VALUE"""),4.43)</f>
        <v>4.43</v>
      </c>
      <c r="C3141" s="1">
        <f>IFERROR(__xludf.DUMMYFUNCTION("""COMPUTED_VALUE"""),4.45)</f>
        <v>4.45</v>
      </c>
      <c r="D3141" s="1">
        <f>IFERROR(__xludf.DUMMYFUNCTION("""COMPUTED_VALUE"""),4.3)</f>
        <v>4.3</v>
      </c>
      <c r="E3141" s="1">
        <f>IFERROR(__xludf.DUMMYFUNCTION("""COMPUTED_VALUE"""),4.36)</f>
        <v>4.36</v>
      </c>
      <c r="F3141" s="1">
        <f>IFERROR(__xludf.DUMMYFUNCTION("""COMPUTED_VALUE"""),3503923.0)</f>
        <v>3503923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IFERROR(__xludf.DUMMYFUNCTION("""COMPUTED_VALUE"""),4.39)</f>
        <v>4.39</v>
      </c>
      <c r="C3142" s="1">
        <f>IFERROR(__xludf.DUMMYFUNCTION("""COMPUTED_VALUE"""),4.55)</f>
        <v>4.55</v>
      </c>
      <c r="D3142" s="1">
        <f>IFERROR(__xludf.DUMMYFUNCTION("""COMPUTED_VALUE"""),4.39)</f>
        <v>4.39</v>
      </c>
      <c r="E3142" s="1">
        <f>IFERROR(__xludf.DUMMYFUNCTION("""COMPUTED_VALUE"""),4.53)</f>
        <v>4.53</v>
      </c>
      <c r="F3142" s="1">
        <f>IFERROR(__xludf.DUMMYFUNCTION("""COMPUTED_VALUE"""),3891055.0)</f>
        <v>3891055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IFERROR(__xludf.DUMMYFUNCTION("""COMPUTED_VALUE"""),4.54)</f>
        <v>4.54</v>
      </c>
      <c r="C3143" s="1">
        <f>IFERROR(__xludf.DUMMYFUNCTION("""COMPUTED_VALUE"""),4.61)</f>
        <v>4.61</v>
      </c>
      <c r="D3143" s="1">
        <f>IFERROR(__xludf.DUMMYFUNCTION("""COMPUTED_VALUE"""),4.51)</f>
        <v>4.51</v>
      </c>
      <c r="E3143" s="1">
        <f>IFERROR(__xludf.DUMMYFUNCTION("""COMPUTED_VALUE"""),4.56)</f>
        <v>4.56</v>
      </c>
      <c r="F3143" s="1">
        <f>IFERROR(__xludf.DUMMYFUNCTION("""COMPUTED_VALUE"""),3411057.0)</f>
        <v>3411057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IFERROR(__xludf.DUMMYFUNCTION("""COMPUTED_VALUE"""),4.61)</f>
        <v>4.61</v>
      </c>
      <c r="C3144" s="1">
        <f>IFERROR(__xludf.DUMMYFUNCTION("""COMPUTED_VALUE"""),4.67)</f>
        <v>4.67</v>
      </c>
      <c r="D3144" s="1">
        <f>IFERROR(__xludf.DUMMYFUNCTION("""COMPUTED_VALUE"""),4.51)</f>
        <v>4.51</v>
      </c>
      <c r="E3144" s="1">
        <f>IFERROR(__xludf.DUMMYFUNCTION("""COMPUTED_VALUE"""),4.54)</f>
        <v>4.54</v>
      </c>
      <c r="F3144" s="1">
        <f>IFERROR(__xludf.DUMMYFUNCTION("""COMPUTED_VALUE"""),6183550.0)</f>
        <v>6183550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IFERROR(__xludf.DUMMYFUNCTION("""COMPUTED_VALUE"""),4.48)</f>
        <v>4.48</v>
      </c>
      <c r="C3145" s="1">
        <f>IFERROR(__xludf.DUMMYFUNCTION("""COMPUTED_VALUE"""),4.5)</f>
        <v>4.5</v>
      </c>
      <c r="D3145" s="1">
        <f>IFERROR(__xludf.DUMMYFUNCTION("""COMPUTED_VALUE"""),4.42)</f>
        <v>4.42</v>
      </c>
      <c r="E3145" s="1">
        <f>IFERROR(__xludf.DUMMYFUNCTION("""COMPUTED_VALUE"""),4.45)</f>
        <v>4.45</v>
      </c>
      <c r="F3145" s="1">
        <f>IFERROR(__xludf.DUMMYFUNCTION("""COMPUTED_VALUE"""),6452539.0)</f>
        <v>6452539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IFERROR(__xludf.DUMMYFUNCTION("""COMPUTED_VALUE"""),4.3)</f>
        <v>4.3</v>
      </c>
      <c r="C3146" s="1">
        <f>IFERROR(__xludf.DUMMYFUNCTION("""COMPUTED_VALUE"""),4.41)</f>
        <v>4.41</v>
      </c>
      <c r="D3146" s="1">
        <f>IFERROR(__xludf.DUMMYFUNCTION("""COMPUTED_VALUE"""),4.26)</f>
        <v>4.26</v>
      </c>
      <c r="E3146" s="1">
        <f>IFERROR(__xludf.DUMMYFUNCTION("""COMPUTED_VALUE"""),4.38)</f>
        <v>4.38</v>
      </c>
      <c r="F3146" s="1">
        <f>IFERROR(__xludf.DUMMYFUNCTION("""COMPUTED_VALUE"""),3486029.0)</f>
        <v>3486029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IFERROR(__xludf.DUMMYFUNCTION("""COMPUTED_VALUE"""),4.46)</f>
        <v>4.46</v>
      </c>
      <c r="C3147" s="1">
        <f>IFERROR(__xludf.DUMMYFUNCTION("""COMPUTED_VALUE"""),4.51)</f>
        <v>4.51</v>
      </c>
      <c r="D3147" s="1">
        <f>IFERROR(__xludf.DUMMYFUNCTION("""COMPUTED_VALUE"""),4.38)</f>
        <v>4.38</v>
      </c>
      <c r="E3147" s="1">
        <f>IFERROR(__xludf.DUMMYFUNCTION("""COMPUTED_VALUE"""),4.49)</f>
        <v>4.49</v>
      </c>
      <c r="F3147" s="1">
        <f>IFERROR(__xludf.DUMMYFUNCTION("""COMPUTED_VALUE"""),3892451.0)</f>
        <v>3892451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IFERROR(__xludf.DUMMYFUNCTION("""COMPUTED_VALUE"""),4.07)</f>
        <v>4.07</v>
      </c>
      <c r="C3148" s="1">
        <f>IFERROR(__xludf.DUMMYFUNCTION("""COMPUTED_VALUE"""),4.09)</f>
        <v>4.09</v>
      </c>
      <c r="D3148" s="1">
        <f>IFERROR(__xludf.DUMMYFUNCTION("""COMPUTED_VALUE"""),3.99)</f>
        <v>3.99</v>
      </c>
      <c r="E3148" s="1">
        <f>IFERROR(__xludf.DUMMYFUNCTION("""COMPUTED_VALUE"""),4.07)</f>
        <v>4.07</v>
      </c>
      <c r="F3148" s="1">
        <f>IFERROR(__xludf.DUMMYFUNCTION("""COMPUTED_VALUE"""),5867145.0)</f>
        <v>5867145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IFERROR(__xludf.DUMMYFUNCTION("""COMPUTED_VALUE"""),4.0)</f>
        <v>4</v>
      </c>
      <c r="C3149" s="1">
        <f>IFERROR(__xludf.DUMMYFUNCTION("""COMPUTED_VALUE"""),4.04)</f>
        <v>4.04</v>
      </c>
      <c r="D3149" s="1">
        <f>IFERROR(__xludf.DUMMYFUNCTION("""COMPUTED_VALUE"""),3.96)</f>
        <v>3.96</v>
      </c>
      <c r="E3149" s="1">
        <f>IFERROR(__xludf.DUMMYFUNCTION("""COMPUTED_VALUE"""),4.01)</f>
        <v>4.01</v>
      </c>
      <c r="F3149" s="1">
        <f>IFERROR(__xludf.DUMMYFUNCTION("""COMPUTED_VALUE"""),4131449.0)</f>
        <v>4131449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IFERROR(__xludf.DUMMYFUNCTION("""COMPUTED_VALUE"""),4.11)</f>
        <v>4.11</v>
      </c>
      <c r="C3150" s="1">
        <f>IFERROR(__xludf.DUMMYFUNCTION("""COMPUTED_VALUE"""),4.17)</f>
        <v>4.17</v>
      </c>
      <c r="D3150" s="1">
        <f>IFERROR(__xludf.DUMMYFUNCTION("""COMPUTED_VALUE"""),4.11)</f>
        <v>4.11</v>
      </c>
      <c r="E3150" s="1">
        <f>IFERROR(__xludf.DUMMYFUNCTION("""COMPUTED_VALUE"""),4.13)</f>
        <v>4.13</v>
      </c>
      <c r="F3150" s="1">
        <f>IFERROR(__xludf.DUMMYFUNCTION("""COMPUTED_VALUE"""),2790254.0)</f>
        <v>2790254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IFERROR(__xludf.DUMMYFUNCTION("""COMPUTED_VALUE"""),4.24)</f>
        <v>4.24</v>
      </c>
      <c r="C3151" s="1">
        <f>IFERROR(__xludf.DUMMYFUNCTION("""COMPUTED_VALUE"""),4.26)</f>
        <v>4.26</v>
      </c>
      <c r="D3151" s="1">
        <f>IFERROR(__xludf.DUMMYFUNCTION("""COMPUTED_VALUE"""),4.2)</f>
        <v>4.2</v>
      </c>
      <c r="E3151" s="1">
        <f>IFERROR(__xludf.DUMMYFUNCTION("""COMPUTED_VALUE"""),4.21)</f>
        <v>4.21</v>
      </c>
      <c r="F3151" s="1">
        <f>IFERROR(__xludf.DUMMYFUNCTION("""COMPUTED_VALUE"""),3285888.0)</f>
        <v>3285888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IFERROR(__xludf.DUMMYFUNCTION("""COMPUTED_VALUE"""),4.18)</f>
        <v>4.18</v>
      </c>
      <c r="C3152" s="1">
        <f>IFERROR(__xludf.DUMMYFUNCTION("""COMPUTED_VALUE"""),4.21)</f>
        <v>4.21</v>
      </c>
      <c r="D3152" s="1">
        <f>IFERROR(__xludf.DUMMYFUNCTION("""COMPUTED_VALUE"""),4.14)</f>
        <v>4.14</v>
      </c>
      <c r="E3152" s="1">
        <f>IFERROR(__xludf.DUMMYFUNCTION("""COMPUTED_VALUE"""),4.16)</f>
        <v>4.16</v>
      </c>
      <c r="F3152" s="1">
        <f>IFERROR(__xludf.DUMMYFUNCTION("""COMPUTED_VALUE"""),2520029.0)</f>
        <v>2520029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IFERROR(__xludf.DUMMYFUNCTION("""COMPUTED_VALUE"""),4.09)</f>
        <v>4.09</v>
      </c>
      <c r="C3153" s="1">
        <f>IFERROR(__xludf.DUMMYFUNCTION("""COMPUTED_VALUE"""),4.21)</f>
        <v>4.21</v>
      </c>
      <c r="D3153" s="1">
        <f>IFERROR(__xludf.DUMMYFUNCTION("""COMPUTED_VALUE"""),4.09)</f>
        <v>4.09</v>
      </c>
      <c r="E3153" s="1">
        <f>IFERROR(__xludf.DUMMYFUNCTION("""COMPUTED_VALUE"""),4.13)</f>
        <v>4.13</v>
      </c>
      <c r="F3153" s="1">
        <f>IFERROR(__xludf.DUMMYFUNCTION("""COMPUTED_VALUE"""),2788936.0)</f>
        <v>2788936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IFERROR(__xludf.DUMMYFUNCTION("""COMPUTED_VALUE"""),4.06)</f>
        <v>4.06</v>
      </c>
      <c r="C3154" s="1">
        <f>IFERROR(__xludf.DUMMYFUNCTION("""COMPUTED_VALUE"""),4.1)</f>
        <v>4.1</v>
      </c>
      <c r="D3154" s="1">
        <f>IFERROR(__xludf.DUMMYFUNCTION("""COMPUTED_VALUE"""),4.0)</f>
        <v>4</v>
      </c>
      <c r="E3154" s="1">
        <f>IFERROR(__xludf.DUMMYFUNCTION("""COMPUTED_VALUE"""),4.07)</f>
        <v>4.07</v>
      </c>
      <c r="F3154" s="1">
        <f>IFERROR(__xludf.DUMMYFUNCTION("""COMPUTED_VALUE"""),4100555.0)</f>
        <v>4100555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IFERROR(__xludf.DUMMYFUNCTION("""COMPUTED_VALUE"""),3.96)</f>
        <v>3.96</v>
      </c>
      <c r="C3155" s="1">
        <f>IFERROR(__xludf.DUMMYFUNCTION("""COMPUTED_VALUE"""),3.96)</f>
        <v>3.96</v>
      </c>
      <c r="D3155" s="1">
        <f>IFERROR(__xludf.DUMMYFUNCTION("""COMPUTED_VALUE"""),3.9)</f>
        <v>3.9</v>
      </c>
      <c r="E3155" s="1">
        <f>IFERROR(__xludf.DUMMYFUNCTION("""COMPUTED_VALUE"""),3.93)</f>
        <v>3.93</v>
      </c>
      <c r="F3155" s="1">
        <f>IFERROR(__xludf.DUMMYFUNCTION("""COMPUTED_VALUE"""),3741050.0)</f>
        <v>3741050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IFERROR(__xludf.DUMMYFUNCTION("""COMPUTED_VALUE"""),3.98)</f>
        <v>3.98</v>
      </c>
      <c r="C3156" s="1">
        <f>IFERROR(__xludf.DUMMYFUNCTION("""COMPUTED_VALUE"""),4.05)</f>
        <v>4.05</v>
      </c>
      <c r="D3156" s="1">
        <f>IFERROR(__xludf.DUMMYFUNCTION("""COMPUTED_VALUE"""),3.96)</f>
        <v>3.96</v>
      </c>
      <c r="E3156" s="1">
        <f>IFERROR(__xludf.DUMMYFUNCTION("""COMPUTED_VALUE"""),4.02)</f>
        <v>4.02</v>
      </c>
      <c r="F3156" s="1">
        <f>IFERROR(__xludf.DUMMYFUNCTION("""COMPUTED_VALUE"""),2962380.0)</f>
        <v>2962380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IFERROR(__xludf.DUMMYFUNCTION("""COMPUTED_VALUE"""),4.12)</f>
        <v>4.12</v>
      </c>
      <c r="C3157" s="1">
        <f>IFERROR(__xludf.DUMMYFUNCTION("""COMPUTED_VALUE"""),4.18)</f>
        <v>4.18</v>
      </c>
      <c r="D3157" s="1">
        <f>IFERROR(__xludf.DUMMYFUNCTION("""COMPUTED_VALUE"""),4.1)</f>
        <v>4.1</v>
      </c>
      <c r="E3157" s="1">
        <f>IFERROR(__xludf.DUMMYFUNCTION("""COMPUTED_VALUE"""),4.13)</f>
        <v>4.13</v>
      </c>
      <c r="F3157" s="1">
        <f>IFERROR(__xludf.DUMMYFUNCTION("""COMPUTED_VALUE"""),5443198.0)</f>
        <v>5443198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IFERROR(__xludf.DUMMYFUNCTION("""COMPUTED_VALUE"""),4.18)</f>
        <v>4.18</v>
      </c>
      <c r="C3158" s="1">
        <f>IFERROR(__xludf.DUMMYFUNCTION("""COMPUTED_VALUE"""),4.28)</f>
        <v>4.28</v>
      </c>
      <c r="D3158" s="1">
        <f>IFERROR(__xludf.DUMMYFUNCTION("""COMPUTED_VALUE"""),4.18)</f>
        <v>4.18</v>
      </c>
      <c r="E3158" s="1">
        <f>IFERROR(__xludf.DUMMYFUNCTION("""COMPUTED_VALUE"""),4.23)</f>
        <v>4.23</v>
      </c>
      <c r="F3158" s="1">
        <f>IFERROR(__xludf.DUMMYFUNCTION("""COMPUTED_VALUE"""),3530240.0)</f>
        <v>3530240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IFERROR(__xludf.DUMMYFUNCTION("""COMPUTED_VALUE"""),4.22)</f>
        <v>4.22</v>
      </c>
      <c r="C3159" s="1">
        <f>IFERROR(__xludf.DUMMYFUNCTION("""COMPUTED_VALUE"""),4.24)</f>
        <v>4.24</v>
      </c>
      <c r="D3159" s="1">
        <f>IFERROR(__xludf.DUMMYFUNCTION("""COMPUTED_VALUE"""),4.15)</f>
        <v>4.15</v>
      </c>
      <c r="E3159" s="1">
        <f>IFERROR(__xludf.DUMMYFUNCTION("""COMPUTED_VALUE"""),4.17)</f>
        <v>4.17</v>
      </c>
      <c r="F3159" s="1">
        <f>IFERROR(__xludf.DUMMYFUNCTION("""COMPUTED_VALUE"""),4091212.0)</f>
        <v>4091212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IFERROR(__xludf.DUMMYFUNCTION("""COMPUTED_VALUE"""),4.18)</f>
        <v>4.18</v>
      </c>
      <c r="C3160" s="1">
        <f>IFERROR(__xludf.DUMMYFUNCTION("""COMPUTED_VALUE"""),4.22)</f>
        <v>4.22</v>
      </c>
      <c r="D3160" s="1">
        <f>IFERROR(__xludf.DUMMYFUNCTION("""COMPUTED_VALUE"""),4.13)</f>
        <v>4.13</v>
      </c>
      <c r="E3160" s="1">
        <f>IFERROR(__xludf.DUMMYFUNCTION("""COMPUTED_VALUE"""),4.2)</f>
        <v>4.2</v>
      </c>
      <c r="F3160" s="1">
        <f>IFERROR(__xludf.DUMMYFUNCTION("""COMPUTED_VALUE"""),3658853.0)</f>
        <v>3658853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IFERROR(__xludf.DUMMYFUNCTION("""COMPUTED_VALUE"""),4.17)</f>
        <v>4.17</v>
      </c>
      <c r="C3161" s="1">
        <f>IFERROR(__xludf.DUMMYFUNCTION("""COMPUTED_VALUE"""),4.2)</f>
        <v>4.2</v>
      </c>
      <c r="D3161" s="1">
        <f>IFERROR(__xludf.DUMMYFUNCTION("""COMPUTED_VALUE"""),4.12)</f>
        <v>4.12</v>
      </c>
      <c r="E3161" s="1">
        <f>IFERROR(__xludf.DUMMYFUNCTION("""COMPUTED_VALUE"""),4.16)</f>
        <v>4.16</v>
      </c>
      <c r="F3161" s="1">
        <f>IFERROR(__xludf.DUMMYFUNCTION("""COMPUTED_VALUE"""),3129001.0)</f>
        <v>3129001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IFERROR(__xludf.DUMMYFUNCTION("""COMPUTED_VALUE"""),4.21)</f>
        <v>4.21</v>
      </c>
      <c r="C3162" s="1">
        <f>IFERROR(__xludf.DUMMYFUNCTION("""COMPUTED_VALUE"""),4.27)</f>
        <v>4.27</v>
      </c>
      <c r="D3162" s="1">
        <f>IFERROR(__xludf.DUMMYFUNCTION("""COMPUTED_VALUE"""),4.2)</f>
        <v>4.2</v>
      </c>
      <c r="E3162" s="1">
        <f>IFERROR(__xludf.DUMMYFUNCTION("""COMPUTED_VALUE"""),4.24)</f>
        <v>4.24</v>
      </c>
      <c r="F3162" s="1">
        <f>IFERROR(__xludf.DUMMYFUNCTION("""COMPUTED_VALUE"""),3062550.0)</f>
        <v>3062550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IFERROR(__xludf.DUMMYFUNCTION("""COMPUTED_VALUE"""),4.19)</f>
        <v>4.19</v>
      </c>
      <c r="C3163" s="1">
        <f>IFERROR(__xludf.DUMMYFUNCTION("""COMPUTED_VALUE"""),4.21)</f>
        <v>4.21</v>
      </c>
      <c r="D3163" s="1">
        <f>IFERROR(__xludf.DUMMYFUNCTION("""COMPUTED_VALUE"""),4.12)</f>
        <v>4.12</v>
      </c>
      <c r="E3163" s="1">
        <f>IFERROR(__xludf.DUMMYFUNCTION("""COMPUTED_VALUE"""),4.12)</f>
        <v>4.12</v>
      </c>
      <c r="F3163" s="1">
        <f>IFERROR(__xludf.DUMMYFUNCTION("""COMPUTED_VALUE"""),2701064.0)</f>
        <v>2701064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IFERROR(__xludf.DUMMYFUNCTION("""COMPUTED_VALUE"""),4.2)</f>
        <v>4.2</v>
      </c>
      <c r="C3164" s="1">
        <f>IFERROR(__xludf.DUMMYFUNCTION("""COMPUTED_VALUE"""),4.29)</f>
        <v>4.29</v>
      </c>
      <c r="D3164" s="1">
        <f>IFERROR(__xludf.DUMMYFUNCTION("""COMPUTED_VALUE"""),4.2)</f>
        <v>4.2</v>
      </c>
      <c r="E3164" s="1">
        <f>IFERROR(__xludf.DUMMYFUNCTION("""COMPUTED_VALUE"""),4.29)</f>
        <v>4.29</v>
      </c>
      <c r="F3164" s="1">
        <f>IFERROR(__xludf.DUMMYFUNCTION("""COMPUTED_VALUE"""),2883323.0)</f>
        <v>2883323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IFERROR(__xludf.DUMMYFUNCTION("""COMPUTED_VALUE"""),4.28)</f>
        <v>4.28</v>
      </c>
      <c r="C3165" s="1">
        <f>IFERROR(__xludf.DUMMYFUNCTION("""COMPUTED_VALUE"""),4.3)</f>
        <v>4.3</v>
      </c>
      <c r="D3165" s="1">
        <f>IFERROR(__xludf.DUMMYFUNCTION("""COMPUTED_VALUE"""),4.2)</f>
        <v>4.2</v>
      </c>
      <c r="E3165" s="1">
        <f>IFERROR(__xludf.DUMMYFUNCTION("""COMPUTED_VALUE"""),4.28)</f>
        <v>4.28</v>
      </c>
      <c r="F3165" s="1">
        <f>IFERROR(__xludf.DUMMYFUNCTION("""COMPUTED_VALUE"""),2871559.0)</f>
        <v>2871559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IFERROR(__xludf.DUMMYFUNCTION("""COMPUTED_VALUE"""),4.36)</f>
        <v>4.36</v>
      </c>
      <c r="C3166" s="1">
        <f>IFERROR(__xludf.DUMMYFUNCTION("""COMPUTED_VALUE"""),4.42)</f>
        <v>4.42</v>
      </c>
      <c r="D3166" s="1">
        <f>IFERROR(__xludf.DUMMYFUNCTION("""COMPUTED_VALUE"""),4.36)</f>
        <v>4.36</v>
      </c>
      <c r="E3166" s="1">
        <f>IFERROR(__xludf.DUMMYFUNCTION("""COMPUTED_VALUE"""),4.4)</f>
        <v>4.4</v>
      </c>
      <c r="F3166" s="1">
        <f>IFERROR(__xludf.DUMMYFUNCTION("""COMPUTED_VALUE"""),2234977.0)</f>
        <v>2234977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IFERROR(__xludf.DUMMYFUNCTION("""COMPUTED_VALUE"""),4.4)</f>
        <v>4.4</v>
      </c>
      <c r="C3167" s="1">
        <f>IFERROR(__xludf.DUMMYFUNCTION("""COMPUTED_VALUE"""),4.42)</f>
        <v>4.42</v>
      </c>
      <c r="D3167" s="1">
        <f>IFERROR(__xludf.DUMMYFUNCTION("""COMPUTED_VALUE"""),4.34)</f>
        <v>4.34</v>
      </c>
      <c r="E3167" s="1">
        <f>IFERROR(__xludf.DUMMYFUNCTION("""COMPUTED_VALUE"""),4.35)</f>
        <v>4.35</v>
      </c>
      <c r="F3167" s="1">
        <f>IFERROR(__xludf.DUMMYFUNCTION("""COMPUTED_VALUE"""),3423561.0)</f>
        <v>3423561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IFERROR(__xludf.DUMMYFUNCTION("""COMPUTED_VALUE"""),4.37)</f>
        <v>4.37</v>
      </c>
      <c r="C3168" s="1">
        <f>IFERROR(__xludf.DUMMYFUNCTION("""COMPUTED_VALUE"""),4.38)</f>
        <v>4.38</v>
      </c>
      <c r="D3168" s="1">
        <f>IFERROR(__xludf.DUMMYFUNCTION("""COMPUTED_VALUE"""),4.29)</f>
        <v>4.29</v>
      </c>
      <c r="E3168" s="1">
        <f>IFERROR(__xludf.DUMMYFUNCTION("""COMPUTED_VALUE"""),4.29)</f>
        <v>4.29</v>
      </c>
      <c r="F3168" s="1">
        <f>IFERROR(__xludf.DUMMYFUNCTION("""COMPUTED_VALUE"""),3404205.0)</f>
        <v>3404205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IFERROR(__xludf.DUMMYFUNCTION("""COMPUTED_VALUE"""),4.38)</f>
        <v>4.38</v>
      </c>
      <c r="C3169" s="1">
        <f>IFERROR(__xludf.DUMMYFUNCTION("""COMPUTED_VALUE"""),4.39)</f>
        <v>4.39</v>
      </c>
      <c r="D3169" s="1">
        <f>IFERROR(__xludf.DUMMYFUNCTION("""COMPUTED_VALUE"""),4.34)</f>
        <v>4.34</v>
      </c>
      <c r="E3169" s="1">
        <f>IFERROR(__xludf.DUMMYFUNCTION("""COMPUTED_VALUE"""),4.37)</f>
        <v>4.37</v>
      </c>
      <c r="F3169" s="1">
        <f>IFERROR(__xludf.DUMMYFUNCTION("""COMPUTED_VALUE"""),4253691.0)</f>
        <v>4253691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IFERROR(__xludf.DUMMYFUNCTION("""COMPUTED_VALUE"""),4.44)</f>
        <v>4.44</v>
      </c>
      <c r="C3170" s="1">
        <f>IFERROR(__xludf.DUMMYFUNCTION("""COMPUTED_VALUE"""),4.46)</f>
        <v>4.46</v>
      </c>
      <c r="D3170" s="1">
        <f>IFERROR(__xludf.DUMMYFUNCTION("""COMPUTED_VALUE"""),3.9)</f>
        <v>3.9</v>
      </c>
      <c r="E3170" s="1">
        <f>IFERROR(__xludf.DUMMYFUNCTION("""COMPUTED_VALUE"""),4.24)</f>
        <v>4.24</v>
      </c>
      <c r="F3170" s="1">
        <f>IFERROR(__xludf.DUMMYFUNCTION("""COMPUTED_VALUE"""),1.3539221E7)</f>
        <v>13539221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IFERROR(__xludf.DUMMYFUNCTION("""COMPUTED_VALUE"""),4.35)</f>
        <v>4.35</v>
      </c>
      <c r="C3171" s="1">
        <f>IFERROR(__xludf.DUMMYFUNCTION("""COMPUTED_VALUE"""),4.48)</f>
        <v>4.48</v>
      </c>
      <c r="D3171" s="1">
        <f>IFERROR(__xludf.DUMMYFUNCTION("""COMPUTED_VALUE"""),4.33)</f>
        <v>4.33</v>
      </c>
      <c r="E3171" s="1">
        <f>IFERROR(__xludf.DUMMYFUNCTION("""COMPUTED_VALUE"""),4.47)</f>
        <v>4.47</v>
      </c>
      <c r="F3171" s="1">
        <f>IFERROR(__xludf.DUMMYFUNCTION("""COMPUTED_VALUE"""),6431375.0)</f>
        <v>6431375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IFERROR(__xludf.DUMMYFUNCTION("""COMPUTED_VALUE"""),4.49)</f>
        <v>4.49</v>
      </c>
      <c r="C3172" s="1">
        <f>IFERROR(__xludf.DUMMYFUNCTION("""COMPUTED_VALUE"""),4.53)</f>
        <v>4.53</v>
      </c>
      <c r="D3172" s="1">
        <f>IFERROR(__xludf.DUMMYFUNCTION("""COMPUTED_VALUE"""),4.48)</f>
        <v>4.48</v>
      </c>
      <c r="E3172" s="1">
        <f>IFERROR(__xludf.DUMMYFUNCTION("""COMPUTED_VALUE"""),4.48)</f>
        <v>4.48</v>
      </c>
      <c r="F3172" s="1">
        <f>IFERROR(__xludf.DUMMYFUNCTION("""COMPUTED_VALUE"""),3529546.0)</f>
        <v>3529546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IFERROR(__xludf.DUMMYFUNCTION("""COMPUTED_VALUE"""),4.5)</f>
        <v>4.5</v>
      </c>
      <c r="C3173" s="1">
        <f>IFERROR(__xludf.DUMMYFUNCTION("""COMPUTED_VALUE"""),4.53)</f>
        <v>4.53</v>
      </c>
      <c r="D3173" s="1">
        <f>IFERROR(__xludf.DUMMYFUNCTION("""COMPUTED_VALUE"""),4.46)</f>
        <v>4.46</v>
      </c>
      <c r="E3173" s="1">
        <f>IFERROR(__xludf.DUMMYFUNCTION("""COMPUTED_VALUE"""),4.5)</f>
        <v>4.5</v>
      </c>
      <c r="F3173" s="1">
        <f>IFERROR(__xludf.DUMMYFUNCTION("""COMPUTED_VALUE"""),3642529.0)</f>
        <v>3642529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IFERROR(__xludf.DUMMYFUNCTION("""COMPUTED_VALUE"""),4.57)</f>
        <v>4.57</v>
      </c>
      <c r="C3174" s="1">
        <f>IFERROR(__xludf.DUMMYFUNCTION("""COMPUTED_VALUE"""),4.64)</f>
        <v>4.64</v>
      </c>
      <c r="D3174" s="1">
        <f>IFERROR(__xludf.DUMMYFUNCTION("""COMPUTED_VALUE"""),4.57)</f>
        <v>4.57</v>
      </c>
      <c r="E3174" s="1">
        <f>IFERROR(__xludf.DUMMYFUNCTION("""COMPUTED_VALUE"""),4.64)</f>
        <v>4.64</v>
      </c>
      <c r="F3174" s="1">
        <f>IFERROR(__xludf.DUMMYFUNCTION("""COMPUTED_VALUE"""),2426230.0)</f>
        <v>2426230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IFERROR(__xludf.DUMMYFUNCTION("""COMPUTED_VALUE"""),5.04)</f>
        <v>5.04</v>
      </c>
      <c r="C3175" s="1">
        <f>IFERROR(__xludf.DUMMYFUNCTION("""COMPUTED_VALUE"""),5.11)</f>
        <v>5.11</v>
      </c>
      <c r="D3175" s="1">
        <f>IFERROR(__xludf.DUMMYFUNCTION("""COMPUTED_VALUE"""),5.01)</f>
        <v>5.01</v>
      </c>
      <c r="E3175" s="1">
        <f>IFERROR(__xludf.DUMMYFUNCTION("""COMPUTED_VALUE"""),5.03)</f>
        <v>5.03</v>
      </c>
      <c r="F3175" s="1">
        <f>IFERROR(__xludf.DUMMYFUNCTION("""COMPUTED_VALUE"""),4872564.0)</f>
        <v>4872564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IFERROR(__xludf.DUMMYFUNCTION("""COMPUTED_VALUE"""),5.07)</f>
        <v>5.07</v>
      </c>
      <c r="C3176" s="1">
        <f>IFERROR(__xludf.DUMMYFUNCTION("""COMPUTED_VALUE"""),5.08)</f>
        <v>5.08</v>
      </c>
      <c r="D3176" s="1">
        <f>IFERROR(__xludf.DUMMYFUNCTION("""COMPUTED_VALUE"""),5.02)</f>
        <v>5.02</v>
      </c>
      <c r="E3176" s="1">
        <f>IFERROR(__xludf.DUMMYFUNCTION("""COMPUTED_VALUE"""),5.07)</f>
        <v>5.07</v>
      </c>
      <c r="F3176" s="1">
        <f>IFERROR(__xludf.DUMMYFUNCTION("""COMPUTED_VALUE"""),2005649.0)</f>
        <v>2005649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IFERROR(__xludf.DUMMYFUNCTION("""COMPUTED_VALUE"""),4.87)</f>
        <v>4.87</v>
      </c>
      <c r="C3177" s="1">
        <f>IFERROR(__xludf.DUMMYFUNCTION("""COMPUTED_VALUE"""),4.91)</f>
        <v>4.91</v>
      </c>
      <c r="D3177" s="1">
        <f>IFERROR(__xludf.DUMMYFUNCTION("""COMPUTED_VALUE"""),4.85)</f>
        <v>4.85</v>
      </c>
      <c r="E3177" s="1">
        <f>IFERROR(__xludf.DUMMYFUNCTION("""COMPUTED_VALUE"""),4.9)</f>
        <v>4.9</v>
      </c>
      <c r="F3177" s="1">
        <f>IFERROR(__xludf.DUMMYFUNCTION("""COMPUTED_VALUE"""),2426875.0)</f>
        <v>2426875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IFERROR(__xludf.DUMMYFUNCTION("""COMPUTED_VALUE"""),4.92)</f>
        <v>4.92</v>
      </c>
      <c r="C3178" s="1">
        <f>IFERROR(__xludf.DUMMYFUNCTION("""COMPUTED_VALUE"""),5.05)</f>
        <v>5.05</v>
      </c>
      <c r="D3178" s="1">
        <f>IFERROR(__xludf.DUMMYFUNCTION("""COMPUTED_VALUE"""),4.92)</f>
        <v>4.92</v>
      </c>
      <c r="E3178" s="1">
        <f>IFERROR(__xludf.DUMMYFUNCTION("""COMPUTED_VALUE"""),5.01)</f>
        <v>5.01</v>
      </c>
      <c r="F3178" s="1">
        <f>IFERROR(__xludf.DUMMYFUNCTION("""COMPUTED_VALUE"""),3390329.0)</f>
        <v>3390329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IFERROR(__xludf.DUMMYFUNCTION("""COMPUTED_VALUE"""),4.87)</f>
        <v>4.87</v>
      </c>
      <c r="C3179" s="1">
        <f>IFERROR(__xludf.DUMMYFUNCTION("""COMPUTED_VALUE"""),4.94)</f>
        <v>4.94</v>
      </c>
      <c r="D3179" s="1">
        <f>IFERROR(__xludf.DUMMYFUNCTION("""COMPUTED_VALUE"""),4.86)</f>
        <v>4.86</v>
      </c>
      <c r="E3179" s="1">
        <f>IFERROR(__xludf.DUMMYFUNCTION("""COMPUTED_VALUE"""),4.91)</f>
        <v>4.91</v>
      </c>
      <c r="F3179" s="1">
        <f>IFERROR(__xludf.DUMMYFUNCTION("""COMPUTED_VALUE"""),2623021.0)</f>
        <v>2623021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IFERROR(__xludf.DUMMYFUNCTION("""COMPUTED_VALUE"""),4.88)</f>
        <v>4.88</v>
      </c>
      <c r="C3180" s="1">
        <f>IFERROR(__xludf.DUMMYFUNCTION("""COMPUTED_VALUE"""),4.9)</f>
        <v>4.9</v>
      </c>
      <c r="D3180" s="1">
        <f>IFERROR(__xludf.DUMMYFUNCTION("""COMPUTED_VALUE"""),4.86)</f>
        <v>4.86</v>
      </c>
      <c r="E3180" s="1">
        <f>IFERROR(__xludf.DUMMYFUNCTION("""COMPUTED_VALUE"""),4.88)</f>
        <v>4.88</v>
      </c>
      <c r="F3180" s="1">
        <f>IFERROR(__xludf.DUMMYFUNCTION("""COMPUTED_VALUE"""),1761746.0)</f>
        <v>1761746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IFERROR(__xludf.DUMMYFUNCTION("""COMPUTED_VALUE"""),4.8)</f>
        <v>4.8</v>
      </c>
      <c r="C3181" s="1">
        <f>IFERROR(__xludf.DUMMYFUNCTION("""COMPUTED_VALUE"""),4.81)</f>
        <v>4.81</v>
      </c>
      <c r="D3181" s="1">
        <f>IFERROR(__xludf.DUMMYFUNCTION("""COMPUTED_VALUE"""),4.75)</f>
        <v>4.75</v>
      </c>
      <c r="E3181" s="1">
        <f>IFERROR(__xludf.DUMMYFUNCTION("""COMPUTED_VALUE"""),4.75)</f>
        <v>4.75</v>
      </c>
      <c r="F3181" s="1">
        <f>IFERROR(__xludf.DUMMYFUNCTION("""COMPUTED_VALUE"""),1963505.0)</f>
        <v>1963505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IFERROR(__xludf.DUMMYFUNCTION("""COMPUTED_VALUE"""),4.65)</f>
        <v>4.65</v>
      </c>
      <c r="C3182" s="1">
        <f>IFERROR(__xludf.DUMMYFUNCTION("""COMPUTED_VALUE"""),4.66)</f>
        <v>4.66</v>
      </c>
      <c r="D3182" s="1">
        <f>IFERROR(__xludf.DUMMYFUNCTION("""COMPUTED_VALUE"""),4.59)</f>
        <v>4.59</v>
      </c>
      <c r="E3182" s="1">
        <f>IFERROR(__xludf.DUMMYFUNCTION("""COMPUTED_VALUE"""),4.61)</f>
        <v>4.61</v>
      </c>
      <c r="F3182" s="1">
        <f>IFERROR(__xludf.DUMMYFUNCTION("""COMPUTED_VALUE"""),2466429.0)</f>
        <v>2466429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IFERROR(__xludf.DUMMYFUNCTION("""COMPUTED_VALUE"""),4.54)</f>
        <v>4.54</v>
      </c>
      <c r="C3183" s="1">
        <f>IFERROR(__xludf.DUMMYFUNCTION("""COMPUTED_VALUE"""),4.58)</f>
        <v>4.58</v>
      </c>
      <c r="D3183" s="1">
        <f>IFERROR(__xludf.DUMMYFUNCTION("""COMPUTED_VALUE"""),4.52)</f>
        <v>4.52</v>
      </c>
      <c r="E3183" s="1">
        <f>IFERROR(__xludf.DUMMYFUNCTION("""COMPUTED_VALUE"""),4.54)</f>
        <v>4.54</v>
      </c>
      <c r="F3183" s="1">
        <f>IFERROR(__xludf.DUMMYFUNCTION("""COMPUTED_VALUE"""),2651864.0)</f>
        <v>2651864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IFERROR(__xludf.DUMMYFUNCTION("""COMPUTED_VALUE"""),4.5)</f>
        <v>4.5</v>
      </c>
      <c r="C3184" s="1">
        <f>IFERROR(__xludf.DUMMYFUNCTION("""COMPUTED_VALUE"""),4.58)</f>
        <v>4.58</v>
      </c>
      <c r="D3184" s="1">
        <f>IFERROR(__xludf.DUMMYFUNCTION("""COMPUTED_VALUE"""),4.5)</f>
        <v>4.5</v>
      </c>
      <c r="E3184" s="1">
        <f>IFERROR(__xludf.DUMMYFUNCTION("""COMPUTED_VALUE"""),4.55)</f>
        <v>4.55</v>
      </c>
      <c r="F3184" s="1">
        <f>IFERROR(__xludf.DUMMYFUNCTION("""COMPUTED_VALUE"""),1907329.0)</f>
        <v>1907329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IFERROR(__xludf.DUMMYFUNCTION("""COMPUTED_VALUE"""),4.51)</f>
        <v>4.51</v>
      </c>
      <c r="C3185" s="1">
        <f>IFERROR(__xludf.DUMMYFUNCTION("""COMPUTED_VALUE"""),4.59)</f>
        <v>4.59</v>
      </c>
      <c r="D3185" s="1">
        <f>IFERROR(__xludf.DUMMYFUNCTION("""COMPUTED_VALUE"""),4.5)</f>
        <v>4.5</v>
      </c>
      <c r="E3185" s="1">
        <f>IFERROR(__xludf.DUMMYFUNCTION("""COMPUTED_VALUE"""),4.57)</f>
        <v>4.57</v>
      </c>
      <c r="F3185" s="1">
        <f>IFERROR(__xludf.DUMMYFUNCTION("""COMPUTED_VALUE"""),2037904.0)</f>
        <v>2037904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IFERROR(__xludf.DUMMYFUNCTION("""COMPUTED_VALUE"""),4.6)</f>
        <v>4.6</v>
      </c>
      <c r="C3186" s="1">
        <f>IFERROR(__xludf.DUMMYFUNCTION("""COMPUTED_VALUE"""),4.62)</f>
        <v>4.62</v>
      </c>
      <c r="D3186" s="1">
        <f>IFERROR(__xludf.DUMMYFUNCTION("""COMPUTED_VALUE"""),4.45)</f>
        <v>4.45</v>
      </c>
      <c r="E3186" s="1">
        <f>IFERROR(__xludf.DUMMYFUNCTION("""COMPUTED_VALUE"""),4.47)</f>
        <v>4.47</v>
      </c>
      <c r="F3186" s="1">
        <f>IFERROR(__xludf.DUMMYFUNCTION("""COMPUTED_VALUE"""),2685204.0)</f>
        <v>2685204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IFERROR(__xludf.DUMMYFUNCTION("""COMPUTED_VALUE"""),4.47)</f>
        <v>4.47</v>
      </c>
      <c r="C3187" s="1">
        <f>IFERROR(__xludf.DUMMYFUNCTION("""COMPUTED_VALUE"""),4.53)</f>
        <v>4.53</v>
      </c>
      <c r="D3187" s="1">
        <f>IFERROR(__xludf.DUMMYFUNCTION("""COMPUTED_VALUE"""),4.46)</f>
        <v>4.46</v>
      </c>
      <c r="E3187" s="1">
        <f>IFERROR(__xludf.DUMMYFUNCTION("""COMPUTED_VALUE"""),4.5)</f>
        <v>4.5</v>
      </c>
      <c r="F3187" s="1">
        <f>IFERROR(__xludf.DUMMYFUNCTION("""COMPUTED_VALUE"""),1766826.0)</f>
        <v>1766826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IFERROR(__xludf.DUMMYFUNCTION("""COMPUTED_VALUE"""),4.54)</f>
        <v>4.54</v>
      </c>
      <c r="C3188" s="1">
        <f>IFERROR(__xludf.DUMMYFUNCTION("""COMPUTED_VALUE"""),4.54)</f>
        <v>4.54</v>
      </c>
      <c r="D3188" s="1">
        <f>IFERROR(__xludf.DUMMYFUNCTION("""COMPUTED_VALUE"""),4.45)</f>
        <v>4.45</v>
      </c>
      <c r="E3188" s="1">
        <f>IFERROR(__xludf.DUMMYFUNCTION("""COMPUTED_VALUE"""),4.47)</f>
        <v>4.47</v>
      </c>
      <c r="F3188" s="1">
        <f>IFERROR(__xludf.DUMMYFUNCTION("""COMPUTED_VALUE"""),2260113.0)</f>
        <v>2260113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IFERROR(__xludf.DUMMYFUNCTION("""COMPUTED_VALUE"""),4.5)</f>
        <v>4.5</v>
      </c>
      <c r="C3189" s="1">
        <f>IFERROR(__xludf.DUMMYFUNCTION("""COMPUTED_VALUE"""),4.54)</f>
        <v>4.54</v>
      </c>
      <c r="D3189" s="1">
        <f>IFERROR(__xludf.DUMMYFUNCTION("""COMPUTED_VALUE"""),4.47)</f>
        <v>4.47</v>
      </c>
      <c r="E3189" s="1">
        <f>IFERROR(__xludf.DUMMYFUNCTION("""COMPUTED_VALUE"""),4.49)</f>
        <v>4.49</v>
      </c>
      <c r="F3189" s="1">
        <f>IFERROR(__xludf.DUMMYFUNCTION("""COMPUTED_VALUE"""),2593787.0)</f>
        <v>2593787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IFERROR(__xludf.DUMMYFUNCTION("""COMPUTED_VALUE"""),4.41)</f>
        <v>4.41</v>
      </c>
      <c r="C3190" s="1">
        <f>IFERROR(__xludf.DUMMYFUNCTION("""COMPUTED_VALUE"""),4.41)</f>
        <v>4.41</v>
      </c>
      <c r="D3190" s="1">
        <f>IFERROR(__xludf.DUMMYFUNCTION("""COMPUTED_VALUE"""),4.33)</f>
        <v>4.33</v>
      </c>
      <c r="E3190" s="1">
        <f>IFERROR(__xludf.DUMMYFUNCTION("""COMPUTED_VALUE"""),4.4)</f>
        <v>4.4</v>
      </c>
      <c r="F3190" s="1">
        <f>IFERROR(__xludf.DUMMYFUNCTION("""COMPUTED_VALUE"""),1664999.0)</f>
        <v>1664999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IFERROR(__xludf.DUMMYFUNCTION("""COMPUTED_VALUE"""),4.46)</f>
        <v>4.46</v>
      </c>
      <c r="C3191" s="1">
        <f>IFERROR(__xludf.DUMMYFUNCTION("""COMPUTED_VALUE"""),4.54)</f>
        <v>4.54</v>
      </c>
      <c r="D3191" s="1">
        <f>IFERROR(__xludf.DUMMYFUNCTION("""COMPUTED_VALUE"""),4.39)</f>
        <v>4.39</v>
      </c>
      <c r="E3191" s="1">
        <f>IFERROR(__xludf.DUMMYFUNCTION("""COMPUTED_VALUE"""),4.4)</f>
        <v>4.4</v>
      </c>
      <c r="F3191" s="1">
        <f>IFERROR(__xludf.DUMMYFUNCTION("""COMPUTED_VALUE"""),2262111.0)</f>
        <v>2262111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IFERROR(__xludf.DUMMYFUNCTION("""COMPUTED_VALUE"""),4.44)</f>
        <v>4.44</v>
      </c>
      <c r="C3192" s="1">
        <f>IFERROR(__xludf.DUMMYFUNCTION("""COMPUTED_VALUE"""),4.46)</f>
        <v>4.46</v>
      </c>
      <c r="D3192" s="1">
        <f>IFERROR(__xludf.DUMMYFUNCTION("""COMPUTED_VALUE"""),4.37)</f>
        <v>4.37</v>
      </c>
      <c r="E3192" s="1">
        <f>IFERROR(__xludf.DUMMYFUNCTION("""COMPUTED_VALUE"""),4.4)</f>
        <v>4.4</v>
      </c>
      <c r="F3192" s="1">
        <f>IFERROR(__xludf.DUMMYFUNCTION("""COMPUTED_VALUE"""),1896996.0)</f>
        <v>1896996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IFERROR(__xludf.DUMMYFUNCTION("""COMPUTED_VALUE"""),4.33)</f>
        <v>4.33</v>
      </c>
      <c r="C3193" s="1">
        <f>IFERROR(__xludf.DUMMYFUNCTION("""COMPUTED_VALUE"""),4.45)</f>
        <v>4.45</v>
      </c>
      <c r="D3193" s="1">
        <f>IFERROR(__xludf.DUMMYFUNCTION("""COMPUTED_VALUE"""),4.31)</f>
        <v>4.31</v>
      </c>
      <c r="E3193" s="1">
        <f>IFERROR(__xludf.DUMMYFUNCTION("""COMPUTED_VALUE"""),4.43)</f>
        <v>4.43</v>
      </c>
      <c r="F3193" s="1">
        <f>IFERROR(__xludf.DUMMYFUNCTION("""COMPUTED_VALUE"""),1368950.0)</f>
        <v>1368950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IFERROR(__xludf.DUMMYFUNCTION("""COMPUTED_VALUE"""),4.4)</f>
        <v>4.4</v>
      </c>
      <c r="C3194" s="1">
        <f>IFERROR(__xludf.DUMMYFUNCTION("""COMPUTED_VALUE"""),4.54)</f>
        <v>4.54</v>
      </c>
      <c r="D3194" s="1">
        <f>IFERROR(__xludf.DUMMYFUNCTION("""COMPUTED_VALUE"""),4.39)</f>
        <v>4.39</v>
      </c>
      <c r="E3194" s="1">
        <f>IFERROR(__xludf.DUMMYFUNCTION("""COMPUTED_VALUE"""),4.51)</f>
        <v>4.51</v>
      </c>
      <c r="F3194" s="1">
        <f>IFERROR(__xludf.DUMMYFUNCTION("""COMPUTED_VALUE"""),2327740.0)</f>
        <v>2327740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IFERROR(__xludf.DUMMYFUNCTION("""COMPUTED_VALUE"""),4.61)</f>
        <v>4.61</v>
      </c>
      <c r="C3195" s="1">
        <f>IFERROR(__xludf.DUMMYFUNCTION("""COMPUTED_VALUE"""),4.66)</f>
        <v>4.66</v>
      </c>
      <c r="D3195" s="1">
        <f>IFERROR(__xludf.DUMMYFUNCTION("""COMPUTED_VALUE"""),4.6)</f>
        <v>4.6</v>
      </c>
      <c r="E3195" s="1">
        <f>IFERROR(__xludf.DUMMYFUNCTION("""COMPUTED_VALUE"""),4.65)</f>
        <v>4.65</v>
      </c>
      <c r="F3195" s="1">
        <f>IFERROR(__xludf.DUMMYFUNCTION("""COMPUTED_VALUE"""),1017123.0)</f>
        <v>1017123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IFERROR(__xludf.DUMMYFUNCTION("""COMPUTED_VALUE"""),4.75)</f>
        <v>4.75</v>
      </c>
      <c r="C3196" s="1">
        <f>IFERROR(__xludf.DUMMYFUNCTION("""COMPUTED_VALUE"""),4.81)</f>
        <v>4.81</v>
      </c>
      <c r="D3196" s="1">
        <f>IFERROR(__xludf.DUMMYFUNCTION("""COMPUTED_VALUE"""),4.74)</f>
        <v>4.74</v>
      </c>
      <c r="E3196" s="1">
        <f>IFERROR(__xludf.DUMMYFUNCTION("""COMPUTED_VALUE"""),4.75)</f>
        <v>4.75</v>
      </c>
      <c r="F3196" s="1">
        <f>IFERROR(__xludf.DUMMYFUNCTION("""COMPUTED_VALUE"""),1572749.0)</f>
        <v>1572749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IFERROR(__xludf.DUMMYFUNCTION("""COMPUTED_VALUE"""),4.69)</f>
        <v>4.69</v>
      </c>
      <c r="C3197" s="1">
        <f>IFERROR(__xludf.DUMMYFUNCTION("""COMPUTED_VALUE"""),4.75)</f>
        <v>4.75</v>
      </c>
      <c r="D3197" s="1">
        <f>IFERROR(__xludf.DUMMYFUNCTION("""COMPUTED_VALUE"""),4.62)</f>
        <v>4.62</v>
      </c>
      <c r="E3197" s="1">
        <f>IFERROR(__xludf.DUMMYFUNCTION("""COMPUTED_VALUE"""),4.64)</f>
        <v>4.64</v>
      </c>
      <c r="F3197" s="1">
        <f>IFERROR(__xludf.DUMMYFUNCTION("""COMPUTED_VALUE"""),2226952.0)</f>
        <v>2226952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IFERROR(__xludf.DUMMYFUNCTION("""COMPUTED_VALUE"""),4.65)</f>
        <v>4.65</v>
      </c>
      <c r="C3198" s="1">
        <f>IFERROR(__xludf.DUMMYFUNCTION("""COMPUTED_VALUE"""),4.68)</f>
        <v>4.68</v>
      </c>
      <c r="D3198" s="1">
        <f>IFERROR(__xludf.DUMMYFUNCTION("""COMPUTED_VALUE"""),4.6)</f>
        <v>4.6</v>
      </c>
      <c r="E3198" s="1">
        <f>IFERROR(__xludf.DUMMYFUNCTION("""COMPUTED_VALUE"""),4.61)</f>
        <v>4.61</v>
      </c>
      <c r="F3198" s="1">
        <f>IFERROR(__xludf.DUMMYFUNCTION("""COMPUTED_VALUE"""),1701642.0)</f>
        <v>1701642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IFERROR(__xludf.DUMMYFUNCTION("""COMPUTED_VALUE"""),4.65)</f>
        <v>4.65</v>
      </c>
      <c r="C3199" s="1">
        <f>IFERROR(__xludf.DUMMYFUNCTION("""COMPUTED_VALUE"""),4.73)</f>
        <v>4.73</v>
      </c>
      <c r="D3199" s="1">
        <f>IFERROR(__xludf.DUMMYFUNCTION("""COMPUTED_VALUE"""),4.62)</f>
        <v>4.62</v>
      </c>
      <c r="E3199" s="1">
        <f>IFERROR(__xludf.DUMMYFUNCTION("""COMPUTED_VALUE"""),4.65)</f>
        <v>4.65</v>
      </c>
      <c r="F3199" s="1">
        <f>IFERROR(__xludf.DUMMYFUNCTION("""COMPUTED_VALUE"""),6271354.0)</f>
        <v>6271354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IFERROR(__xludf.DUMMYFUNCTION("""COMPUTED_VALUE"""),4.64)</f>
        <v>4.64</v>
      </c>
      <c r="C3200" s="1">
        <f>IFERROR(__xludf.DUMMYFUNCTION("""COMPUTED_VALUE"""),4.66)</f>
        <v>4.66</v>
      </c>
      <c r="D3200" s="1">
        <f>IFERROR(__xludf.DUMMYFUNCTION("""COMPUTED_VALUE"""),4.6)</f>
        <v>4.6</v>
      </c>
      <c r="E3200" s="1">
        <f>IFERROR(__xludf.DUMMYFUNCTION("""COMPUTED_VALUE"""),4.65)</f>
        <v>4.65</v>
      </c>
      <c r="F3200" s="1">
        <f>IFERROR(__xludf.DUMMYFUNCTION("""COMPUTED_VALUE"""),2432270.0)</f>
        <v>2432270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IFERROR(__xludf.DUMMYFUNCTION("""COMPUTED_VALUE"""),4.58)</f>
        <v>4.58</v>
      </c>
      <c r="C3201" s="1">
        <f>IFERROR(__xludf.DUMMYFUNCTION("""COMPUTED_VALUE"""),4.71)</f>
        <v>4.71</v>
      </c>
      <c r="D3201" s="1">
        <f>IFERROR(__xludf.DUMMYFUNCTION("""COMPUTED_VALUE"""),4.57)</f>
        <v>4.57</v>
      </c>
      <c r="E3201" s="1">
        <f>IFERROR(__xludf.DUMMYFUNCTION("""COMPUTED_VALUE"""),4.71)</f>
        <v>4.71</v>
      </c>
      <c r="F3201" s="1">
        <f>IFERROR(__xludf.DUMMYFUNCTION("""COMPUTED_VALUE"""),1720974.0)</f>
        <v>1720974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IFERROR(__xludf.DUMMYFUNCTION("""COMPUTED_VALUE"""),4.67)</f>
        <v>4.67</v>
      </c>
      <c r="C3202" s="1">
        <f>IFERROR(__xludf.DUMMYFUNCTION("""COMPUTED_VALUE"""),4.67)</f>
        <v>4.67</v>
      </c>
      <c r="D3202" s="1">
        <f>IFERROR(__xludf.DUMMYFUNCTION("""COMPUTED_VALUE"""),4.58)</f>
        <v>4.58</v>
      </c>
      <c r="E3202" s="1">
        <f>IFERROR(__xludf.DUMMYFUNCTION("""COMPUTED_VALUE"""),4.62)</f>
        <v>4.62</v>
      </c>
      <c r="F3202" s="1">
        <f>IFERROR(__xludf.DUMMYFUNCTION("""COMPUTED_VALUE"""),1523786.0)</f>
        <v>1523786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IFERROR(__xludf.DUMMYFUNCTION("""COMPUTED_VALUE"""),4.6)</f>
        <v>4.6</v>
      </c>
      <c r="C3203" s="1">
        <f>IFERROR(__xludf.DUMMYFUNCTION("""COMPUTED_VALUE"""),4.64)</f>
        <v>4.64</v>
      </c>
      <c r="D3203" s="1">
        <f>IFERROR(__xludf.DUMMYFUNCTION("""COMPUTED_VALUE"""),4.49)</f>
        <v>4.49</v>
      </c>
      <c r="E3203" s="1">
        <f>IFERROR(__xludf.DUMMYFUNCTION("""COMPUTED_VALUE"""),4.5)</f>
        <v>4.5</v>
      </c>
      <c r="F3203" s="1">
        <f>IFERROR(__xludf.DUMMYFUNCTION("""COMPUTED_VALUE"""),2139715.0)</f>
        <v>2139715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IFERROR(__xludf.DUMMYFUNCTION("""COMPUTED_VALUE"""),4.58)</f>
        <v>4.58</v>
      </c>
      <c r="C3204" s="1">
        <f>IFERROR(__xludf.DUMMYFUNCTION("""COMPUTED_VALUE"""),4.59)</f>
        <v>4.59</v>
      </c>
      <c r="D3204" s="1">
        <f>IFERROR(__xludf.DUMMYFUNCTION("""COMPUTED_VALUE"""),4.47)</f>
        <v>4.47</v>
      </c>
      <c r="E3204" s="1">
        <f>IFERROR(__xludf.DUMMYFUNCTION("""COMPUTED_VALUE"""),4.49)</f>
        <v>4.49</v>
      </c>
      <c r="F3204" s="1">
        <f>IFERROR(__xludf.DUMMYFUNCTION("""COMPUTED_VALUE"""),2408366.0)</f>
        <v>2408366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IFERROR(__xludf.DUMMYFUNCTION("""COMPUTED_VALUE"""),4.31)</f>
        <v>4.31</v>
      </c>
      <c r="C3205" s="1">
        <f>IFERROR(__xludf.DUMMYFUNCTION("""COMPUTED_VALUE"""),4.31)</f>
        <v>4.31</v>
      </c>
      <c r="D3205" s="1">
        <f>IFERROR(__xludf.DUMMYFUNCTION("""COMPUTED_VALUE"""),4.15)</f>
        <v>4.15</v>
      </c>
      <c r="E3205" s="1">
        <f>IFERROR(__xludf.DUMMYFUNCTION("""COMPUTED_VALUE"""),4.18)</f>
        <v>4.18</v>
      </c>
      <c r="F3205" s="1">
        <f>IFERROR(__xludf.DUMMYFUNCTION("""COMPUTED_VALUE"""),3742563.0)</f>
        <v>3742563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IFERROR(__xludf.DUMMYFUNCTION("""COMPUTED_VALUE"""),4.13)</f>
        <v>4.13</v>
      </c>
      <c r="C3206" s="1">
        <f>IFERROR(__xludf.DUMMYFUNCTION("""COMPUTED_VALUE"""),4.19)</f>
        <v>4.19</v>
      </c>
      <c r="D3206" s="1">
        <f>IFERROR(__xludf.DUMMYFUNCTION("""COMPUTED_VALUE"""),4.07)</f>
        <v>4.07</v>
      </c>
      <c r="E3206" s="1">
        <f>IFERROR(__xludf.DUMMYFUNCTION("""COMPUTED_VALUE"""),4.09)</f>
        <v>4.09</v>
      </c>
      <c r="F3206" s="1">
        <f>IFERROR(__xludf.DUMMYFUNCTION("""COMPUTED_VALUE"""),4062547.0)</f>
        <v>4062547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IFERROR(__xludf.DUMMYFUNCTION("""COMPUTED_VALUE"""),4.12)</f>
        <v>4.12</v>
      </c>
      <c r="C3207" s="1">
        <f>IFERROR(__xludf.DUMMYFUNCTION("""COMPUTED_VALUE"""),4.16)</f>
        <v>4.16</v>
      </c>
      <c r="D3207" s="1">
        <f>IFERROR(__xludf.DUMMYFUNCTION("""COMPUTED_VALUE"""),4.03)</f>
        <v>4.03</v>
      </c>
      <c r="E3207" s="1">
        <f>IFERROR(__xludf.DUMMYFUNCTION("""COMPUTED_VALUE"""),4.07)</f>
        <v>4.07</v>
      </c>
      <c r="F3207" s="1">
        <f>IFERROR(__xludf.DUMMYFUNCTION("""COMPUTED_VALUE"""),5047837.0)</f>
        <v>5047837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IFERROR(__xludf.DUMMYFUNCTION("""COMPUTED_VALUE"""),3.98)</f>
        <v>3.98</v>
      </c>
      <c r="C3208" s="1">
        <f>IFERROR(__xludf.DUMMYFUNCTION("""COMPUTED_VALUE"""),4.12)</f>
        <v>4.12</v>
      </c>
      <c r="D3208" s="1">
        <f>IFERROR(__xludf.DUMMYFUNCTION("""COMPUTED_VALUE"""),3.96)</f>
        <v>3.96</v>
      </c>
      <c r="E3208" s="1">
        <f>IFERROR(__xludf.DUMMYFUNCTION("""COMPUTED_VALUE"""),4.1)</f>
        <v>4.1</v>
      </c>
      <c r="F3208" s="1">
        <f>IFERROR(__xludf.DUMMYFUNCTION("""COMPUTED_VALUE"""),2787554.0)</f>
        <v>2787554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IFERROR(__xludf.DUMMYFUNCTION("""COMPUTED_VALUE"""),4.0)</f>
        <v>4</v>
      </c>
      <c r="C3209" s="1">
        <f>IFERROR(__xludf.DUMMYFUNCTION("""COMPUTED_VALUE"""),4.0)</f>
        <v>4</v>
      </c>
      <c r="D3209" s="1">
        <f>IFERROR(__xludf.DUMMYFUNCTION("""COMPUTED_VALUE"""),3.91)</f>
        <v>3.91</v>
      </c>
      <c r="E3209" s="1">
        <f>IFERROR(__xludf.DUMMYFUNCTION("""COMPUTED_VALUE"""),3.99)</f>
        <v>3.99</v>
      </c>
      <c r="F3209" s="1">
        <f>IFERROR(__xludf.DUMMYFUNCTION("""COMPUTED_VALUE"""),2270968.0)</f>
        <v>2270968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IFERROR(__xludf.DUMMYFUNCTION("""COMPUTED_VALUE"""),3.98)</f>
        <v>3.98</v>
      </c>
      <c r="C3210" s="1">
        <f>IFERROR(__xludf.DUMMYFUNCTION("""COMPUTED_VALUE"""),4.04)</f>
        <v>4.04</v>
      </c>
      <c r="D3210" s="1">
        <f>IFERROR(__xludf.DUMMYFUNCTION("""COMPUTED_VALUE"""),3.94)</f>
        <v>3.94</v>
      </c>
      <c r="E3210" s="1">
        <f>IFERROR(__xludf.DUMMYFUNCTION("""COMPUTED_VALUE"""),3.96)</f>
        <v>3.96</v>
      </c>
      <c r="F3210" s="1">
        <f>IFERROR(__xludf.DUMMYFUNCTION("""COMPUTED_VALUE"""),3071573.0)</f>
        <v>3071573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IFERROR(__xludf.DUMMYFUNCTION("""COMPUTED_VALUE"""),4.02)</f>
        <v>4.02</v>
      </c>
      <c r="C3211" s="1">
        <f>IFERROR(__xludf.DUMMYFUNCTION("""COMPUTED_VALUE"""),4.13)</f>
        <v>4.13</v>
      </c>
      <c r="D3211" s="1">
        <f>IFERROR(__xludf.DUMMYFUNCTION("""COMPUTED_VALUE"""),3.97)</f>
        <v>3.97</v>
      </c>
      <c r="E3211" s="1">
        <f>IFERROR(__xludf.DUMMYFUNCTION("""COMPUTED_VALUE"""),4.1)</f>
        <v>4.1</v>
      </c>
      <c r="F3211" s="1">
        <f>IFERROR(__xludf.DUMMYFUNCTION("""COMPUTED_VALUE"""),3682045.0)</f>
        <v>3682045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IFERROR(__xludf.DUMMYFUNCTION("""COMPUTED_VALUE"""),4.2)</f>
        <v>4.2</v>
      </c>
      <c r="C3212" s="1">
        <f>IFERROR(__xludf.DUMMYFUNCTION("""COMPUTED_VALUE"""),4.33)</f>
        <v>4.33</v>
      </c>
      <c r="D3212" s="1">
        <f>IFERROR(__xludf.DUMMYFUNCTION("""COMPUTED_VALUE"""),4.2)</f>
        <v>4.2</v>
      </c>
      <c r="E3212" s="1">
        <f>IFERROR(__xludf.DUMMYFUNCTION("""COMPUTED_VALUE"""),4.32)</f>
        <v>4.32</v>
      </c>
      <c r="F3212" s="1">
        <f>IFERROR(__xludf.DUMMYFUNCTION("""COMPUTED_VALUE"""),3250390.0)</f>
        <v>3250390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IFERROR(__xludf.DUMMYFUNCTION("""COMPUTED_VALUE"""),4.22)</f>
        <v>4.22</v>
      </c>
      <c r="C3213" s="1">
        <f>IFERROR(__xludf.DUMMYFUNCTION("""COMPUTED_VALUE"""),4.28)</f>
        <v>4.28</v>
      </c>
      <c r="D3213" s="1">
        <f>IFERROR(__xludf.DUMMYFUNCTION("""COMPUTED_VALUE"""),4.2)</f>
        <v>4.2</v>
      </c>
      <c r="E3213" s="1">
        <f>IFERROR(__xludf.DUMMYFUNCTION("""COMPUTED_VALUE"""),4.26)</f>
        <v>4.26</v>
      </c>
      <c r="F3213" s="1">
        <f>IFERROR(__xludf.DUMMYFUNCTION("""COMPUTED_VALUE"""),2074583.0)</f>
        <v>2074583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IFERROR(__xludf.DUMMYFUNCTION("""COMPUTED_VALUE"""),4.21)</f>
        <v>4.21</v>
      </c>
      <c r="C3214" s="1">
        <f>IFERROR(__xludf.DUMMYFUNCTION("""COMPUTED_VALUE"""),4.22)</f>
        <v>4.22</v>
      </c>
      <c r="D3214" s="1">
        <f>IFERROR(__xludf.DUMMYFUNCTION("""COMPUTED_VALUE"""),4.14)</f>
        <v>4.14</v>
      </c>
      <c r="E3214" s="1">
        <f>IFERROR(__xludf.DUMMYFUNCTION("""COMPUTED_VALUE"""),4.17)</f>
        <v>4.17</v>
      </c>
      <c r="F3214" s="1">
        <f>IFERROR(__xludf.DUMMYFUNCTION("""COMPUTED_VALUE"""),1590918.0)</f>
        <v>1590918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IFERROR(__xludf.DUMMYFUNCTION("""COMPUTED_VALUE"""),4.13)</f>
        <v>4.13</v>
      </c>
      <c r="C3215" s="1">
        <f>IFERROR(__xludf.DUMMYFUNCTION("""COMPUTED_VALUE"""),4.15)</f>
        <v>4.15</v>
      </c>
      <c r="D3215" s="1">
        <f>IFERROR(__xludf.DUMMYFUNCTION("""COMPUTED_VALUE"""),4.08)</f>
        <v>4.08</v>
      </c>
      <c r="E3215" s="1">
        <f>IFERROR(__xludf.DUMMYFUNCTION("""COMPUTED_VALUE"""),4.11)</f>
        <v>4.11</v>
      </c>
      <c r="F3215" s="1">
        <f>IFERROR(__xludf.DUMMYFUNCTION("""COMPUTED_VALUE"""),2337361.0)</f>
        <v>2337361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IFERROR(__xludf.DUMMYFUNCTION("""COMPUTED_VALUE"""),4.11)</f>
        <v>4.11</v>
      </c>
      <c r="C3216" s="1">
        <f>IFERROR(__xludf.DUMMYFUNCTION("""COMPUTED_VALUE"""),4.14)</f>
        <v>4.14</v>
      </c>
      <c r="D3216" s="1">
        <f>IFERROR(__xludf.DUMMYFUNCTION("""COMPUTED_VALUE"""),4.05)</f>
        <v>4.05</v>
      </c>
      <c r="E3216" s="1">
        <f>IFERROR(__xludf.DUMMYFUNCTION("""COMPUTED_VALUE"""),4.09)</f>
        <v>4.09</v>
      </c>
      <c r="F3216" s="1">
        <f>IFERROR(__xludf.DUMMYFUNCTION("""COMPUTED_VALUE"""),2449333.0)</f>
        <v>2449333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IFERROR(__xludf.DUMMYFUNCTION("""COMPUTED_VALUE"""),3.91)</f>
        <v>3.91</v>
      </c>
      <c r="C3217" s="1">
        <f>IFERROR(__xludf.DUMMYFUNCTION("""COMPUTED_VALUE"""),3.92)</f>
        <v>3.92</v>
      </c>
      <c r="D3217" s="1">
        <f>IFERROR(__xludf.DUMMYFUNCTION("""COMPUTED_VALUE"""),3.81)</f>
        <v>3.81</v>
      </c>
      <c r="E3217" s="1">
        <f>IFERROR(__xludf.DUMMYFUNCTION("""COMPUTED_VALUE"""),3.82)</f>
        <v>3.82</v>
      </c>
      <c r="F3217" s="1">
        <f>IFERROR(__xludf.DUMMYFUNCTION("""COMPUTED_VALUE"""),3256047.0)</f>
        <v>3256047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IFERROR(__xludf.DUMMYFUNCTION("""COMPUTED_VALUE"""),3.79)</f>
        <v>3.79</v>
      </c>
      <c r="C3218" s="1">
        <f>IFERROR(__xludf.DUMMYFUNCTION("""COMPUTED_VALUE"""),3.84)</f>
        <v>3.84</v>
      </c>
      <c r="D3218" s="1">
        <f>IFERROR(__xludf.DUMMYFUNCTION("""COMPUTED_VALUE"""),3.76)</f>
        <v>3.76</v>
      </c>
      <c r="E3218" s="1">
        <f>IFERROR(__xludf.DUMMYFUNCTION("""COMPUTED_VALUE"""),3.77)</f>
        <v>3.77</v>
      </c>
      <c r="F3218" s="1">
        <f>IFERROR(__xludf.DUMMYFUNCTION("""COMPUTED_VALUE"""),4540690.0)</f>
        <v>4540690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IFERROR(__xludf.DUMMYFUNCTION("""COMPUTED_VALUE"""),3.78)</f>
        <v>3.78</v>
      </c>
      <c r="C3219" s="1">
        <f>IFERROR(__xludf.DUMMYFUNCTION("""COMPUTED_VALUE"""),4.06)</f>
        <v>4.06</v>
      </c>
      <c r="D3219" s="1">
        <f>IFERROR(__xludf.DUMMYFUNCTION("""COMPUTED_VALUE"""),3.76)</f>
        <v>3.76</v>
      </c>
      <c r="E3219" s="1">
        <f>IFERROR(__xludf.DUMMYFUNCTION("""COMPUTED_VALUE"""),4.02)</f>
        <v>4.02</v>
      </c>
      <c r="F3219" s="1">
        <f>IFERROR(__xludf.DUMMYFUNCTION("""COMPUTED_VALUE"""),5600193.0)</f>
        <v>5600193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IFERROR(__xludf.DUMMYFUNCTION("""COMPUTED_VALUE"""),4.06)</f>
        <v>4.06</v>
      </c>
      <c r="C3220" s="1">
        <f>IFERROR(__xludf.DUMMYFUNCTION("""COMPUTED_VALUE"""),4.11)</f>
        <v>4.11</v>
      </c>
      <c r="D3220" s="1">
        <f>IFERROR(__xludf.DUMMYFUNCTION("""COMPUTED_VALUE"""),3.96)</f>
        <v>3.96</v>
      </c>
      <c r="E3220" s="1">
        <f>IFERROR(__xludf.DUMMYFUNCTION("""COMPUTED_VALUE"""),3.98)</f>
        <v>3.98</v>
      </c>
      <c r="F3220" s="1">
        <f>IFERROR(__xludf.DUMMYFUNCTION("""COMPUTED_VALUE"""),3863282.0)</f>
        <v>3863282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IFERROR(__xludf.DUMMYFUNCTION("""COMPUTED_VALUE"""),4.11)</f>
        <v>4.11</v>
      </c>
      <c r="C3221" s="1">
        <f>IFERROR(__xludf.DUMMYFUNCTION("""COMPUTED_VALUE"""),4.13)</f>
        <v>4.13</v>
      </c>
      <c r="D3221" s="1">
        <f>IFERROR(__xludf.DUMMYFUNCTION("""COMPUTED_VALUE"""),4.05)</f>
        <v>4.05</v>
      </c>
      <c r="E3221" s="1">
        <f>IFERROR(__xludf.DUMMYFUNCTION("""COMPUTED_VALUE"""),4.07)</f>
        <v>4.07</v>
      </c>
      <c r="F3221" s="1">
        <f>IFERROR(__xludf.DUMMYFUNCTION("""COMPUTED_VALUE"""),3672842.0)</f>
        <v>3672842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IFERROR(__xludf.DUMMYFUNCTION("""COMPUTED_VALUE"""),4.21)</f>
        <v>4.21</v>
      </c>
      <c r="C3222" s="1">
        <f>IFERROR(__xludf.DUMMYFUNCTION("""COMPUTED_VALUE"""),4.21)</f>
        <v>4.21</v>
      </c>
      <c r="D3222" s="1">
        <f>IFERROR(__xludf.DUMMYFUNCTION("""COMPUTED_VALUE"""),4.12)</f>
        <v>4.12</v>
      </c>
      <c r="E3222" s="1">
        <f>IFERROR(__xludf.DUMMYFUNCTION("""COMPUTED_VALUE"""),4.17)</f>
        <v>4.17</v>
      </c>
      <c r="F3222" s="1">
        <f>IFERROR(__xludf.DUMMYFUNCTION("""COMPUTED_VALUE"""),2661108.0)</f>
        <v>2661108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IFERROR(__xludf.DUMMYFUNCTION("""COMPUTED_VALUE"""),4.13)</f>
        <v>4.13</v>
      </c>
      <c r="C3223" s="1">
        <f>IFERROR(__xludf.DUMMYFUNCTION("""COMPUTED_VALUE"""),4.17)</f>
        <v>4.17</v>
      </c>
      <c r="D3223" s="1">
        <f>IFERROR(__xludf.DUMMYFUNCTION("""COMPUTED_VALUE"""),4.1)</f>
        <v>4.1</v>
      </c>
      <c r="E3223" s="1">
        <f>IFERROR(__xludf.DUMMYFUNCTION("""COMPUTED_VALUE"""),4.13)</f>
        <v>4.13</v>
      </c>
      <c r="F3223" s="1">
        <f>IFERROR(__xludf.DUMMYFUNCTION("""COMPUTED_VALUE"""),2083970.0)</f>
        <v>2083970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IFERROR(__xludf.DUMMYFUNCTION("""COMPUTED_VALUE"""),4.15)</f>
        <v>4.15</v>
      </c>
      <c r="C3224" s="1">
        <f>IFERROR(__xludf.DUMMYFUNCTION("""COMPUTED_VALUE"""),4.2)</f>
        <v>4.2</v>
      </c>
      <c r="D3224" s="1">
        <f>IFERROR(__xludf.DUMMYFUNCTION("""COMPUTED_VALUE"""),4.08)</f>
        <v>4.08</v>
      </c>
      <c r="E3224" s="1">
        <f>IFERROR(__xludf.DUMMYFUNCTION("""COMPUTED_VALUE"""),4.09)</f>
        <v>4.09</v>
      </c>
      <c r="F3224" s="1">
        <f>IFERROR(__xludf.DUMMYFUNCTION("""COMPUTED_VALUE"""),2680102.0)</f>
        <v>2680102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IFERROR(__xludf.DUMMYFUNCTION("""COMPUTED_VALUE"""),4.03)</f>
        <v>4.03</v>
      </c>
      <c r="C3225" s="1">
        <f>IFERROR(__xludf.DUMMYFUNCTION("""COMPUTED_VALUE"""),4.15)</f>
        <v>4.15</v>
      </c>
      <c r="D3225" s="1">
        <f>IFERROR(__xludf.DUMMYFUNCTION("""COMPUTED_VALUE"""),4.01)</f>
        <v>4.01</v>
      </c>
      <c r="E3225" s="1">
        <f>IFERROR(__xludf.DUMMYFUNCTION("""COMPUTED_VALUE"""),4.15)</f>
        <v>4.15</v>
      </c>
      <c r="F3225" s="1">
        <f>IFERROR(__xludf.DUMMYFUNCTION("""COMPUTED_VALUE"""),2687548.0)</f>
        <v>2687548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IFERROR(__xludf.DUMMYFUNCTION("""COMPUTED_VALUE"""),4.26)</f>
        <v>4.26</v>
      </c>
      <c r="C3226" s="1">
        <f>IFERROR(__xludf.DUMMYFUNCTION("""COMPUTED_VALUE"""),4.31)</f>
        <v>4.31</v>
      </c>
      <c r="D3226" s="1">
        <f>IFERROR(__xludf.DUMMYFUNCTION("""COMPUTED_VALUE"""),4.24)</f>
        <v>4.24</v>
      </c>
      <c r="E3226" s="1">
        <f>IFERROR(__xludf.DUMMYFUNCTION("""COMPUTED_VALUE"""),4.27)</f>
        <v>4.27</v>
      </c>
      <c r="F3226" s="1">
        <f>IFERROR(__xludf.DUMMYFUNCTION("""COMPUTED_VALUE"""),3264892.0)</f>
        <v>3264892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IFERROR(__xludf.DUMMYFUNCTION("""COMPUTED_VALUE"""),4.29)</f>
        <v>4.29</v>
      </c>
      <c r="C3227" s="1">
        <f>IFERROR(__xludf.DUMMYFUNCTION("""COMPUTED_VALUE"""),4.41)</f>
        <v>4.41</v>
      </c>
      <c r="D3227" s="1">
        <f>IFERROR(__xludf.DUMMYFUNCTION("""COMPUTED_VALUE"""),4.26)</f>
        <v>4.26</v>
      </c>
      <c r="E3227" s="1">
        <f>IFERROR(__xludf.DUMMYFUNCTION("""COMPUTED_VALUE"""),4.41)</f>
        <v>4.41</v>
      </c>
      <c r="F3227" s="1">
        <f>IFERROR(__xludf.DUMMYFUNCTION("""COMPUTED_VALUE"""),3763559.0)</f>
        <v>3763559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IFERROR(__xludf.DUMMYFUNCTION("""COMPUTED_VALUE"""),4.4)</f>
        <v>4.4</v>
      </c>
      <c r="C3228" s="1">
        <f>IFERROR(__xludf.DUMMYFUNCTION("""COMPUTED_VALUE"""),4.42)</f>
        <v>4.42</v>
      </c>
      <c r="D3228" s="1">
        <f>IFERROR(__xludf.DUMMYFUNCTION("""COMPUTED_VALUE"""),4.32)</f>
        <v>4.32</v>
      </c>
      <c r="E3228" s="1">
        <f>IFERROR(__xludf.DUMMYFUNCTION("""COMPUTED_VALUE"""),4.32)</f>
        <v>4.32</v>
      </c>
      <c r="F3228" s="1">
        <f>IFERROR(__xludf.DUMMYFUNCTION("""COMPUTED_VALUE"""),3306128.0)</f>
        <v>3306128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IFERROR(__xludf.DUMMYFUNCTION("""COMPUTED_VALUE"""),4.57)</f>
        <v>4.57</v>
      </c>
      <c r="C3229" s="1">
        <f>IFERROR(__xludf.DUMMYFUNCTION("""COMPUTED_VALUE"""),4.67)</f>
        <v>4.67</v>
      </c>
      <c r="D3229" s="1">
        <f>IFERROR(__xludf.DUMMYFUNCTION("""COMPUTED_VALUE"""),4.57)</f>
        <v>4.57</v>
      </c>
      <c r="E3229" s="1">
        <f>IFERROR(__xludf.DUMMYFUNCTION("""COMPUTED_VALUE"""),4.59)</f>
        <v>4.59</v>
      </c>
      <c r="F3229" s="1">
        <f>IFERROR(__xludf.DUMMYFUNCTION("""COMPUTED_VALUE"""),3675548.0)</f>
        <v>3675548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IFERROR(__xludf.DUMMYFUNCTION("""COMPUTED_VALUE"""),4.56)</f>
        <v>4.56</v>
      </c>
      <c r="C3230" s="1">
        <f>IFERROR(__xludf.DUMMYFUNCTION("""COMPUTED_VALUE"""),4.61)</f>
        <v>4.61</v>
      </c>
      <c r="D3230" s="1">
        <f>IFERROR(__xludf.DUMMYFUNCTION("""COMPUTED_VALUE"""),4.54)</f>
        <v>4.54</v>
      </c>
      <c r="E3230" s="1">
        <f>IFERROR(__xludf.DUMMYFUNCTION("""COMPUTED_VALUE"""),4.6)</f>
        <v>4.6</v>
      </c>
      <c r="F3230" s="1">
        <f>IFERROR(__xludf.DUMMYFUNCTION("""COMPUTED_VALUE"""),2721883.0)</f>
        <v>2721883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IFERROR(__xludf.DUMMYFUNCTION("""COMPUTED_VALUE"""),4.61)</f>
        <v>4.61</v>
      </c>
      <c r="C3231" s="1">
        <f>IFERROR(__xludf.DUMMYFUNCTION("""COMPUTED_VALUE"""),4.64)</f>
        <v>4.64</v>
      </c>
      <c r="D3231" s="1">
        <f>IFERROR(__xludf.DUMMYFUNCTION("""COMPUTED_VALUE"""),4.59)</f>
        <v>4.59</v>
      </c>
      <c r="E3231" s="1">
        <f>IFERROR(__xludf.DUMMYFUNCTION("""COMPUTED_VALUE"""),4.61)</f>
        <v>4.61</v>
      </c>
      <c r="F3231" s="1">
        <f>IFERROR(__xludf.DUMMYFUNCTION("""COMPUTED_VALUE"""),2035930.0)</f>
        <v>2035930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IFERROR(__xludf.DUMMYFUNCTION("""COMPUTED_VALUE"""),4.67)</f>
        <v>4.67</v>
      </c>
      <c r="C3232" s="1">
        <f>IFERROR(__xludf.DUMMYFUNCTION("""COMPUTED_VALUE"""),4.68)</f>
        <v>4.68</v>
      </c>
      <c r="D3232" s="1">
        <f>IFERROR(__xludf.DUMMYFUNCTION("""COMPUTED_VALUE"""),4.59)</f>
        <v>4.59</v>
      </c>
      <c r="E3232" s="1">
        <f>IFERROR(__xludf.DUMMYFUNCTION("""COMPUTED_VALUE"""),4.59)</f>
        <v>4.59</v>
      </c>
      <c r="F3232" s="1">
        <f>IFERROR(__xludf.DUMMYFUNCTION("""COMPUTED_VALUE"""),3364140.0)</f>
        <v>3364140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IFERROR(__xludf.DUMMYFUNCTION("""COMPUTED_VALUE"""),4.6)</f>
        <v>4.6</v>
      </c>
      <c r="C3233" s="1">
        <f>IFERROR(__xludf.DUMMYFUNCTION("""COMPUTED_VALUE"""),4.64)</f>
        <v>4.64</v>
      </c>
      <c r="D3233" s="1">
        <f>IFERROR(__xludf.DUMMYFUNCTION("""COMPUTED_VALUE"""),4.5)</f>
        <v>4.5</v>
      </c>
      <c r="E3233" s="1">
        <f>IFERROR(__xludf.DUMMYFUNCTION("""COMPUTED_VALUE"""),4.51)</f>
        <v>4.51</v>
      </c>
      <c r="F3233" s="1">
        <f>IFERROR(__xludf.DUMMYFUNCTION("""COMPUTED_VALUE"""),2809712.0)</f>
        <v>2809712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IFERROR(__xludf.DUMMYFUNCTION("""COMPUTED_VALUE"""),4.49)</f>
        <v>4.49</v>
      </c>
      <c r="C3234" s="1">
        <f>IFERROR(__xludf.DUMMYFUNCTION("""COMPUTED_VALUE"""),4.53)</f>
        <v>4.53</v>
      </c>
      <c r="D3234" s="1">
        <f>IFERROR(__xludf.DUMMYFUNCTION("""COMPUTED_VALUE"""),4.42)</f>
        <v>4.42</v>
      </c>
      <c r="E3234" s="1">
        <f>IFERROR(__xludf.DUMMYFUNCTION("""COMPUTED_VALUE"""),4.47)</f>
        <v>4.47</v>
      </c>
      <c r="F3234" s="1">
        <f>IFERROR(__xludf.DUMMYFUNCTION("""COMPUTED_VALUE"""),4796011.0)</f>
        <v>4796011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IFERROR(__xludf.DUMMYFUNCTION("""COMPUTED_VALUE"""),4.59)</f>
        <v>4.59</v>
      </c>
      <c r="C3235" s="1">
        <f>IFERROR(__xludf.DUMMYFUNCTION("""COMPUTED_VALUE"""),4.71)</f>
        <v>4.71</v>
      </c>
      <c r="D3235" s="1">
        <f>IFERROR(__xludf.DUMMYFUNCTION("""COMPUTED_VALUE"""),4.55)</f>
        <v>4.55</v>
      </c>
      <c r="E3235" s="1">
        <f>IFERROR(__xludf.DUMMYFUNCTION("""COMPUTED_VALUE"""),4.68)</f>
        <v>4.68</v>
      </c>
      <c r="F3235" s="1">
        <f>IFERROR(__xludf.DUMMYFUNCTION("""COMPUTED_VALUE"""),4068172.0)</f>
        <v>4068172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IFERROR(__xludf.DUMMYFUNCTION("""COMPUTED_VALUE"""),4.73)</f>
        <v>4.73</v>
      </c>
      <c r="C3236" s="1">
        <f>IFERROR(__xludf.DUMMYFUNCTION("""COMPUTED_VALUE"""),4.74)</f>
        <v>4.74</v>
      </c>
      <c r="D3236" s="1">
        <f>IFERROR(__xludf.DUMMYFUNCTION("""COMPUTED_VALUE"""),4.66)</f>
        <v>4.66</v>
      </c>
      <c r="E3236" s="1">
        <f>IFERROR(__xludf.DUMMYFUNCTION("""COMPUTED_VALUE"""),4.71)</f>
        <v>4.71</v>
      </c>
      <c r="F3236" s="1">
        <f>IFERROR(__xludf.DUMMYFUNCTION("""COMPUTED_VALUE"""),2685656.0)</f>
        <v>2685656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IFERROR(__xludf.DUMMYFUNCTION("""COMPUTED_VALUE"""),4.73)</f>
        <v>4.73</v>
      </c>
      <c r="C3237" s="1">
        <f>IFERROR(__xludf.DUMMYFUNCTION("""COMPUTED_VALUE"""),4.8)</f>
        <v>4.8</v>
      </c>
      <c r="D3237" s="1">
        <f>IFERROR(__xludf.DUMMYFUNCTION("""COMPUTED_VALUE"""),4.68)</f>
        <v>4.68</v>
      </c>
      <c r="E3237" s="1">
        <f>IFERROR(__xludf.DUMMYFUNCTION("""COMPUTED_VALUE"""),4.71)</f>
        <v>4.71</v>
      </c>
      <c r="F3237" s="1">
        <f>IFERROR(__xludf.DUMMYFUNCTION("""COMPUTED_VALUE"""),3216514.0)</f>
        <v>3216514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IFERROR(__xludf.DUMMYFUNCTION("""COMPUTED_VALUE"""),4.71)</f>
        <v>4.71</v>
      </c>
      <c r="C3238" s="1">
        <f>IFERROR(__xludf.DUMMYFUNCTION("""COMPUTED_VALUE"""),4.75)</f>
        <v>4.75</v>
      </c>
      <c r="D3238" s="1">
        <f>IFERROR(__xludf.DUMMYFUNCTION("""COMPUTED_VALUE"""),4.61)</f>
        <v>4.61</v>
      </c>
      <c r="E3238" s="1">
        <f>IFERROR(__xludf.DUMMYFUNCTION("""COMPUTED_VALUE"""),4.64)</f>
        <v>4.64</v>
      </c>
      <c r="F3238" s="1">
        <f>IFERROR(__xludf.DUMMYFUNCTION("""COMPUTED_VALUE"""),6204838.0)</f>
        <v>6204838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IFERROR(__xludf.DUMMYFUNCTION("""COMPUTED_VALUE"""),4.73)</f>
        <v>4.73</v>
      </c>
      <c r="C3239" s="1">
        <f>IFERROR(__xludf.DUMMYFUNCTION("""COMPUTED_VALUE"""),4.76)</f>
        <v>4.76</v>
      </c>
      <c r="D3239" s="1">
        <f>IFERROR(__xludf.DUMMYFUNCTION("""COMPUTED_VALUE"""),4.68)</f>
        <v>4.68</v>
      </c>
      <c r="E3239" s="1">
        <f>IFERROR(__xludf.DUMMYFUNCTION("""COMPUTED_VALUE"""),4.72)</f>
        <v>4.72</v>
      </c>
      <c r="F3239" s="1">
        <f>IFERROR(__xludf.DUMMYFUNCTION("""COMPUTED_VALUE"""),3380418.0)</f>
        <v>3380418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IFERROR(__xludf.DUMMYFUNCTION("""COMPUTED_VALUE"""),4.77)</f>
        <v>4.77</v>
      </c>
      <c r="C3240" s="1">
        <f>IFERROR(__xludf.DUMMYFUNCTION("""COMPUTED_VALUE"""),4.9)</f>
        <v>4.9</v>
      </c>
      <c r="D3240" s="1">
        <f>IFERROR(__xludf.DUMMYFUNCTION("""COMPUTED_VALUE"""),4.74)</f>
        <v>4.74</v>
      </c>
      <c r="E3240" s="1">
        <f>IFERROR(__xludf.DUMMYFUNCTION("""COMPUTED_VALUE"""),4.88)</f>
        <v>4.88</v>
      </c>
      <c r="F3240" s="1">
        <f>IFERROR(__xludf.DUMMYFUNCTION("""COMPUTED_VALUE"""),5741389.0)</f>
        <v>5741389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IFERROR(__xludf.DUMMYFUNCTION("""COMPUTED_VALUE"""),4.81)</f>
        <v>4.81</v>
      </c>
      <c r="C3241" s="1">
        <f>IFERROR(__xludf.DUMMYFUNCTION("""COMPUTED_VALUE"""),4.83)</f>
        <v>4.83</v>
      </c>
      <c r="D3241" s="1">
        <f>IFERROR(__xludf.DUMMYFUNCTION("""COMPUTED_VALUE"""),4.77)</f>
        <v>4.77</v>
      </c>
      <c r="E3241" s="1">
        <f>IFERROR(__xludf.DUMMYFUNCTION("""COMPUTED_VALUE"""),4.77)</f>
        <v>4.77</v>
      </c>
      <c r="F3241" s="1">
        <f>IFERROR(__xludf.DUMMYFUNCTION("""COMPUTED_VALUE"""),2196666.0)</f>
        <v>2196666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IFERROR(__xludf.DUMMYFUNCTION("""COMPUTED_VALUE"""),4.82)</f>
        <v>4.82</v>
      </c>
      <c r="C3242" s="1">
        <f>IFERROR(__xludf.DUMMYFUNCTION("""COMPUTED_VALUE"""),4.83)</f>
        <v>4.83</v>
      </c>
      <c r="D3242" s="1">
        <f>IFERROR(__xludf.DUMMYFUNCTION("""COMPUTED_VALUE"""),4.68)</f>
        <v>4.68</v>
      </c>
      <c r="E3242" s="1">
        <f>IFERROR(__xludf.DUMMYFUNCTION("""COMPUTED_VALUE"""),4.72)</f>
        <v>4.72</v>
      </c>
      <c r="F3242" s="1">
        <f>IFERROR(__xludf.DUMMYFUNCTION("""COMPUTED_VALUE"""),1999340.0)</f>
        <v>1999340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IFERROR(__xludf.DUMMYFUNCTION("""COMPUTED_VALUE"""),4.79)</f>
        <v>4.79</v>
      </c>
      <c r="C3243" s="1">
        <f>IFERROR(__xludf.DUMMYFUNCTION("""COMPUTED_VALUE"""),4.83)</f>
        <v>4.83</v>
      </c>
      <c r="D3243" s="1">
        <f>IFERROR(__xludf.DUMMYFUNCTION("""COMPUTED_VALUE"""),4.78)</f>
        <v>4.78</v>
      </c>
      <c r="E3243" s="1">
        <f>IFERROR(__xludf.DUMMYFUNCTION("""COMPUTED_VALUE"""),4.81)</f>
        <v>4.81</v>
      </c>
      <c r="F3243" s="1">
        <f>IFERROR(__xludf.DUMMYFUNCTION("""COMPUTED_VALUE"""),2627291.0)</f>
        <v>2627291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IFERROR(__xludf.DUMMYFUNCTION("""COMPUTED_VALUE"""),4.74)</f>
        <v>4.74</v>
      </c>
      <c r="C3244" s="1">
        <f>IFERROR(__xludf.DUMMYFUNCTION("""COMPUTED_VALUE"""),4.83)</f>
        <v>4.83</v>
      </c>
      <c r="D3244" s="1">
        <f>IFERROR(__xludf.DUMMYFUNCTION("""COMPUTED_VALUE"""),4.74)</f>
        <v>4.74</v>
      </c>
      <c r="E3244" s="1">
        <f>IFERROR(__xludf.DUMMYFUNCTION("""COMPUTED_VALUE"""),4.82)</f>
        <v>4.82</v>
      </c>
      <c r="F3244" s="1">
        <f>IFERROR(__xludf.DUMMYFUNCTION("""COMPUTED_VALUE"""),1135768.0)</f>
        <v>1135768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IFERROR(__xludf.DUMMYFUNCTION("""COMPUTED_VALUE"""),4.82)</f>
        <v>4.82</v>
      </c>
      <c r="C3245" s="1">
        <f>IFERROR(__xludf.DUMMYFUNCTION("""COMPUTED_VALUE"""),4.85)</f>
        <v>4.85</v>
      </c>
      <c r="D3245" s="1">
        <f>IFERROR(__xludf.DUMMYFUNCTION("""COMPUTED_VALUE"""),4.8)</f>
        <v>4.8</v>
      </c>
      <c r="E3245" s="1">
        <f>IFERROR(__xludf.DUMMYFUNCTION("""COMPUTED_VALUE"""),4.84)</f>
        <v>4.84</v>
      </c>
      <c r="F3245" s="1">
        <f>IFERROR(__xludf.DUMMYFUNCTION("""COMPUTED_VALUE"""),1328169.0)</f>
        <v>1328169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IFERROR(__xludf.DUMMYFUNCTION("""COMPUTED_VALUE"""),4.78)</f>
        <v>4.78</v>
      </c>
      <c r="C3246" s="1">
        <f>IFERROR(__xludf.DUMMYFUNCTION("""COMPUTED_VALUE"""),4.81)</f>
        <v>4.81</v>
      </c>
      <c r="D3246" s="1">
        <f>IFERROR(__xludf.DUMMYFUNCTION("""COMPUTED_VALUE"""),4.75)</f>
        <v>4.75</v>
      </c>
      <c r="E3246" s="1">
        <f>IFERROR(__xludf.DUMMYFUNCTION("""COMPUTED_VALUE"""),4.79)</f>
        <v>4.79</v>
      </c>
      <c r="F3246" s="1">
        <f>IFERROR(__xludf.DUMMYFUNCTION("""COMPUTED_VALUE"""),1175374.0)</f>
        <v>1175374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IFERROR(__xludf.DUMMYFUNCTION("""COMPUTED_VALUE"""),4.82)</f>
        <v>4.82</v>
      </c>
      <c r="C3247" s="1">
        <f>IFERROR(__xludf.DUMMYFUNCTION("""COMPUTED_VALUE"""),4.87)</f>
        <v>4.87</v>
      </c>
      <c r="D3247" s="1">
        <f>IFERROR(__xludf.DUMMYFUNCTION("""COMPUTED_VALUE"""),4.81)</f>
        <v>4.81</v>
      </c>
      <c r="E3247" s="1">
        <f>IFERROR(__xludf.DUMMYFUNCTION("""COMPUTED_VALUE"""),4.86)</f>
        <v>4.86</v>
      </c>
      <c r="F3247" s="1">
        <f>IFERROR(__xludf.DUMMYFUNCTION("""COMPUTED_VALUE"""),1068641.0)</f>
        <v>1068641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IFERROR(__xludf.DUMMYFUNCTION("""COMPUTED_VALUE"""),4.88)</f>
        <v>4.88</v>
      </c>
      <c r="C3248" s="1">
        <f>IFERROR(__xludf.DUMMYFUNCTION("""COMPUTED_VALUE"""),4.9)</f>
        <v>4.9</v>
      </c>
      <c r="D3248" s="1">
        <f>IFERROR(__xludf.DUMMYFUNCTION("""COMPUTED_VALUE"""),4.82)</f>
        <v>4.82</v>
      </c>
      <c r="E3248" s="1">
        <f>IFERROR(__xludf.DUMMYFUNCTION("""COMPUTED_VALUE"""),4.84)</f>
        <v>4.84</v>
      </c>
      <c r="F3248" s="1">
        <f>IFERROR(__xludf.DUMMYFUNCTION("""COMPUTED_VALUE"""),1165941.0)</f>
        <v>1165941</v>
      </c>
    </row>
    <row r="3249">
      <c r="A3249" s="2">
        <f>IFERROR(__xludf.DUMMYFUNCTION("""COMPUTED_VALUE"""),44890.54166666667)</f>
        <v>44890.54167</v>
      </c>
      <c r="B3249" s="1">
        <f>IFERROR(__xludf.DUMMYFUNCTION("""COMPUTED_VALUE"""),4.83)</f>
        <v>4.83</v>
      </c>
      <c r="C3249" s="1">
        <f>IFERROR(__xludf.DUMMYFUNCTION("""COMPUTED_VALUE"""),4.9)</f>
        <v>4.9</v>
      </c>
      <c r="D3249" s="1">
        <f>IFERROR(__xludf.DUMMYFUNCTION("""COMPUTED_VALUE"""),4.83)</f>
        <v>4.83</v>
      </c>
      <c r="E3249" s="1">
        <f>IFERROR(__xludf.DUMMYFUNCTION("""COMPUTED_VALUE"""),4.9)</f>
        <v>4.9</v>
      </c>
      <c r="F3249" s="1">
        <f>IFERROR(__xludf.DUMMYFUNCTION("""COMPUTED_VALUE"""),951230.0)</f>
        <v>951230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IFERROR(__xludf.DUMMYFUNCTION("""COMPUTED_VALUE"""),4.85)</f>
        <v>4.85</v>
      </c>
      <c r="C3250" s="1">
        <f>IFERROR(__xludf.DUMMYFUNCTION("""COMPUTED_VALUE"""),4.86)</f>
        <v>4.86</v>
      </c>
      <c r="D3250" s="1">
        <f>IFERROR(__xludf.DUMMYFUNCTION("""COMPUTED_VALUE"""),4.76)</f>
        <v>4.76</v>
      </c>
      <c r="E3250" s="1">
        <f>IFERROR(__xludf.DUMMYFUNCTION("""COMPUTED_VALUE"""),4.76)</f>
        <v>4.76</v>
      </c>
      <c r="F3250" s="1">
        <f>IFERROR(__xludf.DUMMYFUNCTION("""COMPUTED_VALUE"""),1114571.0)</f>
        <v>1114571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IFERROR(__xludf.DUMMYFUNCTION("""COMPUTED_VALUE"""),4.8)</f>
        <v>4.8</v>
      </c>
      <c r="C3251" s="1">
        <f>IFERROR(__xludf.DUMMYFUNCTION("""COMPUTED_VALUE"""),4.87)</f>
        <v>4.87</v>
      </c>
      <c r="D3251" s="1">
        <f>IFERROR(__xludf.DUMMYFUNCTION("""COMPUTED_VALUE"""),4.8)</f>
        <v>4.8</v>
      </c>
      <c r="E3251" s="1">
        <f>IFERROR(__xludf.DUMMYFUNCTION("""COMPUTED_VALUE"""),4.86)</f>
        <v>4.86</v>
      </c>
      <c r="F3251" s="1">
        <f>IFERROR(__xludf.DUMMYFUNCTION("""COMPUTED_VALUE"""),1610503.0)</f>
        <v>1610503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IFERROR(__xludf.DUMMYFUNCTION("""COMPUTED_VALUE"""),4.85)</f>
        <v>4.85</v>
      </c>
      <c r="C3252" s="1">
        <f>IFERROR(__xludf.DUMMYFUNCTION("""COMPUTED_VALUE"""),4.89)</f>
        <v>4.89</v>
      </c>
      <c r="D3252" s="1">
        <f>IFERROR(__xludf.DUMMYFUNCTION("""COMPUTED_VALUE"""),4.75)</f>
        <v>4.75</v>
      </c>
      <c r="E3252" s="1">
        <f>IFERROR(__xludf.DUMMYFUNCTION("""COMPUTED_VALUE"""),4.87)</f>
        <v>4.87</v>
      </c>
      <c r="F3252" s="1">
        <f>IFERROR(__xludf.DUMMYFUNCTION("""COMPUTED_VALUE"""),1698445.0)</f>
        <v>1698445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IFERROR(__xludf.DUMMYFUNCTION("""COMPUTED_VALUE"""),4.97)</f>
        <v>4.97</v>
      </c>
      <c r="C3253" s="1">
        <f>IFERROR(__xludf.DUMMYFUNCTION("""COMPUTED_VALUE"""),4.98)</f>
        <v>4.98</v>
      </c>
      <c r="D3253" s="1">
        <f>IFERROR(__xludf.DUMMYFUNCTION("""COMPUTED_VALUE"""),4.91)</f>
        <v>4.91</v>
      </c>
      <c r="E3253" s="1">
        <f>IFERROR(__xludf.DUMMYFUNCTION("""COMPUTED_VALUE"""),4.93)</f>
        <v>4.93</v>
      </c>
      <c r="F3253" s="1">
        <f>IFERROR(__xludf.DUMMYFUNCTION("""COMPUTED_VALUE"""),1397328.0)</f>
        <v>1397328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IFERROR(__xludf.DUMMYFUNCTION("""COMPUTED_VALUE"""),4.88)</f>
        <v>4.88</v>
      </c>
      <c r="C3254" s="1">
        <f>IFERROR(__xludf.DUMMYFUNCTION("""COMPUTED_VALUE"""),4.95)</f>
        <v>4.95</v>
      </c>
      <c r="D3254" s="1">
        <f>IFERROR(__xludf.DUMMYFUNCTION("""COMPUTED_VALUE"""),4.88)</f>
        <v>4.88</v>
      </c>
      <c r="E3254" s="1">
        <f>IFERROR(__xludf.DUMMYFUNCTION("""COMPUTED_VALUE"""),4.94)</f>
        <v>4.94</v>
      </c>
      <c r="F3254" s="1">
        <f>IFERROR(__xludf.DUMMYFUNCTION("""COMPUTED_VALUE"""),3125266.0)</f>
        <v>3125266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IFERROR(__xludf.DUMMYFUNCTION("""COMPUTED_VALUE"""),4.93)</f>
        <v>4.93</v>
      </c>
      <c r="C3255" s="1">
        <f>IFERROR(__xludf.DUMMYFUNCTION("""COMPUTED_VALUE"""),4.96)</f>
        <v>4.96</v>
      </c>
      <c r="D3255" s="1">
        <f>IFERROR(__xludf.DUMMYFUNCTION("""COMPUTED_VALUE"""),4.84)</f>
        <v>4.84</v>
      </c>
      <c r="E3255" s="1">
        <f>IFERROR(__xludf.DUMMYFUNCTION("""COMPUTED_VALUE"""),4.86)</f>
        <v>4.86</v>
      </c>
      <c r="F3255" s="1">
        <f>IFERROR(__xludf.DUMMYFUNCTION("""COMPUTED_VALUE"""),1424375.0)</f>
        <v>1424375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IFERROR(__xludf.DUMMYFUNCTION("""COMPUTED_VALUE"""),4.88)</f>
        <v>4.88</v>
      </c>
      <c r="C3256" s="1">
        <f>IFERROR(__xludf.DUMMYFUNCTION("""COMPUTED_VALUE"""),4.91)</f>
        <v>4.91</v>
      </c>
      <c r="D3256" s="1">
        <f>IFERROR(__xludf.DUMMYFUNCTION("""COMPUTED_VALUE"""),4.82)</f>
        <v>4.82</v>
      </c>
      <c r="E3256" s="1">
        <f>IFERROR(__xludf.DUMMYFUNCTION("""COMPUTED_VALUE"""),4.85)</f>
        <v>4.85</v>
      </c>
      <c r="F3256" s="1">
        <f>IFERROR(__xludf.DUMMYFUNCTION("""COMPUTED_VALUE"""),1236145.0)</f>
        <v>1236145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IFERROR(__xludf.DUMMYFUNCTION("""COMPUTED_VALUE"""),4.82)</f>
        <v>4.82</v>
      </c>
      <c r="C3257" s="1">
        <f>IFERROR(__xludf.DUMMYFUNCTION("""COMPUTED_VALUE"""),4.88)</f>
        <v>4.88</v>
      </c>
      <c r="D3257" s="1">
        <f>IFERROR(__xludf.DUMMYFUNCTION("""COMPUTED_VALUE"""),4.81)</f>
        <v>4.81</v>
      </c>
      <c r="E3257" s="1">
        <f>IFERROR(__xludf.DUMMYFUNCTION("""COMPUTED_VALUE"""),4.84)</f>
        <v>4.84</v>
      </c>
      <c r="F3257" s="1">
        <f>IFERROR(__xludf.DUMMYFUNCTION("""COMPUTED_VALUE"""),1043580.0)</f>
        <v>1043580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IFERROR(__xludf.DUMMYFUNCTION("""COMPUTED_VALUE"""),4.84)</f>
        <v>4.84</v>
      </c>
      <c r="C3258" s="1">
        <f>IFERROR(__xludf.DUMMYFUNCTION("""COMPUTED_VALUE"""),4.84)</f>
        <v>4.84</v>
      </c>
      <c r="D3258" s="1">
        <f>IFERROR(__xludf.DUMMYFUNCTION("""COMPUTED_VALUE"""),4.77)</f>
        <v>4.77</v>
      </c>
      <c r="E3258" s="1">
        <f>IFERROR(__xludf.DUMMYFUNCTION("""COMPUTED_VALUE"""),4.78)</f>
        <v>4.78</v>
      </c>
      <c r="F3258" s="1">
        <f>IFERROR(__xludf.DUMMYFUNCTION("""COMPUTED_VALUE"""),943874.0)</f>
        <v>943874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IFERROR(__xludf.DUMMYFUNCTION("""COMPUTED_VALUE"""),4.86)</f>
        <v>4.86</v>
      </c>
      <c r="C3259" s="1">
        <f>IFERROR(__xludf.DUMMYFUNCTION("""COMPUTED_VALUE"""),4.93)</f>
        <v>4.93</v>
      </c>
      <c r="D3259" s="1">
        <f>IFERROR(__xludf.DUMMYFUNCTION("""COMPUTED_VALUE"""),4.86)</f>
        <v>4.86</v>
      </c>
      <c r="E3259" s="1">
        <f>IFERROR(__xludf.DUMMYFUNCTION("""COMPUTED_VALUE"""),4.92)</f>
        <v>4.92</v>
      </c>
      <c r="F3259" s="1">
        <f>IFERROR(__xludf.DUMMYFUNCTION("""COMPUTED_VALUE"""),3437268.0)</f>
        <v>3437268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IFERROR(__xludf.DUMMYFUNCTION("""COMPUTED_VALUE"""),4.88)</f>
        <v>4.88</v>
      </c>
      <c r="C3260" s="1">
        <f>IFERROR(__xludf.DUMMYFUNCTION("""COMPUTED_VALUE"""),4.9)</f>
        <v>4.9</v>
      </c>
      <c r="D3260" s="1">
        <f>IFERROR(__xludf.DUMMYFUNCTION("""COMPUTED_VALUE"""),4.86)</f>
        <v>4.86</v>
      </c>
      <c r="E3260" s="1">
        <f>IFERROR(__xludf.DUMMYFUNCTION("""COMPUTED_VALUE"""),4.9)</f>
        <v>4.9</v>
      </c>
      <c r="F3260" s="1">
        <f>IFERROR(__xludf.DUMMYFUNCTION("""COMPUTED_VALUE"""),1460769.0)</f>
        <v>1460769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IFERROR(__xludf.DUMMYFUNCTION("""COMPUTED_VALUE"""),5.01)</f>
        <v>5.01</v>
      </c>
      <c r="C3261" s="1">
        <f>IFERROR(__xludf.DUMMYFUNCTION("""COMPUTED_VALUE"""),5.03)</f>
        <v>5.03</v>
      </c>
      <c r="D3261" s="1">
        <f>IFERROR(__xludf.DUMMYFUNCTION("""COMPUTED_VALUE"""),4.93)</f>
        <v>4.93</v>
      </c>
      <c r="E3261" s="1">
        <f>IFERROR(__xludf.DUMMYFUNCTION("""COMPUTED_VALUE"""),4.97)</f>
        <v>4.97</v>
      </c>
      <c r="F3261" s="1">
        <f>IFERROR(__xludf.DUMMYFUNCTION("""COMPUTED_VALUE"""),1683957.0)</f>
        <v>1683957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IFERROR(__xludf.DUMMYFUNCTION("""COMPUTED_VALUE"""),4.97)</f>
        <v>4.97</v>
      </c>
      <c r="C3262" s="1">
        <f>IFERROR(__xludf.DUMMYFUNCTION("""COMPUTED_VALUE"""),4.99)</f>
        <v>4.99</v>
      </c>
      <c r="D3262" s="1">
        <f>IFERROR(__xludf.DUMMYFUNCTION("""COMPUTED_VALUE"""),4.91)</f>
        <v>4.91</v>
      </c>
      <c r="E3262" s="1">
        <f>IFERROR(__xludf.DUMMYFUNCTION("""COMPUTED_VALUE"""),4.93)</f>
        <v>4.93</v>
      </c>
      <c r="F3262" s="1">
        <f>IFERROR(__xludf.DUMMYFUNCTION("""COMPUTED_VALUE"""),2067156.0)</f>
        <v>2067156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IFERROR(__xludf.DUMMYFUNCTION("""COMPUTED_VALUE"""),4.89)</f>
        <v>4.89</v>
      </c>
      <c r="C3263" s="1">
        <f>IFERROR(__xludf.DUMMYFUNCTION("""COMPUTED_VALUE"""),4.91)</f>
        <v>4.91</v>
      </c>
      <c r="D3263" s="1">
        <f>IFERROR(__xludf.DUMMYFUNCTION("""COMPUTED_VALUE"""),4.82)</f>
        <v>4.82</v>
      </c>
      <c r="E3263" s="1">
        <f>IFERROR(__xludf.DUMMYFUNCTION("""COMPUTED_VALUE"""),4.84)</f>
        <v>4.84</v>
      </c>
      <c r="F3263" s="1">
        <f>IFERROR(__xludf.DUMMYFUNCTION("""COMPUTED_VALUE"""),2154902.0)</f>
        <v>2154902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IFERROR(__xludf.DUMMYFUNCTION("""COMPUTED_VALUE"""),4.78)</f>
        <v>4.78</v>
      </c>
      <c r="C3264" s="1">
        <f>IFERROR(__xludf.DUMMYFUNCTION("""COMPUTED_VALUE"""),4.81)</f>
        <v>4.81</v>
      </c>
      <c r="D3264" s="1">
        <f>IFERROR(__xludf.DUMMYFUNCTION("""COMPUTED_VALUE"""),4.76)</f>
        <v>4.76</v>
      </c>
      <c r="E3264" s="1">
        <f>IFERROR(__xludf.DUMMYFUNCTION("""COMPUTED_VALUE"""),4.78)</f>
        <v>4.78</v>
      </c>
      <c r="F3264" s="1">
        <f>IFERROR(__xludf.DUMMYFUNCTION("""COMPUTED_VALUE"""),1662719.0)</f>
        <v>1662719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IFERROR(__xludf.DUMMYFUNCTION("""COMPUTED_VALUE"""),4.89)</f>
        <v>4.89</v>
      </c>
      <c r="C3265" s="1">
        <f>IFERROR(__xludf.DUMMYFUNCTION("""COMPUTED_VALUE"""),5.02)</f>
        <v>5.02</v>
      </c>
      <c r="D3265" s="1">
        <f>IFERROR(__xludf.DUMMYFUNCTION("""COMPUTED_VALUE"""),4.86)</f>
        <v>4.86</v>
      </c>
      <c r="E3265" s="1">
        <f>IFERROR(__xludf.DUMMYFUNCTION("""COMPUTED_VALUE"""),4.9)</f>
        <v>4.9</v>
      </c>
      <c r="F3265" s="1">
        <f>IFERROR(__xludf.DUMMYFUNCTION("""COMPUTED_VALUE"""),2508145.0)</f>
        <v>2508145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IFERROR(__xludf.DUMMYFUNCTION("""COMPUTED_VALUE"""),4.93)</f>
        <v>4.93</v>
      </c>
      <c r="C3266" s="1">
        <f>IFERROR(__xludf.DUMMYFUNCTION("""COMPUTED_VALUE"""),5.03)</f>
        <v>5.03</v>
      </c>
      <c r="D3266" s="1">
        <f>IFERROR(__xludf.DUMMYFUNCTION("""COMPUTED_VALUE"""),4.92)</f>
        <v>4.92</v>
      </c>
      <c r="E3266" s="1">
        <f>IFERROR(__xludf.DUMMYFUNCTION("""COMPUTED_VALUE"""),4.98)</f>
        <v>4.98</v>
      </c>
      <c r="F3266" s="1">
        <f>IFERROR(__xludf.DUMMYFUNCTION("""COMPUTED_VALUE"""),1597792.0)</f>
        <v>1597792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IFERROR(__xludf.DUMMYFUNCTION("""COMPUTED_VALUE"""),5.07)</f>
        <v>5.07</v>
      </c>
      <c r="C3267" s="1">
        <f>IFERROR(__xludf.DUMMYFUNCTION("""COMPUTED_VALUE"""),5.11)</f>
        <v>5.11</v>
      </c>
      <c r="D3267" s="1">
        <f>IFERROR(__xludf.DUMMYFUNCTION("""COMPUTED_VALUE"""),5.06)</f>
        <v>5.06</v>
      </c>
      <c r="E3267" s="1">
        <f>IFERROR(__xludf.DUMMYFUNCTION("""COMPUTED_VALUE"""),5.07)</f>
        <v>5.07</v>
      </c>
      <c r="F3267" s="1">
        <f>IFERROR(__xludf.DUMMYFUNCTION("""COMPUTED_VALUE"""),1858005.0)</f>
        <v>1858005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IFERROR(__xludf.DUMMYFUNCTION("""COMPUTED_VALUE"""),5.1)</f>
        <v>5.1</v>
      </c>
      <c r="C3268" s="1">
        <f>IFERROR(__xludf.DUMMYFUNCTION("""COMPUTED_VALUE"""),5.12)</f>
        <v>5.12</v>
      </c>
      <c r="D3268" s="1">
        <f>IFERROR(__xludf.DUMMYFUNCTION("""COMPUTED_VALUE"""),5.01)</f>
        <v>5.01</v>
      </c>
      <c r="E3268" s="1">
        <f>IFERROR(__xludf.DUMMYFUNCTION("""COMPUTED_VALUE"""),5.08)</f>
        <v>5.08</v>
      </c>
      <c r="F3268" s="1">
        <f>IFERROR(__xludf.DUMMYFUNCTION("""COMPUTED_VALUE"""),1538246.0)</f>
        <v>1538246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IFERROR(__xludf.DUMMYFUNCTION("""COMPUTED_VALUE"""),5.13)</f>
        <v>5.13</v>
      </c>
      <c r="C3269" s="1">
        <f>IFERROR(__xludf.DUMMYFUNCTION("""COMPUTED_VALUE"""),5.16)</f>
        <v>5.16</v>
      </c>
      <c r="D3269" s="1">
        <f>IFERROR(__xludf.DUMMYFUNCTION("""COMPUTED_VALUE"""),5.11)</f>
        <v>5.11</v>
      </c>
      <c r="E3269" s="1">
        <f>IFERROR(__xludf.DUMMYFUNCTION("""COMPUTED_VALUE"""),5.14)</f>
        <v>5.14</v>
      </c>
      <c r="F3269" s="1">
        <f>IFERROR(__xludf.DUMMYFUNCTION("""COMPUTED_VALUE"""),1410806.0)</f>
        <v>1410806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IFERROR(__xludf.DUMMYFUNCTION("""COMPUTED_VALUE"""),5.15)</f>
        <v>5.15</v>
      </c>
      <c r="C3270" s="1">
        <f>IFERROR(__xludf.DUMMYFUNCTION("""COMPUTED_VALUE"""),5.17)</f>
        <v>5.17</v>
      </c>
      <c r="D3270" s="1">
        <f>IFERROR(__xludf.DUMMYFUNCTION("""COMPUTED_VALUE"""),5.12)</f>
        <v>5.12</v>
      </c>
      <c r="E3270" s="1">
        <f>IFERROR(__xludf.DUMMYFUNCTION("""COMPUTED_VALUE"""),5.14)</f>
        <v>5.14</v>
      </c>
      <c r="F3270" s="1">
        <f>IFERROR(__xludf.DUMMYFUNCTION("""COMPUTED_VALUE"""),1556220.0)</f>
        <v>1556220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IFERROR(__xludf.DUMMYFUNCTION("""COMPUTED_VALUE"""),5.14)</f>
        <v>5.14</v>
      </c>
      <c r="C3271" s="1">
        <f>IFERROR(__xludf.DUMMYFUNCTION("""COMPUTED_VALUE"""),5.14)</f>
        <v>5.14</v>
      </c>
      <c r="D3271" s="1">
        <f>IFERROR(__xludf.DUMMYFUNCTION("""COMPUTED_VALUE"""),5.03)</f>
        <v>5.03</v>
      </c>
      <c r="E3271" s="1">
        <f>IFERROR(__xludf.DUMMYFUNCTION("""COMPUTED_VALUE"""),5.04)</f>
        <v>5.04</v>
      </c>
      <c r="F3271" s="1">
        <f>IFERROR(__xludf.DUMMYFUNCTION("""COMPUTED_VALUE"""),1313060.0)</f>
        <v>1313060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IFERROR(__xludf.DUMMYFUNCTION("""COMPUTED_VALUE"""),5.06)</f>
        <v>5.06</v>
      </c>
      <c r="C3272" s="1">
        <f>IFERROR(__xludf.DUMMYFUNCTION("""COMPUTED_VALUE"""),5.12)</f>
        <v>5.12</v>
      </c>
      <c r="D3272" s="1">
        <f>IFERROR(__xludf.DUMMYFUNCTION("""COMPUTED_VALUE"""),5.06)</f>
        <v>5.06</v>
      </c>
      <c r="E3272" s="1">
        <f>IFERROR(__xludf.DUMMYFUNCTION("""COMPUTED_VALUE"""),5.09)</f>
        <v>5.09</v>
      </c>
      <c r="F3272" s="1">
        <f>IFERROR(__xludf.DUMMYFUNCTION("""COMPUTED_VALUE"""),1041835.0)</f>
        <v>1041835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IFERROR(__xludf.DUMMYFUNCTION("""COMPUTED_VALUE"""),5.05)</f>
        <v>5.05</v>
      </c>
      <c r="C3273" s="1">
        <f>IFERROR(__xludf.DUMMYFUNCTION("""COMPUTED_VALUE"""),5.07)</f>
        <v>5.07</v>
      </c>
      <c r="D3273" s="1">
        <f>IFERROR(__xludf.DUMMYFUNCTION("""COMPUTED_VALUE"""),5.01)</f>
        <v>5.01</v>
      </c>
      <c r="E3273" s="1">
        <f>IFERROR(__xludf.DUMMYFUNCTION("""COMPUTED_VALUE"""),5.04)</f>
        <v>5.04</v>
      </c>
      <c r="F3273" s="1">
        <f>IFERROR(__xludf.DUMMYFUNCTION("""COMPUTED_VALUE"""),1227436.0)</f>
        <v>1227436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IFERROR(__xludf.DUMMYFUNCTION("""COMPUTED_VALUE"""),5.08)</f>
        <v>5.08</v>
      </c>
      <c r="C3274" s="1">
        <f>IFERROR(__xludf.DUMMYFUNCTION("""COMPUTED_VALUE"""),5.11)</f>
        <v>5.11</v>
      </c>
      <c r="D3274" s="1">
        <f>IFERROR(__xludf.DUMMYFUNCTION("""COMPUTED_VALUE"""),5.03)</f>
        <v>5.03</v>
      </c>
      <c r="E3274" s="1">
        <f>IFERROR(__xludf.DUMMYFUNCTION("""COMPUTED_VALUE"""),5.05)</f>
        <v>5.05</v>
      </c>
      <c r="F3274" s="1">
        <f>IFERROR(__xludf.DUMMYFUNCTION("""COMPUTED_VALUE"""),1757499.0)</f>
        <v>1757499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IFERROR(__xludf.DUMMYFUNCTION("""COMPUTED_VALUE"""),5.14)</f>
        <v>5.14</v>
      </c>
      <c r="C3275" s="1">
        <f>IFERROR(__xludf.DUMMYFUNCTION("""COMPUTED_VALUE"""),5.17)</f>
        <v>5.17</v>
      </c>
      <c r="D3275" s="1">
        <f>IFERROR(__xludf.DUMMYFUNCTION("""COMPUTED_VALUE"""),5.11)</f>
        <v>5.11</v>
      </c>
      <c r="E3275" s="1">
        <f>IFERROR(__xludf.DUMMYFUNCTION("""COMPUTED_VALUE"""),5.14)</f>
        <v>5.14</v>
      </c>
      <c r="F3275" s="1">
        <f>IFERROR(__xludf.DUMMYFUNCTION("""COMPUTED_VALUE"""),1286701.0)</f>
        <v>1286701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IFERROR(__xludf.DUMMYFUNCTION("""COMPUTED_VALUE"""),5.05)</f>
        <v>5.05</v>
      </c>
      <c r="C3276" s="1">
        <f>IFERROR(__xludf.DUMMYFUNCTION("""COMPUTED_VALUE"""),5.07)</f>
        <v>5.07</v>
      </c>
      <c r="D3276" s="1">
        <f>IFERROR(__xludf.DUMMYFUNCTION("""COMPUTED_VALUE"""),5.0)</f>
        <v>5</v>
      </c>
      <c r="E3276" s="1">
        <f>IFERROR(__xludf.DUMMYFUNCTION("""COMPUTED_VALUE"""),5.02)</f>
        <v>5.02</v>
      </c>
      <c r="F3276" s="1">
        <f>IFERROR(__xludf.DUMMYFUNCTION("""COMPUTED_VALUE"""),873511.0)</f>
        <v>873511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IFERROR(__xludf.DUMMYFUNCTION("""COMPUTED_VALUE"""),5.07)</f>
        <v>5.07</v>
      </c>
      <c r="C3277" s="1">
        <f>IFERROR(__xludf.DUMMYFUNCTION("""COMPUTED_VALUE"""),5.2)</f>
        <v>5.2</v>
      </c>
      <c r="D3277" s="1">
        <f>IFERROR(__xludf.DUMMYFUNCTION("""COMPUTED_VALUE"""),5.07)</f>
        <v>5.07</v>
      </c>
      <c r="E3277" s="1">
        <f>IFERROR(__xludf.DUMMYFUNCTION("""COMPUTED_VALUE"""),5.19)</f>
        <v>5.19</v>
      </c>
      <c r="F3277" s="1">
        <f>IFERROR(__xludf.DUMMYFUNCTION("""COMPUTED_VALUE"""),983298.0)</f>
        <v>983298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IFERROR(__xludf.DUMMYFUNCTION("""COMPUTED_VALUE"""),5.22)</f>
        <v>5.22</v>
      </c>
      <c r="C3278" s="1">
        <f>IFERROR(__xludf.DUMMYFUNCTION("""COMPUTED_VALUE"""),5.26)</f>
        <v>5.26</v>
      </c>
      <c r="D3278" s="1">
        <f>IFERROR(__xludf.DUMMYFUNCTION("""COMPUTED_VALUE"""),5.19)</f>
        <v>5.19</v>
      </c>
      <c r="E3278" s="1">
        <f>IFERROR(__xludf.DUMMYFUNCTION("""COMPUTED_VALUE"""),5.19)</f>
        <v>5.19</v>
      </c>
      <c r="F3278" s="1">
        <f>IFERROR(__xludf.DUMMYFUNCTION("""COMPUTED_VALUE"""),834802.0)</f>
        <v>834802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IFERROR(__xludf.DUMMYFUNCTION("""COMPUTED_VALUE"""),5.24)</f>
        <v>5.24</v>
      </c>
      <c r="C3279" s="1">
        <f>IFERROR(__xludf.DUMMYFUNCTION("""COMPUTED_VALUE"""),5.3)</f>
        <v>5.3</v>
      </c>
      <c r="D3279" s="1">
        <f>IFERROR(__xludf.DUMMYFUNCTION("""COMPUTED_VALUE"""),5.23)</f>
        <v>5.23</v>
      </c>
      <c r="E3279" s="1">
        <f>IFERROR(__xludf.DUMMYFUNCTION("""COMPUTED_VALUE"""),5.29)</f>
        <v>5.29</v>
      </c>
      <c r="F3279" s="1">
        <f>IFERROR(__xludf.DUMMYFUNCTION("""COMPUTED_VALUE"""),1013378.0)</f>
        <v>1013378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IFERROR(__xludf.DUMMYFUNCTION("""COMPUTED_VALUE"""),5.24)</f>
        <v>5.24</v>
      </c>
      <c r="C3280" s="1">
        <f>IFERROR(__xludf.DUMMYFUNCTION("""COMPUTED_VALUE"""),5.25)</f>
        <v>5.25</v>
      </c>
      <c r="D3280" s="1">
        <f>IFERROR(__xludf.DUMMYFUNCTION("""COMPUTED_VALUE"""),5.21)</f>
        <v>5.21</v>
      </c>
      <c r="E3280" s="1">
        <f>IFERROR(__xludf.DUMMYFUNCTION("""COMPUTED_VALUE"""),5.25)</f>
        <v>5.25</v>
      </c>
      <c r="F3280" s="1">
        <f>IFERROR(__xludf.DUMMYFUNCTION("""COMPUTED_VALUE"""),846320.0)</f>
        <v>846320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IFERROR(__xludf.DUMMYFUNCTION("""COMPUTED_VALUE"""),5.48)</f>
        <v>5.48</v>
      </c>
      <c r="C3281" s="1">
        <f>IFERROR(__xludf.DUMMYFUNCTION("""COMPUTED_VALUE"""),5.54)</f>
        <v>5.54</v>
      </c>
      <c r="D3281" s="1">
        <f>IFERROR(__xludf.DUMMYFUNCTION("""COMPUTED_VALUE"""),5.46)</f>
        <v>5.46</v>
      </c>
      <c r="E3281" s="1">
        <f>IFERROR(__xludf.DUMMYFUNCTION("""COMPUTED_VALUE"""),5.51)</f>
        <v>5.51</v>
      </c>
      <c r="F3281" s="1">
        <f>IFERROR(__xludf.DUMMYFUNCTION("""COMPUTED_VALUE"""),3467400.0)</f>
        <v>3467400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IFERROR(__xludf.DUMMYFUNCTION("""COMPUTED_VALUE"""),5.49)</f>
        <v>5.49</v>
      </c>
      <c r="C3282" s="1">
        <f>IFERROR(__xludf.DUMMYFUNCTION("""COMPUTED_VALUE"""),5.54)</f>
        <v>5.54</v>
      </c>
      <c r="D3282" s="1">
        <f>IFERROR(__xludf.DUMMYFUNCTION("""COMPUTED_VALUE"""),5.46)</f>
        <v>5.46</v>
      </c>
      <c r="E3282" s="1">
        <f>IFERROR(__xludf.DUMMYFUNCTION("""COMPUTED_VALUE"""),5.53)</f>
        <v>5.53</v>
      </c>
      <c r="F3282" s="1">
        <f>IFERROR(__xludf.DUMMYFUNCTION("""COMPUTED_VALUE"""),1170877.0)</f>
        <v>1170877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IFERROR(__xludf.DUMMYFUNCTION("""COMPUTED_VALUE"""),5.47)</f>
        <v>5.47</v>
      </c>
      <c r="C3283" s="1">
        <f>IFERROR(__xludf.DUMMYFUNCTION("""COMPUTED_VALUE"""),5.48)</f>
        <v>5.48</v>
      </c>
      <c r="D3283" s="1">
        <f>IFERROR(__xludf.DUMMYFUNCTION("""COMPUTED_VALUE"""),5.39)</f>
        <v>5.39</v>
      </c>
      <c r="E3283" s="1">
        <f>IFERROR(__xludf.DUMMYFUNCTION("""COMPUTED_VALUE"""),5.4)</f>
        <v>5.4</v>
      </c>
      <c r="F3283" s="1">
        <f>IFERROR(__xludf.DUMMYFUNCTION("""COMPUTED_VALUE"""),927686.0)</f>
        <v>927686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IFERROR(__xludf.DUMMYFUNCTION("""COMPUTED_VALUE"""),5.44)</f>
        <v>5.44</v>
      </c>
      <c r="C3284" s="1">
        <f>IFERROR(__xludf.DUMMYFUNCTION("""COMPUTED_VALUE"""),5.46)</f>
        <v>5.46</v>
      </c>
      <c r="D3284" s="1">
        <f>IFERROR(__xludf.DUMMYFUNCTION("""COMPUTED_VALUE"""),5.34)</f>
        <v>5.34</v>
      </c>
      <c r="E3284" s="1">
        <f>IFERROR(__xludf.DUMMYFUNCTION("""COMPUTED_VALUE"""),5.34)</f>
        <v>5.34</v>
      </c>
      <c r="F3284" s="1">
        <f>IFERROR(__xludf.DUMMYFUNCTION("""COMPUTED_VALUE"""),989062.0)</f>
        <v>989062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IFERROR(__xludf.DUMMYFUNCTION("""COMPUTED_VALUE"""),5.32)</f>
        <v>5.32</v>
      </c>
      <c r="C3285" s="1">
        <f>IFERROR(__xludf.DUMMYFUNCTION("""COMPUTED_VALUE"""),5.32)</f>
        <v>5.32</v>
      </c>
      <c r="D3285" s="1">
        <f>IFERROR(__xludf.DUMMYFUNCTION("""COMPUTED_VALUE"""),5.26)</f>
        <v>5.26</v>
      </c>
      <c r="E3285" s="1">
        <f>IFERROR(__xludf.DUMMYFUNCTION("""COMPUTED_VALUE"""),5.29)</f>
        <v>5.29</v>
      </c>
      <c r="F3285" s="1">
        <f>IFERROR(__xludf.DUMMYFUNCTION("""COMPUTED_VALUE"""),735972.0)</f>
        <v>735972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IFERROR(__xludf.DUMMYFUNCTION("""COMPUTED_VALUE"""),5.34)</f>
        <v>5.34</v>
      </c>
      <c r="C3286" s="1">
        <f>IFERROR(__xludf.DUMMYFUNCTION("""COMPUTED_VALUE"""),5.4)</f>
        <v>5.4</v>
      </c>
      <c r="D3286" s="1">
        <f>IFERROR(__xludf.DUMMYFUNCTION("""COMPUTED_VALUE"""),5.33)</f>
        <v>5.33</v>
      </c>
      <c r="E3286" s="1">
        <f>IFERROR(__xludf.DUMMYFUNCTION("""COMPUTED_VALUE"""),5.4)</f>
        <v>5.4</v>
      </c>
      <c r="F3286" s="1">
        <f>IFERROR(__xludf.DUMMYFUNCTION("""COMPUTED_VALUE"""),879330.0)</f>
        <v>879330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IFERROR(__xludf.DUMMYFUNCTION("""COMPUTED_VALUE"""),5.4)</f>
        <v>5.4</v>
      </c>
      <c r="C3287" s="1">
        <f>IFERROR(__xludf.DUMMYFUNCTION("""COMPUTED_VALUE"""),5.41)</f>
        <v>5.41</v>
      </c>
      <c r="D3287" s="1">
        <f>IFERROR(__xludf.DUMMYFUNCTION("""COMPUTED_VALUE"""),5.35)</f>
        <v>5.35</v>
      </c>
      <c r="E3287" s="1">
        <f>IFERROR(__xludf.DUMMYFUNCTION("""COMPUTED_VALUE"""),5.37)</f>
        <v>5.37</v>
      </c>
      <c r="F3287" s="1">
        <f>IFERROR(__xludf.DUMMYFUNCTION("""COMPUTED_VALUE"""),2388886.0)</f>
        <v>2388886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IFERROR(__xludf.DUMMYFUNCTION("""COMPUTED_VALUE"""),5.4)</f>
        <v>5.4</v>
      </c>
      <c r="C3288" s="1">
        <f>IFERROR(__xludf.DUMMYFUNCTION("""COMPUTED_VALUE"""),5.45)</f>
        <v>5.45</v>
      </c>
      <c r="D3288" s="1">
        <f>IFERROR(__xludf.DUMMYFUNCTION("""COMPUTED_VALUE"""),5.38)</f>
        <v>5.38</v>
      </c>
      <c r="E3288" s="1">
        <f>IFERROR(__xludf.DUMMYFUNCTION("""COMPUTED_VALUE"""),5.43)</f>
        <v>5.43</v>
      </c>
      <c r="F3288" s="1">
        <f>IFERROR(__xludf.DUMMYFUNCTION("""COMPUTED_VALUE"""),2676355.0)</f>
        <v>2676355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IFERROR(__xludf.DUMMYFUNCTION("""COMPUTED_VALUE"""),5.4)</f>
        <v>5.4</v>
      </c>
      <c r="C3289" s="1">
        <f>IFERROR(__xludf.DUMMYFUNCTION("""COMPUTED_VALUE"""),5.48)</f>
        <v>5.48</v>
      </c>
      <c r="D3289" s="1">
        <f>IFERROR(__xludf.DUMMYFUNCTION("""COMPUTED_VALUE"""),5.38)</f>
        <v>5.38</v>
      </c>
      <c r="E3289" s="1">
        <f>IFERROR(__xludf.DUMMYFUNCTION("""COMPUTED_VALUE"""),5.48)</f>
        <v>5.48</v>
      </c>
      <c r="F3289" s="1">
        <f>IFERROR(__xludf.DUMMYFUNCTION("""COMPUTED_VALUE"""),2108981.0)</f>
        <v>2108981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IFERROR(__xludf.DUMMYFUNCTION("""COMPUTED_VALUE"""),5.46)</f>
        <v>5.46</v>
      </c>
      <c r="C3290" s="1">
        <f>IFERROR(__xludf.DUMMYFUNCTION("""COMPUTED_VALUE"""),5.49)</f>
        <v>5.49</v>
      </c>
      <c r="D3290" s="1">
        <f>IFERROR(__xludf.DUMMYFUNCTION("""COMPUTED_VALUE"""),5.43)</f>
        <v>5.43</v>
      </c>
      <c r="E3290" s="1">
        <f>IFERROR(__xludf.DUMMYFUNCTION("""COMPUTED_VALUE"""),5.49)</f>
        <v>5.49</v>
      </c>
      <c r="F3290" s="1">
        <f>IFERROR(__xludf.DUMMYFUNCTION("""COMPUTED_VALUE"""),1775888.0)</f>
        <v>1775888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IFERROR(__xludf.DUMMYFUNCTION("""COMPUTED_VALUE"""),5.48)</f>
        <v>5.48</v>
      </c>
      <c r="C3291" s="1">
        <f>IFERROR(__xludf.DUMMYFUNCTION("""COMPUTED_VALUE"""),5.54)</f>
        <v>5.54</v>
      </c>
      <c r="D3291" s="1">
        <f>IFERROR(__xludf.DUMMYFUNCTION("""COMPUTED_VALUE"""),5.45)</f>
        <v>5.45</v>
      </c>
      <c r="E3291" s="1">
        <f>IFERROR(__xludf.DUMMYFUNCTION("""COMPUTED_VALUE"""),5.5)</f>
        <v>5.5</v>
      </c>
      <c r="F3291" s="1">
        <f>IFERROR(__xludf.DUMMYFUNCTION("""COMPUTED_VALUE"""),3236330.0)</f>
        <v>3236330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IFERROR(__xludf.DUMMYFUNCTION("""COMPUTED_VALUE"""),5.46)</f>
        <v>5.46</v>
      </c>
      <c r="C3292" s="1">
        <f>IFERROR(__xludf.DUMMYFUNCTION("""COMPUTED_VALUE"""),5.49)</f>
        <v>5.49</v>
      </c>
      <c r="D3292" s="1">
        <f>IFERROR(__xludf.DUMMYFUNCTION("""COMPUTED_VALUE"""),5.42)</f>
        <v>5.42</v>
      </c>
      <c r="E3292" s="1">
        <f>IFERROR(__xludf.DUMMYFUNCTION("""COMPUTED_VALUE"""),5.43)</f>
        <v>5.43</v>
      </c>
      <c r="F3292" s="1">
        <f>IFERROR(__xludf.DUMMYFUNCTION("""COMPUTED_VALUE"""),1386793.0)</f>
        <v>1386793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IFERROR(__xludf.DUMMYFUNCTION("""COMPUTED_VALUE"""),5.43)</f>
        <v>5.43</v>
      </c>
      <c r="C3293" s="1">
        <f>IFERROR(__xludf.DUMMYFUNCTION("""COMPUTED_VALUE"""),5.49)</f>
        <v>5.49</v>
      </c>
      <c r="D3293" s="1">
        <f>IFERROR(__xludf.DUMMYFUNCTION("""COMPUTED_VALUE"""),5.4)</f>
        <v>5.4</v>
      </c>
      <c r="E3293" s="1">
        <f>IFERROR(__xludf.DUMMYFUNCTION("""COMPUTED_VALUE"""),5.48)</f>
        <v>5.48</v>
      </c>
      <c r="F3293" s="1">
        <f>IFERROR(__xludf.DUMMYFUNCTION("""COMPUTED_VALUE"""),1507774.0)</f>
        <v>1507774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IFERROR(__xludf.DUMMYFUNCTION("""COMPUTED_VALUE"""),5.42)</f>
        <v>5.42</v>
      </c>
      <c r="C3294" s="1">
        <f>IFERROR(__xludf.DUMMYFUNCTION("""COMPUTED_VALUE"""),5.5)</f>
        <v>5.5</v>
      </c>
      <c r="D3294" s="1">
        <f>IFERROR(__xludf.DUMMYFUNCTION("""COMPUTED_VALUE"""),5.38)</f>
        <v>5.38</v>
      </c>
      <c r="E3294" s="1">
        <f>IFERROR(__xludf.DUMMYFUNCTION("""COMPUTED_VALUE"""),5.48)</f>
        <v>5.48</v>
      </c>
      <c r="F3294" s="1">
        <f>IFERROR(__xludf.DUMMYFUNCTION("""COMPUTED_VALUE"""),1388913.0)</f>
        <v>1388913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IFERROR(__xludf.DUMMYFUNCTION("""COMPUTED_VALUE"""),5.49)</f>
        <v>5.49</v>
      </c>
      <c r="C3295" s="1">
        <f>IFERROR(__xludf.DUMMYFUNCTION("""COMPUTED_VALUE"""),5.5)</f>
        <v>5.5</v>
      </c>
      <c r="D3295" s="1">
        <f>IFERROR(__xludf.DUMMYFUNCTION("""COMPUTED_VALUE"""),5.43)</f>
        <v>5.43</v>
      </c>
      <c r="E3295" s="1">
        <f>IFERROR(__xludf.DUMMYFUNCTION("""COMPUTED_VALUE"""),5.45)</f>
        <v>5.45</v>
      </c>
      <c r="F3295" s="1">
        <f>IFERROR(__xludf.DUMMYFUNCTION("""COMPUTED_VALUE"""),2699611.0)</f>
        <v>2699611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IFERROR(__xludf.DUMMYFUNCTION("""COMPUTED_VALUE"""),5.42)</f>
        <v>5.42</v>
      </c>
      <c r="C3296" s="1">
        <f>IFERROR(__xludf.DUMMYFUNCTION("""COMPUTED_VALUE"""),5.45)</f>
        <v>5.45</v>
      </c>
      <c r="D3296" s="1">
        <f>IFERROR(__xludf.DUMMYFUNCTION("""COMPUTED_VALUE"""),5.38)</f>
        <v>5.38</v>
      </c>
      <c r="E3296" s="1">
        <f>IFERROR(__xludf.DUMMYFUNCTION("""COMPUTED_VALUE"""),5.39)</f>
        <v>5.39</v>
      </c>
      <c r="F3296" s="1">
        <f>IFERROR(__xludf.DUMMYFUNCTION("""COMPUTED_VALUE"""),1061930.0)</f>
        <v>1061930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IFERROR(__xludf.DUMMYFUNCTION("""COMPUTED_VALUE"""),5.27)</f>
        <v>5.27</v>
      </c>
      <c r="C3297" s="1">
        <f>IFERROR(__xludf.DUMMYFUNCTION("""COMPUTED_VALUE"""),5.29)</f>
        <v>5.29</v>
      </c>
      <c r="D3297" s="1">
        <f>IFERROR(__xludf.DUMMYFUNCTION("""COMPUTED_VALUE"""),5.21)</f>
        <v>5.21</v>
      </c>
      <c r="E3297" s="1">
        <f>IFERROR(__xludf.DUMMYFUNCTION("""COMPUTED_VALUE"""),5.27)</f>
        <v>5.27</v>
      </c>
      <c r="F3297" s="1">
        <f>IFERROR(__xludf.DUMMYFUNCTION("""COMPUTED_VALUE"""),1887592.0)</f>
        <v>1887592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IFERROR(__xludf.DUMMYFUNCTION("""COMPUTED_VALUE"""),5.2)</f>
        <v>5.2</v>
      </c>
      <c r="C3298" s="1">
        <f>IFERROR(__xludf.DUMMYFUNCTION("""COMPUTED_VALUE"""),5.28)</f>
        <v>5.28</v>
      </c>
      <c r="D3298" s="1">
        <f>IFERROR(__xludf.DUMMYFUNCTION("""COMPUTED_VALUE"""),5.2)</f>
        <v>5.2</v>
      </c>
      <c r="E3298" s="1">
        <f>IFERROR(__xludf.DUMMYFUNCTION("""COMPUTED_VALUE"""),5.28)</f>
        <v>5.28</v>
      </c>
      <c r="F3298" s="1">
        <f>IFERROR(__xludf.DUMMYFUNCTION("""COMPUTED_VALUE"""),2752637.0)</f>
        <v>2752637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IFERROR(__xludf.DUMMYFUNCTION("""COMPUTED_VALUE"""),5.31)</f>
        <v>5.31</v>
      </c>
      <c r="C3299" s="1">
        <f>IFERROR(__xludf.DUMMYFUNCTION("""COMPUTED_VALUE"""),5.35)</f>
        <v>5.35</v>
      </c>
      <c r="D3299" s="1">
        <f>IFERROR(__xludf.DUMMYFUNCTION("""COMPUTED_VALUE"""),5.3)</f>
        <v>5.3</v>
      </c>
      <c r="E3299" s="1">
        <f>IFERROR(__xludf.DUMMYFUNCTION("""COMPUTED_VALUE"""),5.33)</f>
        <v>5.33</v>
      </c>
      <c r="F3299" s="1">
        <f>IFERROR(__xludf.DUMMYFUNCTION("""COMPUTED_VALUE"""),2476499.0)</f>
        <v>2476499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IFERROR(__xludf.DUMMYFUNCTION("""COMPUTED_VALUE"""),5.63)</f>
        <v>5.63</v>
      </c>
      <c r="C3300" s="1">
        <f>IFERROR(__xludf.DUMMYFUNCTION("""COMPUTED_VALUE"""),5.69)</f>
        <v>5.69</v>
      </c>
      <c r="D3300" s="1">
        <f>IFERROR(__xludf.DUMMYFUNCTION("""COMPUTED_VALUE"""),5.5)</f>
        <v>5.5</v>
      </c>
      <c r="E3300" s="1">
        <f>IFERROR(__xludf.DUMMYFUNCTION("""COMPUTED_VALUE"""),5.52)</f>
        <v>5.52</v>
      </c>
      <c r="F3300" s="1">
        <f>IFERROR(__xludf.DUMMYFUNCTION("""COMPUTED_VALUE"""),8351703.0)</f>
        <v>8351703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IFERROR(__xludf.DUMMYFUNCTION("""COMPUTED_VALUE"""),5.52)</f>
        <v>5.52</v>
      </c>
      <c r="C3301" s="1">
        <f>IFERROR(__xludf.DUMMYFUNCTION("""COMPUTED_VALUE"""),5.55)</f>
        <v>5.55</v>
      </c>
      <c r="D3301" s="1">
        <f>IFERROR(__xludf.DUMMYFUNCTION("""COMPUTED_VALUE"""),5.48)</f>
        <v>5.48</v>
      </c>
      <c r="E3301" s="1">
        <f>IFERROR(__xludf.DUMMYFUNCTION("""COMPUTED_VALUE"""),5.54)</f>
        <v>5.54</v>
      </c>
      <c r="F3301" s="1">
        <f>IFERROR(__xludf.DUMMYFUNCTION("""COMPUTED_VALUE"""),2559988.0)</f>
        <v>2559988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IFERROR(__xludf.DUMMYFUNCTION("""COMPUTED_VALUE"""),5.52)</f>
        <v>5.52</v>
      </c>
      <c r="C3302" s="1">
        <f>IFERROR(__xludf.DUMMYFUNCTION("""COMPUTED_VALUE"""),5.59)</f>
        <v>5.59</v>
      </c>
      <c r="D3302" s="1">
        <f>IFERROR(__xludf.DUMMYFUNCTION("""COMPUTED_VALUE"""),5.51)</f>
        <v>5.51</v>
      </c>
      <c r="E3302" s="1">
        <f>IFERROR(__xludf.DUMMYFUNCTION("""COMPUTED_VALUE"""),5.59)</f>
        <v>5.59</v>
      </c>
      <c r="F3302" s="1">
        <f>IFERROR(__xludf.DUMMYFUNCTION("""COMPUTED_VALUE"""),2132035.0)</f>
        <v>2132035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IFERROR(__xludf.DUMMYFUNCTION("""COMPUTED_VALUE"""),5.52)</f>
        <v>5.52</v>
      </c>
      <c r="C3303" s="1">
        <f>IFERROR(__xludf.DUMMYFUNCTION("""COMPUTED_VALUE"""),5.57)</f>
        <v>5.57</v>
      </c>
      <c r="D3303" s="1">
        <f>IFERROR(__xludf.DUMMYFUNCTION("""COMPUTED_VALUE"""),5.5)</f>
        <v>5.5</v>
      </c>
      <c r="E3303" s="1">
        <f>IFERROR(__xludf.DUMMYFUNCTION("""COMPUTED_VALUE"""),5.52)</f>
        <v>5.52</v>
      </c>
      <c r="F3303" s="1">
        <f>IFERROR(__xludf.DUMMYFUNCTION("""COMPUTED_VALUE"""),1723286.0)</f>
        <v>1723286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IFERROR(__xludf.DUMMYFUNCTION("""COMPUTED_VALUE"""),5.48)</f>
        <v>5.48</v>
      </c>
      <c r="C3304" s="1">
        <f>IFERROR(__xludf.DUMMYFUNCTION("""COMPUTED_VALUE"""),5.53)</f>
        <v>5.53</v>
      </c>
      <c r="D3304" s="1">
        <f>IFERROR(__xludf.DUMMYFUNCTION("""COMPUTED_VALUE"""),5.48)</f>
        <v>5.48</v>
      </c>
      <c r="E3304" s="1">
        <f>IFERROR(__xludf.DUMMYFUNCTION("""COMPUTED_VALUE"""),5.52)</f>
        <v>5.52</v>
      </c>
      <c r="F3304" s="1">
        <f>IFERROR(__xludf.DUMMYFUNCTION("""COMPUTED_VALUE"""),1131531.0)</f>
        <v>1131531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IFERROR(__xludf.DUMMYFUNCTION("""COMPUTED_VALUE"""),5.48)</f>
        <v>5.48</v>
      </c>
      <c r="C3305" s="1">
        <f>IFERROR(__xludf.DUMMYFUNCTION("""COMPUTED_VALUE"""),5.58)</f>
        <v>5.58</v>
      </c>
      <c r="D3305" s="1">
        <f>IFERROR(__xludf.DUMMYFUNCTION("""COMPUTED_VALUE"""),5.46)</f>
        <v>5.46</v>
      </c>
      <c r="E3305" s="1">
        <f>IFERROR(__xludf.DUMMYFUNCTION("""COMPUTED_VALUE"""),5.53)</f>
        <v>5.53</v>
      </c>
      <c r="F3305" s="1">
        <f>IFERROR(__xludf.DUMMYFUNCTION("""COMPUTED_VALUE"""),2272441.0)</f>
        <v>2272441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IFERROR(__xludf.DUMMYFUNCTION("""COMPUTED_VALUE"""),5.49)</f>
        <v>5.49</v>
      </c>
      <c r="C3306" s="1">
        <f>IFERROR(__xludf.DUMMYFUNCTION("""COMPUTED_VALUE"""),5.53)</f>
        <v>5.53</v>
      </c>
      <c r="D3306" s="1">
        <f>IFERROR(__xludf.DUMMYFUNCTION("""COMPUTED_VALUE"""),5.48)</f>
        <v>5.48</v>
      </c>
      <c r="E3306" s="1">
        <f>IFERROR(__xludf.DUMMYFUNCTION("""COMPUTED_VALUE"""),5.51)</f>
        <v>5.51</v>
      </c>
      <c r="F3306" s="1">
        <f>IFERROR(__xludf.DUMMYFUNCTION("""COMPUTED_VALUE"""),1304406.0)</f>
        <v>1304406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IFERROR(__xludf.DUMMYFUNCTION("""COMPUTED_VALUE"""),5.35)</f>
        <v>5.35</v>
      </c>
      <c r="C3307" s="1">
        <f>IFERROR(__xludf.DUMMYFUNCTION("""COMPUTED_VALUE"""),5.35)</f>
        <v>5.35</v>
      </c>
      <c r="D3307" s="1">
        <f>IFERROR(__xludf.DUMMYFUNCTION("""COMPUTED_VALUE"""),5.26)</f>
        <v>5.26</v>
      </c>
      <c r="E3307" s="1">
        <f>IFERROR(__xludf.DUMMYFUNCTION("""COMPUTED_VALUE"""),5.27)</f>
        <v>5.27</v>
      </c>
      <c r="F3307" s="1">
        <f>IFERROR(__xludf.DUMMYFUNCTION("""COMPUTED_VALUE"""),1645028.0)</f>
        <v>1645028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IFERROR(__xludf.DUMMYFUNCTION("""COMPUTED_VALUE"""),5.18)</f>
        <v>5.18</v>
      </c>
      <c r="C3308" s="1">
        <f>IFERROR(__xludf.DUMMYFUNCTION("""COMPUTED_VALUE"""),5.2)</f>
        <v>5.2</v>
      </c>
      <c r="D3308" s="1">
        <f>IFERROR(__xludf.DUMMYFUNCTION("""COMPUTED_VALUE"""),5.14)</f>
        <v>5.14</v>
      </c>
      <c r="E3308" s="1">
        <f>IFERROR(__xludf.DUMMYFUNCTION("""COMPUTED_VALUE"""),5.15)</f>
        <v>5.15</v>
      </c>
      <c r="F3308" s="1">
        <f>IFERROR(__xludf.DUMMYFUNCTION("""COMPUTED_VALUE"""),1717564.0)</f>
        <v>1717564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IFERROR(__xludf.DUMMYFUNCTION("""COMPUTED_VALUE"""),5.15)</f>
        <v>5.15</v>
      </c>
      <c r="C3309" s="1">
        <f>IFERROR(__xludf.DUMMYFUNCTION("""COMPUTED_VALUE"""),5.18)</f>
        <v>5.18</v>
      </c>
      <c r="D3309" s="1">
        <f>IFERROR(__xludf.DUMMYFUNCTION("""COMPUTED_VALUE"""),5.1)</f>
        <v>5.1</v>
      </c>
      <c r="E3309" s="1">
        <f>IFERROR(__xludf.DUMMYFUNCTION("""COMPUTED_VALUE"""),5.13)</f>
        <v>5.13</v>
      </c>
      <c r="F3309" s="1">
        <f>IFERROR(__xludf.DUMMYFUNCTION("""COMPUTED_VALUE"""),1495659.0)</f>
        <v>1495659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IFERROR(__xludf.DUMMYFUNCTION("""COMPUTED_VALUE"""),5.03)</f>
        <v>5.03</v>
      </c>
      <c r="C3310" s="1">
        <f>IFERROR(__xludf.DUMMYFUNCTION("""COMPUTED_VALUE"""),5.09)</f>
        <v>5.09</v>
      </c>
      <c r="D3310" s="1">
        <f>IFERROR(__xludf.DUMMYFUNCTION("""COMPUTED_VALUE"""),5.02)</f>
        <v>5.02</v>
      </c>
      <c r="E3310" s="1">
        <f>IFERROR(__xludf.DUMMYFUNCTION("""COMPUTED_VALUE"""),5.07)</f>
        <v>5.07</v>
      </c>
      <c r="F3310" s="1">
        <f>IFERROR(__xludf.DUMMYFUNCTION("""COMPUTED_VALUE"""),2489886.0)</f>
        <v>2489886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IFERROR(__xludf.DUMMYFUNCTION("""COMPUTED_VALUE"""),5.12)</f>
        <v>5.12</v>
      </c>
      <c r="C3311" s="1">
        <f>IFERROR(__xludf.DUMMYFUNCTION("""COMPUTED_VALUE"""),5.17)</f>
        <v>5.17</v>
      </c>
      <c r="D3311" s="1">
        <f>IFERROR(__xludf.DUMMYFUNCTION("""COMPUTED_VALUE"""),5.11)</f>
        <v>5.11</v>
      </c>
      <c r="E3311" s="1">
        <f>IFERROR(__xludf.DUMMYFUNCTION("""COMPUTED_VALUE"""),5.15)</f>
        <v>5.15</v>
      </c>
      <c r="F3311" s="1">
        <f>IFERROR(__xludf.DUMMYFUNCTION("""COMPUTED_VALUE"""),1928429.0)</f>
        <v>1928429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IFERROR(__xludf.DUMMYFUNCTION("""COMPUTED_VALUE"""),5.23)</f>
        <v>5.23</v>
      </c>
      <c r="C3312" s="1">
        <f>IFERROR(__xludf.DUMMYFUNCTION("""COMPUTED_VALUE"""),5.23)</f>
        <v>5.23</v>
      </c>
      <c r="D3312" s="1">
        <f>IFERROR(__xludf.DUMMYFUNCTION("""COMPUTED_VALUE"""),5.17)</f>
        <v>5.17</v>
      </c>
      <c r="E3312" s="1">
        <f>IFERROR(__xludf.DUMMYFUNCTION("""COMPUTED_VALUE"""),5.17)</f>
        <v>5.17</v>
      </c>
      <c r="F3312" s="1">
        <f>IFERROR(__xludf.DUMMYFUNCTION("""COMPUTED_VALUE"""),1047307.0)</f>
        <v>1047307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IFERROR(__xludf.DUMMYFUNCTION("""COMPUTED_VALUE"""),5.21)</f>
        <v>5.21</v>
      </c>
      <c r="C3313" s="1">
        <f>IFERROR(__xludf.DUMMYFUNCTION("""COMPUTED_VALUE"""),5.24)</f>
        <v>5.24</v>
      </c>
      <c r="D3313" s="1">
        <f>IFERROR(__xludf.DUMMYFUNCTION("""COMPUTED_VALUE"""),5.19)</f>
        <v>5.19</v>
      </c>
      <c r="E3313" s="1">
        <f>IFERROR(__xludf.DUMMYFUNCTION("""COMPUTED_VALUE"""),5.19)</f>
        <v>5.19</v>
      </c>
      <c r="F3313" s="1">
        <f>IFERROR(__xludf.DUMMYFUNCTION("""COMPUTED_VALUE"""),2074838.0)</f>
        <v>2074838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IFERROR(__xludf.DUMMYFUNCTION("""COMPUTED_VALUE"""),5.11)</f>
        <v>5.11</v>
      </c>
      <c r="C3314" s="1">
        <f>IFERROR(__xludf.DUMMYFUNCTION("""COMPUTED_VALUE"""),5.14)</f>
        <v>5.14</v>
      </c>
      <c r="D3314" s="1">
        <f>IFERROR(__xludf.DUMMYFUNCTION("""COMPUTED_VALUE"""),5.08)</f>
        <v>5.08</v>
      </c>
      <c r="E3314" s="1">
        <f>IFERROR(__xludf.DUMMYFUNCTION("""COMPUTED_VALUE"""),5.14)</f>
        <v>5.14</v>
      </c>
      <c r="F3314" s="1">
        <f>IFERROR(__xludf.DUMMYFUNCTION("""COMPUTED_VALUE"""),1382042.0)</f>
        <v>1382042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IFERROR(__xludf.DUMMYFUNCTION("""COMPUTED_VALUE"""),5.14)</f>
        <v>5.14</v>
      </c>
      <c r="C3315" s="1">
        <f>IFERROR(__xludf.DUMMYFUNCTION("""COMPUTED_VALUE"""),5.21)</f>
        <v>5.21</v>
      </c>
      <c r="D3315" s="1">
        <f>IFERROR(__xludf.DUMMYFUNCTION("""COMPUTED_VALUE"""),5.13)</f>
        <v>5.13</v>
      </c>
      <c r="E3315" s="1">
        <f>IFERROR(__xludf.DUMMYFUNCTION("""COMPUTED_VALUE"""),5.21)</f>
        <v>5.21</v>
      </c>
      <c r="F3315" s="1">
        <f>IFERROR(__xludf.DUMMYFUNCTION("""COMPUTED_VALUE"""),995650.0)</f>
        <v>995650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IFERROR(__xludf.DUMMYFUNCTION("""COMPUTED_VALUE"""),5.21)</f>
        <v>5.21</v>
      </c>
      <c r="C3316" s="1">
        <f>IFERROR(__xludf.DUMMYFUNCTION("""COMPUTED_VALUE"""),5.24)</f>
        <v>5.24</v>
      </c>
      <c r="D3316" s="1">
        <f>IFERROR(__xludf.DUMMYFUNCTION("""COMPUTED_VALUE"""),5.2)</f>
        <v>5.2</v>
      </c>
      <c r="E3316" s="1">
        <f>IFERROR(__xludf.DUMMYFUNCTION("""COMPUTED_VALUE"""),5.21)</f>
        <v>5.21</v>
      </c>
      <c r="F3316" s="1">
        <f>IFERROR(__xludf.DUMMYFUNCTION("""COMPUTED_VALUE"""),1259445.0)</f>
        <v>1259445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IFERROR(__xludf.DUMMYFUNCTION("""COMPUTED_VALUE"""),5.21)</f>
        <v>5.21</v>
      </c>
      <c r="C3317" s="1">
        <f>IFERROR(__xludf.DUMMYFUNCTION("""COMPUTED_VALUE"""),5.21)</f>
        <v>5.21</v>
      </c>
      <c r="D3317" s="1">
        <f>IFERROR(__xludf.DUMMYFUNCTION("""COMPUTED_VALUE"""),5.06)</f>
        <v>5.06</v>
      </c>
      <c r="E3317" s="1">
        <f>IFERROR(__xludf.DUMMYFUNCTION("""COMPUTED_VALUE"""),5.08)</f>
        <v>5.08</v>
      </c>
      <c r="F3317" s="1">
        <f>IFERROR(__xludf.DUMMYFUNCTION("""COMPUTED_VALUE"""),1743423.0)</f>
        <v>1743423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IFERROR(__xludf.DUMMYFUNCTION("""COMPUTED_VALUE"""),5.19)</f>
        <v>5.19</v>
      </c>
      <c r="C3318" s="1">
        <f>IFERROR(__xludf.DUMMYFUNCTION("""COMPUTED_VALUE"""),5.25)</f>
        <v>5.25</v>
      </c>
      <c r="D3318" s="1">
        <f>IFERROR(__xludf.DUMMYFUNCTION("""COMPUTED_VALUE"""),5.19)</f>
        <v>5.19</v>
      </c>
      <c r="E3318" s="1">
        <f>IFERROR(__xludf.DUMMYFUNCTION("""COMPUTED_VALUE"""),5.2)</f>
        <v>5.2</v>
      </c>
      <c r="F3318" s="1">
        <f>IFERROR(__xludf.DUMMYFUNCTION("""COMPUTED_VALUE"""),2192717.0)</f>
        <v>2192717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IFERROR(__xludf.DUMMYFUNCTION("""COMPUTED_VALUE"""),5.18)</f>
        <v>5.18</v>
      </c>
      <c r="C3319" s="1">
        <f>IFERROR(__xludf.DUMMYFUNCTION("""COMPUTED_VALUE"""),5.19)</f>
        <v>5.19</v>
      </c>
      <c r="D3319" s="1">
        <f>IFERROR(__xludf.DUMMYFUNCTION("""COMPUTED_VALUE"""),5.03)</f>
        <v>5.03</v>
      </c>
      <c r="E3319" s="1">
        <f>IFERROR(__xludf.DUMMYFUNCTION("""COMPUTED_VALUE"""),5.04)</f>
        <v>5.04</v>
      </c>
      <c r="F3319" s="1">
        <f>IFERROR(__xludf.DUMMYFUNCTION("""COMPUTED_VALUE"""),2554818.0)</f>
        <v>2554818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IFERROR(__xludf.DUMMYFUNCTION("""COMPUTED_VALUE"""),4.93)</f>
        <v>4.93</v>
      </c>
      <c r="C3320" s="1">
        <f>IFERROR(__xludf.DUMMYFUNCTION("""COMPUTED_VALUE"""),4.94)</f>
        <v>4.94</v>
      </c>
      <c r="D3320" s="1">
        <f>IFERROR(__xludf.DUMMYFUNCTION("""COMPUTED_VALUE"""),4.8)</f>
        <v>4.8</v>
      </c>
      <c r="E3320" s="1">
        <f>IFERROR(__xludf.DUMMYFUNCTION("""COMPUTED_VALUE"""),4.82)</f>
        <v>4.82</v>
      </c>
      <c r="F3320" s="1">
        <f>IFERROR(__xludf.DUMMYFUNCTION("""COMPUTED_VALUE"""),3340970.0)</f>
        <v>3340970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IFERROR(__xludf.DUMMYFUNCTION("""COMPUTED_VALUE"""),4.63)</f>
        <v>4.63</v>
      </c>
      <c r="C3321" s="1">
        <f>IFERROR(__xludf.DUMMYFUNCTION("""COMPUTED_VALUE"""),4.7)</f>
        <v>4.7</v>
      </c>
      <c r="D3321" s="1">
        <f>IFERROR(__xludf.DUMMYFUNCTION("""COMPUTED_VALUE"""),4.58)</f>
        <v>4.58</v>
      </c>
      <c r="E3321" s="1">
        <f>IFERROR(__xludf.DUMMYFUNCTION("""COMPUTED_VALUE"""),4.61)</f>
        <v>4.61</v>
      </c>
      <c r="F3321" s="1">
        <f>IFERROR(__xludf.DUMMYFUNCTION("""COMPUTED_VALUE"""),6117481.0)</f>
        <v>6117481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IFERROR(__xludf.DUMMYFUNCTION("""COMPUTED_VALUE"""),4.67)</f>
        <v>4.67</v>
      </c>
      <c r="C3322" s="1">
        <f>IFERROR(__xludf.DUMMYFUNCTION("""COMPUTED_VALUE"""),4.67)</f>
        <v>4.67</v>
      </c>
      <c r="D3322" s="1">
        <f>IFERROR(__xludf.DUMMYFUNCTION("""COMPUTED_VALUE"""),4.54)</f>
        <v>4.54</v>
      </c>
      <c r="E3322" s="1">
        <f>IFERROR(__xludf.DUMMYFUNCTION("""COMPUTED_VALUE"""),4.57)</f>
        <v>4.57</v>
      </c>
      <c r="F3322" s="1">
        <f>IFERROR(__xludf.DUMMYFUNCTION("""COMPUTED_VALUE"""),3739572.0)</f>
        <v>3739572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IFERROR(__xludf.DUMMYFUNCTION("""COMPUTED_VALUE"""),4.18)</f>
        <v>4.18</v>
      </c>
      <c r="C3323" s="1">
        <f>IFERROR(__xludf.DUMMYFUNCTION("""COMPUTED_VALUE"""),4.27)</f>
        <v>4.27</v>
      </c>
      <c r="D3323" s="1">
        <f>IFERROR(__xludf.DUMMYFUNCTION("""COMPUTED_VALUE"""),4.15)</f>
        <v>4.15</v>
      </c>
      <c r="E3323" s="1">
        <f>IFERROR(__xludf.DUMMYFUNCTION("""COMPUTED_VALUE"""),4.27)</f>
        <v>4.27</v>
      </c>
      <c r="F3323" s="1">
        <f>IFERROR(__xludf.DUMMYFUNCTION("""COMPUTED_VALUE"""),5682897.0)</f>
        <v>5682897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IFERROR(__xludf.DUMMYFUNCTION("""COMPUTED_VALUE"""),4.07)</f>
        <v>4.07</v>
      </c>
      <c r="C3324" s="1">
        <f>IFERROR(__xludf.DUMMYFUNCTION("""COMPUTED_VALUE"""),4.33)</f>
        <v>4.33</v>
      </c>
      <c r="D3324" s="1">
        <f>IFERROR(__xludf.DUMMYFUNCTION("""COMPUTED_VALUE"""),4.02)</f>
        <v>4.02</v>
      </c>
      <c r="E3324" s="1">
        <f>IFERROR(__xludf.DUMMYFUNCTION("""COMPUTED_VALUE"""),4.33)</f>
        <v>4.33</v>
      </c>
      <c r="F3324" s="1">
        <f>IFERROR(__xludf.DUMMYFUNCTION("""COMPUTED_VALUE"""),5648752.0)</f>
        <v>5648752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IFERROR(__xludf.DUMMYFUNCTION("""COMPUTED_VALUE"""),4.2)</f>
        <v>4.2</v>
      </c>
      <c r="C3325" s="1">
        <f>IFERROR(__xludf.DUMMYFUNCTION("""COMPUTED_VALUE"""),4.2)</f>
        <v>4.2</v>
      </c>
      <c r="D3325" s="1">
        <f>IFERROR(__xludf.DUMMYFUNCTION("""COMPUTED_VALUE"""),4.09)</f>
        <v>4.09</v>
      </c>
      <c r="E3325" s="1">
        <f>IFERROR(__xludf.DUMMYFUNCTION("""COMPUTED_VALUE"""),4.1)</f>
        <v>4.1</v>
      </c>
      <c r="F3325" s="1">
        <f>IFERROR(__xludf.DUMMYFUNCTION("""COMPUTED_VALUE"""),4668356.0)</f>
        <v>4668356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IFERROR(__xludf.DUMMYFUNCTION("""COMPUTED_VALUE"""),4.18)</f>
        <v>4.18</v>
      </c>
      <c r="C3326" s="1">
        <f>IFERROR(__xludf.DUMMYFUNCTION("""COMPUTED_VALUE"""),4.32)</f>
        <v>4.32</v>
      </c>
      <c r="D3326" s="1">
        <f>IFERROR(__xludf.DUMMYFUNCTION("""COMPUTED_VALUE"""),4.17)</f>
        <v>4.17</v>
      </c>
      <c r="E3326" s="1">
        <f>IFERROR(__xludf.DUMMYFUNCTION("""COMPUTED_VALUE"""),4.24)</f>
        <v>4.24</v>
      </c>
      <c r="F3326" s="1">
        <f>IFERROR(__xludf.DUMMYFUNCTION("""COMPUTED_VALUE"""),6052012.0)</f>
        <v>6052012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IFERROR(__xludf.DUMMYFUNCTION("""COMPUTED_VALUE"""),4.43)</f>
        <v>4.43</v>
      </c>
      <c r="C3327" s="1">
        <f>IFERROR(__xludf.DUMMYFUNCTION("""COMPUTED_VALUE"""),4.46)</f>
        <v>4.46</v>
      </c>
      <c r="D3327" s="1">
        <f>IFERROR(__xludf.DUMMYFUNCTION("""COMPUTED_VALUE"""),4.39)</f>
        <v>4.39</v>
      </c>
      <c r="E3327" s="1">
        <f>IFERROR(__xludf.DUMMYFUNCTION("""COMPUTED_VALUE"""),4.41)</f>
        <v>4.41</v>
      </c>
      <c r="F3327" s="1">
        <f>IFERROR(__xludf.DUMMYFUNCTION("""COMPUTED_VALUE"""),2764081.0)</f>
        <v>2764081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IFERROR(__xludf.DUMMYFUNCTION("""COMPUTED_VALUE"""),4.34)</f>
        <v>4.34</v>
      </c>
      <c r="C3328" s="1">
        <f>IFERROR(__xludf.DUMMYFUNCTION("""COMPUTED_VALUE"""),4.36)</f>
        <v>4.36</v>
      </c>
      <c r="D3328" s="1">
        <f>IFERROR(__xludf.DUMMYFUNCTION("""COMPUTED_VALUE"""),4.23)</f>
        <v>4.23</v>
      </c>
      <c r="E3328" s="1">
        <f>IFERROR(__xludf.DUMMYFUNCTION("""COMPUTED_VALUE"""),4.23)</f>
        <v>4.23</v>
      </c>
      <c r="F3328" s="1">
        <f>IFERROR(__xludf.DUMMYFUNCTION("""COMPUTED_VALUE"""),2767598.0)</f>
        <v>2767598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IFERROR(__xludf.DUMMYFUNCTION("""COMPUTED_VALUE"""),4.28)</f>
        <v>4.28</v>
      </c>
      <c r="C3329" s="1">
        <f>IFERROR(__xludf.DUMMYFUNCTION("""COMPUTED_VALUE"""),4.3)</f>
        <v>4.3</v>
      </c>
      <c r="D3329" s="1">
        <f>IFERROR(__xludf.DUMMYFUNCTION("""COMPUTED_VALUE"""),4.14)</f>
        <v>4.14</v>
      </c>
      <c r="E3329" s="1">
        <f>IFERROR(__xludf.DUMMYFUNCTION("""COMPUTED_VALUE"""),4.16)</f>
        <v>4.16</v>
      </c>
      <c r="F3329" s="1">
        <f>IFERROR(__xludf.DUMMYFUNCTION("""COMPUTED_VALUE"""),3026403.0)</f>
        <v>3026403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IFERROR(__xludf.DUMMYFUNCTION("""COMPUTED_VALUE"""),4.08)</f>
        <v>4.08</v>
      </c>
      <c r="C3330" s="1">
        <f>IFERROR(__xludf.DUMMYFUNCTION("""COMPUTED_VALUE"""),4.12)</f>
        <v>4.12</v>
      </c>
      <c r="D3330" s="1">
        <f>IFERROR(__xludf.DUMMYFUNCTION("""COMPUTED_VALUE"""),4.03)</f>
        <v>4.03</v>
      </c>
      <c r="E3330" s="1">
        <f>IFERROR(__xludf.DUMMYFUNCTION("""COMPUTED_VALUE"""),4.12)</f>
        <v>4.12</v>
      </c>
      <c r="F3330" s="1">
        <f>IFERROR(__xludf.DUMMYFUNCTION("""COMPUTED_VALUE"""),2963722.0)</f>
        <v>2963722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IFERROR(__xludf.DUMMYFUNCTION("""COMPUTED_VALUE"""),4.15)</f>
        <v>4.15</v>
      </c>
      <c r="C3331" s="1">
        <f>IFERROR(__xludf.DUMMYFUNCTION("""COMPUTED_VALUE"""),4.2)</f>
        <v>4.2</v>
      </c>
      <c r="D3331" s="1">
        <f>IFERROR(__xludf.DUMMYFUNCTION("""COMPUTED_VALUE"""),4.11)</f>
        <v>4.11</v>
      </c>
      <c r="E3331" s="1">
        <f>IFERROR(__xludf.DUMMYFUNCTION("""COMPUTED_VALUE"""),4.17)</f>
        <v>4.17</v>
      </c>
      <c r="F3331" s="1">
        <f>IFERROR(__xludf.DUMMYFUNCTION("""COMPUTED_VALUE"""),1872759.0)</f>
        <v>1872759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IFERROR(__xludf.DUMMYFUNCTION("""COMPUTED_VALUE"""),4.09)</f>
        <v>4.09</v>
      </c>
      <c r="C3332" s="1">
        <f>IFERROR(__xludf.DUMMYFUNCTION("""COMPUTED_VALUE"""),4.17)</f>
        <v>4.17</v>
      </c>
      <c r="D3332" s="1">
        <f>IFERROR(__xludf.DUMMYFUNCTION("""COMPUTED_VALUE"""),4.07)</f>
        <v>4.07</v>
      </c>
      <c r="E3332" s="1">
        <f>IFERROR(__xludf.DUMMYFUNCTION("""COMPUTED_VALUE"""),4.15)</f>
        <v>4.15</v>
      </c>
      <c r="F3332" s="1">
        <f>IFERROR(__xludf.DUMMYFUNCTION("""COMPUTED_VALUE"""),1627456.0)</f>
        <v>1627456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IFERROR(__xludf.DUMMYFUNCTION("""COMPUTED_VALUE"""),4.2)</f>
        <v>4.2</v>
      </c>
      <c r="C3333" s="1">
        <f>IFERROR(__xludf.DUMMYFUNCTION("""COMPUTED_VALUE"""),4.26)</f>
        <v>4.26</v>
      </c>
      <c r="D3333" s="1">
        <f>IFERROR(__xludf.DUMMYFUNCTION("""COMPUTED_VALUE"""),4.19)</f>
        <v>4.19</v>
      </c>
      <c r="E3333" s="1">
        <f>IFERROR(__xludf.DUMMYFUNCTION("""COMPUTED_VALUE"""),4.24)</f>
        <v>4.24</v>
      </c>
      <c r="F3333" s="1">
        <f>IFERROR(__xludf.DUMMYFUNCTION("""COMPUTED_VALUE"""),2514121.0)</f>
        <v>2514121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IFERROR(__xludf.DUMMYFUNCTION("""COMPUTED_VALUE"""),4.33)</f>
        <v>4.33</v>
      </c>
      <c r="C3334" s="1">
        <f>IFERROR(__xludf.DUMMYFUNCTION("""COMPUTED_VALUE"""),4.35)</f>
        <v>4.35</v>
      </c>
      <c r="D3334" s="1">
        <f>IFERROR(__xludf.DUMMYFUNCTION("""COMPUTED_VALUE"""),4.29)</f>
        <v>4.29</v>
      </c>
      <c r="E3334" s="1">
        <f>IFERROR(__xludf.DUMMYFUNCTION("""COMPUTED_VALUE"""),4.3)</f>
        <v>4.3</v>
      </c>
      <c r="F3334" s="1">
        <f>IFERROR(__xludf.DUMMYFUNCTION("""COMPUTED_VALUE"""),1163381.0)</f>
        <v>1163381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IFERROR(__xludf.DUMMYFUNCTION("""COMPUTED_VALUE"""),4.27)</f>
        <v>4.27</v>
      </c>
      <c r="C3335" s="1">
        <f>IFERROR(__xludf.DUMMYFUNCTION("""COMPUTED_VALUE"""),4.3)</f>
        <v>4.3</v>
      </c>
      <c r="D3335" s="1">
        <f>IFERROR(__xludf.DUMMYFUNCTION("""COMPUTED_VALUE"""),4.26)</f>
        <v>4.26</v>
      </c>
      <c r="E3335" s="1">
        <f>IFERROR(__xludf.DUMMYFUNCTION("""COMPUTED_VALUE"""),4.3)</f>
        <v>4.3</v>
      </c>
      <c r="F3335" s="1">
        <f>IFERROR(__xludf.DUMMYFUNCTION("""COMPUTED_VALUE"""),1050423.0)</f>
        <v>1050423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IFERROR(__xludf.DUMMYFUNCTION("""COMPUTED_VALUE"""),4.34)</f>
        <v>4.34</v>
      </c>
      <c r="C3336" s="1">
        <f>IFERROR(__xludf.DUMMYFUNCTION("""COMPUTED_VALUE"""),4.38)</f>
        <v>4.38</v>
      </c>
      <c r="D3336" s="1">
        <f>IFERROR(__xludf.DUMMYFUNCTION("""COMPUTED_VALUE"""),4.32)</f>
        <v>4.32</v>
      </c>
      <c r="E3336" s="1">
        <f>IFERROR(__xludf.DUMMYFUNCTION("""COMPUTED_VALUE"""),4.33)</f>
        <v>4.33</v>
      </c>
      <c r="F3336" s="1">
        <f>IFERROR(__xludf.DUMMYFUNCTION("""COMPUTED_VALUE"""),2555926.0)</f>
        <v>2555926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IFERROR(__xludf.DUMMYFUNCTION("""COMPUTED_VALUE"""),4.45)</f>
        <v>4.45</v>
      </c>
      <c r="C3337" s="1">
        <f>IFERROR(__xludf.DUMMYFUNCTION("""COMPUTED_VALUE"""),4.45)</f>
        <v>4.45</v>
      </c>
      <c r="D3337" s="1">
        <f>IFERROR(__xludf.DUMMYFUNCTION("""COMPUTED_VALUE"""),4.34)</f>
        <v>4.34</v>
      </c>
      <c r="E3337" s="1">
        <f>IFERROR(__xludf.DUMMYFUNCTION("""COMPUTED_VALUE"""),4.36)</f>
        <v>4.36</v>
      </c>
      <c r="F3337" s="1">
        <f>IFERROR(__xludf.DUMMYFUNCTION("""COMPUTED_VALUE"""),3193799.0)</f>
        <v>3193799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IFERROR(__xludf.DUMMYFUNCTION("""COMPUTED_VALUE"""),4.31)</f>
        <v>4.31</v>
      </c>
      <c r="C3338" s="1">
        <f>IFERROR(__xludf.DUMMYFUNCTION("""COMPUTED_VALUE"""),4.34)</f>
        <v>4.34</v>
      </c>
      <c r="D3338" s="1">
        <f>IFERROR(__xludf.DUMMYFUNCTION("""COMPUTED_VALUE"""),4.3)</f>
        <v>4.3</v>
      </c>
      <c r="E3338" s="1">
        <f>IFERROR(__xludf.DUMMYFUNCTION("""COMPUTED_VALUE"""),4.32)</f>
        <v>4.32</v>
      </c>
      <c r="F3338" s="1">
        <f>IFERROR(__xludf.DUMMYFUNCTION("""COMPUTED_VALUE"""),1612781.0)</f>
        <v>1612781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IFERROR(__xludf.DUMMYFUNCTION("""COMPUTED_VALUE"""),4.37)</f>
        <v>4.37</v>
      </c>
      <c r="C3339" s="1">
        <f>IFERROR(__xludf.DUMMYFUNCTION("""COMPUTED_VALUE"""),4.42)</f>
        <v>4.42</v>
      </c>
      <c r="D3339" s="1">
        <f>IFERROR(__xludf.DUMMYFUNCTION("""COMPUTED_VALUE"""),4.36)</f>
        <v>4.36</v>
      </c>
      <c r="E3339" s="1">
        <f>IFERROR(__xludf.DUMMYFUNCTION("""COMPUTED_VALUE"""),4.4)</f>
        <v>4.4</v>
      </c>
      <c r="F3339" s="1">
        <f>IFERROR(__xludf.DUMMYFUNCTION("""COMPUTED_VALUE"""),1323893.0)</f>
        <v>1323893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IFERROR(__xludf.DUMMYFUNCTION("""COMPUTED_VALUE"""),4.39)</f>
        <v>4.39</v>
      </c>
      <c r="C3340" s="1">
        <f>IFERROR(__xludf.DUMMYFUNCTION("""COMPUTED_VALUE"""),4.42)</f>
        <v>4.42</v>
      </c>
      <c r="D3340" s="1">
        <f>IFERROR(__xludf.DUMMYFUNCTION("""COMPUTED_VALUE"""),4.35)</f>
        <v>4.35</v>
      </c>
      <c r="E3340" s="1">
        <f>IFERROR(__xludf.DUMMYFUNCTION("""COMPUTED_VALUE"""),4.41)</f>
        <v>4.41</v>
      </c>
      <c r="F3340" s="1">
        <f>IFERROR(__xludf.DUMMYFUNCTION("""COMPUTED_VALUE"""),1131729.0)</f>
        <v>1131729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IFERROR(__xludf.DUMMYFUNCTION("""COMPUTED_VALUE"""),4.47)</f>
        <v>4.47</v>
      </c>
      <c r="C3341" s="1">
        <f>IFERROR(__xludf.DUMMYFUNCTION("""COMPUTED_VALUE"""),4.49)</f>
        <v>4.49</v>
      </c>
      <c r="D3341" s="1">
        <f>IFERROR(__xludf.DUMMYFUNCTION("""COMPUTED_VALUE"""),4.43)</f>
        <v>4.43</v>
      </c>
      <c r="E3341" s="1">
        <f>IFERROR(__xludf.DUMMYFUNCTION("""COMPUTED_VALUE"""),4.45)</f>
        <v>4.45</v>
      </c>
      <c r="F3341" s="1">
        <f>IFERROR(__xludf.DUMMYFUNCTION("""COMPUTED_VALUE"""),2834861.0)</f>
        <v>2834861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IFERROR(__xludf.DUMMYFUNCTION("""COMPUTED_VALUE"""),4.52)</f>
        <v>4.52</v>
      </c>
      <c r="C3342" s="1">
        <f>IFERROR(__xludf.DUMMYFUNCTION("""COMPUTED_VALUE"""),4.53)</f>
        <v>4.53</v>
      </c>
      <c r="D3342" s="1">
        <f>IFERROR(__xludf.DUMMYFUNCTION("""COMPUTED_VALUE"""),4.45)</f>
        <v>4.45</v>
      </c>
      <c r="E3342" s="1">
        <f>IFERROR(__xludf.DUMMYFUNCTION("""COMPUTED_VALUE"""),4.46)</f>
        <v>4.46</v>
      </c>
      <c r="F3342" s="1">
        <f>IFERROR(__xludf.DUMMYFUNCTION("""COMPUTED_VALUE"""),2762322.0)</f>
        <v>2762322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IFERROR(__xludf.DUMMYFUNCTION("""COMPUTED_VALUE"""),4.5)</f>
        <v>4.5</v>
      </c>
      <c r="C3343" s="1">
        <f>IFERROR(__xludf.DUMMYFUNCTION("""COMPUTED_VALUE"""),4.51)</f>
        <v>4.51</v>
      </c>
      <c r="D3343" s="1">
        <f>IFERROR(__xludf.DUMMYFUNCTION("""COMPUTED_VALUE"""),4.48)</f>
        <v>4.48</v>
      </c>
      <c r="E3343" s="1">
        <f>IFERROR(__xludf.DUMMYFUNCTION("""COMPUTED_VALUE"""),4.48)</f>
        <v>4.48</v>
      </c>
      <c r="F3343" s="1">
        <f>IFERROR(__xludf.DUMMYFUNCTION("""COMPUTED_VALUE"""),1454185.0)</f>
        <v>1454185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IFERROR(__xludf.DUMMYFUNCTION("""COMPUTED_VALUE"""),4.56)</f>
        <v>4.56</v>
      </c>
      <c r="C3344" s="1">
        <f>IFERROR(__xludf.DUMMYFUNCTION("""COMPUTED_VALUE"""),4.57)</f>
        <v>4.57</v>
      </c>
      <c r="D3344" s="1">
        <f>IFERROR(__xludf.DUMMYFUNCTION("""COMPUTED_VALUE"""),4.5)</f>
        <v>4.5</v>
      </c>
      <c r="E3344" s="1">
        <f>IFERROR(__xludf.DUMMYFUNCTION("""COMPUTED_VALUE"""),4.53)</f>
        <v>4.53</v>
      </c>
      <c r="F3344" s="1">
        <f>IFERROR(__xludf.DUMMYFUNCTION("""COMPUTED_VALUE"""),1326059.0)</f>
        <v>1326059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IFERROR(__xludf.DUMMYFUNCTION("""COMPUTED_VALUE"""),4.44)</f>
        <v>4.44</v>
      </c>
      <c r="C3345" s="1">
        <f>IFERROR(__xludf.DUMMYFUNCTION("""COMPUTED_VALUE"""),4.47)</f>
        <v>4.47</v>
      </c>
      <c r="D3345" s="1">
        <f>IFERROR(__xludf.DUMMYFUNCTION("""COMPUTED_VALUE"""),4.4)</f>
        <v>4.4</v>
      </c>
      <c r="E3345" s="1">
        <f>IFERROR(__xludf.DUMMYFUNCTION("""COMPUTED_VALUE"""),4.46)</f>
        <v>4.46</v>
      </c>
      <c r="F3345" s="1">
        <f>IFERROR(__xludf.DUMMYFUNCTION("""COMPUTED_VALUE"""),1511508.0)</f>
        <v>1511508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IFERROR(__xludf.DUMMYFUNCTION("""COMPUTED_VALUE"""),4.51)</f>
        <v>4.51</v>
      </c>
      <c r="C3346" s="1">
        <f>IFERROR(__xludf.DUMMYFUNCTION("""COMPUTED_VALUE"""),4.52)</f>
        <v>4.52</v>
      </c>
      <c r="D3346" s="1">
        <f>IFERROR(__xludf.DUMMYFUNCTION("""COMPUTED_VALUE"""),4.48)</f>
        <v>4.48</v>
      </c>
      <c r="E3346" s="1">
        <f>IFERROR(__xludf.DUMMYFUNCTION("""COMPUTED_VALUE"""),4.5)</f>
        <v>4.5</v>
      </c>
      <c r="F3346" s="1">
        <f>IFERROR(__xludf.DUMMYFUNCTION("""COMPUTED_VALUE"""),1040841.0)</f>
        <v>1040841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IFERROR(__xludf.DUMMYFUNCTION("""COMPUTED_VALUE"""),4.5)</f>
        <v>4.5</v>
      </c>
      <c r="C3347" s="1">
        <f>IFERROR(__xludf.DUMMYFUNCTION("""COMPUTED_VALUE"""),4.55)</f>
        <v>4.55</v>
      </c>
      <c r="D3347" s="1">
        <f>IFERROR(__xludf.DUMMYFUNCTION("""COMPUTED_VALUE"""),4.5)</f>
        <v>4.5</v>
      </c>
      <c r="E3347" s="1">
        <f>IFERROR(__xludf.DUMMYFUNCTION("""COMPUTED_VALUE"""),4.55)</f>
        <v>4.55</v>
      </c>
      <c r="F3347" s="1">
        <f>IFERROR(__xludf.DUMMYFUNCTION("""COMPUTED_VALUE"""),1476098.0)</f>
        <v>1476098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IFERROR(__xludf.DUMMYFUNCTION("""COMPUTED_VALUE"""),4.47)</f>
        <v>4.47</v>
      </c>
      <c r="C3348" s="1">
        <f>IFERROR(__xludf.DUMMYFUNCTION("""COMPUTED_VALUE"""),4.49)</f>
        <v>4.49</v>
      </c>
      <c r="D3348" s="1">
        <f>IFERROR(__xludf.DUMMYFUNCTION("""COMPUTED_VALUE"""),4.45)</f>
        <v>4.45</v>
      </c>
      <c r="E3348" s="1">
        <f>IFERROR(__xludf.DUMMYFUNCTION("""COMPUTED_VALUE"""),4.48)</f>
        <v>4.48</v>
      </c>
      <c r="F3348" s="1">
        <f>IFERROR(__xludf.DUMMYFUNCTION("""COMPUTED_VALUE"""),974784.0)</f>
        <v>974784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IFERROR(__xludf.DUMMYFUNCTION("""COMPUTED_VALUE"""),4.43)</f>
        <v>4.43</v>
      </c>
      <c r="C3349" s="1">
        <f>IFERROR(__xludf.DUMMYFUNCTION("""COMPUTED_VALUE"""),4.45)</f>
        <v>4.45</v>
      </c>
      <c r="D3349" s="1">
        <f>IFERROR(__xludf.DUMMYFUNCTION("""COMPUTED_VALUE"""),4.4)</f>
        <v>4.4</v>
      </c>
      <c r="E3349" s="1">
        <f>IFERROR(__xludf.DUMMYFUNCTION("""COMPUTED_VALUE"""),4.44)</f>
        <v>4.44</v>
      </c>
      <c r="F3349" s="1">
        <f>IFERROR(__xludf.DUMMYFUNCTION("""COMPUTED_VALUE"""),1142237.0)</f>
        <v>1142237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IFERROR(__xludf.DUMMYFUNCTION("""COMPUTED_VALUE"""),4.47)</f>
        <v>4.47</v>
      </c>
      <c r="C3350" s="1">
        <f>IFERROR(__xludf.DUMMYFUNCTION("""COMPUTED_VALUE"""),4.5)</f>
        <v>4.5</v>
      </c>
      <c r="D3350" s="1">
        <f>IFERROR(__xludf.DUMMYFUNCTION("""COMPUTED_VALUE"""),4.47)</f>
        <v>4.47</v>
      </c>
      <c r="E3350" s="1">
        <f>IFERROR(__xludf.DUMMYFUNCTION("""COMPUTED_VALUE"""),4.49)</f>
        <v>4.49</v>
      </c>
      <c r="F3350" s="1">
        <f>IFERROR(__xludf.DUMMYFUNCTION("""COMPUTED_VALUE"""),836265.0)</f>
        <v>836265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IFERROR(__xludf.DUMMYFUNCTION("""COMPUTED_VALUE"""),4.44)</f>
        <v>4.44</v>
      </c>
      <c r="C3351" s="1">
        <f>IFERROR(__xludf.DUMMYFUNCTION("""COMPUTED_VALUE"""),4.46)</f>
        <v>4.46</v>
      </c>
      <c r="D3351" s="1">
        <f>IFERROR(__xludf.DUMMYFUNCTION("""COMPUTED_VALUE"""),4.35)</f>
        <v>4.35</v>
      </c>
      <c r="E3351" s="1">
        <f>IFERROR(__xludf.DUMMYFUNCTION("""COMPUTED_VALUE"""),4.38)</f>
        <v>4.38</v>
      </c>
      <c r="F3351" s="1">
        <f>IFERROR(__xludf.DUMMYFUNCTION("""COMPUTED_VALUE"""),1566726.0)</f>
        <v>1566726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IFERROR(__xludf.DUMMYFUNCTION("""COMPUTED_VALUE"""),4.42)</f>
        <v>4.42</v>
      </c>
      <c r="C3352" s="1">
        <f>IFERROR(__xludf.DUMMYFUNCTION("""COMPUTED_VALUE"""),4.45)</f>
        <v>4.45</v>
      </c>
      <c r="D3352" s="1">
        <f>IFERROR(__xludf.DUMMYFUNCTION("""COMPUTED_VALUE"""),4.37)</f>
        <v>4.37</v>
      </c>
      <c r="E3352" s="1">
        <f>IFERROR(__xludf.DUMMYFUNCTION("""COMPUTED_VALUE"""),4.39)</f>
        <v>4.39</v>
      </c>
      <c r="F3352" s="1">
        <f>IFERROR(__xludf.DUMMYFUNCTION("""COMPUTED_VALUE"""),1398047.0)</f>
        <v>1398047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IFERROR(__xludf.DUMMYFUNCTION("""COMPUTED_VALUE"""),4.41)</f>
        <v>4.41</v>
      </c>
      <c r="C3353" s="1">
        <f>IFERROR(__xludf.DUMMYFUNCTION("""COMPUTED_VALUE"""),4.5)</f>
        <v>4.5</v>
      </c>
      <c r="D3353" s="1">
        <f>IFERROR(__xludf.DUMMYFUNCTION("""COMPUTED_VALUE"""),4.41)</f>
        <v>4.41</v>
      </c>
      <c r="E3353" s="1">
        <f>IFERROR(__xludf.DUMMYFUNCTION("""COMPUTED_VALUE"""),4.5)</f>
        <v>4.5</v>
      </c>
      <c r="F3353" s="1">
        <f>IFERROR(__xludf.DUMMYFUNCTION("""COMPUTED_VALUE"""),1089128.0)</f>
        <v>1089128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IFERROR(__xludf.DUMMYFUNCTION("""COMPUTED_VALUE"""),4.47)</f>
        <v>4.47</v>
      </c>
      <c r="C3354" s="1">
        <f>IFERROR(__xludf.DUMMYFUNCTION("""COMPUTED_VALUE"""),4.53)</f>
        <v>4.53</v>
      </c>
      <c r="D3354" s="1">
        <f>IFERROR(__xludf.DUMMYFUNCTION("""COMPUTED_VALUE"""),4.45)</f>
        <v>4.45</v>
      </c>
      <c r="E3354" s="1">
        <f>IFERROR(__xludf.DUMMYFUNCTION("""COMPUTED_VALUE"""),4.53)</f>
        <v>4.53</v>
      </c>
      <c r="F3354" s="1">
        <f>IFERROR(__xludf.DUMMYFUNCTION("""COMPUTED_VALUE"""),1063989.0)</f>
        <v>1063989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IFERROR(__xludf.DUMMYFUNCTION("""COMPUTED_VALUE"""),4.47)</f>
        <v>4.47</v>
      </c>
      <c r="C3355" s="1">
        <f>IFERROR(__xludf.DUMMYFUNCTION("""COMPUTED_VALUE"""),4.55)</f>
        <v>4.55</v>
      </c>
      <c r="D3355" s="1">
        <f>IFERROR(__xludf.DUMMYFUNCTION("""COMPUTED_VALUE"""),4.47)</f>
        <v>4.47</v>
      </c>
      <c r="E3355" s="1">
        <f>IFERROR(__xludf.DUMMYFUNCTION("""COMPUTED_VALUE"""),4.49)</f>
        <v>4.49</v>
      </c>
      <c r="F3355" s="1">
        <f>IFERROR(__xludf.DUMMYFUNCTION("""COMPUTED_VALUE"""),802428.0)</f>
        <v>802428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IFERROR(__xludf.DUMMYFUNCTION("""COMPUTED_VALUE"""),4.46)</f>
        <v>4.46</v>
      </c>
      <c r="C3356" s="1">
        <f>IFERROR(__xludf.DUMMYFUNCTION("""COMPUTED_VALUE"""),4.47)</f>
        <v>4.47</v>
      </c>
      <c r="D3356" s="1">
        <f>IFERROR(__xludf.DUMMYFUNCTION("""COMPUTED_VALUE"""),4.36)</f>
        <v>4.36</v>
      </c>
      <c r="E3356" s="1">
        <f>IFERROR(__xludf.DUMMYFUNCTION("""COMPUTED_VALUE"""),4.39)</f>
        <v>4.39</v>
      </c>
      <c r="F3356" s="1">
        <f>IFERROR(__xludf.DUMMYFUNCTION("""COMPUTED_VALUE"""),1771971.0)</f>
        <v>1771971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IFERROR(__xludf.DUMMYFUNCTION("""COMPUTED_VALUE"""),4.44)</f>
        <v>4.44</v>
      </c>
      <c r="C3357" s="1">
        <f>IFERROR(__xludf.DUMMYFUNCTION("""COMPUTED_VALUE"""),4.49)</f>
        <v>4.49</v>
      </c>
      <c r="D3357" s="1">
        <f>IFERROR(__xludf.DUMMYFUNCTION("""COMPUTED_VALUE"""),4.42)</f>
        <v>4.42</v>
      </c>
      <c r="E3357" s="1">
        <f>IFERROR(__xludf.DUMMYFUNCTION("""COMPUTED_VALUE"""),4.43)</f>
        <v>4.43</v>
      </c>
      <c r="F3357" s="1">
        <f>IFERROR(__xludf.DUMMYFUNCTION("""COMPUTED_VALUE"""),1504105.0)</f>
        <v>1504105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IFERROR(__xludf.DUMMYFUNCTION("""COMPUTED_VALUE"""),4.33)</f>
        <v>4.33</v>
      </c>
      <c r="C3358" s="1">
        <f>IFERROR(__xludf.DUMMYFUNCTION("""COMPUTED_VALUE"""),4.35)</f>
        <v>4.35</v>
      </c>
      <c r="D3358" s="1">
        <f>IFERROR(__xludf.DUMMYFUNCTION("""COMPUTED_VALUE"""),4.22)</f>
        <v>4.22</v>
      </c>
      <c r="E3358" s="1">
        <f>IFERROR(__xludf.DUMMYFUNCTION("""COMPUTED_VALUE"""),4.29)</f>
        <v>4.29</v>
      </c>
      <c r="F3358" s="1">
        <f>IFERROR(__xludf.DUMMYFUNCTION("""COMPUTED_VALUE"""),3029374.0)</f>
        <v>3029374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IFERROR(__xludf.DUMMYFUNCTION("""COMPUTED_VALUE"""),4.37)</f>
        <v>4.37</v>
      </c>
      <c r="C3359" s="1">
        <f>IFERROR(__xludf.DUMMYFUNCTION("""COMPUTED_VALUE"""),4.43)</f>
        <v>4.43</v>
      </c>
      <c r="D3359" s="1">
        <f>IFERROR(__xludf.DUMMYFUNCTION("""COMPUTED_VALUE"""),4.37)</f>
        <v>4.37</v>
      </c>
      <c r="E3359" s="1">
        <f>IFERROR(__xludf.DUMMYFUNCTION("""COMPUTED_VALUE"""),4.4)</f>
        <v>4.4</v>
      </c>
      <c r="F3359" s="1">
        <f>IFERROR(__xludf.DUMMYFUNCTION("""COMPUTED_VALUE"""),2104214.0)</f>
        <v>2104214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IFERROR(__xludf.DUMMYFUNCTION("""COMPUTED_VALUE"""),4.44)</f>
        <v>4.44</v>
      </c>
      <c r="C3360" s="1">
        <f>IFERROR(__xludf.DUMMYFUNCTION("""COMPUTED_VALUE"""),4.46)</f>
        <v>4.46</v>
      </c>
      <c r="D3360" s="1">
        <f>IFERROR(__xludf.DUMMYFUNCTION("""COMPUTED_VALUE"""),4.39)</f>
        <v>4.39</v>
      </c>
      <c r="E3360" s="1">
        <f>IFERROR(__xludf.DUMMYFUNCTION("""COMPUTED_VALUE"""),4.41)</f>
        <v>4.41</v>
      </c>
      <c r="F3360" s="1">
        <f>IFERROR(__xludf.DUMMYFUNCTION("""COMPUTED_VALUE"""),2753726.0)</f>
        <v>2753726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IFERROR(__xludf.DUMMYFUNCTION("""COMPUTED_VALUE"""),4.36)</f>
        <v>4.36</v>
      </c>
      <c r="C3361" s="1">
        <f>IFERROR(__xludf.DUMMYFUNCTION("""COMPUTED_VALUE"""),4.43)</f>
        <v>4.43</v>
      </c>
      <c r="D3361" s="1">
        <f>IFERROR(__xludf.DUMMYFUNCTION("""COMPUTED_VALUE"""),4.35)</f>
        <v>4.35</v>
      </c>
      <c r="E3361" s="1">
        <f>IFERROR(__xludf.DUMMYFUNCTION("""COMPUTED_VALUE"""),4.4)</f>
        <v>4.4</v>
      </c>
      <c r="F3361" s="1">
        <f>IFERROR(__xludf.DUMMYFUNCTION("""COMPUTED_VALUE"""),1425984.0)</f>
        <v>1425984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IFERROR(__xludf.DUMMYFUNCTION("""COMPUTED_VALUE"""),4.44)</f>
        <v>4.44</v>
      </c>
      <c r="C3362" s="1">
        <f>IFERROR(__xludf.DUMMYFUNCTION("""COMPUTED_VALUE"""),4.44)</f>
        <v>4.44</v>
      </c>
      <c r="D3362" s="1">
        <f>IFERROR(__xludf.DUMMYFUNCTION("""COMPUTED_VALUE"""),4.3)</f>
        <v>4.3</v>
      </c>
      <c r="E3362" s="1">
        <f>IFERROR(__xludf.DUMMYFUNCTION("""COMPUTED_VALUE"""),4.35)</f>
        <v>4.35</v>
      </c>
      <c r="F3362" s="1">
        <f>IFERROR(__xludf.DUMMYFUNCTION("""COMPUTED_VALUE"""),1642251.0)</f>
        <v>1642251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IFERROR(__xludf.DUMMYFUNCTION("""COMPUTED_VALUE"""),4.34)</f>
        <v>4.34</v>
      </c>
      <c r="C3363" s="1">
        <f>IFERROR(__xludf.DUMMYFUNCTION("""COMPUTED_VALUE"""),4.38)</f>
        <v>4.38</v>
      </c>
      <c r="D3363" s="1">
        <f>IFERROR(__xludf.DUMMYFUNCTION("""COMPUTED_VALUE"""),4.33)</f>
        <v>4.33</v>
      </c>
      <c r="E3363" s="1">
        <f>IFERROR(__xludf.DUMMYFUNCTION("""COMPUTED_VALUE"""),4.35)</f>
        <v>4.35</v>
      </c>
      <c r="F3363" s="1">
        <f>IFERROR(__xludf.DUMMYFUNCTION("""COMPUTED_VALUE"""),2626839.0)</f>
        <v>2626839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IFERROR(__xludf.DUMMYFUNCTION("""COMPUTED_VALUE"""),4.38)</f>
        <v>4.38</v>
      </c>
      <c r="C3364" s="1">
        <f>IFERROR(__xludf.DUMMYFUNCTION("""COMPUTED_VALUE"""),4.38)</f>
        <v>4.38</v>
      </c>
      <c r="D3364" s="1">
        <f>IFERROR(__xludf.DUMMYFUNCTION("""COMPUTED_VALUE"""),4.31)</f>
        <v>4.31</v>
      </c>
      <c r="E3364" s="1">
        <f>IFERROR(__xludf.DUMMYFUNCTION("""COMPUTED_VALUE"""),4.33)</f>
        <v>4.33</v>
      </c>
      <c r="F3364" s="1">
        <f>IFERROR(__xludf.DUMMYFUNCTION("""COMPUTED_VALUE"""),2086119.0)</f>
        <v>2086119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IFERROR(__xludf.DUMMYFUNCTION("""COMPUTED_VALUE"""),4.45)</f>
        <v>4.45</v>
      </c>
      <c r="C3365" s="1">
        <f>IFERROR(__xludf.DUMMYFUNCTION("""COMPUTED_VALUE"""),4.53)</f>
        <v>4.53</v>
      </c>
      <c r="D3365" s="1">
        <f>IFERROR(__xludf.DUMMYFUNCTION("""COMPUTED_VALUE"""),4.45)</f>
        <v>4.45</v>
      </c>
      <c r="E3365" s="1">
        <f>IFERROR(__xludf.DUMMYFUNCTION("""COMPUTED_VALUE"""),4.5)</f>
        <v>4.5</v>
      </c>
      <c r="F3365" s="1">
        <f>IFERROR(__xludf.DUMMYFUNCTION("""COMPUTED_VALUE"""),2142199.0)</f>
        <v>2142199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IFERROR(__xludf.DUMMYFUNCTION("""COMPUTED_VALUE"""),4.46)</f>
        <v>4.46</v>
      </c>
      <c r="C3366" s="1">
        <f>IFERROR(__xludf.DUMMYFUNCTION("""COMPUTED_VALUE"""),4.47)</f>
        <v>4.47</v>
      </c>
      <c r="D3366" s="1">
        <f>IFERROR(__xludf.DUMMYFUNCTION("""COMPUTED_VALUE"""),4.39)</f>
        <v>4.39</v>
      </c>
      <c r="E3366" s="1">
        <f>IFERROR(__xludf.DUMMYFUNCTION("""COMPUTED_VALUE"""),4.41)</f>
        <v>4.41</v>
      </c>
      <c r="F3366" s="1">
        <f>IFERROR(__xludf.DUMMYFUNCTION("""COMPUTED_VALUE"""),1560181.0)</f>
        <v>1560181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IFERROR(__xludf.DUMMYFUNCTION("""COMPUTED_VALUE"""),4.64)</f>
        <v>4.64</v>
      </c>
      <c r="C3367" s="1">
        <f>IFERROR(__xludf.DUMMYFUNCTION("""COMPUTED_VALUE"""),4.68)</f>
        <v>4.68</v>
      </c>
      <c r="D3367" s="1">
        <f>IFERROR(__xludf.DUMMYFUNCTION("""COMPUTED_VALUE"""),4.61)</f>
        <v>4.61</v>
      </c>
      <c r="E3367" s="1">
        <f>IFERROR(__xludf.DUMMYFUNCTION("""COMPUTED_VALUE"""),4.68)</f>
        <v>4.68</v>
      </c>
      <c r="F3367" s="1">
        <f>IFERROR(__xludf.DUMMYFUNCTION("""COMPUTED_VALUE"""),1731480.0)</f>
        <v>1731480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IFERROR(__xludf.DUMMYFUNCTION("""COMPUTED_VALUE"""),4.59)</f>
        <v>4.59</v>
      </c>
      <c r="C3368" s="1">
        <f>IFERROR(__xludf.DUMMYFUNCTION("""COMPUTED_VALUE"""),4.62)</f>
        <v>4.62</v>
      </c>
      <c r="D3368" s="1">
        <f>IFERROR(__xludf.DUMMYFUNCTION("""COMPUTED_VALUE"""),4.55)</f>
        <v>4.55</v>
      </c>
      <c r="E3368" s="1">
        <f>IFERROR(__xludf.DUMMYFUNCTION("""COMPUTED_VALUE"""),4.62)</f>
        <v>4.62</v>
      </c>
      <c r="F3368" s="1">
        <f>IFERROR(__xludf.DUMMYFUNCTION("""COMPUTED_VALUE"""),1278361.0)</f>
        <v>1278361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IFERROR(__xludf.DUMMYFUNCTION("""COMPUTED_VALUE"""),4.66)</f>
        <v>4.66</v>
      </c>
      <c r="C3369" s="1">
        <f>IFERROR(__xludf.DUMMYFUNCTION("""COMPUTED_VALUE"""),4.68)</f>
        <v>4.68</v>
      </c>
      <c r="D3369" s="1">
        <f>IFERROR(__xludf.DUMMYFUNCTION("""COMPUTED_VALUE"""),4.62)</f>
        <v>4.62</v>
      </c>
      <c r="E3369" s="1">
        <f>IFERROR(__xludf.DUMMYFUNCTION("""COMPUTED_VALUE"""),4.63)</f>
        <v>4.63</v>
      </c>
      <c r="F3369" s="1">
        <f>IFERROR(__xludf.DUMMYFUNCTION("""COMPUTED_VALUE"""),1817410.0)</f>
        <v>1817410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IFERROR(__xludf.DUMMYFUNCTION("""COMPUTED_VALUE"""),4.64)</f>
        <v>4.64</v>
      </c>
      <c r="C3370" s="1">
        <f>IFERROR(__xludf.DUMMYFUNCTION("""COMPUTED_VALUE"""),4.68)</f>
        <v>4.68</v>
      </c>
      <c r="D3370" s="1">
        <f>IFERROR(__xludf.DUMMYFUNCTION("""COMPUTED_VALUE"""),4.63)</f>
        <v>4.63</v>
      </c>
      <c r="E3370" s="1">
        <f>IFERROR(__xludf.DUMMYFUNCTION("""COMPUTED_VALUE"""),4.66)</f>
        <v>4.66</v>
      </c>
      <c r="F3370" s="1">
        <f>IFERROR(__xludf.DUMMYFUNCTION("""COMPUTED_VALUE"""),1471788.0)</f>
        <v>1471788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IFERROR(__xludf.DUMMYFUNCTION("""COMPUTED_VALUE"""),4.72)</f>
        <v>4.72</v>
      </c>
      <c r="C3371" s="1">
        <f>IFERROR(__xludf.DUMMYFUNCTION("""COMPUTED_VALUE"""),4.76)</f>
        <v>4.76</v>
      </c>
      <c r="D3371" s="1">
        <f>IFERROR(__xludf.DUMMYFUNCTION("""COMPUTED_VALUE"""),4.69)</f>
        <v>4.69</v>
      </c>
      <c r="E3371" s="1">
        <f>IFERROR(__xludf.DUMMYFUNCTION("""COMPUTED_VALUE"""),4.7)</f>
        <v>4.7</v>
      </c>
      <c r="F3371" s="1">
        <f>IFERROR(__xludf.DUMMYFUNCTION("""COMPUTED_VALUE"""),1921802.0)</f>
        <v>1921802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IFERROR(__xludf.DUMMYFUNCTION("""COMPUTED_VALUE"""),4.62)</f>
        <v>4.62</v>
      </c>
      <c r="C3372" s="1">
        <f>IFERROR(__xludf.DUMMYFUNCTION("""COMPUTED_VALUE"""),4.62)</f>
        <v>4.62</v>
      </c>
      <c r="D3372" s="1">
        <f>IFERROR(__xludf.DUMMYFUNCTION("""COMPUTED_VALUE"""),4.55)</f>
        <v>4.55</v>
      </c>
      <c r="E3372" s="1">
        <f>IFERROR(__xludf.DUMMYFUNCTION("""COMPUTED_VALUE"""),4.56)</f>
        <v>4.56</v>
      </c>
      <c r="F3372" s="1">
        <f>IFERROR(__xludf.DUMMYFUNCTION("""COMPUTED_VALUE"""),1642406.0)</f>
        <v>1642406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IFERROR(__xludf.DUMMYFUNCTION("""COMPUTED_VALUE"""),4.55)</f>
        <v>4.55</v>
      </c>
      <c r="C3373" s="1">
        <f>IFERROR(__xludf.DUMMYFUNCTION("""COMPUTED_VALUE"""),4.57)</f>
        <v>4.57</v>
      </c>
      <c r="D3373" s="1">
        <f>IFERROR(__xludf.DUMMYFUNCTION("""COMPUTED_VALUE"""),4.51)</f>
        <v>4.51</v>
      </c>
      <c r="E3373" s="1">
        <f>IFERROR(__xludf.DUMMYFUNCTION("""COMPUTED_VALUE"""),4.56)</f>
        <v>4.56</v>
      </c>
      <c r="F3373" s="1">
        <f>IFERROR(__xludf.DUMMYFUNCTION("""COMPUTED_VALUE"""),1630194.0)</f>
        <v>1630194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IFERROR(__xludf.DUMMYFUNCTION("""COMPUTED_VALUE"""),4.46)</f>
        <v>4.46</v>
      </c>
      <c r="C3374" s="1">
        <f>IFERROR(__xludf.DUMMYFUNCTION("""COMPUTED_VALUE"""),4.51)</f>
        <v>4.51</v>
      </c>
      <c r="D3374" s="1">
        <f>IFERROR(__xludf.DUMMYFUNCTION("""COMPUTED_VALUE"""),4.46)</f>
        <v>4.46</v>
      </c>
      <c r="E3374" s="1">
        <f>IFERROR(__xludf.DUMMYFUNCTION("""COMPUTED_VALUE"""),4.49)</f>
        <v>4.49</v>
      </c>
      <c r="F3374" s="1">
        <f>IFERROR(__xludf.DUMMYFUNCTION("""COMPUTED_VALUE"""),1401002.0)</f>
        <v>1401002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IFERROR(__xludf.DUMMYFUNCTION("""COMPUTED_VALUE"""),4.55)</f>
        <v>4.55</v>
      </c>
      <c r="C3375" s="1">
        <f>IFERROR(__xludf.DUMMYFUNCTION("""COMPUTED_VALUE"""),4.58)</f>
        <v>4.58</v>
      </c>
      <c r="D3375" s="1">
        <f>IFERROR(__xludf.DUMMYFUNCTION("""COMPUTED_VALUE"""),4.52)</f>
        <v>4.52</v>
      </c>
      <c r="E3375" s="1">
        <f>IFERROR(__xludf.DUMMYFUNCTION("""COMPUTED_VALUE"""),4.55)</f>
        <v>4.55</v>
      </c>
      <c r="F3375" s="1">
        <f>IFERROR(__xludf.DUMMYFUNCTION("""COMPUTED_VALUE"""),2213718.0)</f>
        <v>2213718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IFERROR(__xludf.DUMMYFUNCTION("""COMPUTED_VALUE"""),4.42)</f>
        <v>4.42</v>
      </c>
      <c r="C3376" s="1">
        <f>IFERROR(__xludf.DUMMYFUNCTION("""COMPUTED_VALUE"""),4.42)</f>
        <v>4.42</v>
      </c>
      <c r="D3376" s="1">
        <f>IFERROR(__xludf.DUMMYFUNCTION("""COMPUTED_VALUE"""),4.31)</f>
        <v>4.31</v>
      </c>
      <c r="E3376" s="1">
        <f>IFERROR(__xludf.DUMMYFUNCTION("""COMPUTED_VALUE"""),4.33)</f>
        <v>4.33</v>
      </c>
      <c r="F3376" s="1">
        <f>IFERROR(__xludf.DUMMYFUNCTION("""COMPUTED_VALUE"""),3205149.0)</f>
        <v>3205149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IFERROR(__xludf.DUMMYFUNCTION("""COMPUTED_VALUE"""),4.39)</f>
        <v>4.39</v>
      </c>
      <c r="C3377" s="1">
        <f>IFERROR(__xludf.DUMMYFUNCTION("""COMPUTED_VALUE"""),4.5)</f>
        <v>4.5</v>
      </c>
      <c r="D3377" s="1">
        <f>IFERROR(__xludf.DUMMYFUNCTION("""COMPUTED_VALUE"""),4.39)</f>
        <v>4.39</v>
      </c>
      <c r="E3377" s="1">
        <f>IFERROR(__xludf.DUMMYFUNCTION("""COMPUTED_VALUE"""),4.49)</f>
        <v>4.49</v>
      </c>
      <c r="F3377" s="1">
        <f>IFERROR(__xludf.DUMMYFUNCTION("""COMPUTED_VALUE"""),2368319.0)</f>
        <v>2368319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IFERROR(__xludf.DUMMYFUNCTION("""COMPUTED_VALUE"""),4.59)</f>
        <v>4.59</v>
      </c>
      <c r="C3378" s="1">
        <f>IFERROR(__xludf.DUMMYFUNCTION("""COMPUTED_VALUE"""),4.66)</f>
        <v>4.66</v>
      </c>
      <c r="D3378" s="1">
        <f>IFERROR(__xludf.DUMMYFUNCTION("""COMPUTED_VALUE"""),4.59)</f>
        <v>4.59</v>
      </c>
      <c r="E3378" s="1">
        <f>IFERROR(__xludf.DUMMYFUNCTION("""COMPUTED_VALUE"""),4.65)</f>
        <v>4.65</v>
      </c>
      <c r="F3378" s="1">
        <f>IFERROR(__xludf.DUMMYFUNCTION("""COMPUTED_VALUE"""),1599702.0)</f>
        <v>1599702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IFERROR(__xludf.DUMMYFUNCTION("""COMPUTED_VALUE"""),4.64)</f>
        <v>4.64</v>
      </c>
      <c r="C3379" s="1">
        <f>IFERROR(__xludf.DUMMYFUNCTION("""COMPUTED_VALUE"""),4.64)</f>
        <v>4.64</v>
      </c>
      <c r="D3379" s="1">
        <f>IFERROR(__xludf.DUMMYFUNCTION("""COMPUTED_VALUE"""),4.6)</f>
        <v>4.6</v>
      </c>
      <c r="E3379" s="1">
        <f>IFERROR(__xludf.DUMMYFUNCTION("""COMPUTED_VALUE"""),4.61)</f>
        <v>4.61</v>
      </c>
      <c r="F3379" s="1">
        <f>IFERROR(__xludf.DUMMYFUNCTION("""COMPUTED_VALUE"""),1174492.0)</f>
        <v>1174492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IFERROR(__xludf.DUMMYFUNCTION("""COMPUTED_VALUE"""),4.64)</f>
        <v>4.64</v>
      </c>
      <c r="C3380" s="1">
        <f>IFERROR(__xludf.DUMMYFUNCTION("""COMPUTED_VALUE"""),4.73)</f>
        <v>4.73</v>
      </c>
      <c r="D3380" s="1">
        <f>IFERROR(__xludf.DUMMYFUNCTION("""COMPUTED_VALUE"""),4.64)</f>
        <v>4.64</v>
      </c>
      <c r="E3380" s="1">
        <f>IFERROR(__xludf.DUMMYFUNCTION("""COMPUTED_VALUE"""),4.72)</f>
        <v>4.72</v>
      </c>
      <c r="F3380" s="1">
        <f>IFERROR(__xludf.DUMMYFUNCTION("""COMPUTED_VALUE"""),1258228.0)</f>
        <v>1258228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IFERROR(__xludf.DUMMYFUNCTION("""COMPUTED_VALUE"""),4.75)</f>
        <v>4.75</v>
      </c>
      <c r="C3381" s="1">
        <f>IFERROR(__xludf.DUMMYFUNCTION("""COMPUTED_VALUE"""),4.8)</f>
        <v>4.8</v>
      </c>
      <c r="D3381" s="1">
        <f>IFERROR(__xludf.DUMMYFUNCTION("""COMPUTED_VALUE"""),4.73)</f>
        <v>4.73</v>
      </c>
      <c r="E3381" s="1">
        <f>IFERROR(__xludf.DUMMYFUNCTION("""COMPUTED_VALUE"""),4.78)</f>
        <v>4.78</v>
      </c>
      <c r="F3381" s="1">
        <f>IFERROR(__xludf.DUMMYFUNCTION("""COMPUTED_VALUE"""),1322946.0)</f>
        <v>1322946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IFERROR(__xludf.DUMMYFUNCTION("""COMPUTED_VALUE"""),4.82)</f>
        <v>4.82</v>
      </c>
      <c r="C3382" s="1">
        <f>IFERROR(__xludf.DUMMYFUNCTION("""COMPUTED_VALUE"""),4.82)</f>
        <v>4.82</v>
      </c>
      <c r="D3382" s="1">
        <f>IFERROR(__xludf.DUMMYFUNCTION("""COMPUTED_VALUE"""),4.78)</f>
        <v>4.78</v>
      </c>
      <c r="E3382" s="1">
        <f>IFERROR(__xludf.DUMMYFUNCTION("""COMPUTED_VALUE"""),4.81)</f>
        <v>4.81</v>
      </c>
      <c r="F3382" s="1">
        <f>IFERROR(__xludf.DUMMYFUNCTION("""COMPUTED_VALUE"""),857942.0)</f>
        <v>857942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IFERROR(__xludf.DUMMYFUNCTION("""COMPUTED_VALUE"""),4.85)</f>
        <v>4.85</v>
      </c>
      <c r="C3383" s="1">
        <f>IFERROR(__xludf.DUMMYFUNCTION("""COMPUTED_VALUE"""),4.86)</f>
        <v>4.86</v>
      </c>
      <c r="D3383" s="1">
        <f>IFERROR(__xludf.DUMMYFUNCTION("""COMPUTED_VALUE"""),4.82)</f>
        <v>4.82</v>
      </c>
      <c r="E3383" s="1">
        <f>IFERROR(__xludf.DUMMYFUNCTION("""COMPUTED_VALUE"""),4.83)</f>
        <v>4.83</v>
      </c>
      <c r="F3383" s="1">
        <f>IFERROR(__xludf.DUMMYFUNCTION("""COMPUTED_VALUE"""),698874.0)</f>
        <v>698874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IFERROR(__xludf.DUMMYFUNCTION("""COMPUTED_VALUE"""),4.83)</f>
        <v>4.83</v>
      </c>
      <c r="C3384" s="1">
        <f>IFERROR(__xludf.DUMMYFUNCTION("""COMPUTED_VALUE"""),4.86)</f>
        <v>4.86</v>
      </c>
      <c r="D3384" s="1">
        <f>IFERROR(__xludf.DUMMYFUNCTION("""COMPUTED_VALUE"""),4.81)</f>
        <v>4.81</v>
      </c>
      <c r="E3384" s="1">
        <f>IFERROR(__xludf.DUMMYFUNCTION("""COMPUTED_VALUE"""),4.84)</f>
        <v>4.84</v>
      </c>
      <c r="F3384" s="1">
        <f>IFERROR(__xludf.DUMMYFUNCTION("""COMPUTED_VALUE"""),886578.0)</f>
        <v>886578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IFERROR(__xludf.DUMMYFUNCTION("""COMPUTED_VALUE"""),4.84)</f>
        <v>4.84</v>
      </c>
      <c r="C3385" s="1">
        <f>IFERROR(__xludf.DUMMYFUNCTION("""COMPUTED_VALUE"""),4.88)</f>
        <v>4.88</v>
      </c>
      <c r="D3385" s="1">
        <f>IFERROR(__xludf.DUMMYFUNCTION("""COMPUTED_VALUE"""),4.83)</f>
        <v>4.83</v>
      </c>
      <c r="E3385" s="1">
        <f>IFERROR(__xludf.DUMMYFUNCTION("""COMPUTED_VALUE"""),4.83)</f>
        <v>4.83</v>
      </c>
      <c r="F3385" s="1">
        <f>IFERROR(__xludf.DUMMYFUNCTION("""COMPUTED_VALUE"""),1247914.0)</f>
        <v>1247914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IFERROR(__xludf.DUMMYFUNCTION("""COMPUTED_VALUE"""),4.92)</f>
        <v>4.92</v>
      </c>
      <c r="C3386" s="1">
        <f>IFERROR(__xludf.DUMMYFUNCTION("""COMPUTED_VALUE"""),4.95)</f>
        <v>4.95</v>
      </c>
      <c r="D3386" s="1">
        <f>IFERROR(__xludf.DUMMYFUNCTION("""COMPUTED_VALUE"""),4.84)</f>
        <v>4.84</v>
      </c>
      <c r="E3386" s="1">
        <f>IFERROR(__xludf.DUMMYFUNCTION("""COMPUTED_VALUE"""),4.85)</f>
        <v>4.85</v>
      </c>
      <c r="F3386" s="1">
        <f>IFERROR(__xludf.DUMMYFUNCTION("""COMPUTED_VALUE"""),1149023.0)</f>
        <v>1149023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IFERROR(__xludf.DUMMYFUNCTION("""COMPUTED_VALUE"""),4.86)</f>
        <v>4.86</v>
      </c>
      <c r="C3387" s="1">
        <f>IFERROR(__xludf.DUMMYFUNCTION("""COMPUTED_VALUE"""),4.92)</f>
        <v>4.92</v>
      </c>
      <c r="D3387" s="1">
        <f>IFERROR(__xludf.DUMMYFUNCTION("""COMPUTED_VALUE"""),4.85)</f>
        <v>4.85</v>
      </c>
      <c r="E3387" s="1">
        <f>IFERROR(__xludf.DUMMYFUNCTION("""COMPUTED_VALUE"""),4.91)</f>
        <v>4.91</v>
      </c>
      <c r="F3387" s="1">
        <f>IFERROR(__xludf.DUMMYFUNCTION("""COMPUTED_VALUE"""),1504268.0)</f>
        <v>1504268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IFERROR(__xludf.DUMMYFUNCTION("""COMPUTED_VALUE"""),4.85)</f>
        <v>4.85</v>
      </c>
      <c r="C3388" s="1">
        <f>IFERROR(__xludf.DUMMYFUNCTION("""COMPUTED_VALUE"""),4.86)</f>
        <v>4.86</v>
      </c>
      <c r="D3388" s="1">
        <f>IFERROR(__xludf.DUMMYFUNCTION("""COMPUTED_VALUE"""),4.79)</f>
        <v>4.79</v>
      </c>
      <c r="E3388" s="1">
        <f>IFERROR(__xludf.DUMMYFUNCTION("""COMPUTED_VALUE"""),4.79)</f>
        <v>4.79</v>
      </c>
      <c r="F3388" s="1">
        <f>IFERROR(__xludf.DUMMYFUNCTION("""COMPUTED_VALUE"""),1361677.0)</f>
        <v>1361677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IFERROR(__xludf.DUMMYFUNCTION("""COMPUTED_VALUE"""),4.78)</f>
        <v>4.78</v>
      </c>
      <c r="C3389" s="1">
        <f>IFERROR(__xludf.DUMMYFUNCTION("""COMPUTED_VALUE"""),4.79)</f>
        <v>4.79</v>
      </c>
      <c r="D3389" s="1">
        <f>IFERROR(__xludf.DUMMYFUNCTION("""COMPUTED_VALUE"""),4.73)</f>
        <v>4.73</v>
      </c>
      <c r="E3389" s="1">
        <f>IFERROR(__xludf.DUMMYFUNCTION("""COMPUTED_VALUE"""),4.76)</f>
        <v>4.76</v>
      </c>
      <c r="F3389" s="1">
        <f>IFERROR(__xludf.DUMMYFUNCTION("""COMPUTED_VALUE"""),2732327.0)</f>
        <v>2732327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IFERROR(__xludf.DUMMYFUNCTION("""COMPUTED_VALUE"""),4.78)</f>
        <v>4.78</v>
      </c>
      <c r="C3390" s="1">
        <f>IFERROR(__xludf.DUMMYFUNCTION("""COMPUTED_VALUE"""),4.82)</f>
        <v>4.82</v>
      </c>
      <c r="D3390" s="1">
        <f>IFERROR(__xludf.DUMMYFUNCTION("""COMPUTED_VALUE"""),4.77)</f>
        <v>4.77</v>
      </c>
      <c r="E3390" s="1">
        <f>IFERROR(__xludf.DUMMYFUNCTION("""COMPUTED_VALUE"""),4.78)</f>
        <v>4.78</v>
      </c>
      <c r="F3390" s="1">
        <f>IFERROR(__xludf.DUMMYFUNCTION("""COMPUTED_VALUE"""),1537148.0)</f>
        <v>1537148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IFERROR(__xludf.DUMMYFUNCTION("""COMPUTED_VALUE"""),4.82)</f>
        <v>4.82</v>
      </c>
      <c r="C3391" s="1">
        <f>IFERROR(__xludf.DUMMYFUNCTION("""COMPUTED_VALUE"""),4.83)</f>
        <v>4.83</v>
      </c>
      <c r="D3391" s="1">
        <f>IFERROR(__xludf.DUMMYFUNCTION("""COMPUTED_VALUE"""),4.77)</f>
        <v>4.77</v>
      </c>
      <c r="E3391" s="1">
        <f>IFERROR(__xludf.DUMMYFUNCTION("""COMPUTED_VALUE"""),4.79)</f>
        <v>4.79</v>
      </c>
      <c r="F3391" s="1">
        <f>IFERROR(__xludf.DUMMYFUNCTION("""COMPUTED_VALUE"""),1359361.0)</f>
        <v>1359361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IFERROR(__xludf.DUMMYFUNCTION("""COMPUTED_VALUE"""),4.84)</f>
        <v>4.84</v>
      </c>
      <c r="C3392" s="1">
        <f>IFERROR(__xludf.DUMMYFUNCTION("""COMPUTED_VALUE"""),4.88)</f>
        <v>4.88</v>
      </c>
      <c r="D3392" s="1">
        <f>IFERROR(__xludf.DUMMYFUNCTION("""COMPUTED_VALUE"""),4.82)</f>
        <v>4.82</v>
      </c>
      <c r="E3392" s="1">
        <f>IFERROR(__xludf.DUMMYFUNCTION("""COMPUTED_VALUE"""),4.86)</f>
        <v>4.86</v>
      </c>
      <c r="F3392" s="1">
        <f>IFERROR(__xludf.DUMMYFUNCTION("""COMPUTED_VALUE"""),980333.0)</f>
        <v>980333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IFERROR(__xludf.DUMMYFUNCTION("""COMPUTED_VALUE"""),4.81)</f>
        <v>4.81</v>
      </c>
      <c r="C3393" s="1">
        <f>IFERROR(__xludf.DUMMYFUNCTION("""COMPUTED_VALUE"""),4.9)</f>
        <v>4.9</v>
      </c>
      <c r="D3393" s="1">
        <f>IFERROR(__xludf.DUMMYFUNCTION("""COMPUTED_VALUE"""),4.81)</f>
        <v>4.81</v>
      </c>
      <c r="E3393" s="1">
        <f>IFERROR(__xludf.DUMMYFUNCTION("""COMPUTED_VALUE"""),4.88)</f>
        <v>4.88</v>
      </c>
      <c r="F3393" s="1">
        <f>IFERROR(__xludf.DUMMYFUNCTION("""COMPUTED_VALUE"""),1241923.0)</f>
        <v>1241923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IFERROR(__xludf.DUMMYFUNCTION("""COMPUTED_VALUE"""),4.92)</f>
        <v>4.92</v>
      </c>
      <c r="C3394" s="1">
        <f>IFERROR(__xludf.DUMMYFUNCTION("""COMPUTED_VALUE"""),5.0)</f>
        <v>5</v>
      </c>
      <c r="D3394" s="1">
        <f>IFERROR(__xludf.DUMMYFUNCTION("""COMPUTED_VALUE"""),4.91)</f>
        <v>4.91</v>
      </c>
      <c r="E3394" s="1">
        <f>IFERROR(__xludf.DUMMYFUNCTION("""COMPUTED_VALUE"""),4.99)</f>
        <v>4.99</v>
      </c>
      <c r="F3394" s="1">
        <f>IFERROR(__xludf.DUMMYFUNCTION("""COMPUTED_VALUE"""),1948730.0)</f>
        <v>1948730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IFERROR(__xludf.DUMMYFUNCTION("""COMPUTED_VALUE"""),4.95)</f>
        <v>4.95</v>
      </c>
      <c r="C3395" s="1">
        <f>IFERROR(__xludf.DUMMYFUNCTION("""COMPUTED_VALUE"""),4.96)</f>
        <v>4.96</v>
      </c>
      <c r="D3395" s="1">
        <f>IFERROR(__xludf.DUMMYFUNCTION("""COMPUTED_VALUE"""),4.92)</f>
        <v>4.92</v>
      </c>
      <c r="E3395" s="1">
        <f>IFERROR(__xludf.DUMMYFUNCTION("""COMPUTED_VALUE"""),4.92)</f>
        <v>4.92</v>
      </c>
      <c r="F3395" s="1">
        <f>IFERROR(__xludf.DUMMYFUNCTION("""COMPUTED_VALUE"""),1241229.0)</f>
        <v>1241229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IFERROR(__xludf.DUMMYFUNCTION("""COMPUTED_VALUE"""),4.96)</f>
        <v>4.96</v>
      </c>
      <c r="C3396" s="1">
        <f>IFERROR(__xludf.DUMMYFUNCTION("""COMPUTED_VALUE"""),5.0)</f>
        <v>5</v>
      </c>
      <c r="D3396" s="1">
        <f>IFERROR(__xludf.DUMMYFUNCTION("""COMPUTED_VALUE"""),4.95)</f>
        <v>4.95</v>
      </c>
      <c r="E3396" s="1">
        <f>IFERROR(__xludf.DUMMYFUNCTION("""COMPUTED_VALUE"""),4.97)</f>
        <v>4.97</v>
      </c>
      <c r="F3396" s="1">
        <f>IFERROR(__xludf.DUMMYFUNCTION("""COMPUTED_VALUE"""),1323252.0)</f>
        <v>1323252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IFERROR(__xludf.DUMMYFUNCTION("""COMPUTED_VALUE"""),5.03)</f>
        <v>5.03</v>
      </c>
      <c r="C3397" s="1">
        <f>IFERROR(__xludf.DUMMYFUNCTION("""COMPUTED_VALUE"""),5.08)</f>
        <v>5.08</v>
      </c>
      <c r="D3397" s="1">
        <f>IFERROR(__xludf.DUMMYFUNCTION("""COMPUTED_VALUE"""),5.02)</f>
        <v>5.02</v>
      </c>
      <c r="E3397" s="1">
        <f>IFERROR(__xludf.DUMMYFUNCTION("""COMPUTED_VALUE"""),5.07)</f>
        <v>5.07</v>
      </c>
      <c r="F3397" s="1">
        <f>IFERROR(__xludf.DUMMYFUNCTION("""COMPUTED_VALUE"""),2150339.0)</f>
        <v>2150339</v>
      </c>
    </row>
    <row r="3398">
      <c r="A3398" s="2">
        <f>IFERROR(__xludf.DUMMYFUNCTION("""COMPUTED_VALUE"""),45110.54166666667)</f>
        <v>45110.54167</v>
      </c>
      <c r="B3398" s="1">
        <f>IFERROR(__xludf.DUMMYFUNCTION("""COMPUTED_VALUE"""),5.1)</f>
        <v>5.1</v>
      </c>
      <c r="C3398" s="1">
        <f>IFERROR(__xludf.DUMMYFUNCTION("""COMPUTED_VALUE"""),5.12)</f>
        <v>5.12</v>
      </c>
      <c r="D3398" s="1">
        <f>IFERROR(__xludf.DUMMYFUNCTION("""COMPUTED_VALUE"""),5.08)</f>
        <v>5.08</v>
      </c>
      <c r="E3398" s="1">
        <f>IFERROR(__xludf.DUMMYFUNCTION("""COMPUTED_VALUE"""),5.11)</f>
        <v>5.11</v>
      </c>
      <c r="F3398" s="1">
        <f>IFERROR(__xludf.DUMMYFUNCTION("""COMPUTED_VALUE"""),653924.0)</f>
        <v>653924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IFERROR(__xludf.DUMMYFUNCTION("""COMPUTED_VALUE"""),5.1)</f>
        <v>5.1</v>
      </c>
      <c r="C3399" s="1">
        <f>IFERROR(__xludf.DUMMYFUNCTION("""COMPUTED_VALUE"""),5.12)</f>
        <v>5.12</v>
      </c>
      <c r="D3399" s="1">
        <f>IFERROR(__xludf.DUMMYFUNCTION("""COMPUTED_VALUE"""),5.07)</f>
        <v>5.07</v>
      </c>
      <c r="E3399" s="1">
        <f>IFERROR(__xludf.DUMMYFUNCTION("""COMPUTED_VALUE"""),5.07)</f>
        <v>5.07</v>
      </c>
      <c r="F3399" s="1">
        <f>IFERROR(__xludf.DUMMYFUNCTION("""COMPUTED_VALUE"""),1388839.0)</f>
        <v>1388839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IFERROR(__xludf.DUMMYFUNCTION("""COMPUTED_VALUE"""),5.07)</f>
        <v>5.07</v>
      </c>
      <c r="C3400" s="1">
        <f>IFERROR(__xludf.DUMMYFUNCTION("""COMPUTED_VALUE"""),5.07)</f>
        <v>5.07</v>
      </c>
      <c r="D3400" s="1">
        <f>IFERROR(__xludf.DUMMYFUNCTION("""COMPUTED_VALUE"""),5.0)</f>
        <v>5</v>
      </c>
      <c r="E3400" s="1">
        <f>IFERROR(__xludf.DUMMYFUNCTION("""COMPUTED_VALUE"""),5.06)</f>
        <v>5.06</v>
      </c>
      <c r="F3400" s="1">
        <f>IFERROR(__xludf.DUMMYFUNCTION("""COMPUTED_VALUE"""),1382216.0)</f>
        <v>1382216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IFERROR(__xludf.DUMMYFUNCTION("""COMPUTED_VALUE"""),5.08)</f>
        <v>5.08</v>
      </c>
      <c r="C3401" s="1">
        <f>IFERROR(__xludf.DUMMYFUNCTION("""COMPUTED_VALUE"""),5.15)</f>
        <v>5.15</v>
      </c>
      <c r="D3401" s="1">
        <f>IFERROR(__xludf.DUMMYFUNCTION("""COMPUTED_VALUE"""),5.07)</f>
        <v>5.07</v>
      </c>
      <c r="E3401" s="1">
        <f>IFERROR(__xludf.DUMMYFUNCTION("""COMPUTED_VALUE"""),5.12)</f>
        <v>5.12</v>
      </c>
      <c r="F3401" s="1">
        <f>IFERROR(__xludf.DUMMYFUNCTION("""COMPUTED_VALUE"""),1556859.0)</f>
        <v>1556859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IFERROR(__xludf.DUMMYFUNCTION("""COMPUTED_VALUE"""),5.14)</f>
        <v>5.14</v>
      </c>
      <c r="C3402" s="1">
        <f>IFERROR(__xludf.DUMMYFUNCTION("""COMPUTED_VALUE"""),5.19)</f>
        <v>5.19</v>
      </c>
      <c r="D3402" s="1">
        <f>IFERROR(__xludf.DUMMYFUNCTION("""COMPUTED_VALUE"""),5.14)</f>
        <v>5.14</v>
      </c>
      <c r="E3402" s="1">
        <f>IFERROR(__xludf.DUMMYFUNCTION("""COMPUTED_VALUE"""),5.16)</f>
        <v>5.16</v>
      </c>
      <c r="F3402" s="1">
        <f>IFERROR(__xludf.DUMMYFUNCTION("""COMPUTED_VALUE"""),996580.0)</f>
        <v>996580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IFERROR(__xludf.DUMMYFUNCTION("""COMPUTED_VALUE"""),5.18)</f>
        <v>5.18</v>
      </c>
      <c r="C3403" s="1">
        <f>IFERROR(__xludf.DUMMYFUNCTION("""COMPUTED_VALUE"""),5.23)</f>
        <v>5.23</v>
      </c>
      <c r="D3403" s="1">
        <f>IFERROR(__xludf.DUMMYFUNCTION("""COMPUTED_VALUE"""),5.18)</f>
        <v>5.18</v>
      </c>
      <c r="E3403" s="1">
        <f>IFERROR(__xludf.DUMMYFUNCTION("""COMPUTED_VALUE"""),5.22)</f>
        <v>5.22</v>
      </c>
      <c r="F3403" s="1">
        <f>IFERROR(__xludf.DUMMYFUNCTION("""COMPUTED_VALUE"""),1074086.0)</f>
        <v>1074086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IFERROR(__xludf.DUMMYFUNCTION("""COMPUTED_VALUE"""),5.29)</f>
        <v>5.29</v>
      </c>
      <c r="C3404" s="1">
        <f>IFERROR(__xludf.DUMMYFUNCTION("""COMPUTED_VALUE"""),5.31)</f>
        <v>5.31</v>
      </c>
      <c r="D3404" s="1">
        <f>IFERROR(__xludf.DUMMYFUNCTION("""COMPUTED_VALUE"""),5.27)</f>
        <v>5.27</v>
      </c>
      <c r="E3404" s="1">
        <f>IFERROR(__xludf.DUMMYFUNCTION("""COMPUTED_VALUE"""),5.28)</f>
        <v>5.28</v>
      </c>
      <c r="F3404" s="1">
        <f>IFERROR(__xludf.DUMMYFUNCTION("""COMPUTED_VALUE"""),1000822.0)</f>
        <v>1000822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IFERROR(__xludf.DUMMYFUNCTION("""COMPUTED_VALUE"""),5.29)</f>
        <v>5.29</v>
      </c>
      <c r="C3405" s="1">
        <f>IFERROR(__xludf.DUMMYFUNCTION("""COMPUTED_VALUE"""),5.34)</f>
        <v>5.34</v>
      </c>
      <c r="D3405" s="1">
        <f>IFERROR(__xludf.DUMMYFUNCTION("""COMPUTED_VALUE"""),5.29)</f>
        <v>5.29</v>
      </c>
      <c r="E3405" s="1">
        <f>IFERROR(__xludf.DUMMYFUNCTION("""COMPUTED_VALUE"""),5.32)</f>
        <v>5.32</v>
      </c>
      <c r="F3405" s="1">
        <f>IFERROR(__xludf.DUMMYFUNCTION("""COMPUTED_VALUE"""),886045.0)</f>
        <v>886045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IFERROR(__xludf.DUMMYFUNCTION("""COMPUTED_VALUE"""),5.31)</f>
        <v>5.31</v>
      </c>
      <c r="C3406" s="1">
        <f>IFERROR(__xludf.DUMMYFUNCTION("""COMPUTED_VALUE"""),5.31)</f>
        <v>5.31</v>
      </c>
      <c r="D3406" s="1">
        <f>IFERROR(__xludf.DUMMYFUNCTION("""COMPUTED_VALUE"""),5.23)</f>
        <v>5.23</v>
      </c>
      <c r="E3406" s="1">
        <f>IFERROR(__xludf.DUMMYFUNCTION("""COMPUTED_VALUE"""),5.24)</f>
        <v>5.24</v>
      </c>
      <c r="F3406" s="1">
        <f>IFERROR(__xludf.DUMMYFUNCTION("""COMPUTED_VALUE"""),1325939.0)</f>
        <v>1325939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IFERROR(__xludf.DUMMYFUNCTION("""COMPUTED_VALUE"""),5.23)</f>
        <v>5.23</v>
      </c>
      <c r="C3407" s="1">
        <f>IFERROR(__xludf.DUMMYFUNCTION("""COMPUTED_VALUE"""),5.25)</f>
        <v>5.25</v>
      </c>
      <c r="D3407" s="1">
        <f>IFERROR(__xludf.DUMMYFUNCTION("""COMPUTED_VALUE"""),5.22)</f>
        <v>5.22</v>
      </c>
      <c r="E3407" s="1">
        <f>IFERROR(__xludf.DUMMYFUNCTION("""COMPUTED_VALUE"""),5.24)</f>
        <v>5.24</v>
      </c>
      <c r="F3407" s="1">
        <f>IFERROR(__xludf.DUMMYFUNCTION("""COMPUTED_VALUE"""),1013374.0)</f>
        <v>1013374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IFERROR(__xludf.DUMMYFUNCTION("""COMPUTED_VALUE"""),5.18)</f>
        <v>5.18</v>
      </c>
      <c r="C3408" s="1">
        <f>IFERROR(__xludf.DUMMYFUNCTION("""COMPUTED_VALUE"""),5.27)</f>
        <v>5.27</v>
      </c>
      <c r="D3408" s="1">
        <f>IFERROR(__xludf.DUMMYFUNCTION("""COMPUTED_VALUE"""),5.18)</f>
        <v>5.18</v>
      </c>
      <c r="E3408" s="1">
        <f>IFERROR(__xludf.DUMMYFUNCTION("""COMPUTED_VALUE"""),5.25)</f>
        <v>5.25</v>
      </c>
      <c r="F3408" s="1">
        <f>IFERROR(__xludf.DUMMYFUNCTION("""COMPUTED_VALUE"""),3548108.0)</f>
        <v>3548108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IFERROR(__xludf.DUMMYFUNCTION("""COMPUTED_VALUE"""),5.24)</f>
        <v>5.24</v>
      </c>
      <c r="C3409" s="1">
        <f>IFERROR(__xludf.DUMMYFUNCTION("""COMPUTED_VALUE"""),5.26)</f>
        <v>5.26</v>
      </c>
      <c r="D3409" s="1">
        <f>IFERROR(__xludf.DUMMYFUNCTION("""COMPUTED_VALUE"""),5.19)</f>
        <v>5.19</v>
      </c>
      <c r="E3409" s="1">
        <f>IFERROR(__xludf.DUMMYFUNCTION("""COMPUTED_VALUE"""),5.2)</f>
        <v>5.2</v>
      </c>
      <c r="F3409" s="1">
        <f>IFERROR(__xludf.DUMMYFUNCTION("""COMPUTED_VALUE"""),1680063.0)</f>
        <v>1680063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IFERROR(__xludf.DUMMYFUNCTION("""COMPUTED_VALUE"""),5.25)</f>
        <v>5.25</v>
      </c>
      <c r="C3410" s="1">
        <f>IFERROR(__xludf.DUMMYFUNCTION("""COMPUTED_VALUE"""),5.3)</f>
        <v>5.3</v>
      </c>
      <c r="D3410" s="1">
        <f>IFERROR(__xludf.DUMMYFUNCTION("""COMPUTED_VALUE"""),5.24)</f>
        <v>5.24</v>
      </c>
      <c r="E3410" s="1">
        <f>IFERROR(__xludf.DUMMYFUNCTION("""COMPUTED_VALUE"""),5.24)</f>
        <v>5.24</v>
      </c>
      <c r="F3410" s="1">
        <f>IFERROR(__xludf.DUMMYFUNCTION("""COMPUTED_VALUE"""),939699.0)</f>
        <v>939699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IFERROR(__xludf.DUMMYFUNCTION("""COMPUTED_VALUE"""),5.27)</f>
        <v>5.27</v>
      </c>
      <c r="C3411" s="1">
        <f>IFERROR(__xludf.DUMMYFUNCTION("""COMPUTED_VALUE"""),5.29)</f>
        <v>5.29</v>
      </c>
      <c r="D3411" s="1">
        <f>IFERROR(__xludf.DUMMYFUNCTION("""COMPUTED_VALUE"""),5.23)</f>
        <v>5.23</v>
      </c>
      <c r="E3411" s="1">
        <f>IFERROR(__xludf.DUMMYFUNCTION("""COMPUTED_VALUE"""),5.23)</f>
        <v>5.23</v>
      </c>
      <c r="F3411" s="1">
        <f>IFERROR(__xludf.DUMMYFUNCTION("""COMPUTED_VALUE"""),680129.0)</f>
        <v>680129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IFERROR(__xludf.DUMMYFUNCTION("""COMPUTED_VALUE"""),5.27)</f>
        <v>5.27</v>
      </c>
      <c r="C3412" s="1">
        <f>IFERROR(__xludf.DUMMYFUNCTION("""COMPUTED_VALUE"""),5.33)</f>
        <v>5.33</v>
      </c>
      <c r="D3412" s="1">
        <f>IFERROR(__xludf.DUMMYFUNCTION("""COMPUTED_VALUE"""),5.27)</f>
        <v>5.27</v>
      </c>
      <c r="E3412" s="1">
        <f>IFERROR(__xludf.DUMMYFUNCTION("""COMPUTED_VALUE"""),5.32)</f>
        <v>5.32</v>
      </c>
      <c r="F3412" s="1">
        <f>IFERROR(__xludf.DUMMYFUNCTION("""COMPUTED_VALUE"""),1020037.0)</f>
        <v>1020037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IFERROR(__xludf.DUMMYFUNCTION("""COMPUTED_VALUE"""),5.37)</f>
        <v>5.37</v>
      </c>
      <c r="C3413" s="1">
        <f>IFERROR(__xludf.DUMMYFUNCTION("""COMPUTED_VALUE"""),5.4)</f>
        <v>5.4</v>
      </c>
      <c r="D3413" s="1">
        <f>IFERROR(__xludf.DUMMYFUNCTION("""COMPUTED_VALUE"""),5.36)</f>
        <v>5.36</v>
      </c>
      <c r="E3413" s="1">
        <f>IFERROR(__xludf.DUMMYFUNCTION("""COMPUTED_VALUE"""),5.36)</f>
        <v>5.36</v>
      </c>
      <c r="F3413" s="1">
        <f>IFERROR(__xludf.DUMMYFUNCTION("""COMPUTED_VALUE"""),1475896.0)</f>
        <v>1475896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IFERROR(__xludf.DUMMYFUNCTION("""COMPUTED_VALUE"""),5.34)</f>
        <v>5.34</v>
      </c>
      <c r="C3414" s="1">
        <f>IFERROR(__xludf.DUMMYFUNCTION("""COMPUTED_VALUE"""),5.42)</f>
        <v>5.42</v>
      </c>
      <c r="D3414" s="1">
        <f>IFERROR(__xludf.DUMMYFUNCTION("""COMPUTED_VALUE"""),5.34)</f>
        <v>5.34</v>
      </c>
      <c r="E3414" s="1">
        <f>IFERROR(__xludf.DUMMYFUNCTION("""COMPUTED_VALUE"""),5.4)</f>
        <v>5.4</v>
      </c>
      <c r="F3414" s="1">
        <f>IFERROR(__xludf.DUMMYFUNCTION("""COMPUTED_VALUE"""),1365070.0)</f>
        <v>1365070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IFERROR(__xludf.DUMMYFUNCTION("""COMPUTED_VALUE"""),5.38)</f>
        <v>5.38</v>
      </c>
      <c r="C3415" s="1">
        <f>IFERROR(__xludf.DUMMYFUNCTION("""COMPUTED_VALUE"""),5.41)</f>
        <v>5.41</v>
      </c>
      <c r="D3415" s="1">
        <f>IFERROR(__xludf.DUMMYFUNCTION("""COMPUTED_VALUE"""),5.34)</f>
        <v>5.34</v>
      </c>
      <c r="E3415" s="1">
        <f>IFERROR(__xludf.DUMMYFUNCTION("""COMPUTED_VALUE"""),5.34)</f>
        <v>5.34</v>
      </c>
      <c r="F3415" s="1">
        <f>IFERROR(__xludf.DUMMYFUNCTION("""COMPUTED_VALUE"""),1175026.0)</f>
        <v>1175026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IFERROR(__xludf.DUMMYFUNCTION("""COMPUTED_VALUE"""),5.41)</f>
        <v>5.41</v>
      </c>
      <c r="C3416" s="1">
        <f>IFERROR(__xludf.DUMMYFUNCTION("""COMPUTED_VALUE"""),5.43)</f>
        <v>5.43</v>
      </c>
      <c r="D3416" s="1">
        <f>IFERROR(__xludf.DUMMYFUNCTION("""COMPUTED_VALUE"""),5.36)</f>
        <v>5.36</v>
      </c>
      <c r="E3416" s="1">
        <f>IFERROR(__xludf.DUMMYFUNCTION("""COMPUTED_VALUE"""),5.39)</f>
        <v>5.39</v>
      </c>
      <c r="F3416" s="1">
        <f>IFERROR(__xludf.DUMMYFUNCTION("""COMPUTED_VALUE"""),1305608.0)</f>
        <v>1305608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IFERROR(__xludf.DUMMYFUNCTION("""COMPUTED_VALUE"""),5.4)</f>
        <v>5.4</v>
      </c>
      <c r="C3417" s="1">
        <f>IFERROR(__xludf.DUMMYFUNCTION("""COMPUTED_VALUE"""),5.46)</f>
        <v>5.46</v>
      </c>
      <c r="D3417" s="1">
        <f>IFERROR(__xludf.DUMMYFUNCTION("""COMPUTED_VALUE"""),5.39)</f>
        <v>5.39</v>
      </c>
      <c r="E3417" s="1">
        <f>IFERROR(__xludf.DUMMYFUNCTION("""COMPUTED_VALUE"""),5.39)</f>
        <v>5.39</v>
      </c>
      <c r="F3417" s="1">
        <f>IFERROR(__xludf.DUMMYFUNCTION("""COMPUTED_VALUE"""),1056670.0)</f>
        <v>1056670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IFERROR(__xludf.DUMMYFUNCTION("""COMPUTED_VALUE"""),5.38)</f>
        <v>5.38</v>
      </c>
      <c r="C3418" s="1">
        <f>IFERROR(__xludf.DUMMYFUNCTION("""COMPUTED_VALUE"""),5.4)</f>
        <v>5.4</v>
      </c>
      <c r="D3418" s="1">
        <f>IFERROR(__xludf.DUMMYFUNCTION("""COMPUTED_VALUE"""),5.34)</f>
        <v>5.34</v>
      </c>
      <c r="E3418" s="1">
        <f>IFERROR(__xludf.DUMMYFUNCTION("""COMPUTED_VALUE"""),5.34)</f>
        <v>5.34</v>
      </c>
      <c r="F3418" s="1">
        <f>IFERROR(__xludf.DUMMYFUNCTION("""COMPUTED_VALUE"""),657863.0)</f>
        <v>657863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IFERROR(__xludf.DUMMYFUNCTION("""COMPUTED_VALUE"""),5.28)</f>
        <v>5.28</v>
      </c>
      <c r="C3419" s="1">
        <f>IFERROR(__xludf.DUMMYFUNCTION("""COMPUTED_VALUE"""),5.29)</f>
        <v>5.29</v>
      </c>
      <c r="D3419" s="1">
        <f>IFERROR(__xludf.DUMMYFUNCTION("""COMPUTED_VALUE"""),5.23)</f>
        <v>5.23</v>
      </c>
      <c r="E3419" s="1">
        <f>IFERROR(__xludf.DUMMYFUNCTION("""COMPUTED_VALUE"""),5.23)</f>
        <v>5.23</v>
      </c>
      <c r="F3419" s="1">
        <f>IFERROR(__xludf.DUMMYFUNCTION("""COMPUTED_VALUE"""),792743.0)</f>
        <v>792743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IFERROR(__xludf.DUMMYFUNCTION("""COMPUTED_VALUE"""),5.28)</f>
        <v>5.28</v>
      </c>
      <c r="C3420" s="1">
        <f>IFERROR(__xludf.DUMMYFUNCTION("""COMPUTED_VALUE"""),5.34)</f>
        <v>5.34</v>
      </c>
      <c r="D3420" s="1">
        <f>IFERROR(__xludf.DUMMYFUNCTION("""COMPUTED_VALUE"""),5.27)</f>
        <v>5.27</v>
      </c>
      <c r="E3420" s="1">
        <f>IFERROR(__xludf.DUMMYFUNCTION("""COMPUTED_VALUE"""),5.32)</f>
        <v>5.32</v>
      </c>
      <c r="F3420" s="1">
        <f>IFERROR(__xludf.DUMMYFUNCTION("""COMPUTED_VALUE"""),1454479.0)</f>
        <v>1454479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IFERROR(__xludf.DUMMYFUNCTION("""COMPUTED_VALUE"""),5.38)</f>
        <v>5.38</v>
      </c>
      <c r="C3421" s="1">
        <f>IFERROR(__xludf.DUMMYFUNCTION("""COMPUTED_VALUE"""),5.44)</f>
        <v>5.44</v>
      </c>
      <c r="D3421" s="1">
        <f>IFERROR(__xludf.DUMMYFUNCTION("""COMPUTED_VALUE"""),5.37)</f>
        <v>5.37</v>
      </c>
      <c r="E3421" s="1">
        <f>IFERROR(__xludf.DUMMYFUNCTION("""COMPUTED_VALUE"""),5.37)</f>
        <v>5.37</v>
      </c>
      <c r="F3421" s="1">
        <f>IFERROR(__xludf.DUMMYFUNCTION("""COMPUTED_VALUE"""),1053972.0)</f>
        <v>1053972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IFERROR(__xludf.DUMMYFUNCTION("""COMPUTED_VALUE"""),5.45)</f>
        <v>5.45</v>
      </c>
      <c r="C3422" s="1">
        <f>IFERROR(__xludf.DUMMYFUNCTION("""COMPUTED_VALUE"""),5.48)</f>
        <v>5.48</v>
      </c>
      <c r="D3422" s="1">
        <f>IFERROR(__xludf.DUMMYFUNCTION("""COMPUTED_VALUE"""),5.45)</f>
        <v>5.45</v>
      </c>
      <c r="E3422" s="1">
        <f>IFERROR(__xludf.DUMMYFUNCTION("""COMPUTED_VALUE"""),5.47)</f>
        <v>5.47</v>
      </c>
      <c r="F3422" s="1">
        <f>IFERROR(__xludf.DUMMYFUNCTION("""COMPUTED_VALUE"""),811053.0)</f>
        <v>811053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IFERROR(__xludf.DUMMYFUNCTION("""COMPUTED_VALUE"""),5.35)</f>
        <v>5.35</v>
      </c>
      <c r="C3423" s="1">
        <f>IFERROR(__xludf.DUMMYFUNCTION("""COMPUTED_VALUE"""),5.44)</f>
        <v>5.44</v>
      </c>
      <c r="D3423" s="1">
        <f>IFERROR(__xludf.DUMMYFUNCTION("""COMPUTED_VALUE"""),5.33)</f>
        <v>5.33</v>
      </c>
      <c r="E3423" s="1">
        <f>IFERROR(__xludf.DUMMYFUNCTION("""COMPUTED_VALUE"""),5.42)</f>
        <v>5.42</v>
      </c>
      <c r="F3423" s="1">
        <f>IFERROR(__xludf.DUMMYFUNCTION("""COMPUTED_VALUE"""),1899694.0)</f>
        <v>1899694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IFERROR(__xludf.DUMMYFUNCTION("""COMPUTED_VALUE"""),5.45)</f>
        <v>5.45</v>
      </c>
      <c r="C3424" s="1">
        <f>IFERROR(__xludf.DUMMYFUNCTION("""COMPUTED_VALUE"""),5.49)</f>
        <v>5.49</v>
      </c>
      <c r="D3424" s="1">
        <f>IFERROR(__xludf.DUMMYFUNCTION("""COMPUTED_VALUE"""),5.43)</f>
        <v>5.43</v>
      </c>
      <c r="E3424" s="1">
        <f>IFERROR(__xludf.DUMMYFUNCTION("""COMPUTED_VALUE"""),5.45)</f>
        <v>5.45</v>
      </c>
      <c r="F3424" s="1">
        <f>IFERROR(__xludf.DUMMYFUNCTION("""COMPUTED_VALUE"""),1399504.0)</f>
        <v>1399504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IFERROR(__xludf.DUMMYFUNCTION("""COMPUTED_VALUE"""),5.48)</f>
        <v>5.48</v>
      </c>
      <c r="C3425" s="1">
        <f>IFERROR(__xludf.DUMMYFUNCTION("""COMPUTED_VALUE"""),5.53)</f>
        <v>5.53</v>
      </c>
      <c r="D3425" s="1">
        <f>IFERROR(__xludf.DUMMYFUNCTION("""COMPUTED_VALUE"""),5.46)</f>
        <v>5.46</v>
      </c>
      <c r="E3425" s="1">
        <f>IFERROR(__xludf.DUMMYFUNCTION("""COMPUTED_VALUE"""),5.47)</f>
        <v>5.47</v>
      </c>
      <c r="F3425" s="1">
        <f>IFERROR(__xludf.DUMMYFUNCTION("""COMPUTED_VALUE"""),1391735.0)</f>
        <v>1391735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IFERROR(__xludf.DUMMYFUNCTION("""COMPUTED_VALUE"""),5.44)</f>
        <v>5.44</v>
      </c>
      <c r="C3426" s="1">
        <f>IFERROR(__xludf.DUMMYFUNCTION("""COMPUTED_VALUE"""),5.48)</f>
        <v>5.48</v>
      </c>
      <c r="D3426" s="1">
        <f>IFERROR(__xludf.DUMMYFUNCTION("""COMPUTED_VALUE"""),5.43)</f>
        <v>5.43</v>
      </c>
      <c r="E3426" s="1">
        <f>IFERROR(__xludf.DUMMYFUNCTION("""COMPUTED_VALUE"""),5.47)</f>
        <v>5.47</v>
      </c>
      <c r="F3426" s="1">
        <f>IFERROR(__xludf.DUMMYFUNCTION("""COMPUTED_VALUE"""),960902.0)</f>
        <v>960902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IFERROR(__xludf.DUMMYFUNCTION("""COMPUTED_VALUE"""),5.47)</f>
        <v>5.47</v>
      </c>
      <c r="C3427" s="1">
        <f>IFERROR(__xludf.DUMMYFUNCTION("""COMPUTED_VALUE"""),5.49)</f>
        <v>5.49</v>
      </c>
      <c r="D3427" s="1">
        <f>IFERROR(__xludf.DUMMYFUNCTION("""COMPUTED_VALUE"""),5.44)</f>
        <v>5.44</v>
      </c>
      <c r="E3427" s="1">
        <f>IFERROR(__xludf.DUMMYFUNCTION("""COMPUTED_VALUE"""),5.48)</f>
        <v>5.48</v>
      </c>
      <c r="F3427" s="1">
        <f>IFERROR(__xludf.DUMMYFUNCTION("""COMPUTED_VALUE"""),1082259.0)</f>
        <v>1082259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IFERROR(__xludf.DUMMYFUNCTION("""COMPUTED_VALUE"""),5.39)</f>
        <v>5.39</v>
      </c>
      <c r="C3428" s="1">
        <f>IFERROR(__xludf.DUMMYFUNCTION("""COMPUTED_VALUE"""),5.39)</f>
        <v>5.39</v>
      </c>
      <c r="D3428" s="1">
        <f>IFERROR(__xludf.DUMMYFUNCTION("""COMPUTED_VALUE"""),5.35)</f>
        <v>5.35</v>
      </c>
      <c r="E3428" s="1">
        <f>IFERROR(__xludf.DUMMYFUNCTION("""COMPUTED_VALUE"""),5.37)</f>
        <v>5.37</v>
      </c>
      <c r="F3428" s="1">
        <f>IFERROR(__xludf.DUMMYFUNCTION("""COMPUTED_VALUE"""),3031671.0)</f>
        <v>3031671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IFERROR(__xludf.DUMMYFUNCTION("""COMPUTED_VALUE"""),5.38)</f>
        <v>5.38</v>
      </c>
      <c r="C3429" s="1">
        <f>IFERROR(__xludf.DUMMYFUNCTION("""COMPUTED_VALUE"""),5.41)</f>
        <v>5.41</v>
      </c>
      <c r="D3429" s="1">
        <f>IFERROR(__xludf.DUMMYFUNCTION("""COMPUTED_VALUE"""),5.35)</f>
        <v>5.35</v>
      </c>
      <c r="E3429" s="1">
        <f>IFERROR(__xludf.DUMMYFUNCTION("""COMPUTED_VALUE"""),5.36)</f>
        <v>5.36</v>
      </c>
      <c r="F3429" s="1">
        <f>IFERROR(__xludf.DUMMYFUNCTION("""COMPUTED_VALUE"""),1649168.0)</f>
        <v>1649168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IFERROR(__xludf.DUMMYFUNCTION("""COMPUTED_VALUE"""),5.18)</f>
        <v>5.18</v>
      </c>
      <c r="C3430" s="1">
        <f>IFERROR(__xludf.DUMMYFUNCTION("""COMPUTED_VALUE"""),5.19)</f>
        <v>5.19</v>
      </c>
      <c r="D3430" s="1">
        <f>IFERROR(__xludf.DUMMYFUNCTION("""COMPUTED_VALUE"""),5.05)</f>
        <v>5.05</v>
      </c>
      <c r="E3430" s="1">
        <f>IFERROR(__xludf.DUMMYFUNCTION("""COMPUTED_VALUE"""),5.06)</f>
        <v>5.06</v>
      </c>
      <c r="F3430" s="1">
        <f>IFERROR(__xludf.DUMMYFUNCTION("""COMPUTED_VALUE"""),2886564.0)</f>
        <v>2886564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IFERROR(__xludf.DUMMYFUNCTION("""COMPUTED_VALUE"""),5.02)</f>
        <v>5.02</v>
      </c>
      <c r="C3431" s="1">
        <f>IFERROR(__xludf.DUMMYFUNCTION("""COMPUTED_VALUE"""),5.09)</f>
        <v>5.09</v>
      </c>
      <c r="D3431" s="1">
        <f>IFERROR(__xludf.DUMMYFUNCTION("""COMPUTED_VALUE"""),5.02)</f>
        <v>5.02</v>
      </c>
      <c r="E3431" s="1">
        <f>IFERROR(__xludf.DUMMYFUNCTION("""COMPUTED_VALUE"""),5.09)</f>
        <v>5.09</v>
      </c>
      <c r="F3431" s="1">
        <f>IFERROR(__xludf.DUMMYFUNCTION("""COMPUTED_VALUE"""),2060757.0)</f>
        <v>2060757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IFERROR(__xludf.DUMMYFUNCTION("""COMPUTED_VALUE"""),5.2)</f>
        <v>5.2</v>
      </c>
      <c r="C3432" s="1">
        <f>IFERROR(__xludf.DUMMYFUNCTION("""COMPUTED_VALUE"""),5.22)</f>
        <v>5.22</v>
      </c>
      <c r="D3432" s="1">
        <f>IFERROR(__xludf.DUMMYFUNCTION("""COMPUTED_VALUE"""),5.15)</f>
        <v>5.15</v>
      </c>
      <c r="E3432" s="1">
        <f>IFERROR(__xludf.DUMMYFUNCTION("""COMPUTED_VALUE"""),5.2)</f>
        <v>5.2</v>
      </c>
      <c r="F3432" s="1">
        <f>IFERROR(__xludf.DUMMYFUNCTION("""COMPUTED_VALUE"""),1337699.0)</f>
        <v>1337699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IFERROR(__xludf.DUMMYFUNCTION("""COMPUTED_VALUE"""),5.18)</f>
        <v>5.18</v>
      </c>
      <c r="C3433" s="1">
        <f>IFERROR(__xludf.DUMMYFUNCTION("""COMPUTED_VALUE"""),5.18)</f>
        <v>5.18</v>
      </c>
      <c r="D3433" s="1">
        <f>IFERROR(__xludf.DUMMYFUNCTION("""COMPUTED_VALUE"""),5.1)</f>
        <v>5.1</v>
      </c>
      <c r="E3433" s="1">
        <f>IFERROR(__xludf.DUMMYFUNCTION("""COMPUTED_VALUE"""),5.11)</f>
        <v>5.11</v>
      </c>
      <c r="F3433" s="1">
        <f>IFERROR(__xludf.DUMMYFUNCTION("""COMPUTED_VALUE"""),1156216.0)</f>
        <v>1156216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IFERROR(__xludf.DUMMYFUNCTION("""COMPUTED_VALUE"""),5.1)</f>
        <v>5.1</v>
      </c>
      <c r="C3434" s="1">
        <f>IFERROR(__xludf.DUMMYFUNCTION("""COMPUTED_VALUE"""),5.14)</f>
        <v>5.14</v>
      </c>
      <c r="D3434" s="1">
        <f>IFERROR(__xludf.DUMMYFUNCTION("""COMPUTED_VALUE"""),5.09)</f>
        <v>5.09</v>
      </c>
      <c r="E3434" s="1">
        <f>IFERROR(__xludf.DUMMYFUNCTION("""COMPUTED_VALUE"""),5.12)</f>
        <v>5.12</v>
      </c>
      <c r="F3434" s="1">
        <f>IFERROR(__xludf.DUMMYFUNCTION("""COMPUTED_VALUE"""),1070678.0)</f>
        <v>1070678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IFERROR(__xludf.DUMMYFUNCTION("""COMPUTED_VALUE"""),5.09)</f>
        <v>5.09</v>
      </c>
      <c r="C3435" s="1">
        <f>IFERROR(__xludf.DUMMYFUNCTION("""COMPUTED_VALUE"""),5.14)</f>
        <v>5.14</v>
      </c>
      <c r="D3435" s="1">
        <f>IFERROR(__xludf.DUMMYFUNCTION("""COMPUTED_VALUE"""),5.07)</f>
        <v>5.07</v>
      </c>
      <c r="E3435" s="1">
        <f>IFERROR(__xludf.DUMMYFUNCTION("""COMPUTED_VALUE"""),5.07)</f>
        <v>5.07</v>
      </c>
      <c r="F3435" s="1">
        <f>IFERROR(__xludf.DUMMYFUNCTION("""COMPUTED_VALUE"""),1992622.0)</f>
        <v>1992622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IFERROR(__xludf.DUMMYFUNCTION("""COMPUTED_VALUE"""),5.13)</f>
        <v>5.13</v>
      </c>
      <c r="C3436" s="1">
        <f>IFERROR(__xludf.DUMMYFUNCTION("""COMPUTED_VALUE"""),5.15)</f>
        <v>5.15</v>
      </c>
      <c r="D3436" s="1">
        <f>IFERROR(__xludf.DUMMYFUNCTION("""COMPUTED_VALUE"""),5.08)</f>
        <v>5.08</v>
      </c>
      <c r="E3436" s="1">
        <f>IFERROR(__xludf.DUMMYFUNCTION("""COMPUTED_VALUE"""),5.11)</f>
        <v>5.11</v>
      </c>
      <c r="F3436" s="1">
        <f>IFERROR(__xludf.DUMMYFUNCTION("""COMPUTED_VALUE"""),1338124.0)</f>
        <v>1338124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IFERROR(__xludf.DUMMYFUNCTION("""COMPUTED_VALUE"""),5.14)</f>
        <v>5.14</v>
      </c>
      <c r="C3437" s="1">
        <f>IFERROR(__xludf.DUMMYFUNCTION("""COMPUTED_VALUE"""),5.19)</f>
        <v>5.19</v>
      </c>
      <c r="D3437" s="1">
        <f>IFERROR(__xludf.DUMMYFUNCTION("""COMPUTED_VALUE"""),5.14)</f>
        <v>5.14</v>
      </c>
      <c r="E3437" s="1">
        <f>IFERROR(__xludf.DUMMYFUNCTION("""COMPUTED_VALUE"""),5.17)</f>
        <v>5.17</v>
      </c>
      <c r="F3437" s="1">
        <f>IFERROR(__xludf.DUMMYFUNCTION("""COMPUTED_VALUE"""),2364195.0)</f>
        <v>2364195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IFERROR(__xludf.DUMMYFUNCTION("""COMPUTED_VALUE"""),5.09)</f>
        <v>5.09</v>
      </c>
      <c r="C3438" s="1">
        <f>IFERROR(__xludf.DUMMYFUNCTION("""COMPUTED_VALUE"""),5.13)</f>
        <v>5.13</v>
      </c>
      <c r="D3438" s="1">
        <f>IFERROR(__xludf.DUMMYFUNCTION("""COMPUTED_VALUE"""),5.08)</f>
        <v>5.08</v>
      </c>
      <c r="E3438" s="1">
        <f>IFERROR(__xludf.DUMMYFUNCTION("""COMPUTED_VALUE"""),5.12)</f>
        <v>5.12</v>
      </c>
      <c r="F3438" s="1">
        <f>IFERROR(__xludf.DUMMYFUNCTION("""COMPUTED_VALUE"""),1564493.0)</f>
        <v>1564493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IFERROR(__xludf.DUMMYFUNCTION("""COMPUTED_VALUE"""),5.14)</f>
        <v>5.14</v>
      </c>
      <c r="C3439" s="1">
        <f>IFERROR(__xludf.DUMMYFUNCTION("""COMPUTED_VALUE"""),5.19)</f>
        <v>5.19</v>
      </c>
      <c r="D3439" s="1">
        <f>IFERROR(__xludf.DUMMYFUNCTION("""COMPUTED_VALUE"""),5.13)</f>
        <v>5.13</v>
      </c>
      <c r="E3439" s="1">
        <f>IFERROR(__xludf.DUMMYFUNCTION("""COMPUTED_VALUE"""),5.14)</f>
        <v>5.14</v>
      </c>
      <c r="F3439" s="1">
        <f>IFERROR(__xludf.DUMMYFUNCTION("""COMPUTED_VALUE"""),1114255.0)</f>
        <v>1114255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IFERROR(__xludf.DUMMYFUNCTION("""COMPUTED_VALUE"""),5.15)</f>
        <v>5.15</v>
      </c>
      <c r="C3440" s="1">
        <f>IFERROR(__xludf.DUMMYFUNCTION("""COMPUTED_VALUE"""),5.16)</f>
        <v>5.16</v>
      </c>
      <c r="D3440" s="1">
        <f>IFERROR(__xludf.DUMMYFUNCTION("""COMPUTED_VALUE"""),5.06)</f>
        <v>5.06</v>
      </c>
      <c r="E3440" s="1">
        <f>IFERROR(__xludf.DUMMYFUNCTION("""COMPUTED_VALUE"""),5.08)</f>
        <v>5.08</v>
      </c>
      <c r="F3440" s="1">
        <f>IFERROR(__xludf.DUMMYFUNCTION("""COMPUTED_VALUE"""),1473918.0)</f>
        <v>1473918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IFERROR(__xludf.DUMMYFUNCTION("""COMPUTED_VALUE"""),5.12)</f>
        <v>5.12</v>
      </c>
      <c r="C3441" s="1">
        <f>IFERROR(__xludf.DUMMYFUNCTION("""COMPUTED_VALUE"""),5.14)</f>
        <v>5.14</v>
      </c>
      <c r="D3441" s="1">
        <f>IFERROR(__xludf.DUMMYFUNCTION("""COMPUTED_VALUE"""),5.06)</f>
        <v>5.06</v>
      </c>
      <c r="E3441" s="1">
        <f>IFERROR(__xludf.DUMMYFUNCTION("""COMPUTED_VALUE"""),5.07)</f>
        <v>5.07</v>
      </c>
      <c r="F3441" s="1">
        <f>IFERROR(__xludf.DUMMYFUNCTION("""COMPUTED_VALUE"""),1278261.0)</f>
        <v>1278261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IFERROR(__xludf.DUMMYFUNCTION("""COMPUTED_VALUE"""),5.02)</f>
        <v>5.02</v>
      </c>
      <c r="C3442" s="1">
        <f>IFERROR(__xludf.DUMMYFUNCTION("""COMPUTED_VALUE"""),5.02)</f>
        <v>5.02</v>
      </c>
      <c r="D3442" s="1">
        <f>IFERROR(__xludf.DUMMYFUNCTION("""COMPUTED_VALUE"""),4.93)</f>
        <v>4.93</v>
      </c>
      <c r="E3442" s="1">
        <f>IFERROR(__xludf.DUMMYFUNCTION("""COMPUTED_VALUE"""),4.94)</f>
        <v>4.94</v>
      </c>
      <c r="F3442" s="1">
        <f>IFERROR(__xludf.DUMMYFUNCTION("""COMPUTED_VALUE"""),1181696.0)</f>
        <v>1181696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IFERROR(__xludf.DUMMYFUNCTION("""COMPUTED_VALUE"""),4.94)</f>
        <v>4.94</v>
      </c>
      <c r="C3443" s="1">
        <f>IFERROR(__xludf.DUMMYFUNCTION("""COMPUTED_VALUE"""),4.97)</f>
        <v>4.97</v>
      </c>
      <c r="D3443" s="1">
        <f>IFERROR(__xludf.DUMMYFUNCTION("""COMPUTED_VALUE"""),4.92)</f>
        <v>4.92</v>
      </c>
      <c r="E3443" s="1">
        <f>IFERROR(__xludf.DUMMYFUNCTION("""COMPUTED_VALUE"""),4.93)</f>
        <v>4.93</v>
      </c>
      <c r="F3443" s="1">
        <f>IFERROR(__xludf.DUMMYFUNCTION("""COMPUTED_VALUE"""),1317058.0)</f>
        <v>1317058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IFERROR(__xludf.DUMMYFUNCTION("""COMPUTED_VALUE"""),4.88)</f>
        <v>4.88</v>
      </c>
      <c r="C3444" s="1">
        <f>IFERROR(__xludf.DUMMYFUNCTION("""COMPUTED_VALUE"""),4.91)</f>
        <v>4.91</v>
      </c>
      <c r="D3444" s="1">
        <f>IFERROR(__xludf.DUMMYFUNCTION("""COMPUTED_VALUE"""),4.84)</f>
        <v>4.84</v>
      </c>
      <c r="E3444" s="1">
        <f>IFERROR(__xludf.DUMMYFUNCTION("""COMPUTED_VALUE"""),4.84)</f>
        <v>4.84</v>
      </c>
      <c r="F3444" s="1">
        <f>IFERROR(__xludf.DUMMYFUNCTION("""COMPUTED_VALUE"""),885202.0)</f>
        <v>885202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IFERROR(__xludf.DUMMYFUNCTION("""COMPUTED_VALUE"""),4.84)</f>
        <v>4.84</v>
      </c>
      <c r="C3445" s="1">
        <f>IFERROR(__xludf.DUMMYFUNCTION("""COMPUTED_VALUE"""),4.88)</f>
        <v>4.88</v>
      </c>
      <c r="D3445" s="1">
        <f>IFERROR(__xludf.DUMMYFUNCTION("""COMPUTED_VALUE"""),4.83)</f>
        <v>4.83</v>
      </c>
      <c r="E3445" s="1">
        <f>IFERROR(__xludf.DUMMYFUNCTION("""COMPUTED_VALUE"""),4.86)</f>
        <v>4.86</v>
      </c>
      <c r="F3445" s="1">
        <f>IFERROR(__xludf.DUMMYFUNCTION("""COMPUTED_VALUE"""),705870.0)</f>
        <v>705870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IFERROR(__xludf.DUMMYFUNCTION("""COMPUTED_VALUE"""),4.96)</f>
        <v>4.96</v>
      </c>
      <c r="C3446" s="1">
        <f>IFERROR(__xludf.DUMMYFUNCTION("""COMPUTED_VALUE"""),4.99)</f>
        <v>4.99</v>
      </c>
      <c r="D3446" s="1">
        <f>IFERROR(__xludf.DUMMYFUNCTION("""COMPUTED_VALUE"""),4.94)</f>
        <v>4.94</v>
      </c>
      <c r="E3446" s="1">
        <f>IFERROR(__xludf.DUMMYFUNCTION("""COMPUTED_VALUE"""),4.95)</f>
        <v>4.95</v>
      </c>
      <c r="F3446" s="1">
        <f>IFERROR(__xludf.DUMMYFUNCTION("""COMPUTED_VALUE"""),778313.0)</f>
        <v>778313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IFERROR(__xludf.DUMMYFUNCTION("""COMPUTED_VALUE"""),4.93)</f>
        <v>4.93</v>
      </c>
      <c r="C3447" s="1">
        <f>IFERROR(__xludf.DUMMYFUNCTION("""COMPUTED_VALUE"""),4.98)</f>
        <v>4.98</v>
      </c>
      <c r="D3447" s="1">
        <f>IFERROR(__xludf.DUMMYFUNCTION("""COMPUTED_VALUE"""),4.93)</f>
        <v>4.93</v>
      </c>
      <c r="E3447" s="1">
        <f>IFERROR(__xludf.DUMMYFUNCTION("""COMPUTED_VALUE"""),4.96)</f>
        <v>4.96</v>
      </c>
      <c r="F3447" s="1">
        <f>IFERROR(__xludf.DUMMYFUNCTION("""COMPUTED_VALUE"""),748860.0)</f>
        <v>748860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IFERROR(__xludf.DUMMYFUNCTION("""COMPUTED_VALUE"""),4.97)</f>
        <v>4.97</v>
      </c>
      <c r="C3448" s="1">
        <f>IFERROR(__xludf.DUMMYFUNCTION("""COMPUTED_VALUE"""),5.01)</f>
        <v>5.01</v>
      </c>
      <c r="D3448" s="1">
        <f>IFERROR(__xludf.DUMMYFUNCTION("""COMPUTED_VALUE"""),4.96)</f>
        <v>4.96</v>
      </c>
      <c r="E3448" s="1">
        <f>IFERROR(__xludf.DUMMYFUNCTION("""COMPUTED_VALUE"""),4.97)</f>
        <v>4.97</v>
      </c>
      <c r="F3448" s="1">
        <f>IFERROR(__xludf.DUMMYFUNCTION("""COMPUTED_VALUE"""),786651.0)</f>
        <v>786651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IFERROR(__xludf.DUMMYFUNCTION("""COMPUTED_VALUE"""),5.04)</f>
        <v>5.04</v>
      </c>
      <c r="C3449" s="1">
        <f>IFERROR(__xludf.DUMMYFUNCTION("""COMPUTED_VALUE"""),5.07)</f>
        <v>5.07</v>
      </c>
      <c r="D3449" s="1">
        <f>IFERROR(__xludf.DUMMYFUNCTION("""COMPUTED_VALUE"""),5.04)</f>
        <v>5.04</v>
      </c>
      <c r="E3449" s="1">
        <f>IFERROR(__xludf.DUMMYFUNCTION("""COMPUTED_VALUE"""),5.06)</f>
        <v>5.06</v>
      </c>
      <c r="F3449" s="1">
        <f>IFERROR(__xludf.DUMMYFUNCTION("""COMPUTED_VALUE"""),861490.0)</f>
        <v>861490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IFERROR(__xludf.DUMMYFUNCTION("""COMPUTED_VALUE"""),5.04)</f>
        <v>5.04</v>
      </c>
      <c r="C3450" s="1">
        <f>IFERROR(__xludf.DUMMYFUNCTION("""COMPUTED_VALUE"""),5.06)</f>
        <v>5.06</v>
      </c>
      <c r="D3450" s="1">
        <f>IFERROR(__xludf.DUMMYFUNCTION("""COMPUTED_VALUE"""),5.03)</f>
        <v>5.03</v>
      </c>
      <c r="E3450" s="1">
        <f>IFERROR(__xludf.DUMMYFUNCTION("""COMPUTED_VALUE"""),5.04)</f>
        <v>5.04</v>
      </c>
      <c r="F3450" s="1">
        <f>IFERROR(__xludf.DUMMYFUNCTION("""COMPUTED_VALUE"""),1081442.0)</f>
        <v>1081442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IFERROR(__xludf.DUMMYFUNCTION("""COMPUTED_VALUE"""),5.02)</f>
        <v>5.02</v>
      </c>
      <c r="C3451" s="1">
        <f>IFERROR(__xludf.DUMMYFUNCTION("""COMPUTED_VALUE"""),5.04)</f>
        <v>5.04</v>
      </c>
      <c r="D3451" s="1">
        <f>IFERROR(__xludf.DUMMYFUNCTION("""COMPUTED_VALUE"""),4.99)</f>
        <v>4.99</v>
      </c>
      <c r="E3451" s="1">
        <f>IFERROR(__xludf.DUMMYFUNCTION("""COMPUTED_VALUE"""),5.0)</f>
        <v>5</v>
      </c>
      <c r="F3451" s="1">
        <f>IFERROR(__xludf.DUMMYFUNCTION("""COMPUTED_VALUE"""),806896.0)</f>
        <v>806896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IFERROR(__xludf.DUMMYFUNCTION("""COMPUTED_VALUE"""),5.05)</f>
        <v>5.05</v>
      </c>
      <c r="C3452" s="1">
        <f>IFERROR(__xludf.DUMMYFUNCTION("""COMPUTED_VALUE"""),5.08)</f>
        <v>5.08</v>
      </c>
      <c r="D3452" s="1">
        <f>IFERROR(__xludf.DUMMYFUNCTION("""COMPUTED_VALUE"""),5.04)</f>
        <v>5.04</v>
      </c>
      <c r="E3452" s="1">
        <f>IFERROR(__xludf.DUMMYFUNCTION("""COMPUTED_VALUE"""),5.07)</f>
        <v>5.07</v>
      </c>
      <c r="F3452" s="1">
        <f>IFERROR(__xludf.DUMMYFUNCTION("""COMPUTED_VALUE"""),951480.0)</f>
        <v>951480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IFERROR(__xludf.DUMMYFUNCTION("""COMPUTED_VALUE"""),5.1)</f>
        <v>5.1</v>
      </c>
      <c r="C3453" s="1">
        <f>IFERROR(__xludf.DUMMYFUNCTION("""COMPUTED_VALUE"""),5.13)</f>
        <v>5.13</v>
      </c>
      <c r="D3453" s="1">
        <f>IFERROR(__xludf.DUMMYFUNCTION("""COMPUTED_VALUE"""),5.05)</f>
        <v>5.05</v>
      </c>
      <c r="E3453" s="1">
        <f>IFERROR(__xludf.DUMMYFUNCTION("""COMPUTED_VALUE"""),5.06)</f>
        <v>5.06</v>
      </c>
      <c r="F3453" s="1">
        <f>IFERROR(__xludf.DUMMYFUNCTION("""COMPUTED_VALUE"""),849808.0)</f>
        <v>849808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IFERROR(__xludf.DUMMYFUNCTION("""COMPUTED_VALUE"""),5.03)</f>
        <v>5.03</v>
      </c>
      <c r="C3454" s="1">
        <f>IFERROR(__xludf.DUMMYFUNCTION("""COMPUTED_VALUE"""),5.05)</f>
        <v>5.05</v>
      </c>
      <c r="D3454" s="1">
        <f>IFERROR(__xludf.DUMMYFUNCTION("""COMPUTED_VALUE"""),5.0)</f>
        <v>5</v>
      </c>
      <c r="E3454" s="1">
        <f>IFERROR(__xludf.DUMMYFUNCTION("""COMPUTED_VALUE"""),5.01)</f>
        <v>5.01</v>
      </c>
      <c r="F3454" s="1">
        <f>IFERROR(__xludf.DUMMYFUNCTION("""COMPUTED_VALUE"""),1054062.0)</f>
        <v>1054062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IFERROR(__xludf.DUMMYFUNCTION("""COMPUTED_VALUE"""),4.98)</f>
        <v>4.98</v>
      </c>
      <c r="C3455" s="1">
        <f>IFERROR(__xludf.DUMMYFUNCTION("""COMPUTED_VALUE"""),5.0)</f>
        <v>5</v>
      </c>
      <c r="D3455" s="1">
        <f>IFERROR(__xludf.DUMMYFUNCTION("""COMPUTED_VALUE"""),4.94)</f>
        <v>4.94</v>
      </c>
      <c r="E3455" s="1">
        <f>IFERROR(__xludf.DUMMYFUNCTION("""COMPUTED_VALUE"""),4.94)</f>
        <v>4.94</v>
      </c>
      <c r="F3455" s="1">
        <f>IFERROR(__xludf.DUMMYFUNCTION("""COMPUTED_VALUE"""),1119701.0)</f>
        <v>1119701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IFERROR(__xludf.DUMMYFUNCTION("""COMPUTED_VALUE"""),4.92)</f>
        <v>4.92</v>
      </c>
      <c r="C3456" s="1">
        <f>IFERROR(__xludf.DUMMYFUNCTION("""COMPUTED_VALUE"""),4.92)</f>
        <v>4.92</v>
      </c>
      <c r="D3456" s="1">
        <f>IFERROR(__xludf.DUMMYFUNCTION("""COMPUTED_VALUE"""),4.87)</f>
        <v>4.87</v>
      </c>
      <c r="E3456" s="1">
        <f>IFERROR(__xludf.DUMMYFUNCTION("""COMPUTED_VALUE"""),4.9)</f>
        <v>4.9</v>
      </c>
      <c r="F3456" s="1">
        <f>IFERROR(__xludf.DUMMYFUNCTION("""COMPUTED_VALUE"""),1019100.0)</f>
        <v>1019100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IFERROR(__xludf.DUMMYFUNCTION("""COMPUTED_VALUE"""),4.91)</f>
        <v>4.91</v>
      </c>
      <c r="C3457" s="1">
        <f>IFERROR(__xludf.DUMMYFUNCTION("""COMPUTED_VALUE"""),4.93)</f>
        <v>4.93</v>
      </c>
      <c r="D3457" s="1">
        <f>IFERROR(__xludf.DUMMYFUNCTION("""COMPUTED_VALUE"""),4.85)</f>
        <v>4.85</v>
      </c>
      <c r="E3457" s="1">
        <f>IFERROR(__xludf.DUMMYFUNCTION("""COMPUTED_VALUE"""),4.86)</f>
        <v>4.86</v>
      </c>
      <c r="F3457" s="1">
        <f>IFERROR(__xludf.DUMMYFUNCTION("""COMPUTED_VALUE"""),1682689.0)</f>
        <v>1682689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IFERROR(__xludf.DUMMYFUNCTION("""COMPUTED_VALUE"""),4.71)</f>
        <v>4.71</v>
      </c>
      <c r="C3458" s="1">
        <f>IFERROR(__xludf.DUMMYFUNCTION("""COMPUTED_VALUE"""),4.72)</f>
        <v>4.72</v>
      </c>
      <c r="D3458" s="1">
        <f>IFERROR(__xludf.DUMMYFUNCTION("""COMPUTED_VALUE"""),4.63)</f>
        <v>4.63</v>
      </c>
      <c r="E3458" s="1">
        <f>IFERROR(__xludf.DUMMYFUNCTION("""COMPUTED_VALUE"""),4.66)</f>
        <v>4.66</v>
      </c>
      <c r="F3458" s="1">
        <f>IFERROR(__xludf.DUMMYFUNCTION("""COMPUTED_VALUE"""),2549221.0)</f>
        <v>2549221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IFERROR(__xludf.DUMMYFUNCTION("""COMPUTED_VALUE"""),4.69)</f>
        <v>4.69</v>
      </c>
      <c r="C3459" s="1">
        <f>IFERROR(__xludf.DUMMYFUNCTION("""COMPUTED_VALUE"""),4.77)</f>
        <v>4.77</v>
      </c>
      <c r="D3459" s="1">
        <f>IFERROR(__xludf.DUMMYFUNCTION("""COMPUTED_VALUE"""),4.69)</f>
        <v>4.69</v>
      </c>
      <c r="E3459" s="1">
        <f>IFERROR(__xludf.DUMMYFUNCTION("""COMPUTED_VALUE"""),4.74)</f>
        <v>4.74</v>
      </c>
      <c r="F3459" s="1">
        <f>IFERROR(__xludf.DUMMYFUNCTION("""COMPUTED_VALUE"""),2075363.0)</f>
        <v>2075363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IFERROR(__xludf.DUMMYFUNCTION("""COMPUTED_VALUE"""),4.84)</f>
        <v>4.84</v>
      </c>
      <c r="C3460" s="1">
        <f>IFERROR(__xludf.DUMMYFUNCTION("""COMPUTED_VALUE"""),4.85)</f>
        <v>4.85</v>
      </c>
      <c r="D3460" s="1">
        <f>IFERROR(__xludf.DUMMYFUNCTION("""COMPUTED_VALUE"""),4.78)</f>
        <v>4.78</v>
      </c>
      <c r="E3460" s="1">
        <f>IFERROR(__xludf.DUMMYFUNCTION("""COMPUTED_VALUE"""),4.8)</f>
        <v>4.8</v>
      </c>
      <c r="F3460" s="1">
        <f>IFERROR(__xludf.DUMMYFUNCTION("""COMPUTED_VALUE"""),2226260.0)</f>
        <v>2226260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IFERROR(__xludf.DUMMYFUNCTION("""COMPUTED_VALUE"""),4.81)</f>
        <v>4.81</v>
      </c>
      <c r="C3461" s="1">
        <f>IFERROR(__xludf.DUMMYFUNCTION("""COMPUTED_VALUE"""),4.82)</f>
        <v>4.82</v>
      </c>
      <c r="D3461" s="1">
        <f>IFERROR(__xludf.DUMMYFUNCTION("""COMPUTED_VALUE"""),4.73)</f>
        <v>4.73</v>
      </c>
      <c r="E3461" s="1">
        <f>IFERROR(__xludf.DUMMYFUNCTION("""COMPUTED_VALUE"""),4.74)</f>
        <v>4.74</v>
      </c>
      <c r="F3461" s="1">
        <f>IFERROR(__xludf.DUMMYFUNCTION("""COMPUTED_VALUE"""),925406.0)</f>
        <v>925406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IFERROR(__xludf.DUMMYFUNCTION("""COMPUTED_VALUE"""),4.76)</f>
        <v>4.76</v>
      </c>
      <c r="C3462" s="1">
        <f>IFERROR(__xludf.DUMMYFUNCTION("""COMPUTED_VALUE"""),4.76)</f>
        <v>4.76</v>
      </c>
      <c r="D3462" s="1">
        <f>IFERROR(__xludf.DUMMYFUNCTION("""COMPUTED_VALUE"""),4.68)</f>
        <v>4.68</v>
      </c>
      <c r="E3462" s="1">
        <f>IFERROR(__xludf.DUMMYFUNCTION("""COMPUTED_VALUE"""),4.69)</f>
        <v>4.69</v>
      </c>
      <c r="F3462" s="1">
        <f>IFERROR(__xludf.DUMMYFUNCTION("""COMPUTED_VALUE"""),1117575.0)</f>
        <v>1117575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IFERROR(__xludf.DUMMYFUNCTION("""COMPUTED_VALUE"""),4.69)</f>
        <v>4.69</v>
      </c>
      <c r="C3463" s="1">
        <f>IFERROR(__xludf.DUMMYFUNCTION("""COMPUTED_VALUE"""),4.7)</f>
        <v>4.7</v>
      </c>
      <c r="D3463" s="1">
        <f>IFERROR(__xludf.DUMMYFUNCTION("""COMPUTED_VALUE"""),4.63)</f>
        <v>4.63</v>
      </c>
      <c r="E3463" s="1">
        <f>IFERROR(__xludf.DUMMYFUNCTION("""COMPUTED_VALUE"""),4.7)</f>
        <v>4.7</v>
      </c>
      <c r="F3463" s="1">
        <f>IFERROR(__xludf.DUMMYFUNCTION("""COMPUTED_VALUE"""),1317619.0)</f>
        <v>1317619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IFERROR(__xludf.DUMMYFUNCTION("""COMPUTED_VALUE"""),4.72)</f>
        <v>4.72</v>
      </c>
      <c r="C3464" s="1">
        <f>IFERROR(__xludf.DUMMYFUNCTION("""COMPUTED_VALUE"""),4.77)</f>
        <v>4.77</v>
      </c>
      <c r="D3464" s="1">
        <f>IFERROR(__xludf.DUMMYFUNCTION("""COMPUTED_VALUE"""),4.72)</f>
        <v>4.72</v>
      </c>
      <c r="E3464" s="1">
        <f>IFERROR(__xludf.DUMMYFUNCTION("""COMPUTED_VALUE"""),4.76)</f>
        <v>4.76</v>
      </c>
      <c r="F3464" s="1">
        <f>IFERROR(__xludf.DUMMYFUNCTION("""COMPUTED_VALUE"""),949702.0)</f>
        <v>949702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IFERROR(__xludf.DUMMYFUNCTION("""COMPUTED_VALUE"""),4.78)</f>
        <v>4.78</v>
      </c>
      <c r="C3465" s="1">
        <f>IFERROR(__xludf.DUMMYFUNCTION("""COMPUTED_VALUE"""),4.88)</f>
        <v>4.88</v>
      </c>
      <c r="D3465" s="1">
        <f>IFERROR(__xludf.DUMMYFUNCTION("""COMPUTED_VALUE"""),4.76)</f>
        <v>4.76</v>
      </c>
      <c r="E3465" s="1">
        <f>IFERROR(__xludf.DUMMYFUNCTION("""COMPUTED_VALUE"""),4.86)</f>
        <v>4.86</v>
      </c>
      <c r="F3465" s="1">
        <f>IFERROR(__xludf.DUMMYFUNCTION("""COMPUTED_VALUE"""),1673170.0)</f>
        <v>1673170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IFERROR(__xludf.DUMMYFUNCTION("""COMPUTED_VALUE"""),4.77)</f>
        <v>4.77</v>
      </c>
      <c r="C3466" s="1">
        <f>IFERROR(__xludf.DUMMYFUNCTION("""COMPUTED_VALUE"""),4.81)</f>
        <v>4.81</v>
      </c>
      <c r="D3466" s="1">
        <f>IFERROR(__xludf.DUMMYFUNCTION("""COMPUTED_VALUE"""),4.76)</f>
        <v>4.76</v>
      </c>
      <c r="E3466" s="1">
        <f>IFERROR(__xludf.DUMMYFUNCTION("""COMPUTED_VALUE"""),4.8)</f>
        <v>4.8</v>
      </c>
      <c r="F3466" s="1">
        <f>IFERROR(__xludf.DUMMYFUNCTION("""COMPUTED_VALUE"""),1134721.0)</f>
        <v>1134721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IFERROR(__xludf.DUMMYFUNCTION("""COMPUTED_VALUE"""),4.89)</f>
        <v>4.89</v>
      </c>
      <c r="C3467" s="1">
        <f>IFERROR(__xludf.DUMMYFUNCTION("""COMPUTED_VALUE"""),4.9)</f>
        <v>4.9</v>
      </c>
      <c r="D3467" s="1">
        <f>IFERROR(__xludf.DUMMYFUNCTION("""COMPUTED_VALUE"""),4.87)</f>
        <v>4.87</v>
      </c>
      <c r="E3467" s="1">
        <f>IFERROR(__xludf.DUMMYFUNCTION("""COMPUTED_VALUE"""),4.87)</f>
        <v>4.87</v>
      </c>
      <c r="F3467" s="1">
        <f>IFERROR(__xludf.DUMMYFUNCTION("""COMPUTED_VALUE"""),789542.0)</f>
        <v>789542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IFERROR(__xludf.DUMMYFUNCTION("""COMPUTED_VALUE"""),4.9)</f>
        <v>4.9</v>
      </c>
      <c r="C3468" s="1">
        <f>IFERROR(__xludf.DUMMYFUNCTION("""COMPUTED_VALUE"""),4.94)</f>
        <v>4.94</v>
      </c>
      <c r="D3468" s="1">
        <f>IFERROR(__xludf.DUMMYFUNCTION("""COMPUTED_VALUE"""),4.88)</f>
        <v>4.88</v>
      </c>
      <c r="E3468" s="1">
        <f>IFERROR(__xludf.DUMMYFUNCTION("""COMPUTED_VALUE"""),4.91)</f>
        <v>4.91</v>
      </c>
      <c r="F3468" s="1">
        <f>IFERROR(__xludf.DUMMYFUNCTION("""COMPUTED_VALUE"""),966172.0)</f>
        <v>966172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IFERROR(__xludf.DUMMYFUNCTION("""COMPUTED_VALUE"""),4.85)</f>
        <v>4.85</v>
      </c>
      <c r="C3469" s="1">
        <f>IFERROR(__xludf.DUMMYFUNCTION("""COMPUTED_VALUE"""),4.85)</f>
        <v>4.85</v>
      </c>
      <c r="D3469" s="1">
        <f>IFERROR(__xludf.DUMMYFUNCTION("""COMPUTED_VALUE"""),4.79)</f>
        <v>4.79</v>
      </c>
      <c r="E3469" s="1">
        <f>IFERROR(__xludf.DUMMYFUNCTION("""COMPUTED_VALUE"""),4.81)</f>
        <v>4.81</v>
      </c>
      <c r="F3469" s="1">
        <f>IFERROR(__xludf.DUMMYFUNCTION("""COMPUTED_VALUE"""),858947.0)</f>
        <v>858947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IFERROR(__xludf.DUMMYFUNCTION("""COMPUTED_VALUE"""),4.77)</f>
        <v>4.77</v>
      </c>
      <c r="C3470" s="1">
        <f>IFERROR(__xludf.DUMMYFUNCTION("""COMPUTED_VALUE"""),4.8)</f>
        <v>4.8</v>
      </c>
      <c r="D3470" s="1">
        <f>IFERROR(__xludf.DUMMYFUNCTION("""COMPUTED_VALUE"""),4.72)</f>
        <v>4.72</v>
      </c>
      <c r="E3470" s="1">
        <f>IFERROR(__xludf.DUMMYFUNCTION("""COMPUTED_VALUE"""),4.72)</f>
        <v>4.72</v>
      </c>
      <c r="F3470" s="1">
        <f>IFERROR(__xludf.DUMMYFUNCTION("""COMPUTED_VALUE"""),1050287.0)</f>
        <v>1050287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IFERROR(__xludf.DUMMYFUNCTION("""COMPUTED_VALUE"""),4.8)</f>
        <v>4.8</v>
      </c>
      <c r="C3471" s="1">
        <f>IFERROR(__xludf.DUMMYFUNCTION("""COMPUTED_VALUE"""),4.85)</f>
        <v>4.85</v>
      </c>
      <c r="D3471" s="1">
        <f>IFERROR(__xludf.DUMMYFUNCTION("""COMPUTED_VALUE"""),4.79)</f>
        <v>4.79</v>
      </c>
      <c r="E3471" s="1">
        <f>IFERROR(__xludf.DUMMYFUNCTION("""COMPUTED_VALUE"""),4.83)</f>
        <v>4.83</v>
      </c>
      <c r="F3471" s="1">
        <f>IFERROR(__xludf.DUMMYFUNCTION("""COMPUTED_VALUE"""),1096055.0)</f>
        <v>1096055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IFERROR(__xludf.DUMMYFUNCTION("""COMPUTED_VALUE"""),4.83)</f>
        <v>4.83</v>
      </c>
      <c r="C3472" s="1">
        <f>IFERROR(__xludf.DUMMYFUNCTION("""COMPUTED_VALUE"""),4.9)</f>
        <v>4.9</v>
      </c>
      <c r="D3472" s="1">
        <f>IFERROR(__xludf.DUMMYFUNCTION("""COMPUTED_VALUE"""),4.83)</f>
        <v>4.83</v>
      </c>
      <c r="E3472" s="1">
        <f>IFERROR(__xludf.DUMMYFUNCTION("""COMPUTED_VALUE"""),4.86)</f>
        <v>4.86</v>
      </c>
      <c r="F3472" s="1">
        <f>IFERROR(__xludf.DUMMYFUNCTION("""COMPUTED_VALUE"""),722294.0)</f>
        <v>722294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IFERROR(__xludf.DUMMYFUNCTION("""COMPUTED_VALUE"""),4.83)</f>
        <v>4.83</v>
      </c>
      <c r="C3473" s="1">
        <f>IFERROR(__xludf.DUMMYFUNCTION("""COMPUTED_VALUE"""),4.84)</f>
        <v>4.84</v>
      </c>
      <c r="D3473" s="1">
        <f>IFERROR(__xludf.DUMMYFUNCTION("""COMPUTED_VALUE"""),4.75)</f>
        <v>4.75</v>
      </c>
      <c r="E3473" s="1">
        <f>IFERROR(__xludf.DUMMYFUNCTION("""COMPUTED_VALUE"""),4.77)</f>
        <v>4.77</v>
      </c>
      <c r="F3473" s="1">
        <f>IFERROR(__xludf.DUMMYFUNCTION("""COMPUTED_VALUE"""),1223522.0)</f>
        <v>1223522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IFERROR(__xludf.DUMMYFUNCTION("""COMPUTED_VALUE"""),4.78)</f>
        <v>4.78</v>
      </c>
      <c r="C3474" s="1">
        <f>IFERROR(__xludf.DUMMYFUNCTION("""COMPUTED_VALUE"""),4.83)</f>
        <v>4.83</v>
      </c>
      <c r="D3474" s="1">
        <f>IFERROR(__xludf.DUMMYFUNCTION("""COMPUTED_VALUE"""),4.74)</f>
        <v>4.74</v>
      </c>
      <c r="E3474" s="1">
        <f>IFERROR(__xludf.DUMMYFUNCTION("""COMPUTED_VALUE"""),4.76)</f>
        <v>4.76</v>
      </c>
      <c r="F3474" s="1">
        <f>IFERROR(__xludf.DUMMYFUNCTION("""COMPUTED_VALUE"""),1915546.0)</f>
        <v>1915546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IFERROR(__xludf.DUMMYFUNCTION("""COMPUTED_VALUE"""),4.7)</f>
        <v>4.7</v>
      </c>
      <c r="C3475" s="1">
        <f>IFERROR(__xludf.DUMMYFUNCTION("""COMPUTED_VALUE"""),4.72)</f>
        <v>4.72</v>
      </c>
      <c r="D3475" s="1">
        <f>IFERROR(__xludf.DUMMYFUNCTION("""COMPUTED_VALUE"""),4.64)</f>
        <v>4.64</v>
      </c>
      <c r="E3475" s="1">
        <f>IFERROR(__xludf.DUMMYFUNCTION("""COMPUTED_VALUE"""),4.65)</f>
        <v>4.65</v>
      </c>
      <c r="F3475" s="1">
        <f>IFERROR(__xludf.DUMMYFUNCTION("""COMPUTED_VALUE"""),2353089.0)</f>
        <v>2353089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IFERROR(__xludf.DUMMYFUNCTION("""COMPUTED_VALUE"""),4.64)</f>
        <v>4.64</v>
      </c>
      <c r="C3476" s="1">
        <f>IFERROR(__xludf.DUMMYFUNCTION("""COMPUTED_VALUE"""),4.7)</f>
        <v>4.7</v>
      </c>
      <c r="D3476" s="1">
        <f>IFERROR(__xludf.DUMMYFUNCTION("""COMPUTED_VALUE"""),4.63)</f>
        <v>4.63</v>
      </c>
      <c r="E3476" s="1">
        <f>IFERROR(__xludf.DUMMYFUNCTION("""COMPUTED_VALUE"""),4.66)</f>
        <v>4.66</v>
      </c>
      <c r="F3476" s="1">
        <f>IFERROR(__xludf.DUMMYFUNCTION("""COMPUTED_VALUE"""),2726877.0)</f>
        <v>2726877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IFERROR(__xludf.DUMMYFUNCTION("""COMPUTED_VALUE"""),4.68)</f>
        <v>4.68</v>
      </c>
      <c r="C3477" s="1">
        <f>IFERROR(__xludf.DUMMYFUNCTION("""COMPUTED_VALUE"""),4.72)</f>
        <v>4.72</v>
      </c>
      <c r="D3477" s="1">
        <f>IFERROR(__xludf.DUMMYFUNCTION("""COMPUTED_VALUE"""),4.67)</f>
        <v>4.67</v>
      </c>
      <c r="E3477" s="1">
        <f>IFERROR(__xludf.DUMMYFUNCTION("""COMPUTED_VALUE"""),4.69)</f>
        <v>4.69</v>
      </c>
      <c r="F3477" s="1">
        <f>IFERROR(__xludf.DUMMYFUNCTION("""COMPUTED_VALUE"""),1460473.0)</f>
        <v>1460473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IFERROR(__xludf.DUMMYFUNCTION("""COMPUTED_VALUE"""),4.71)</f>
        <v>4.71</v>
      </c>
      <c r="C3478" s="1">
        <f>IFERROR(__xludf.DUMMYFUNCTION("""COMPUTED_VALUE"""),4.75)</f>
        <v>4.75</v>
      </c>
      <c r="D3478" s="1">
        <f>IFERROR(__xludf.DUMMYFUNCTION("""COMPUTED_VALUE"""),4.68)</f>
        <v>4.68</v>
      </c>
      <c r="E3478" s="1">
        <f>IFERROR(__xludf.DUMMYFUNCTION("""COMPUTED_VALUE"""),4.68)</f>
        <v>4.68</v>
      </c>
      <c r="F3478" s="1">
        <f>IFERROR(__xludf.DUMMYFUNCTION("""COMPUTED_VALUE"""),2419589.0)</f>
        <v>2419589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IFERROR(__xludf.DUMMYFUNCTION("""COMPUTED_VALUE"""),4.75)</f>
        <v>4.75</v>
      </c>
      <c r="C3479" s="1">
        <f>IFERROR(__xludf.DUMMYFUNCTION("""COMPUTED_VALUE"""),4.78)</f>
        <v>4.78</v>
      </c>
      <c r="D3479" s="1">
        <f>IFERROR(__xludf.DUMMYFUNCTION("""COMPUTED_VALUE"""),4.74)</f>
        <v>4.74</v>
      </c>
      <c r="E3479" s="1">
        <f>IFERROR(__xludf.DUMMYFUNCTION("""COMPUTED_VALUE"""),4.74)</f>
        <v>4.74</v>
      </c>
      <c r="F3479" s="1">
        <f>IFERROR(__xludf.DUMMYFUNCTION("""COMPUTED_VALUE"""),1089700.0)</f>
        <v>1089700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IFERROR(__xludf.DUMMYFUNCTION("""COMPUTED_VALUE"""),4.8)</f>
        <v>4.8</v>
      </c>
      <c r="C3480" s="1">
        <f>IFERROR(__xludf.DUMMYFUNCTION("""COMPUTED_VALUE"""),4.8)</f>
        <v>4.8</v>
      </c>
      <c r="D3480" s="1">
        <f>IFERROR(__xludf.DUMMYFUNCTION("""COMPUTED_VALUE"""),4.69)</f>
        <v>4.69</v>
      </c>
      <c r="E3480" s="1">
        <f>IFERROR(__xludf.DUMMYFUNCTION("""COMPUTED_VALUE"""),4.71)</f>
        <v>4.71</v>
      </c>
      <c r="F3480" s="1">
        <f>IFERROR(__xludf.DUMMYFUNCTION("""COMPUTED_VALUE"""),1597726.0)</f>
        <v>1597726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IFERROR(__xludf.DUMMYFUNCTION("""COMPUTED_VALUE"""),4.82)</f>
        <v>4.82</v>
      </c>
      <c r="C3481" s="1">
        <f>IFERROR(__xludf.DUMMYFUNCTION("""COMPUTED_VALUE"""),4.85)</f>
        <v>4.85</v>
      </c>
      <c r="D3481" s="1">
        <f>IFERROR(__xludf.DUMMYFUNCTION("""COMPUTED_VALUE"""),4.8)</f>
        <v>4.8</v>
      </c>
      <c r="E3481" s="1">
        <f>IFERROR(__xludf.DUMMYFUNCTION("""COMPUTED_VALUE"""),4.85)</f>
        <v>4.85</v>
      </c>
      <c r="F3481" s="1">
        <f>IFERROR(__xludf.DUMMYFUNCTION("""COMPUTED_VALUE"""),1733994.0)</f>
        <v>1733994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IFERROR(__xludf.DUMMYFUNCTION("""COMPUTED_VALUE"""),4.85)</f>
        <v>4.85</v>
      </c>
      <c r="C3482" s="1">
        <f>IFERROR(__xludf.DUMMYFUNCTION("""COMPUTED_VALUE"""),4.86)</f>
        <v>4.86</v>
      </c>
      <c r="D3482" s="1">
        <f>IFERROR(__xludf.DUMMYFUNCTION("""COMPUTED_VALUE"""),4.8)</f>
        <v>4.8</v>
      </c>
      <c r="E3482" s="1">
        <f>IFERROR(__xludf.DUMMYFUNCTION("""COMPUTED_VALUE"""),4.83)</f>
        <v>4.83</v>
      </c>
      <c r="F3482" s="1">
        <f>IFERROR(__xludf.DUMMYFUNCTION("""COMPUTED_VALUE"""),1284995.0)</f>
        <v>1284995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IFERROR(__xludf.DUMMYFUNCTION("""COMPUTED_VALUE"""),4.83)</f>
        <v>4.83</v>
      </c>
      <c r="C3483" s="1">
        <f>IFERROR(__xludf.DUMMYFUNCTION("""COMPUTED_VALUE"""),4.87)</f>
        <v>4.87</v>
      </c>
      <c r="D3483" s="1">
        <f>IFERROR(__xludf.DUMMYFUNCTION("""COMPUTED_VALUE"""),4.79)</f>
        <v>4.79</v>
      </c>
      <c r="E3483" s="1">
        <f>IFERROR(__xludf.DUMMYFUNCTION("""COMPUTED_VALUE"""),4.85)</f>
        <v>4.85</v>
      </c>
      <c r="F3483" s="1">
        <f>IFERROR(__xludf.DUMMYFUNCTION("""COMPUTED_VALUE"""),1364404.0)</f>
        <v>1364404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IFERROR(__xludf.DUMMYFUNCTION("""COMPUTED_VALUE"""),4.96)</f>
        <v>4.96</v>
      </c>
      <c r="C3484" s="1">
        <f>IFERROR(__xludf.DUMMYFUNCTION("""COMPUTED_VALUE"""),4.98)</f>
        <v>4.98</v>
      </c>
      <c r="D3484" s="1">
        <f>IFERROR(__xludf.DUMMYFUNCTION("""COMPUTED_VALUE"""),4.93)</f>
        <v>4.93</v>
      </c>
      <c r="E3484" s="1">
        <f>IFERROR(__xludf.DUMMYFUNCTION("""COMPUTED_VALUE"""),4.96)</f>
        <v>4.96</v>
      </c>
      <c r="F3484" s="1">
        <f>IFERROR(__xludf.DUMMYFUNCTION("""COMPUTED_VALUE"""),1221303.0)</f>
        <v>1221303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IFERROR(__xludf.DUMMYFUNCTION("""COMPUTED_VALUE"""),5.04)</f>
        <v>5.04</v>
      </c>
      <c r="C3485" s="1">
        <f>IFERROR(__xludf.DUMMYFUNCTION("""COMPUTED_VALUE"""),5.07)</f>
        <v>5.07</v>
      </c>
      <c r="D3485" s="1">
        <f>IFERROR(__xludf.DUMMYFUNCTION("""COMPUTED_VALUE"""),5.0)</f>
        <v>5</v>
      </c>
      <c r="E3485" s="1">
        <f>IFERROR(__xludf.DUMMYFUNCTION("""COMPUTED_VALUE"""),5.06)</f>
        <v>5.06</v>
      </c>
      <c r="F3485" s="1">
        <f>IFERROR(__xludf.DUMMYFUNCTION("""COMPUTED_VALUE"""),1548133.0)</f>
        <v>1548133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IFERROR(__xludf.DUMMYFUNCTION("""COMPUTED_VALUE"""),5.12)</f>
        <v>5.12</v>
      </c>
      <c r="C3486" s="1">
        <f>IFERROR(__xludf.DUMMYFUNCTION("""COMPUTED_VALUE"""),5.12)</f>
        <v>5.12</v>
      </c>
      <c r="D3486" s="1">
        <f>IFERROR(__xludf.DUMMYFUNCTION("""COMPUTED_VALUE"""),5.04)</f>
        <v>5.04</v>
      </c>
      <c r="E3486" s="1">
        <f>IFERROR(__xludf.DUMMYFUNCTION("""COMPUTED_VALUE"""),5.05)</f>
        <v>5.05</v>
      </c>
      <c r="F3486" s="1">
        <f>IFERROR(__xludf.DUMMYFUNCTION("""COMPUTED_VALUE"""),949155.0)</f>
        <v>949155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IFERROR(__xludf.DUMMYFUNCTION("""COMPUTED_VALUE"""),4.97)</f>
        <v>4.97</v>
      </c>
      <c r="C3487" s="1">
        <f>IFERROR(__xludf.DUMMYFUNCTION("""COMPUTED_VALUE"""),5.01)</f>
        <v>5.01</v>
      </c>
      <c r="D3487" s="1">
        <f>IFERROR(__xludf.DUMMYFUNCTION("""COMPUTED_VALUE"""),4.97)</f>
        <v>4.97</v>
      </c>
      <c r="E3487" s="1">
        <f>IFERROR(__xludf.DUMMYFUNCTION("""COMPUTED_VALUE"""),4.99)</f>
        <v>4.99</v>
      </c>
      <c r="F3487" s="1">
        <f>IFERROR(__xludf.DUMMYFUNCTION("""COMPUTED_VALUE"""),679357.0)</f>
        <v>679357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IFERROR(__xludf.DUMMYFUNCTION("""COMPUTED_VALUE"""),4.97)</f>
        <v>4.97</v>
      </c>
      <c r="C3488" s="1">
        <f>IFERROR(__xludf.DUMMYFUNCTION("""COMPUTED_VALUE"""),4.99)</f>
        <v>4.99</v>
      </c>
      <c r="D3488" s="1">
        <f>IFERROR(__xludf.DUMMYFUNCTION("""COMPUTED_VALUE"""),4.95)</f>
        <v>4.95</v>
      </c>
      <c r="E3488" s="1">
        <f>IFERROR(__xludf.DUMMYFUNCTION("""COMPUTED_VALUE"""),4.97)</f>
        <v>4.97</v>
      </c>
      <c r="F3488" s="1">
        <f>IFERROR(__xludf.DUMMYFUNCTION("""COMPUTED_VALUE"""),2054383.0)</f>
        <v>2054383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IFERROR(__xludf.DUMMYFUNCTION("""COMPUTED_VALUE"""),5.01)</f>
        <v>5.01</v>
      </c>
      <c r="C3489" s="1">
        <f>IFERROR(__xludf.DUMMYFUNCTION("""COMPUTED_VALUE"""),5.03)</f>
        <v>5.03</v>
      </c>
      <c r="D3489" s="1">
        <f>IFERROR(__xludf.DUMMYFUNCTION("""COMPUTED_VALUE"""),4.93)</f>
        <v>4.93</v>
      </c>
      <c r="E3489" s="1">
        <f>IFERROR(__xludf.DUMMYFUNCTION("""COMPUTED_VALUE"""),4.94)</f>
        <v>4.94</v>
      </c>
      <c r="F3489" s="1">
        <f>IFERROR(__xludf.DUMMYFUNCTION("""COMPUTED_VALUE"""),1082668.0)</f>
        <v>1082668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IFERROR(__xludf.DUMMYFUNCTION("""COMPUTED_VALUE"""),4.96)</f>
        <v>4.96</v>
      </c>
      <c r="C3490" s="1">
        <f>IFERROR(__xludf.DUMMYFUNCTION("""COMPUTED_VALUE"""),5.02)</f>
        <v>5.02</v>
      </c>
      <c r="D3490" s="1">
        <f>IFERROR(__xludf.DUMMYFUNCTION("""COMPUTED_VALUE"""),4.94)</f>
        <v>4.94</v>
      </c>
      <c r="E3490" s="1">
        <f>IFERROR(__xludf.DUMMYFUNCTION("""COMPUTED_VALUE"""),5.02)</f>
        <v>5.02</v>
      </c>
      <c r="F3490" s="1">
        <f>IFERROR(__xludf.DUMMYFUNCTION("""COMPUTED_VALUE"""),1142957.0)</f>
        <v>1142957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IFERROR(__xludf.DUMMYFUNCTION("""COMPUTED_VALUE"""),5.07)</f>
        <v>5.07</v>
      </c>
      <c r="C3491" s="1">
        <f>IFERROR(__xludf.DUMMYFUNCTION("""COMPUTED_VALUE"""),5.09)</f>
        <v>5.09</v>
      </c>
      <c r="D3491" s="1">
        <f>IFERROR(__xludf.DUMMYFUNCTION("""COMPUTED_VALUE"""),5.06)</f>
        <v>5.06</v>
      </c>
      <c r="E3491" s="1">
        <f>IFERROR(__xludf.DUMMYFUNCTION("""COMPUTED_VALUE"""),5.07)</f>
        <v>5.07</v>
      </c>
      <c r="F3491" s="1">
        <f>IFERROR(__xludf.DUMMYFUNCTION("""COMPUTED_VALUE"""),1801997.0)</f>
        <v>1801997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IFERROR(__xludf.DUMMYFUNCTION("""COMPUTED_VALUE"""),5.17)</f>
        <v>5.17</v>
      </c>
      <c r="C3492" s="1">
        <f>IFERROR(__xludf.DUMMYFUNCTION("""COMPUTED_VALUE"""),5.23)</f>
        <v>5.23</v>
      </c>
      <c r="D3492" s="1">
        <f>IFERROR(__xludf.DUMMYFUNCTION("""COMPUTED_VALUE"""),5.17)</f>
        <v>5.17</v>
      </c>
      <c r="E3492" s="1">
        <f>IFERROR(__xludf.DUMMYFUNCTION("""COMPUTED_VALUE"""),5.21)</f>
        <v>5.21</v>
      </c>
      <c r="F3492" s="1">
        <f>IFERROR(__xludf.DUMMYFUNCTION("""COMPUTED_VALUE"""),2690659.0)</f>
        <v>2690659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IFERROR(__xludf.DUMMYFUNCTION("""COMPUTED_VALUE"""),5.21)</f>
        <v>5.21</v>
      </c>
      <c r="C3493" s="1">
        <f>IFERROR(__xludf.DUMMYFUNCTION("""COMPUTED_VALUE"""),5.24)</f>
        <v>5.24</v>
      </c>
      <c r="D3493" s="1">
        <f>IFERROR(__xludf.DUMMYFUNCTION("""COMPUTED_VALUE"""),5.15)</f>
        <v>5.15</v>
      </c>
      <c r="E3493" s="1">
        <f>IFERROR(__xludf.DUMMYFUNCTION("""COMPUTED_VALUE"""),5.15)</f>
        <v>5.15</v>
      </c>
      <c r="F3493" s="1">
        <f>IFERROR(__xludf.DUMMYFUNCTION("""COMPUTED_VALUE"""),2635808.0)</f>
        <v>2635808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IFERROR(__xludf.DUMMYFUNCTION("""COMPUTED_VALUE"""),5.34)</f>
        <v>5.34</v>
      </c>
      <c r="C3494" s="1">
        <f>IFERROR(__xludf.DUMMYFUNCTION("""COMPUTED_VALUE"""),5.39)</f>
        <v>5.39</v>
      </c>
      <c r="D3494" s="1">
        <f>IFERROR(__xludf.DUMMYFUNCTION("""COMPUTED_VALUE"""),5.34)</f>
        <v>5.34</v>
      </c>
      <c r="E3494" s="1">
        <f>IFERROR(__xludf.DUMMYFUNCTION("""COMPUTED_VALUE"""),5.37)</f>
        <v>5.37</v>
      </c>
      <c r="F3494" s="1">
        <f>IFERROR(__xludf.DUMMYFUNCTION("""COMPUTED_VALUE"""),2255200.0)</f>
        <v>2255200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IFERROR(__xludf.DUMMYFUNCTION("""COMPUTED_VALUE"""),5.38)</f>
        <v>5.38</v>
      </c>
      <c r="C3495" s="1">
        <f>IFERROR(__xludf.DUMMYFUNCTION("""COMPUTED_VALUE"""),5.4)</f>
        <v>5.4</v>
      </c>
      <c r="D3495" s="1">
        <f>IFERROR(__xludf.DUMMYFUNCTION("""COMPUTED_VALUE"""),5.34)</f>
        <v>5.34</v>
      </c>
      <c r="E3495" s="1">
        <f>IFERROR(__xludf.DUMMYFUNCTION("""COMPUTED_VALUE"""),5.38)</f>
        <v>5.38</v>
      </c>
      <c r="F3495" s="1">
        <f>IFERROR(__xludf.DUMMYFUNCTION("""COMPUTED_VALUE"""),4969984.0)</f>
        <v>4969984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IFERROR(__xludf.DUMMYFUNCTION("""COMPUTED_VALUE"""),5.35)</f>
        <v>5.35</v>
      </c>
      <c r="C3496" s="1">
        <f>IFERROR(__xludf.DUMMYFUNCTION("""COMPUTED_VALUE"""),5.4)</f>
        <v>5.4</v>
      </c>
      <c r="D3496" s="1">
        <f>IFERROR(__xludf.DUMMYFUNCTION("""COMPUTED_VALUE"""),5.34)</f>
        <v>5.34</v>
      </c>
      <c r="E3496" s="1">
        <f>IFERROR(__xludf.DUMMYFUNCTION("""COMPUTED_VALUE"""),5.39)</f>
        <v>5.39</v>
      </c>
      <c r="F3496" s="1">
        <f>IFERROR(__xludf.DUMMYFUNCTION("""COMPUTED_VALUE"""),1324190.0)</f>
        <v>1324190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IFERROR(__xludf.DUMMYFUNCTION("""COMPUTED_VALUE"""),5.35)</f>
        <v>5.35</v>
      </c>
      <c r="C3497" s="1">
        <f>IFERROR(__xludf.DUMMYFUNCTION("""COMPUTED_VALUE"""),5.37)</f>
        <v>5.37</v>
      </c>
      <c r="D3497" s="1">
        <f>IFERROR(__xludf.DUMMYFUNCTION("""COMPUTED_VALUE"""),5.34)</f>
        <v>5.34</v>
      </c>
      <c r="E3497" s="1">
        <f>IFERROR(__xludf.DUMMYFUNCTION("""COMPUTED_VALUE"""),5.35)</f>
        <v>5.35</v>
      </c>
      <c r="F3497" s="1">
        <f>IFERROR(__xludf.DUMMYFUNCTION("""COMPUTED_VALUE"""),1116149.0)</f>
        <v>1116149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IFERROR(__xludf.DUMMYFUNCTION("""COMPUTED_VALUE"""),5.32)</f>
        <v>5.32</v>
      </c>
      <c r="C3498" s="1">
        <f>IFERROR(__xludf.DUMMYFUNCTION("""COMPUTED_VALUE"""),5.34)</f>
        <v>5.34</v>
      </c>
      <c r="D3498" s="1">
        <f>IFERROR(__xludf.DUMMYFUNCTION("""COMPUTED_VALUE"""),5.3)</f>
        <v>5.3</v>
      </c>
      <c r="E3498" s="1">
        <f>IFERROR(__xludf.DUMMYFUNCTION("""COMPUTED_VALUE"""),5.34)</f>
        <v>5.34</v>
      </c>
      <c r="F3498" s="1">
        <f>IFERROR(__xludf.DUMMYFUNCTION("""COMPUTED_VALUE"""),745221.0)</f>
        <v>745221</v>
      </c>
    </row>
    <row r="3499">
      <c r="A3499" s="2">
        <f>IFERROR(__xludf.DUMMYFUNCTION("""COMPUTED_VALUE"""),45254.54166666667)</f>
        <v>45254.54167</v>
      </c>
      <c r="B3499" s="1">
        <f>IFERROR(__xludf.DUMMYFUNCTION("""COMPUTED_VALUE"""),5.36)</f>
        <v>5.36</v>
      </c>
      <c r="C3499" s="1">
        <f>IFERROR(__xludf.DUMMYFUNCTION("""COMPUTED_VALUE"""),5.39)</f>
        <v>5.39</v>
      </c>
      <c r="D3499" s="1">
        <f>IFERROR(__xludf.DUMMYFUNCTION("""COMPUTED_VALUE"""),5.35)</f>
        <v>5.35</v>
      </c>
      <c r="E3499" s="1">
        <f>IFERROR(__xludf.DUMMYFUNCTION("""COMPUTED_VALUE"""),5.38)</f>
        <v>5.38</v>
      </c>
      <c r="F3499" s="1">
        <f>IFERROR(__xludf.DUMMYFUNCTION("""COMPUTED_VALUE"""),926772.0)</f>
        <v>926772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IFERROR(__xludf.DUMMYFUNCTION("""COMPUTED_VALUE"""),5.38)</f>
        <v>5.38</v>
      </c>
      <c r="C3500" s="1">
        <f>IFERROR(__xludf.DUMMYFUNCTION("""COMPUTED_VALUE"""),5.38)</f>
        <v>5.38</v>
      </c>
      <c r="D3500" s="1">
        <f>IFERROR(__xludf.DUMMYFUNCTION("""COMPUTED_VALUE"""),5.35)</f>
        <v>5.35</v>
      </c>
      <c r="E3500" s="1">
        <f>IFERROR(__xludf.DUMMYFUNCTION("""COMPUTED_VALUE"""),5.37)</f>
        <v>5.37</v>
      </c>
      <c r="F3500" s="1">
        <f>IFERROR(__xludf.DUMMYFUNCTION("""COMPUTED_VALUE"""),725949.0)</f>
        <v>725949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IFERROR(__xludf.DUMMYFUNCTION("""COMPUTED_VALUE"""),5.37)</f>
        <v>5.37</v>
      </c>
      <c r="C3501" s="1">
        <f>IFERROR(__xludf.DUMMYFUNCTION("""COMPUTED_VALUE"""),5.4)</f>
        <v>5.4</v>
      </c>
      <c r="D3501" s="1">
        <f>IFERROR(__xludf.DUMMYFUNCTION("""COMPUTED_VALUE"""),5.36)</f>
        <v>5.36</v>
      </c>
      <c r="E3501" s="1">
        <f>IFERROR(__xludf.DUMMYFUNCTION("""COMPUTED_VALUE"""),5.38)</f>
        <v>5.38</v>
      </c>
      <c r="F3501" s="1">
        <f>IFERROR(__xludf.DUMMYFUNCTION("""COMPUTED_VALUE"""),1015354.0)</f>
        <v>1015354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IFERROR(__xludf.DUMMYFUNCTION("""COMPUTED_VALUE"""),5.36)</f>
        <v>5.36</v>
      </c>
      <c r="C3502" s="1">
        <f>IFERROR(__xludf.DUMMYFUNCTION("""COMPUTED_VALUE"""),5.52)</f>
        <v>5.52</v>
      </c>
      <c r="D3502" s="1">
        <f>IFERROR(__xludf.DUMMYFUNCTION("""COMPUTED_VALUE"""),5.36)</f>
        <v>5.36</v>
      </c>
      <c r="E3502" s="1">
        <f>IFERROR(__xludf.DUMMYFUNCTION("""COMPUTED_VALUE"""),5.51)</f>
        <v>5.51</v>
      </c>
      <c r="F3502" s="1">
        <f>IFERROR(__xludf.DUMMYFUNCTION("""COMPUTED_VALUE"""),4091163.0)</f>
        <v>4091163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IFERROR(__xludf.DUMMYFUNCTION("""COMPUTED_VALUE"""),5.46)</f>
        <v>5.46</v>
      </c>
      <c r="C3503" s="1">
        <f>IFERROR(__xludf.DUMMYFUNCTION("""COMPUTED_VALUE"""),5.5)</f>
        <v>5.5</v>
      </c>
      <c r="D3503" s="1">
        <f>IFERROR(__xludf.DUMMYFUNCTION("""COMPUTED_VALUE"""),5.44)</f>
        <v>5.44</v>
      </c>
      <c r="E3503" s="1">
        <f>IFERROR(__xludf.DUMMYFUNCTION("""COMPUTED_VALUE"""),5.49)</f>
        <v>5.49</v>
      </c>
      <c r="F3503" s="1">
        <f>IFERROR(__xludf.DUMMYFUNCTION("""COMPUTED_VALUE"""),2330863.0)</f>
        <v>2330863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IFERROR(__xludf.DUMMYFUNCTION("""COMPUTED_VALUE"""),5.46)</f>
        <v>5.46</v>
      </c>
      <c r="C3504" s="1">
        <f>IFERROR(__xludf.DUMMYFUNCTION("""COMPUTED_VALUE"""),5.52)</f>
        <v>5.52</v>
      </c>
      <c r="D3504" s="1">
        <f>IFERROR(__xludf.DUMMYFUNCTION("""COMPUTED_VALUE"""),5.45)</f>
        <v>5.45</v>
      </c>
      <c r="E3504" s="1">
        <f>IFERROR(__xludf.DUMMYFUNCTION("""COMPUTED_VALUE"""),5.51)</f>
        <v>5.51</v>
      </c>
      <c r="F3504" s="1">
        <f>IFERROR(__xludf.DUMMYFUNCTION("""COMPUTED_VALUE"""),1097507.0)</f>
        <v>1097507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IFERROR(__xludf.DUMMYFUNCTION("""COMPUTED_VALUE"""),5.5)</f>
        <v>5.5</v>
      </c>
      <c r="C3505" s="1">
        <f>IFERROR(__xludf.DUMMYFUNCTION("""COMPUTED_VALUE"""),5.53)</f>
        <v>5.53</v>
      </c>
      <c r="D3505" s="1">
        <f>IFERROR(__xludf.DUMMYFUNCTION("""COMPUTED_VALUE"""),5.49)</f>
        <v>5.49</v>
      </c>
      <c r="E3505" s="1">
        <f>IFERROR(__xludf.DUMMYFUNCTION("""COMPUTED_VALUE"""),5.5)</f>
        <v>5.5</v>
      </c>
      <c r="F3505" s="1">
        <f>IFERROR(__xludf.DUMMYFUNCTION("""COMPUTED_VALUE"""),735644.0)</f>
        <v>735644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IFERROR(__xludf.DUMMYFUNCTION("""COMPUTED_VALUE"""),5.51)</f>
        <v>5.51</v>
      </c>
      <c r="C3506" s="1">
        <f>IFERROR(__xludf.DUMMYFUNCTION("""COMPUTED_VALUE"""),5.55)</f>
        <v>5.55</v>
      </c>
      <c r="D3506" s="1">
        <f>IFERROR(__xludf.DUMMYFUNCTION("""COMPUTED_VALUE"""),5.51)</f>
        <v>5.51</v>
      </c>
      <c r="E3506" s="1">
        <f>IFERROR(__xludf.DUMMYFUNCTION("""COMPUTED_VALUE"""),5.53)</f>
        <v>5.53</v>
      </c>
      <c r="F3506" s="1">
        <f>IFERROR(__xludf.DUMMYFUNCTION("""COMPUTED_VALUE"""),1239072.0)</f>
        <v>1239072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IFERROR(__xludf.DUMMYFUNCTION("""COMPUTED_VALUE"""),5.58)</f>
        <v>5.58</v>
      </c>
      <c r="C3507" s="1">
        <f>IFERROR(__xludf.DUMMYFUNCTION("""COMPUTED_VALUE"""),5.6)</f>
        <v>5.6</v>
      </c>
      <c r="D3507" s="1">
        <f>IFERROR(__xludf.DUMMYFUNCTION("""COMPUTED_VALUE"""),5.51)</f>
        <v>5.51</v>
      </c>
      <c r="E3507" s="1">
        <f>IFERROR(__xludf.DUMMYFUNCTION("""COMPUTED_VALUE"""),5.55)</f>
        <v>5.55</v>
      </c>
      <c r="F3507" s="1">
        <f>IFERROR(__xludf.DUMMYFUNCTION("""COMPUTED_VALUE"""),1389364.0)</f>
        <v>1389364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IFERROR(__xludf.DUMMYFUNCTION("""COMPUTED_VALUE"""),5.55)</f>
        <v>5.55</v>
      </c>
      <c r="C3508" s="1">
        <f>IFERROR(__xludf.DUMMYFUNCTION("""COMPUTED_VALUE"""),5.59)</f>
        <v>5.59</v>
      </c>
      <c r="D3508" s="1">
        <f>IFERROR(__xludf.DUMMYFUNCTION("""COMPUTED_VALUE"""),5.55)</f>
        <v>5.55</v>
      </c>
      <c r="E3508" s="1">
        <f>IFERROR(__xludf.DUMMYFUNCTION("""COMPUTED_VALUE"""),5.58)</f>
        <v>5.58</v>
      </c>
      <c r="F3508" s="1">
        <f>IFERROR(__xludf.DUMMYFUNCTION("""COMPUTED_VALUE"""),843516.0)</f>
        <v>843516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IFERROR(__xludf.DUMMYFUNCTION("""COMPUTED_VALUE"""),5.57)</f>
        <v>5.57</v>
      </c>
      <c r="C3509" s="1">
        <f>IFERROR(__xludf.DUMMYFUNCTION("""COMPUTED_VALUE"""),5.62)</f>
        <v>5.62</v>
      </c>
      <c r="D3509" s="1">
        <f>IFERROR(__xludf.DUMMYFUNCTION("""COMPUTED_VALUE"""),5.56)</f>
        <v>5.56</v>
      </c>
      <c r="E3509" s="1">
        <f>IFERROR(__xludf.DUMMYFUNCTION("""COMPUTED_VALUE"""),5.61)</f>
        <v>5.61</v>
      </c>
      <c r="F3509" s="1">
        <f>IFERROR(__xludf.DUMMYFUNCTION("""COMPUTED_VALUE"""),1136975.0)</f>
        <v>1136975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IFERROR(__xludf.DUMMYFUNCTION("""COMPUTED_VALUE"""),5.6)</f>
        <v>5.6</v>
      </c>
      <c r="C3510" s="1">
        <f>IFERROR(__xludf.DUMMYFUNCTION("""COMPUTED_VALUE"""),5.65)</f>
        <v>5.65</v>
      </c>
      <c r="D3510" s="1">
        <f>IFERROR(__xludf.DUMMYFUNCTION("""COMPUTED_VALUE"""),5.58)</f>
        <v>5.58</v>
      </c>
      <c r="E3510" s="1">
        <f>IFERROR(__xludf.DUMMYFUNCTION("""COMPUTED_VALUE"""),5.63)</f>
        <v>5.63</v>
      </c>
      <c r="F3510" s="1">
        <f>IFERROR(__xludf.DUMMYFUNCTION("""COMPUTED_VALUE"""),1037534.0)</f>
        <v>1037534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IFERROR(__xludf.DUMMYFUNCTION("""COMPUTED_VALUE"""),5.63)</f>
        <v>5.63</v>
      </c>
      <c r="C3511" s="1">
        <f>IFERROR(__xludf.DUMMYFUNCTION("""COMPUTED_VALUE"""),5.69)</f>
        <v>5.69</v>
      </c>
      <c r="D3511" s="1">
        <f>IFERROR(__xludf.DUMMYFUNCTION("""COMPUTED_VALUE"""),5.62)</f>
        <v>5.62</v>
      </c>
      <c r="E3511" s="1">
        <f>IFERROR(__xludf.DUMMYFUNCTION("""COMPUTED_VALUE"""),5.67)</f>
        <v>5.67</v>
      </c>
      <c r="F3511" s="1">
        <f>IFERROR(__xludf.DUMMYFUNCTION("""COMPUTED_VALUE"""),948573.0)</f>
        <v>948573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IFERROR(__xludf.DUMMYFUNCTION("""COMPUTED_VALUE"""),5.68)</f>
        <v>5.68</v>
      </c>
      <c r="C3512" s="1">
        <f>IFERROR(__xludf.DUMMYFUNCTION("""COMPUTED_VALUE"""),5.78)</f>
        <v>5.78</v>
      </c>
      <c r="D3512" s="1">
        <f>IFERROR(__xludf.DUMMYFUNCTION("""COMPUTED_VALUE"""),5.66)</f>
        <v>5.66</v>
      </c>
      <c r="E3512" s="1">
        <f>IFERROR(__xludf.DUMMYFUNCTION("""COMPUTED_VALUE"""),5.76)</f>
        <v>5.76</v>
      </c>
      <c r="F3512" s="1">
        <f>IFERROR(__xludf.DUMMYFUNCTION("""COMPUTED_VALUE"""),1028026.0)</f>
        <v>1028026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IFERROR(__xludf.DUMMYFUNCTION("""COMPUTED_VALUE"""),5.74)</f>
        <v>5.74</v>
      </c>
      <c r="C3513" s="1">
        <f>IFERROR(__xludf.DUMMYFUNCTION("""COMPUTED_VALUE"""),5.78)</f>
        <v>5.78</v>
      </c>
      <c r="D3513" s="1">
        <f>IFERROR(__xludf.DUMMYFUNCTION("""COMPUTED_VALUE"""),5.73)</f>
        <v>5.73</v>
      </c>
      <c r="E3513" s="1">
        <f>IFERROR(__xludf.DUMMYFUNCTION("""COMPUTED_VALUE"""),5.75)</f>
        <v>5.75</v>
      </c>
      <c r="F3513" s="1">
        <f>IFERROR(__xludf.DUMMYFUNCTION("""COMPUTED_VALUE"""),1721311.0)</f>
        <v>1721311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IFERROR(__xludf.DUMMYFUNCTION("""COMPUTED_VALUE"""),5.72)</f>
        <v>5.72</v>
      </c>
      <c r="C3514" s="1">
        <f>IFERROR(__xludf.DUMMYFUNCTION("""COMPUTED_VALUE"""),5.73)</f>
        <v>5.73</v>
      </c>
      <c r="D3514" s="1">
        <f>IFERROR(__xludf.DUMMYFUNCTION("""COMPUTED_VALUE"""),5.68)</f>
        <v>5.68</v>
      </c>
      <c r="E3514" s="1">
        <f>IFERROR(__xludf.DUMMYFUNCTION("""COMPUTED_VALUE"""),5.68)</f>
        <v>5.68</v>
      </c>
      <c r="F3514" s="1">
        <f>IFERROR(__xludf.DUMMYFUNCTION("""COMPUTED_VALUE"""),888073.0)</f>
        <v>888073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IFERROR(__xludf.DUMMYFUNCTION("""COMPUTED_VALUE"""),5.7)</f>
        <v>5.7</v>
      </c>
      <c r="C3515" s="1">
        <f>IFERROR(__xludf.DUMMYFUNCTION("""COMPUTED_VALUE"""),5.7)</f>
        <v>5.7</v>
      </c>
      <c r="D3515" s="1">
        <f>IFERROR(__xludf.DUMMYFUNCTION("""COMPUTED_VALUE"""),5.65)</f>
        <v>5.65</v>
      </c>
      <c r="E3515" s="1">
        <f>IFERROR(__xludf.DUMMYFUNCTION("""COMPUTED_VALUE"""),5.67)</f>
        <v>5.67</v>
      </c>
      <c r="F3515" s="1">
        <f>IFERROR(__xludf.DUMMYFUNCTION("""COMPUTED_VALUE"""),844126.0)</f>
        <v>844126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IFERROR(__xludf.DUMMYFUNCTION("""COMPUTED_VALUE"""),5.71)</f>
        <v>5.71</v>
      </c>
      <c r="C3516" s="1">
        <f>IFERROR(__xludf.DUMMYFUNCTION("""COMPUTED_VALUE"""),5.76)</f>
        <v>5.76</v>
      </c>
      <c r="D3516" s="1">
        <f>IFERROR(__xludf.DUMMYFUNCTION("""COMPUTED_VALUE"""),5.71)</f>
        <v>5.71</v>
      </c>
      <c r="E3516" s="1">
        <f>IFERROR(__xludf.DUMMYFUNCTION("""COMPUTED_VALUE"""),5.75)</f>
        <v>5.75</v>
      </c>
      <c r="F3516" s="1">
        <f>IFERROR(__xludf.DUMMYFUNCTION("""COMPUTED_VALUE"""),836211.0)</f>
        <v>836211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IFERROR(__xludf.DUMMYFUNCTION("""COMPUTED_VALUE"""),5.74)</f>
        <v>5.74</v>
      </c>
      <c r="C3517" s="1">
        <f>IFERROR(__xludf.DUMMYFUNCTION("""COMPUTED_VALUE"""),5.76)</f>
        <v>5.76</v>
      </c>
      <c r="D3517" s="1">
        <f>IFERROR(__xludf.DUMMYFUNCTION("""COMPUTED_VALUE"""),5.66)</f>
        <v>5.66</v>
      </c>
      <c r="E3517" s="1">
        <f>IFERROR(__xludf.DUMMYFUNCTION("""COMPUTED_VALUE"""),5.66)</f>
        <v>5.66</v>
      </c>
      <c r="F3517" s="1">
        <f>IFERROR(__xludf.DUMMYFUNCTION("""COMPUTED_VALUE"""),765610.0)</f>
        <v>765610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IFERROR(__xludf.DUMMYFUNCTION("""COMPUTED_VALUE"""),5.73)</f>
        <v>5.73</v>
      </c>
      <c r="C3518" s="1">
        <f>IFERROR(__xludf.DUMMYFUNCTION("""COMPUTED_VALUE"""),5.73)</f>
        <v>5.73</v>
      </c>
      <c r="D3518" s="1">
        <f>IFERROR(__xludf.DUMMYFUNCTION("""COMPUTED_VALUE"""),5.68)</f>
        <v>5.68</v>
      </c>
      <c r="E3518" s="1">
        <f>IFERROR(__xludf.DUMMYFUNCTION("""COMPUTED_VALUE"""),5.71)</f>
        <v>5.71</v>
      </c>
      <c r="F3518" s="1">
        <f>IFERROR(__xludf.DUMMYFUNCTION("""COMPUTED_VALUE"""),727764.0)</f>
        <v>727764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IFERROR(__xludf.DUMMYFUNCTION("""COMPUTED_VALUE"""),5.73)</f>
        <v>5.73</v>
      </c>
      <c r="C3519" s="1">
        <f>IFERROR(__xludf.DUMMYFUNCTION("""COMPUTED_VALUE"""),5.76)</f>
        <v>5.76</v>
      </c>
      <c r="D3519" s="1">
        <f>IFERROR(__xludf.DUMMYFUNCTION("""COMPUTED_VALUE"""),5.7)</f>
        <v>5.7</v>
      </c>
      <c r="E3519" s="1">
        <f>IFERROR(__xludf.DUMMYFUNCTION("""COMPUTED_VALUE"""),5.71)</f>
        <v>5.71</v>
      </c>
      <c r="F3519" s="1">
        <f>IFERROR(__xludf.DUMMYFUNCTION("""COMPUTED_VALUE"""),753873.0)</f>
        <v>753873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IFERROR(__xludf.DUMMYFUNCTION("""COMPUTED_VALUE"""),5.7)</f>
        <v>5.7</v>
      </c>
      <c r="C3520" s="1">
        <f>IFERROR(__xludf.DUMMYFUNCTION("""COMPUTED_VALUE"""),5.75)</f>
        <v>5.75</v>
      </c>
      <c r="D3520" s="1">
        <f>IFERROR(__xludf.DUMMYFUNCTION("""COMPUTED_VALUE"""),5.69)</f>
        <v>5.69</v>
      </c>
      <c r="E3520" s="1">
        <f>IFERROR(__xludf.DUMMYFUNCTION("""COMPUTED_VALUE"""),5.73)</f>
        <v>5.73</v>
      </c>
      <c r="F3520" s="1">
        <f>IFERROR(__xludf.DUMMYFUNCTION("""COMPUTED_VALUE"""),544997.0)</f>
        <v>544997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IFERROR(__xludf.DUMMYFUNCTION("""COMPUTED_VALUE"""),5.76)</f>
        <v>5.76</v>
      </c>
      <c r="C3521" s="1">
        <f>IFERROR(__xludf.DUMMYFUNCTION("""COMPUTED_VALUE"""),5.83)</f>
        <v>5.83</v>
      </c>
      <c r="D3521" s="1">
        <f>IFERROR(__xludf.DUMMYFUNCTION("""COMPUTED_VALUE"""),5.76)</f>
        <v>5.76</v>
      </c>
      <c r="E3521" s="1">
        <f>IFERROR(__xludf.DUMMYFUNCTION("""COMPUTED_VALUE"""),5.81)</f>
        <v>5.81</v>
      </c>
      <c r="F3521" s="1">
        <f>IFERROR(__xludf.DUMMYFUNCTION("""COMPUTED_VALUE"""),898871.0)</f>
        <v>898871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IFERROR(__xludf.DUMMYFUNCTION("""COMPUTED_VALUE"""),5.78)</f>
        <v>5.78</v>
      </c>
      <c r="C3522" s="1">
        <f>IFERROR(__xludf.DUMMYFUNCTION("""COMPUTED_VALUE"""),5.82)</f>
        <v>5.82</v>
      </c>
      <c r="D3522" s="1">
        <f>IFERROR(__xludf.DUMMYFUNCTION("""COMPUTED_VALUE"""),5.77)</f>
        <v>5.77</v>
      </c>
      <c r="E3522" s="1">
        <f>IFERROR(__xludf.DUMMYFUNCTION("""COMPUTED_VALUE"""),5.78)</f>
        <v>5.78</v>
      </c>
      <c r="F3522" s="1">
        <f>IFERROR(__xludf.DUMMYFUNCTION("""COMPUTED_VALUE"""),591693.0)</f>
        <v>591693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IFERROR(__xludf.DUMMYFUNCTION("""COMPUTED_VALUE"""),5.8)</f>
        <v>5.8</v>
      </c>
      <c r="C3523" s="1">
        <f>IFERROR(__xludf.DUMMYFUNCTION("""COMPUTED_VALUE"""),5.8)</f>
        <v>5.8</v>
      </c>
      <c r="D3523" s="1">
        <f>IFERROR(__xludf.DUMMYFUNCTION("""COMPUTED_VALUE"""),5.76)</f>
        <v>5.76</v>
      </c>
      <c r="E3523" s="1">
        <f>IFERROR(__xludf.DUMMYFUNCTION("""COMPUTED_VALUE"""),5.76)</f>
        <v>5.76</v>
      </c>
      <c r="F3523" s="1">
        <f>IFERROR(__xludf.DUMMYFUNCTION("""COMPUTED_VALUE"""),546898.0)</f>
        <v>546898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IFERROR(__xludf.DUMMYFUNCTION("GOOGLEFINANCE(""NYSE:rba"",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IFERROR(__xludf.DUMMYFUNCTION("""COMPUTED_VALUE"""),22.66)</f>
        <v>22.66</v>
      </c>
      <c r="C2" s="1">
        <f>IFERROR(__xludf.DUMMYFUNCTION("""COMPUTED_VALUE"""),22.84)</f>
        <v>22.84</v>
      </c>
      <c r="D2" s="1">
        <f>IFERROR(__xludf.DUMMYFUNCTION("""COMPUTED_VALUE"""),22.6)</f>
        <v>22.6</v>
      </c>
      <c r="E2" s="1">
        <f>IFERROR(__xludf.DUMMYFUNCTION("""COMPUTED_VALUE"""),22.76)</f>
        <v>22.76</v>
      </c>
      <c r="F2" s="1">
        <f>IFERROR(__xludf.DUMMYFUNCTION("""COMPUTED_VALUE"""),210148.0)</f>
        <v>210148</v>
      </c>
    </row>
    <row r="3">
      <c r="A3" s="2">
        <f>IFERROR(__xludf.DUMMYFUNCTION("""COMPUTED_VALUE"""),40183.666666666664)</f>
        <v>40183.66667</v>
      </c>
      <c r="B3" s="1">
        <f>IFERROR(__xludf.DUMMYFUNCTION("""COMPUTED_VALUE"""),22.72)</f>
        <v>22.72</v>
      </c>
      <c r="C3" s="1">
        <f>IFERROR(__xludf.DUMMYFUNCTION("""COMPUTED_VALUE"""),22.88)</f>
        <v>22.88</v>
      </c>
      <c r="D3" s="1">
        <f>IFERROR(__xludf.DUMMYFUNCTION("""COMPUTED_VALUE"""),22.67)</f>
        <v>22.67</v>
      </c>
      <c r="E3" s="1">
        <f>IFERROR(__xludf.DUMMYFUNCTION("""COMPUTED_VALUE"""),22.86)</f>
        <v>22.86</v>
      </c>
      <c r="F3" s="1">
        <f>IFERROR(__xludf.DUMMYFUNCTION("""COMPUTED_VALUE"""),369753.0)</f>
        <v>369753</v>
      </c>
    </row>
    <row r="4">
      <c r="A4" s="2">
        <f>IFERROR(__xludf.DUMMYFUNCTION("""COMPUTED_VALUE"""),40184.666666666664)</f>
        <v>40184.66667</v>
      </c>
      <c r="B4" s="1">
        <f>IFERROR(__xludf.DUMMYFUNCTION("""COMPUTED_VALUE"""),22.76)</f>
        <v>22.76</v>
      </c>
      <c r="C4" s="1">
        <f>IFERROR(__xludf.DUMMYFUNCTION("""COMPUTED_VALUE"""),22.9)</f>
        <v>22.9</v>
      </c>
      <c r="D4" s="1">
        <f>IFERROR(__xludf.DUMMYFUNCTION("""COMPUTED_VALUE"""),22.55)</f>
        <v>22.55</v>
      </c>
      <c r="E4" s="1">
        <f>IFERROR(__xludf.DUMMYFUNCTION("""COMPUTED_VALUE"""),22.66)</f>
        <v>22.66</v>
      </c>
      <c r="F4" s="1">
        <f>IFERROR(__xludf.DUMMYFUNCTION("""COMPUTED_VALUE"""),165984.0)</f>
        <v>165984</v>
      </c>
    </row>
    <row r="5">
      <c r="A5" s="2">
        <f>IFERROR(__xludf.DUMMYFUNCTION("""COMPUTED_VALUE"""),40185.666666666664)</f>
        <v>40185.66667</v>
      </c>
      <c r="B5" s="1">
        <f>IFERROR(__xludf.DUMMYFUNCTION("""COMPUTED_VALUE"""),22.62)</f>
        <v>22.62</v>
      </c>
      <c r="C5" s="1">
        <f>IFERROR(__xludf.DUMMYFUNCTION("""COMPUTED_VALUE"""),22.77)</f>
        <v>22.77</v>
      </c>
      <c r="D5" s="1">
        <f>IFERROR(__xludf.DUMMYFUNCTION("""COMPUTED_VALUE"""),22.49)</f>
        <v>22.49</v>
      </c>
      <c r="E5" s="1">
        <f>IFERROR(__xludf.DUMMYFUNCTION("""COMPUTED_VALUE"""),22.69)</f>
        <v>22.69</v>
      </c>
      <c r="F5" s="1">
        <f>IFERROR(__xludf.DUMMYFUNCTION("""COMPUTED_VALUE"""),235867.0)</f>
        <v>235867</v>
      </c>
    </row>
    <row r="6">
      <c r="A6" s="2">
        <f>IFERROR(__xludf.DUMMYFUNCTION("""COMPUTED_VALUE"""),40186.666666666664)</f>
        <v>40186.66667</v>
      </c>
      <c r="B6" s="1">
        <f>IFERROR(__xludf.DUMMYFUNCTION("""COMPUTED_VALUE"""),22.6)</f>
        <v>22.6</v>
      </c>
      <c r="C6" s="1">
        <f>IFERROR(__xludf.DUMMYFUNCTION("""COMPUTED_VALUE"""),22.87)</f>
        <v>22.87</v>
      </c>
      <c r="D6" s="1">
        <f>IFERROR(__xludf.DUMMYFUNCTION("""COMPUTED_VALUE"""),22.45)</f>
        <v>22.45</v>
      </c>
      <c r="E6" s="1">
        <f>IFERROR(__xludf.DUMMYFUNCTION("""COMPUTED_VALUE"""),22.82)</f>
        <v>22.82</v>
      </c>
      <c r="F6" s="1">
        <f>IFERROR(__xludf.DUMMYFUNCTION("""COMPUTED_VALUE"""),262966.0)</f>
        <v>262966</v>
      </c>
    </row>
    <row r="7">
      <c r="A7" s="2">
        <f>IFERROR(__xludf.DUMMYFUNCTION("""COMPUTED_VALUE"""),40189.666666666664)</f>
        <v>40189.66667</v>
      </c>
      <c r="B7" s="1">
        <f>IFERROR(__xludf.DUMMYFUNCTION("""COMPUTED_VALUE"""),22.68)</f>
        <v>22.68</v>
      </c>
      <c r="C7" s="1">
        <f>IFERROR(__xludf.DUMMYFUNCTION("""COMPUTED_VALUE"""),22.86)</f>
        <v>22.86</v>
      </c>
      <c r="D7" s="1">
        <f>IFERROR(__xludf.DUMMYFUNCTION("""COMPUTED_VALUE"""),22.37)</f>
        <v>22.37</v>
      </c>
      <c r="E7" s="1">
        <f>IFERROR(__xludf.DUMMYFUNCTION("""COMPUTED_VALUE"""),22.75)</f>
        <v>22.75</v>
      </c>
      <c r="F7" s="1">
        <f>IFERROR(__xludf.DUMMYFUNCTION("""COMPUTED_VALUE"""),347111.0)</f>
        <v>347111</v>
      </c>
    </row>
    <row r="8">
      <c r="A8" s="2">
        <f>IFERROR(__xludf.DUMMYFUNCTION("""COMPUTED_VALUE"""),40190.666666666664)</f>
        <v>40190.66667</v>
      </c>
      <c r="B8" s="1">
        <f>IFERROR(__xludf.DUMMYFUNCTION("""COMPUTED_VALUE"""),22.75)</f>
        <v>22.75</v>
      </c>
      <c r="C8" s="1">
        <f>IFERROR(__xludf.DUMMYFUNCTION("""COMPUTED_VALUE"""),22.75)</f>
        <v>22.75</v>
      </c>
      <c r="D8" s="1">
        <f>IFERROR(__xludf.DUMMYFUNCTION("""COMPUTED_VALUE"""),22.3)</f>
        <v>22.3</v>
      </c>
      <c r="E8" s="1">
        <f>IFERROR(__xludf.DUMMYFUNCTION("""COMPUTED_VALUE"""),22.39)</f>
        <v>22.39</v>
      </c>
      <c r="F8" s="1">
        <f>IFERROR(__xludf.DUMMYFUNCTION("""COMPUTED_VALUE"""),297970.0)</f>
        <v>297970</v>
      </c>
    </row>
    <row r="9">
      <c r="A9" s="2">
        <f>IFERROR(__xludf.DUMMYFUNCTION("""COMPUTED_VALUE"""),40191.666666666664)</f>
        <v>40191.66667</v>
      </c>
      <c r="B9" s="1">
        <f>IFERROR(__xludf.DUMMYFUNCTION("""COMPUTED_VALUE"""),22.4)</f>
        <v>22.4</v>
      </c>
      <c r="C9" s="1">
        <f>IFERROR(__xludf.DUMMYFUNCTION("""COMPUTED_VALUE"""),23.0)</f>
        <v>23</v>
      </c>
      <c r="D9" s="1">
        <f>IFERROR(__xludf.DUMMYFUNCTION("""COMPUTED_VALUE"""),22.4)</f>
        <v>22.4</v>
      </c>
      <c r="E9" s="1">
        <f>IFERROR(__xludf.DUMMYFUNCTION("""COMPUTED_VALUE"""),22.88)</f>
        <v>22.88</v>
      </c>
      <c r="F9" s="1">
        <f>IFERROR(__xludf.DUMMYFUNCTION("""COMPUTED_VALUE"""),263581.0)</f>
        <v>263581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IFERROR(__xludf.DUMMYFUNCTION("""COMPUTED_VALUE"""),22.82)</f>
        <v>22.82</v>
      </c>
      <c r="C10" s="1">
        <f>IFERROR(__xludf.DUMMYFUNCTION("""COMPUTED_VALUE"""),23.09)</f>
        <v>23.09</v>
      </c>
      <c r="D10" s="1">
        <f>IFERROR(__xludf.DUMMYFUNCTION("""COMPUTED_VALUE"""),22.82)</f>
        <v>22.82</v>
      </c>
      <c r="E10" s="1">
        <f>IFERROR(__xludf.DUMMYFUNCTION("""COMPUTED_VALUE"""),23.02)</f>
        <v>23.02</v>
      </c>
      <c r="F10" s="1">
        <f>IFERROR(__xludf.DUMMYFUNCTION("""COMPUTED_VALUE"""),215738.0)</f>
        <v>215738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IFERROR(__xludf.DUMMYFUNCTION("""COMPUTED_VALUE"""),22.99)</f>
        <v>22.99</v>
      </c>
      <c r="C11" s="1">
        <f>IFERROR(__xludf.DUMMYFUNCTION("""COMPUTED_VALUE"""),22.99)</f>
        <v>22.99</v>
      </c>
      <c r="D11" s="1">
        <f>IFERROR(__xludf.DUMMYFUNCTION("""COMPUTED_VALUE"""),22.4)</f>
        <v>22.4</v>
      </c>
      <c r="E11" s="1">
        <f>IFERROR(__xludf.DUMMYFUNCTION("""COMPUTED_VALUE"""),22.65)</f>
        <v>22.65</v>
      </c>
      <c r="F11" s="1">
        <f>IFERROR(__xludf.DUMMYFUNCTION("""COMPUTED_VALUE"""),287484.0)</f>
        <v>287484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IFERROR(__xludf.DUMMYFUNCTION("""COMPUTED_VALUE"""),22.74)</f>
        <v>22.74</v>
      </c>
      <c r="C12" s="1">
        <f>IFERROR(__xludf.DUMMYFUNCTION("""COMPUTED_VALUE"""),22.74)</f>
        <v>22.74</v>
      </c>
      <c r="D12" s="1">
        <f>IFERROR(__xludf.DUMMYFUNCTION("""COMPUTED_VALUE"""),22.2)</f>
        <v>22.2</v>
      </c>
      <c r="E12" s="1">
        <f>IFERROR(__xludf.DUMMYFUNCTION("""COMPUTED_VALUE"""),22.22)</f>
        <v>22.22</v>
      </c>
      <c r="F12" s="1">
        <f>IFERROR(__xludf.DUMMYFUNCTION("""COMPUTED_VALUE"""),287892.0)</f>
        <v>287892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IFERROR(__xludf.DUMMYFUNCTION("""COMPUTED_VALUE"""),22.24)</f>
        <v>22.24</v>
      </c>
      <c r="C13" s="1">
        <f>IFERROR(__xludf.DUMMYFUNCTION("""COMPUTED_VALUE"""),22.24)</f>
        <v>22.24</v>
      </c>
      <c r="D13" s="1">
        <f>IFERROR(__xludf.DUMMYFUNCTION("""COMPUTED_VALUE"""),21.68)</f>
        <v>21.68</v>
      </c>
      <c r="E13" s="1">
        <f>IFERROR(__xludf.DUMMYFUNCTION("""COMPUTED_VALUE"""),21.74)</f>
        <v>21.74</v>
      </c>
      <c r="F13" s="1">
        <f>IFERROR(__xludf.DUMMYFUNCTION("""COMPUTED_VALUE"""),435053.0)</f>
        <v>435053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IFERROR(__xludf.DUMMYFUNCTION("""COMPUTED_VALUE"""),21.74)</f>
        <v>21.74</v>
      </c>
      <c r="C14" s="1">
        <f>IFERROR(__xludf.DUMMYFUNCTION("""COMPUTED_VALUE"""),21.74)</f>
        <v>21.74</v>
      </c>
      <c r="D14" s="1">
        <f>IFERROR(__xludf.DUMMYFUNCTION("""COMPUTED_VALUE"""),21.06)</f>
        <v>21.06</v>
      </c>
      <c r="E14" s="1">
        <f>IFERROR(__xludf.DUMMYFUNCTION("""COMPUTED_VALUE"""),21.48)</f>
        <v>21.48</v>
      </c>
      <c r="F14" s="1">
        <f>IFERROR(__xludf.DUMMYFUNCTION("""COMPUTED_VALUE"""),1025286.0)</f>
        <v>1025286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IFERROR(__xludf.DUMMYFUNCTION("""COMPUTED_VALUE"""),21.23)</f>
        <v>21.23</v>
      </c>
      <c r="C15" s="1">
        <f>IFERROR(__xludf.DUMMYFUNCTION("""COMPUTED_VALUE"""),21.53)</f>
        <v>21.53</v>
      </c>
      <c r="D15" s="1">
        <f>IFERROR(__xludf.DUMMYFUNCTION("""COMPUTED_VALUE"""),21.02)</f>
        <v>21.02</v>
      </c>
      <c r="E15" s="1">
        <f>IFERROR(__xludf.DUMMYFUNCTION("""COMPUTED_VALUE"""),21.2)</f>
        <v>21.2</v>
      </c>
      <c r="F15" s="1">
        <f>IFERROR(__xludf.DUMMYFUNCTION("""COMPUTED_VALUE"""),907065.0)</f>
        <v>907065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IFERROR(__xludf.DUMMYFUNCTION("""COMPUTED_VALUE"""),21.32)</f>
        <v>21.32</v>
      </c>
      <c r="C16" s="1">
        <f>IFERROR(__xludf.DUMMYFUNCTION("""COMPUTED_VALUE"""),21.33)</f>
        <v>21.33</v>
      </c>
      <c r="D16" s="1">
        <f>IFERROR(__xludf.DUMMYFUNCTION("""COMPUTED_VALUE"""),20.93)</f>
        <v>20.93</v>
      </c>
      <c r="E16" s="1">
        <f>IFERROR(__xludf.DUMMYFUNCTION("""COMPUTED_VALUE"""),21.17)</f>
        <v>21.17</v>
      </c>
      <c r="F16" s="1">
        <f>IFERROR(__xludf.DUMMYFUNCTION("""COMPUTED_VALUE"""),935270.0)</f>
        <v>935270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IFERROR(__xludf.DUMMYFUNCTION("""COMPUTED_VALUE"""),21.17)</f>
        <v>21.17</v>
      </c>
      <c r="C17" s="1">
        <f>IFERROR(__xludf.DUMMYFUNCTION("""COMPUTED_VALUE"""),21.17)</f>
        <v>21.17</v>
      </c>
      <c r="D17" s="1">
        <f>IFERROR(__xludf.DUMMYFUNCTION("""COMPUTED_VALUE"""),20.93)</f>
        <v>20.93</v>
      </c>
      <c r="E17" s="1">
        <f>IFERROR(__xludf.DUMMYFUNCTION("""COMPUTED_VALUE"""),21.0)</f>
        <v>21</v>
      </c>
      <c r="F17" s="1">
        <f>IFERROR(__xludf.DUMMYFUNCTION("""COMPUTED_VALUE"""),280834.0)</f>
        <v>280834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IFERROR(__xludf.DUMMYFUNCTION("""COMPUTED_VALUE"""),21.0)</f>
        <v>21</v>
      </c>
      <c r="C18" s="1">
        <f>IFERROR(__xludf.DUMMYFUNCTION("""COMPUTED_VALUE"""),21.15)</f>
        <v>21.15</v>
      </c>
      <c r="D18" s="1">
        <f>IFERROR(__xludf.DUMMYFUNCTION("""COMPUTED_VALUE"""),20.8)</f>
        <v>20.8</v>
      </c>
      <c r="E18" s="1">
        <f>IFERROR(__xludf.DUMMYFUNCTION("""COMPUTED_VALUE"""),21.12)</f>
        <v>21.12</v>
      </c>
      <c r="F18" s="1">
        <f>IFERROR(__xludf.DUMMYFUNCTION("""COMPUTED_VALUE"""),448263.0)</f>
        <v>448263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IFERROR(__xludf.DUMMYFUNCTION("""COMPUTED_VALUE"""),21.08)</f>
        <v>21.08</v>
      </c>
      <c r="C19" s="1">
        <f>IFERROR(__xludf.DUMMYFUNCTION("""COMPUTED_VALUE"""),21.33)</f>
        <v>21.33</v>
      </c>
      <c r="D19" s="1">
        <f>IFERROR(__xludf.DUMMYFUNCTION("""COMPUTED_VALUE"""),20.96)</f>
        <v>20.96</v>
      </c>
      <c r="E19" s="1">
        <f>IFERROR(__xludf.DUMMYFUNCTION("""COMPUTED_VALUE"""),21.18)</f>
        <v>21.18</v>
      </c>
      <c r="F19" s="1">
        <f>IFERROR(__xludf.DUMMYFUNCTION("""COMPUTED_VALUE"""),448046.0)</f>
        <v>448046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IFERROR(__xludf.DUMMYFUNCTION("""COMPUTED_VALUE"""),21.26)</f>
        <v>21.26</v>
      </c>
      <c r="C20" s="1">
        <f>IFERROR(__xludf.DUMMYFUNCTION("""COMPUTED_VALUE"""),21.59)</f>
        <v>21.59</v>
      </c>
      <c r="D20" s="1">
        <f>IFERROR(__xludf.DUMMYFUNCTION("""COMPUTED_VALUE"""),20.95)</f>
        <v>20.95</v>
      </c>
      <c r="E20" s="1">
        <f>IFERROR(__xludf.DUMMYFUNCTION("""COMPUTED_VALUE"""),21.02)</f>
        <v>21.02</v>
      </c>
      <c r="F20" s="1">
        <f>IFERROR(__xludf.DUMMYFUNCTION("""COMPUTED_VALUE"""),553745.0)</f>
        <v>553745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IFERROR(__xludf.DUMMYFUNCTION("""COMPUTED_VALUE"""),20.99)</f>
        <v>20.99</v>
      </c>
      <c r="C21" s="1">
        <f>IFERROR(__xludf.DUMMYFUNCTION("""COMPUTED_VALUE"""),21.15)</f>
        <v>21.15</v>
      </c>
      <c r="D21" s="1">
        <f>IFERROR(__xludf.DUMMYFUNCTION("""COMPUTED_VALUE"""),20.65)</f>
        <v>20.65</v>
      </c>
      <c r="E21" s="1">
        <f>IFERROR(__xludf.DUMMYFUNCTION("""COMPUTED_VALUE"""),20.98)</f>
        <v>20.98</v>
      </c>
      <c r="F21" s="1">
        <f>IFERROR(__xludf.DUMMYFUNCTION("""COMPUTED_VALUE"""),462334.0)</f>
        <v>462334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IFERROR(__xludf.DUMMYFUNCTION("""COMPUTED_VALUE"""),20.98)</f>
        <v>20.98</v>
      </c>
      <c r="C22" s="1">
        <f>IFERROR(__xludf.DUMMYFUNCTION("""COMPUTED_VALUE"""),21.23)</f>
        <v>21.23</v>
      </c>
      <c r="D22" s="1">
        <f>IFERROR(__xludf.DUMMYFUNCTION("""COMPUTED_VALUE"""),20.86)</f>
        <v>20.86</v>
      </c>
      <c r="E22" s="1">
        <f>IFERROR(__xludf.DUMMYFUNCTION("""COMPUTED_VALUE"""),21.07)</f>
        <v>21.07</v>
      </c>
      <c r="F22" s="1">
        <f>IFERROR(__xludf.DUMMYFUNCTION("""COMPUTED_VALUE"""),215236.0)</f>
        <v>215236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IFERROR(__xludf.DUMMYFUNCTION("""COMPUTED_VALUE"""),20.97)</f>
        <v>20.97</v>
      </c>
      <c r="C23" s="1">
        <f>IFERROR(__xludf.DUMMYFUNCTION("""COMPUTED_VALUE"""),21.06)</f>
        <v>21.06</v>
      </c>
      <c r="D23" s="1">
        <f>IFERROR(__xludf.DUMMYFUNCTION("""COMPUTED_VALUE"""),20.85)</f>
        <v>20.85</v>
      </c>
      <c r="E23" s="1">
        <f>IFERROR(__xludf.DUMMYFUNCTION("""COMPUTED_VALUE"""),20.87)</f>
        <v>20.87</v>
      </c>
      <c r="F23" s="1">
        <f>IFERROR(__xludf.DUMMYFUNCTION("""COMPUTED_VALUE"""),131259.0)</f>
        <v>131259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IFERROR(__xludf.DUMMYFUNCTION("""COMPUTED_VALUE"""),20.81)</f>
        <v>20.81</v>
      </c>
      <c r="C24" s="1">
        <f>IFERROR(__xludf.DUMMYFUNCTION("""COMPUTED_VALUE"""),20.81)</f>
        <v>20.81</v>
      </c>
      <c r="D24" s="1">
        <f>IFERROR(__xludf.DUMMYFUNCTION("""COMPUTED_VALUE"""),20.23)</f>
        <v>20.23</v>
      </c>
      <c r="E24" s="1">
        <f>IFERROR(__xludf.DUMMYFUNCTION("""COMPUTED_VALUE"""),20.39)</f>
        <v>20.39</v>
      </c>
      <c r="F24" s="1">
        <f>IFERROR(__xludf.DUMMYFUNCTION("""COMPUTED_VALUE"""),664984.0)</f>
        <v>664984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IFERROR(__xludf.DUMMYFUNCTION("""COMPUTED_VALUE"""),20.42)</f>
        <v>20.42</v>
      </c>
      <c r="C25" s="1">
        <f>IFERROR(__xludf.DUMMYFUNCTION("""COMPUTED_VALUE"""),20.45)</f>
        <v>20.45</v>
      </c>
      <c r="D25" s="1">
        <f>IFERROR(__xludf.DUMMYFUNCTION("""COMPUTED_VALUE"""),20.01)</f>
        <v>20.01</v>
      </c>
      <c r="E25" s="1">
        <f>IFERROR(__xludf.DUMMYFUNCTION("""COMPUTED_VALUE"""),20.37)</f>
        <v>20.37</v>
      </c>
      <c r="F25" s="1">
        <f>IFERROR(__xludf.DUMMYFUNCTION("""COMPUTED_VALUE"""),610955.0)</f>
        <v>610955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IFERROR(__xludf.DUMMYFUNCTION("""COMPUTED_VALUE"""),20.25)</f>
        <v>20.25</v>
      </c>
      <c r="C26" s="1">
        <f>IFERROR(__xludf.DUMMYFUNCTION("""COMPUTED_VALUE"""),20.47)</f>
        <v>20.47</v>
      </c>
      <c r="D26" s="1">
        <f>IFERROR(__xludf.DUMMYFUNCTION("""COMPUTED_VALUE"""),19.85)</f>
        <v>19.85</v>
      </c>
      <c r="E26" s="1">
        <f>IFERROR(__xludf.DUMMYFUNCTION("""COMPUTED_VALUE"""),20.0)</f>
        <v>20</v>
      </c>
      <c r="F26" s="1">
        <f>IFERROR(__xludf.DUMMYFUNCTION("""COMPUTED_VALUE"""),677790.0)</f>
        <v>677790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IFERROR(__xludf.DUMMYFUNCTION("""COMPUTED_VALUE"""),20.21)</f>
        <v>20.21</v>
      </c>
      <c r="C27" s="1">
        <f>IFERROR(__xludf.DUMMYFUNCTION("""COMPUTED_VALUE"""),20.21)</f>
        <v>20.21</v>
      </c>
      <c r="D27" s="1">
        <f>IFERROR(__xludf.DUMMYFUNCTION("""COMPUTED_VALUE"""),19.52)</f>
        <v>19.52</v>
      </c>
      <c r="E27" s="1">
        <f>IFERROR(__xludf.DUMMYFUNCTION("""COMPUTED_VALUE"""),19.66)</f>
        <v>19.66</v>
      </c>
      <c r="F27" s="1">
        <f>IFERROR(__xludf.DUMMYFUNCTION("""COMPUTED_VALUE"""),863462.0)</f>
        <v>863462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IFERROR(__xludf.DUMMYFUNCTION("""COMPUTED_VALUE"""),19.59)</f>
        <v>19.59</v>
      </c>
      <c r="C28" s="1">
        <f>IFERROR(__xludf.DUMMYFUNCTION("""COMPUTED_VALUE"""),19.8)</f>
        <v>19.8</v>
      </c>
      <c r="D28" s="1">
        <f>IFERROR(__xludf.DUMMYFUNCTION("""COMPUTED_VALUE"""),19.22)</f>
        <v>19.22</v>
      </c>
      <c r="E28" s="1">
        <f>IFERROR(__xludf.DUMMYFUNCTION("""COMPUTED_VALUE"""),19.8)</f>
        <v>19.8</v>
      </c>
      <c r="F28" s="1">
        <f>IFERROR(__xludf.DUMMYFUNCTION("""COMPUTED_VALUE"""),696457.0)</f>
        <v>696457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IFERROR(__xludf.DUMMYFUNCTION("""COMPUTED_VALUE"""),19.88)</f>
        <v>19.88</v>
      </c>
      <c r="C29" s="1">
        <f>IFERROR(__xludf.DUMMYFUNCTION("""COMPUTED_VALUE"""),20.09)</f>
        <v>20.09</v>
      </c>
      <c r="D29" s="1">
        <f>IFERROR(__xludf.DUMMYFUNCTION("""COMPUTED_VALUE"""),19.59)</f>
        <v>19.59</v>
      </c>
      <c r="E29" s="1">
        <f>IFERROR(__xludf.DUMMYFUNCTION("""COMPUTED_VALUE"""),19.8)</f>
        <v>19.8</v>
      </c>
      <c r="F29" s="1">
        <f>IFERROR(__xludf.DUMMYFUNCTION("""COMPUTED_VALUE"""),583671.0)</f>
        <v>583671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IFERROR(__xludf.DUMMYFUNCTION("""COMPUTED_VALUE"""),19.81)</f>
        <v>19.81</v>
      </c>
      <c r="C30" s="1">
        <f>IFERROR(__xludf.DUMMYFUNCTION("""COMPUTED_VALUE"""),19.87)</f>
        <v>19.87</v>
      </c>
      <c r="D30" s="1">
        <f>IFERROR(__xludf.DUMMYFUNCTION("""COMPUTED_VALUE"""),19.58)</f>
        <v>19.58</v>
      </c>
      <c r="E30" s="1">
        <f>IFERROR(__xludf.DUMMYFUNCTION("""COMPUTED_VALUE"""),19.79)</f>
        <v>19.79</v>
      </c>
      <c r="F30" s="1">
        <f>IFERROR(__xludf.DUMMYFUNCTION("""COMPUTED_VALUE"""),407172.0)</f>
        <v>407172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IFERROR(__xludf.DUMMYFUNCTION("""COMPUTED_VALUE"""),20.28)</f>
        <v>20.28</v>
      </c>
      <c r="C31" s="1">
        <f>IFERROR(__xludf.DUMMYFUNCTION("""COMPUTED_VALUE"""),20.66)</f>
        <v>20.66</v>
      </c>
      <c r="D31" s="1">
        <f>IFERROR(__xludf.DUMMYFUNCTION("""COMPUTED_VALUE"""),19.76)</f>
        <v>19.76</v>
      </c>
      <c r="E31" s="1">
        <f>IFERROR(__xludf.DUMMYFUNCTION("""COMPUTED_VALUE"""),20.26)</f>
        <v>20.26</v>
      </c>
      <c r="F31" s="1">
        <f>IFERROR(__xludf.DUMMYFUNCTION("""COMPUTED_VALUE"""),298099.0)</f>
        <v>298099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IFERROR(__xludf.DUMMYFUNCTION("""COMPUTED_VALUE"""),20.14)</f>
        <v>20.14</v>
      </c>
      <c r="C32" s="1">
        <f>IFERROR(__xludf.DUMMYFUNCTION("""COMPUTED_VALUE"""),20.3)</f>
        <v>20.3</v>
      </c>
      <c r="D32" s="1">
        <f>IFERROR(__xludf.DUMMYFUNCTION("""COMPUTED_VALUE"""),19.92)</f>
        <v>19.92</v>
      </c>
      <c r="E32" s="1">
        <f>IFERROR(__xludf.DUMMYFUNCTION("""COMPUTED_VALUE"""),20.0)</f>
        <v>20</v>
      </c>
      <c r="F32" s="1">
        <f>IFERROR(__xludf.DUMMYFUNCTION("""COMPUTED_VALUE"""),1188846.0)</f>
        <v>1188846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IFERROR(__xludf.DUMMYFUNCTION("""COMPUTED_VALUE"""),20.13)</f>
        <v>20.13</v>
      </c>
      <c r="C33" s="1">
        <f>IFERROR(__xludf.DUMMYFUNCTION("""COMPUTED_VALUE"""),20.13)</f>
        <v>20.13</v>
      </c>
      <c r="D33" s="1">
        <f>IFERROR(__xludf.DUMMYFUNCTION("""COMPUTED_VALUE"""),19.48)</f>
        <v>19.48</v>
      </c>
      <c r="E33" s="1">
        <f>IFERROR(__xludf.DUMMYFUNCTION("""COMPUTED_VALUE"""),19.49)</f>
        <v>19.49</v>
      </c>
      <c r="F33" s="1">
        <f>IFERROR(__xludf.DUMMYFUNCTION("""COMPUTED_VALUE"""),1224303.0)</f>
        <v>1224303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IFERROR(__xludf.DUMMYFUNCTION("""COMPUTED_VALUE"""),19.49)</f>
        <v>19.49</v>
      </c>
      <c r="C34" s="1">
        <f>IFERROR(__xludf.DUMMYFUNCTION("""COMPUTED_VALUE"""),19.62)</f>
        <v>19.62</v>
      </c>
      <c r="D34" s="1">
        <f>IFERROR(__xludf.DUMMYFUNCTION("""COMPUTED_VALUE"""),19.35)</f>
        <v>19.35</v>
      </c>
      <c r="E34" s="1">
        <f>IFERROR(__xludf.DUMMYFUNCTION("""COMPUTED_VALUE"""),19.42)</f>
        <v>19.42</v>
      </c>
      <c r="F34" s="1">
        <f>IFERROR(__xludf.DUMMYFUNCTION("""COMPUTED_VALUE"""),916671.0)</f>
        <v>916671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IFERROR(__xludf.DUMMYFUNCTION("""COMPUTED_VALUE"""),19.55)</f>
        <v>19.55</v>
      </c>
      <c r="C35" s="1">
        <f>IFERROR(__xludf.DUMMYFUNCTION("""COMPUTED_VALUE"""),19.89)</f>
        <v>19.89</v>
      </c>
      <c r="D35" s="1">
        <f>IFERROR(__xludf.DUMMYFUNCTION("""COMPUTED_VALUE"""),19.41)</f>
        <v>19.41</v>
      </c>
      <c r="E35" s="1">
        <f>IFERROR(__xludf.DUMMYFUNCTION("""COMPUTED_VALUE"""),19.73)</f>
        <v>19.73</v>
      </c>
      <c r="F35" s="1">
        <f>IFERROR(__xludf.DUMMYFUNCTION("""COMPUTED_VALUE"""),875204.0)</f>
        <v>875204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IFERROR(__xludf.DUMMYFUNCTION("""COMPUTED_VALUE"""),19.76)</f>
        <v>19.76</v>
      </c>
      <c r="C36" s="1">
        <f>IFERROR(__xludf.DUMMYFUNCTION("""COMPUTED_VALUE"""),20.03)</f>
        <v>20.03</v>
      </c>
      <c r="D36" s="1">
        <f>IFERROR(__xludf.DUMMYFUNCTION("""COMPUTED_VALUE"""),19.76)</f>
        <v>19.76</v>
      </c>
      <c r="E36" s="1">
        <f>IFERROR(__xludf.DUMMYFUNCTION("""COMPUTED_VALUE"""),19.99)</f>
        <v>19.99</v>
      </c>
      <c r="F36" s="1">
        <f>IFERROR(__xludf.DUMMYFUNCTION("""COMPUTED_VALUE"""),564454.0)</f>
        <v>564454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IFERROR(__xludf.DUMMYFUNCTION("""COMPUTED_VALUE"""),19.9)</f>
        <v>19.9</v>
      </c>
      <c r="C37" s="1">
        <f>IFERROR(__xludf.DUMMYFUNCTION("""COMPUTED_VALUE"""),20.73)</f>
        <v>20.73</v>
      </c>
      <c r="D37" s="1">
        <f>IFERROR(__xludf.DUMMYFUNCTION("""COMPUTED_VALUE"""),19.9)</f>
        <v>19.9</v>
      </c>
      <c r="E37" s="1">
        <f>IFERROR(__xludf.DUMMYFUNCTION("""COMPUTED_VALUE"""),20.65)</f>
        <v>20.65</v>
      </c>
      <c r="F37" s="1">
        <f>IFERROR(__xludf.DUMMYFUNCTION("""COMPUTED_VALUE"""),434483.0)</f>
        <v>434483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IFERROR(__xludf.DUMMYFUNCTION("""COMPUTED_VALUE"""),20.69)</f>
        <v>20.69</v>
      </c>
      <c r="C38" s="1">
        <f>IFERROR(__xludf.DUMMYFUNCTION("""COMPUTED_VALUE"""),20.98)</f>
        <v>20.98</v>
      </c>
      <c r="D38" s="1">
        <f>IFERROR(__xludf.DUMMYFUNCTION("""COMPUTED_VALUE"""),20.5)</f>
        <v>20.5</v>
      </c>
      <c r="E38" s="1">
        <f>IFERROR(__xludf.DUMMYFUNCTION("""COMPUTED_VALUE"""),20.98)</f>
        <v>20.98</v>
      </c>
      <c r="F38" s="1">
        <f>IFERROR(__xludf.DUMMYFUNCTION("""COMPUTED_VALUE"""),243154.0)</f>
        <v>243154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IFERROR(__xludf.DUMMYFUNCTION("""COMPUTED_VALUE"""),20.95)</f>
        <v>20.95</v>
      </c>
      <c r="C39" s="1">
        <f>IFERROR(__xludf.DUMMYFUNCTION("""COMPUTED_VALUE"""),21.11)</f>
        <v>21.11</v>
      </c>
      <c r="D39" s="1">
        <f>IFERROR(__xludf.DUMMYFUNCTION("""COMPUTED_VALUE"""),20.64)</f>
        <v>20.64</v>
      </c>
      <c r="E39" s="1">
        <f>IFERROR(__xludf.DUMMYFUNCTION("""COMPUTED_VALUE"""),20.97)</f>
        <v>20.97</v>
      </c>
      <c r="F39" s="1">
        <f>IFERROR(__xludf.DUMMYFUNCTION("""COMPUTED_VALUE"""),222679.0)</f>
        <v>222679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IFERROR(__xludf.DUMMYFUNCTION("""COMPUTED_VALUE"""),20.85)</f>
        <v>20.85</v>
      </c>
      <c r="C40" s="1">
        <f>IFERROR(__xludf.DUMMYFUNCTION("""COMPUTED_VALUE"""),21.08)</f>
        <v>21.08</v>
      </c>
      <c r="D40" s="1">
        <f>IFERROR(__xludf.DUMMYFUNCTION("""COMPUTED_VALUE"""),20.44)</f>
        <v>20.44</v>
      </c>
      <c r="E40" s="1">
        <f>IFERROR(__xludf.DUMMYFUNCTION("""COMPUTED_VALUE"""),20.73)</f>
        <v>20.73</v>
      </c>
      <c r="F40" s="1">
        <f>IFERROR(__xludf.DUMMYFUNCTION("""COMPUTED_VALUE"""),517218.0)</f>
        <v>517218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IFERROR(__xludf.DUMMYFUNCTION("""COMPUTED_VALUE"""),21.01)</f>
        <v>21.01</v>
      </c>
      <c r="C41" s="1">
        <f>IFERROR(__xludf.DUMMYFUNCTION("""COMPUTED_VALUE"""),21.25)</f>
        <v>21.25</v>
      </c>
      <c r="D41" s="1">
        <f>IFERROR(__xludf.DUMMYFUNCTION("""COMPUTED_VALUE"""),20.4)</f>
        <v>20.4</v>
      </c>
      <c r="E41" s="1">
        <f>IFERROR(__xludf.DUMMYFUNCTION("""COMPUTED_VALUE"""),21.25)</f>
        <v>21.25</v>
      </c>
      <c r="F41" s="1">
        <f>IFERROR(__xludf.DUMMYFUNCTION("""COMPUTED_VALUE"""),1079609.0)</f>
        <v>1079609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IFERROR(__xludf.DUMMYFUNCTION("""COMPUTED_VALUE"""),21.24)</f>
        <v>21.24</v>
      </c>
      <c r="C42" s="1">
        <f>IFERROR(__xludf.DUMMYFUNCTION("""COMPUTED_VALUE"""),21.51)</f>
        <v>21.51</v>
      </c>
      <c r="D42" s="1">
        <f>IFERROR(__xludf.DUMMYFUNCTION("""COMPUTED_VALUE"""),21.05)</f>
        <v>21.05</v>
      </c>
      <c r="E42" s="1">
        <f>IFERROR(__xludf.DUMMYFUNCTION("""COMPUTED_VALUE"""),21.36)</f>
        <v>21.36</v>
      </c>
      <c r="F42" s="1">
        <f>IFERROR(__xludf.DUMMYFUNCTION("""COMPUTED_VALUE"""),434433.0)</f>
        <v>434433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IFERROR(__xludf.DUMMYFUNCTION("""COMPUTED_VALUE"""),22.45)</f>
        <v>22.45</v>
      </c>
      <c r="C43" s="1">
        <f>IFERROR(__xludf.DUMMYFUNCTION("""COMPUTED_VALUE"""),22.47)</f>
        <v>22.47</v>
      </c>
      <c r="D43" s="1">
        <f>IFERROR(__xludf.DUMMYFUNCTION("""COMPUTED_VALUE"""),21.08)</f>
        <v>21.08</v>
      </c>
      <c r="E43" s="1">
        <f>IFERROR(__xludf.DUMMYFUNCTION("""COMPUTED_VALUE"""),21.57)</f>
        <v>21.57</v>
      </c>
      <c r="F43" s="1">
        <f>IFERROR(__xludf.DUMMYFUNCTION("""COMPUTED_VALUE"""),616374.0)</f>
        <v>616374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IFERROR(__xludf.DUMMYFUNCTION("""COMPUTED_VALUE"""),21.6)</f>
        <v>21.6</v>
      </c>
      <c r="C44" s="1">
        <f>IFERROR(__xludf.DUMMYFUNCTION("""COMPUTED_VALUE"""),21.83)</f>
        <v>21.83</v>
      </c>
      <c r="D44" s="1">
        <f>IFERROR(__xludf.DUMMYFUNCTION("""COMPUTED_VALUE"""),21.45)</f>
        <v>21.45</v>
      </c>
      <c r="E44" s="1">
        <f>IFERROR(__xludf.DUMMYFUNCTION("""COMPUTED_VALUE"""),21.83)</f>
        <v>21.83</v>
      </c>
      <c r="F44" s="1">
        <f>IFERROR(__xludf.DUMMYFUNCTION("""COMPUTED_VALUE"""),340490.0)</f>
        <v>340490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IFERROR(__xludf.DUMMYFUNCTION("""COMPUTED_VALUE"""),21.39)</f>
        <v>21.39</v>
      </c>
      <c r="C45" s="1">
        <f>IFERROR(__xludf.DUMMYFUNCTION("""COMPUTED_VALUE"""),22.1)</f>
        <v>22.1</v>
      </c>
      <c r="D45" s="1">
        <f>IFERROR(__xludf.DUMMYFUNCTION("""COMPUTED_VALUE"""),21.13)</f>
        <v>21.13</v>
      </c>
      <c r="E45" s="1">
        <f>IFERROR(__xludf.DUMMYFUNCTION("""COMPUTED_VALUE"""),22.04)</f>
        <v>22.04</v>
      </c>
      <c r="F45" s="1">
        <f>IFERROR(__xludf.DUMMYFUNCTION("""COMPUTED_VALUE"""),487316.0)</f>
        <v>487316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IFERROR(__xludf.DUMMYFUNCTION("""COMPUTED_VALUE"""),21.92)</f>
        <v>21.92</v>
      </c>
      <c r="C46" s="1">
        <f>IFERROR(__xludf.DUMMYFUNCTION("""COMPUTED_VALUE"""),22.0)</f>
        <v>22</v>
      </c>
      <c r="D46" s="1">
        <f>IFERROR(__xludf.DUMMYFUNCTION("""COMPUTED_VALUE"""),21.65)</f>
        <v>21.65</v>
      </c>
      <c r="E46" s="1">
        <f>IFERROR(__xludf.DUMMYFUNCTION("""COMPUTED_VALUE"""),21.77)</f>
        <v>21.77</v>
      </c>
      <c r="F46" s="1">
        <f>IFERROR(__xludf.DUMMYFUNCTION("""COMPUTED_VALUE"""),293758.0)</f>
        <v>293758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IFERROR(__xludf.DUMMYFUNCTION("""COMPUTED_VALUE"""),21.62)</f>
        <v>21.62</v>
      </c>
      <c r="C47" s="1">
        <f>IFERROR(__xludf.DUMMYFUNCTION("""COMPUTED_VALUE"""),21.97)</f>
        <v>21.97</v>
      </c>
      <c r="D47" s="1">
        <f>IFERROR(__xludf.DUMMYFUNCTION("""COMPUTED_VALUE"""),21.52)</f>
        <v>21.52</v>
      </c>
      <c r="E47" s="1">
        <f>IFERROR(__xludf.DUMMYFUNCTION("""COMPUTED_VALUE"""),21.96)</f>
        <v>21.96</v>
      </c>
      <c r="F47" s="1">
        <f>IFERROR(__xludf.DUMMYFUNCTION("""COMPUTED_VALUE"""),333508.0)</f>
        <v>333508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IFERROR(__xludf.DUMMYFUNCTION("""COMPUTED_VALUE"""),21.75)</f>
        <v>21.75</v>
      </c>
      <c r="C48" s="1">
        <f>IFERROR(__xludf.DUMMYFUNCTION("""COMPUTED_VALUE"""),21.91)</f>
        <v>21.91</v>
      </c>
      <c r="D48" s="1">
        <f>IFERROR(__xludf.DUMMYFUNCTION("""COMPUTED_VALUE"""),21.6)</f>
        <v>21.6</v>
      </c>
      <c r="E48" s="1">
        <f>IFERROR(__xludf.DUMMYFUNCTION("""COMPUTED_VALUE"""),21.82)</f>
        <v>21.82</v>
      </c>
      <c r="F48" s="1">
        <f>IFERROR(__xludf.DUMMYFUNCTION("""COMPUTED_VALUE"""),243425.0)</f>
        <v>243425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IFERROR(__xludf.DUMMYFUNCTION("""COMPUTED_VALUE"""),21.8)</f>
        <v>21.8</v>
      </c>
      <c r="C49" s="1">
        <f>IFERROR(__xludf.DUMMYFUNCTION("""COMPUTED_VALUE"""),21.84)</f>
        <v>21.84</v>
      </c>
      <c r="D49" s="1">
        <f>IFERROR(__xludf.DUMMYFUNCTION("""COMPUTED_VALUE"""),21.31)</f>
        <v>21.31</v>
      </c>
      <c r="E49" s="1">
        <f>IFERROR(__xludf.DUMMYFUNCTION("""COMPUTED_VALUE"""),21.39)</f>
        <v>21.39</v>
      </c>
      <c r="F49" s="1">
        <f>IFERROR(__xludf.DUMMYFUNCTION("""COMPUTED_VALUE"""),473526.0)</f>
        <v>473526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IFERROR(__xludf.DUMMYFUNCTION("""COMPUTED_VALUE"""),21.28)</f>
        <v>21.28</v>
      </c>
      <c r="C50" s="1">
        <f>IFERROR(__xludf.DUMMYFUNCTION("""COMPUTED_VALUE"""),21.42)</f>
        <v>21.42</v>
      </c>
      <c r="D50" s="1">
        <f>IFERROR(__xludf.DUMMYFUNCTION("""COMPUTED_VALUE"""),20.89)</f>
        <v>20.89</v>
      </c>
      <c r="E50" s="1">
        <f>IFERROR(__xludf.DUMMYFUNCTION("""COMPUTED_VALUE"""),21.24)</f>
        <v>21.24</v>
      </c>
      <c r="F50" s="1">
        <f>IFERROR(__xludf.DUMMYFUNCTION("""COMPUTED_VALUE"""),465281.0)</f>
        <v>465281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IFERROR(__xludf.DUMMYFUNCTION("""COMPUTED_VALUE"""),21.2)</f>
        <v>21.2</v>
      </c>
      <c r="C51" s="1">
        <f>IFERROR(__xludf.DUMMYFUNCTION("""COMPUTED_VALUE"""),21.4)</f>
        <v>21.4</v>
      </c>
      <c r="D51" s="1">
        <f>IFERROR(__xludf.DUMMYFUNCTION("""COMPUTED_VALUE"""),21.18)</f>
        <v>21.18</v>
      </c>
      <c r="E51" s="1">
        <f>IFERROR(__xludf.DUMMYFUNCTION("""COMPUTED_VALUE"""),21.25)</f>
        <v>21.25</v>
      </c>
      <c r="F51" s="1">
        <f>IFERROR(__xludf.DUMMYFUNCTION("""COMPUTED_VALUE"""),339844.0)</f>
        <v>339844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IFERROR(__xludf.DUMMYFUNCTION("""COMPUTED_VALUE"""),21.24)</f>
        <v>21.24</v>
      </c>
      <c r="C52" s="1">
        <f>IFERROR(__xludf.DUMMYFUNCTION("""COMPUTED_VALUE"""),22.14)</f>
        <v>22.14</v>
      </c>
      <c r="D52" s="1">
        <f>IFERROR(__xludf.DUMMYFUNCTION("""COMPUTED_VALUE"""),21.24)</f>
        <v>21.24</v>
      </c>
      <c r="E52" s="1">
        <f>IFERROR(__xludf.DUMMYFUNCTION("""COMPUTED_VALUE"""),22.06)</f>
        <v>22.06</v>
      </c>
      <c r="F52" s="1">
        <f>IFERROR(__xludf.DUMMYFUNCTION("""COMPUTED_VALUE"""),309236.0)</f>
        <v>309236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IFERROR(__xludf.DUMMYFUNCTION("""COMPUTED_VALUE"""),22.0)</f>
        <v>22</v>
      </c>
      <c r="C53" s="1">
        <f>IFERROR(__xludf.DUMMYFUNCTION("""COMPUTED_VALUE"""),22.17)</f>
        <v>22.17</v>
      </c>
      <c r="D53" s="1">
        <f>IFERROR(__xludf.DUMMYFUNCTION("""COMPUTED_VALUE"""),21.92)</f>
        <v>21.92</v>
      </c>
      <c r="E53" s="1">
        <f>IFERROR(__xludf.DUMMYFUNCTION("""COMPUTED_VALUE"""),21.93)</f>
        <v>21.93</v>
      </c>
      <c r="F53" s="1">
        <f>IFERROR(__xludf.DUMMYFUNCTION("""COMPUTED_VALUE"""),202613.0)</f>
        <v>202613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IFERROR(__xludf.DUMMYFUNCTION("""COMPUTED_VALUE"""),22.08)</f>
        <v>22.08</v>
      </c>
      <c r="C54" s="1">
        <f>IFERROR(__xludf.DUMMYFUNCTION("""COMPUTED_VALUE"""),22.08)</f>
        <v>22.08</v>
      </c>
      <c r="D54" s="1">
        <f>IFERROR(__xludf.DUMMYFUNCTION("""COMPUTED_VALUE"""),21.59)</f>
        <v>21.59</v>
      </c>
      <c r="E54" s="1">
        <f>IFERROR(__xludf.DUMMYFUNCTION("""COMPUTED_VALUE"""),21.68)</f>
        <v>21.68</v>
      </c>
      <c r="F54" s="1">
        <f>IFERROR(__xludf.DUMMYFUNCTION("""COMPUTED_VALUE"""),146390.0)</f>
        <v>146390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IFERROR(__xludf.DUMMYFUNCTION("""COMPUTED_VALUE"""),21.81)</f>
        <v>21.81</v>
      </c>
      <c r="C55" s="1">
        <f>IFERROR(__xludf.DUMMYFUNCTION("""COMPUTED_VALUE"""),21.95)</f>
        <v>21.95</v>
      </c>
      <c r="D55" s="1">
        <f>IFERROR(__xludf.DUMMYFUNCTION("""COMPUTED_VALUE"""),21.63)</f>
        <v>21.63</v>
      </c>
      <c r="E55" s="1">
        <f>IFERROR(__xludf.DUMMYFUNCTION("""COMPUTED_VALUE"""),21.83)</f>
        <v>21.83</v>
      </c>
      <c r="F55" s="1">
        <f>IFERROR(__xludf.DUMMYFUNCTION("""COMPUTED_VALUE"""),225060.0)</f>
        <v>225060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IFERROR(__xludf.DUMMYFUNCTION("""COMPUTED_VALUE"""),21.74)</f>
        <v>21.74</v>
      </c>
      <c r="C56" s="1">
        <f>IFERROR(__xludf.DUMMYFUNCTION("""COMPUTED_VALUE"""),21.89)</f>
        <v>21.89</v>
      </c>
      <c r="D56" s="1">
        <f>IFERROR(__xludf.DUMMYFUNCTION("""COMPUTED_VALUE"""),21.61)</f>
        <v>21.61</v>
      </c>
      <c r="E56" s="1">
        <f>IFERROR(__xludf.DUMMYFUNCTION("""COMPUTED_VALUE"""),21.88)</f>
        <v>21.88</v>
      </c>
      <c r="F56" s="1">
        <f>IFERROR(__xludf.DUMMYFUNCTION("""COMPUTED_VALUE"""),208301.0)</f>
        <v>208301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IFERROR(__xludf.DUMMYFUNCTION("""COMPUTED_VALUE"""),21.87)</f>
        <v>21.87</v>
      </c>
      <c r="C57" s="1">
        <f>IFERROR(__xludf.DUMMYFUNCTION("""COMPUTED_VALUE"""),21.91)</f>
        <v>21.91</v>
      </c>
      <c r="D57" s="1">
        <f>IFERROR(__xludf.DUMMYFUNCTION("""COMPUTED_VALUE"""),21.51)</f>
        <v>21.51</v>
      </c>
      <c r="E57" s="1">
        <f>IFERROR(__xludf.DUMMYFUNCTION("""COMPUTED_VALUE"""),21.57)</f>
        <v>21.57</v>
      </c>
      <c r="F57" s="1">
        <f>IFERROR(__xludf.DUMMYFUNCTION("""COMPUTED_VALUE"""),288131.0)</f>
        <v>288131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IFERROR(__xludf.DUMMYFUNCTION("""COMPUTED_VALUE"""),21.64)</f>
        <v>21.64</v>
      </c>
      <c r="C58" s="1">
        <f>IFERROR(__xludf.DUMMYFUNCTION("""COMPUTED_VALUE"""),21.76)</f>
        <v>21.76</v>
      </c>
      <c r="D58" s="1">
        <f>IFERROR(__xludf.DUMMYFUNCTION("""COMPUTED_VALUE"""),21.6)</f>
        <v>21.6</v>
      </c>
      <c r="E58" s="1">
        <f>IFERROR(__xludf.DUMMYFUNCTION("""COMPUTED_VALUE"""),21.62)</f>
        <v>21.62</v>
      </c>
      <c r="F58" s="1">
        <f>IFERROR(__xludf.DUMMYFUNCTION("""COMPUTED_VALUE"""),269575.0)</f>
        <v>269575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IFERROR(__xludf.DUMMYFUNCTION("""COMPUTED_VALUE"""),21.62)</f>
        <v>21.62</v>
      </c>
      <c r="C59" s="1">
        <f>IFERROR(__xludf.DUMMYFUNCTION("""COMPUTED_VALUE"""),21.86)</f>
        <v>21.86</v>
      </c>
      <c r="D59" s="1">
        <f>IFERROR(__xludf.DUMMYFUNCTION("""COMPUTED_VALUE"""),21.6)</f>
        <v>21.6</v>
      </c>
      <c r="E59" s="1">
        <f>IFERROR(__xludf.DUMMYFUNCTION("""COMPUTED_VALUE"""),21.8)</f>
        <v>21.8</v>
      </c>
      <c r="F59" s="1">
        <f>IFERROR(__xludf.DUMMYFUNCTION("""COMPUTED_VALUE"""),657558.0)</f>
        <v>657558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IFERROR(__xludf.DUMMYFUNCTION("""COMPUTED_VALUE"""),21.75)</f>
        <v>21.75</v>
      </c>
      <c r="C60" s="1">
        <f>IFERROR(__xludf.DUMMYFUNCTION("""COMPUTED_VALUE"""),21.9)</f>
        <v>21.9</v>
      </c>
      <c r="D60" s="1">
        <f>IFERROR(__xludf.DUMMYFUNCTION("""COMPUTED_VALUE"""),21.5)</f>
        <v>21.5</v>
      </c>
      <c r="E60" s="1">
        <f>IFERROR(__xludf.DUMMYFUNCTION("""COMPUTED_VALUE"""),21.58)</f>
        <v>21.58</v>
      </c>
      <c r="F60" s="1">
        <f>IFERROR(__xludf.DUMMYFUNCTION("""COMPUTED_VALUE"""),803968.0)</f>
        <v>803968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IFERROR(__xludf.DUMMYFUNCTION("""COMPUTED_VALUE"""),21.62)</f>
        <v>21.62</v>
      </c>
      <c r="C61" s="1">
        <f>IFERROR(__xludf.DUMMYFUNCTION("""COMPUTED_VALUE"""),21.67)</f>
        <v>21.67</v>
      </c>
      <c r="D61" s="1">
        <f>IFERROR(__xludf.DUMMYFUNCTION("""COMPUTED_VALUE"""),21.37)</f>
        <v>21.37</v>
      </c>
      <c r="E61" s="1">
        <f>IFERROR(__xludf.DUMMYFUNCTION("""COMPUTED_VALUE"""),21.57)</f>
        <v>21.57</v>
      </c>
      <c r="F61" s="1">
        <f>IFERROR(__xludf.DUMMYFUNCTION("""COMPUTED_VALUE"""),1337603.0)</f>
        <v>1337603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IFERROR(__xludf.DUMMYFUNCTION("""COMPUTED_VALUE"""),21.42)</f>
        <v>21.42</v>
      </c>
      <c r="C62" s="1">
        <f>IFERROR(__xludf.DUMMYFUNCTION("""COMPUTED_VALUE"""),21.85)</f>
        <v>21.85</v>
      </c>
      <c r="D62" s="1">
        <f>IFERROR(__xludf.DUMMYFUNCTION("""COMPUTED_VALUE"""),21.06)</f>
        <v>21.06</v>
      </c>
      <c r="E62" s="1">
        <f>IFERROR(__xludf.DUMMYFUNCTION("""COMPUTED_VALUE"""),21.53)</f>
        <v>21.53</v>
      </c>
      <c r="F62" s="1">
        <f>IFERROR(__xludf.DUMMYFUNCTION("""COMPUTED_VALUE"""),579414.0)</f>
        <v>579414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IFERROR(__xludf.DUMMYFUNCTION("""COMPUTED_VALUE"""),21.52)</f>
        <v>21.52</v>
      </c>
      <c r="C63" s="1">
        <f>IFERROR(__xludf.DUMMYFUNCTION("""COMPUTED_VALUE"""),21.88)</f>
        <v>21.88</v>
      </c>
      <c r="D63" s="1">
        <f>IFERROR(__xludf.DUMMYFUNCTION("""COMPUTED_VALUE"""),21.43)</f>
        <v>21.43</v>
      </c>
      <c r="E63" s="1">
        <f>IFERROR(__xludf.DUMMYFUNCTION("""COMPUTED_VALUE"""),21.83)</f>
        <v>21.83</v>
      </c>
      <c r="F63" s="1">
        <f>IFERROR(__xludf.DUMMYFUNCTION("""COMPUTED_VALUE"""),402657.0)</f>
        <v>402657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IFERROR(__xludf.DUMMYFUNCTION("""COMPUTED_VALUE"""),21.77)</f>
        <v>21.77</v>
      </c>
      <c r="C64" s="1">
        <f>IFERROR(__xludf.DUMMYFUNCTION("""COMPUTED_VALUE"""),21.99)</f>
        <v>21.99</v>
      </c>
      <c r="D64" s="1">
        <f>IFERROR(__xludf.DUMMYFUNCTION("""COMPUTED_VALUE"""),21.76)</f>
        <v>21.76</v>
      </c>
      <c r="E64" s="1">
        <f>IFERROR(__xludf.DUMMYFUNCTION("""COMPUTED_VALUE"""),21.92)</f>
        <v>21.92</v>
      </c>
      <c r="F64" s="1">
        <f>IFERROR(__xludf.DUMMYFUNCTION("""COMPUTED_VALUE"""),224267.0)</f>
        <v>224267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IFERROR(__xludf.DUMMYFUNCTION("""COMPUTED_VALUE"""),21.93)</f>
        <v>21.93</v>
      </c>
      <c r="C65" s="1">
        <f>IFERROR(__xludf.DUMMYFUNCTION("""COMPUTED_VALUE"""),21.97)</f>
        <v>21.97</v>
      </c>
      <c r="D65" s="1">
        <f>IFERROR(__xludf.DUMMYFUNCTION("""COMPUTED_VALUE"""),21.81)</f>
        <v>21.81</v>
      </c>
      <c r="E65" s="1">
        <f>IFERROR(__xludf.DUMMYFUNCTION("""COMPUTED_VALUE"""),21.85)</f>
        <v>21.85</v>
      </c>
      <c r="F65" s="1">
        <f>IFERROR(__xludf.DUMMYFUNCTION("""COMPUTED_VALUE"""),195605.0)</f>
        <v>195605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IFERROR(__xludf.DUMMYFUNCTION("""COMPUTED_VALUE"""),21.94)</f>
        <v>21.94</v>
      </c>
      <c r="C66" s="1">
        <f>IFERROR(__xludf.DUMMYFUNCTION("""COMPUTED_VALUE"""),21.94)</f>
        <v>21.94</v>
      </c>
      <c r="D66" s="1">
        <f>IFERROR(__xludf.DUMMYFUNCTION("""COMPUTED_VALUE"""),21.46)</f>
        <v>21.46</v>
      </c>
      <c r="E66" s="1">
        <f>IFERROR(__xludf.DUMMYFUNCTION("""COMPUTED_VALUE"""),21.65)</f>
        <v>21.65</v>
      </c>
      <c r="F66" s="1">
        <f>IFERROR(__xludf.DUMMYFUNCTION("""COMPUTED_VALUE"""),235476.0)</f>
        <v>235476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IFERROR(__xludf.DUMMYFUNCTION("""COMPUTED_VALUE"""),21.56)</f>
        <v>21.56</v>
      </c>
      <c r="C67" s="1">
        <f>IFERROR(__xludf.DUMMYFUNCTION("""COMPUTED_VALUE"""),21.58)</f>
        <v>21.58</v>
      </c>
      <c r="D67" s="1">
        <f>IFERROR(__xludf.DUMMYFUNCTION("""COMPUTED_VALUE"""),21.32)</f>
        <v>21.32</v>
      </c>
      <c r="E67" s="1">
        <f>IFERROR(__xludf.DUMMYFUNCTION("""COMPUTED_VALUE"""),21.52)</f>
        <v>21.52</v>
      </c>
      <c r="F67" s="1">
        <f>IFERROR(__xludf.DUMMYFUNCTION("""COMPUTED_VALUE"""),124495.0)</f>
        <v>124495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IFERROR(__xludf.DUMMYFUNCTION("""COMPUTED_VALUE"""),21.58)</f>
        <v>21.58</v>
      </c>
      <c r="C68" s="1">
        <f>IFERROR(__xludf.DUMMYFUNCTION("""COMPUTED_VALUE"""),21.95)</f>
        <v>21.95</v>
      </c>
      <c r="D68" s="1">
        <f>IFERROR(__xludf.DUMMYFUNCTION("""COMPUTED_VALUE"""),21.5)</f>
        <v>21.5</v>
      </c>
      <c r="E68" s="1">
        <f>IFERROR(__xludf.DUMMYFUNCTION("""COMPUTED_VALUE"""),21.67)</f>
        <v>21.67</v>
      </c>
      <c r="F68" s="1">
        <f>IFERROR(__xludf.DUMMYFUNCTION("""COMPUTED_VALUE"""),155596.0)</f>
        <v>155596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IFERROR(__xludf.DUMMYFUNCTION("""COMPUTED_VALUE"""),21.58)</f>
        <v>21.58</v>
      </c>
      <c r="C69" s="1">
        <f>IFERROR(__xludf.DUMMYFUNCTION("""COMPUTED_VALUE"""),21.91)</f>
        <v>21.91</v>
      </c>
      <c r="D69" s="1">
        <f>IFERROR(__xludf.DUMMYFUNCTION("""COMPUTED_VALUE"""),21.56)</f>
        <v>21.56</v>
      </c>
      <c r="E69" s="1">
        <f>IFERROR(__xludf.DUMMYFUNCTION("""COMPUTED_VALUE"""),21.82)</f>
        <v>21.82</v>
      </c>
      <c r="F69" s="1">
        <f>IFERROR(__xludf.DUMMYFUNCTION("""COMPUTED_VALUE"""),117575.0)</f>
        <v>117575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IFERROR(__xludf.DUMMYFUNCTION("""COMPUTED_VALUE"""),21.72)</f>
        <v>21.72</v>
      </c>
      <c r="C70" s="1">
        <f>IFERROR(__xludf.DUMMYFUNCTION("""COMPUTED_VALUE"""),21.91)</f>
        <v>21.91</v>
      </c>
      <c r="D70" s="1">
        <f>IFERROR(__xludf.DUMMYFUNCTION("""COMPUTED_VALUE"""),21.52)</f>
        <v>21.52</v>
      </c>
      <c r="E70" s="1">
        <f>IFERROR(__xludf.DUMMYFUNCTION("""COMPUTED_VALUE"""),21.63)</f>
        <v>21.63</v>
      </c>
      <c r="F70" s="1">
        <f>IFERROR(__xludf.DUMMYFUNCTION("""COMPUTED_VALUE"""),144744.0)</f>
        <v>144744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IFERROR(__xludf.DUMMYFUNCTION("""COMPUTED_VALUE"""),21.71)</f>
        <v>21.71</v>
      </c>
      <c r="C71" s="1">
        <f>IFERROR(__xludf.DUMMYFUNCTION("""COMPUTED_VALUE"""),22.53)</f>
        <v>22.53</v>
      </c>
      <c r="D71" s="1">
        <f>IFERROR(__xludf.DUMMYFUNCTION("""COMPUTED_VALUE"""),21.69)</f>
        <v>21.69</v>
      </c>
      <c r="E71" s="1">
        <f>IFERROR(__xludf.DUMMYFUNCTION("""COMPUTED_VALUE"""),22.3)</f>
        <v>22.3</v>
      </c>
      <c r="F71" s="1">
        <f>IFERROR(__xludf.DUMMYFUNCTION("""COMPUTED_VALUE"""),420810.0)</f>
        <v>420810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IFERROR(__xludf.DUMMYFUNCTION("""COMPUTED_VALUE"""),22.09)</f>
        <v>22.09</v>
      </c>
      <c r="C72" s="1">
        <f>IFERROR(__xludf.DUMMYFUNCTION("""COMPUTED_VALUE"""),22.88)</f>
        <v>22.88</v>
      </c>
      <c r="D72" s="1">
        <f>IFERROR(__xludf.DUMMYFUNCTION("""COMPUTED_VALUE"""),21.97)</f>
        <v>21.97</v>
      </c>
      <c r="E72" s="1">
        <f>IFERROR(__xludf.DUMMYFUNCTION("""COMPUTED_VALUE"""),22.75)</f>
        <v>22.75</v>
      </c>
      <c r="F72" s="1">
        <f>IFERROR(__xludf.DUMMYFUNCTION("""COMPUTED_VALUE"""),399380.0)</f>
        <v>399380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IFERROR(__xludf.DUMMYFUNCTION("""COMPUTED_VALUE"""),22.52)</f>
        <v>22.52</v>
      </c>
      <c r="C73" s="1">
        <f>IFERROR(__xludf.DUMMYFUNCTION("""COMPUTED_VALUE"""),22.8)</f>
        <v>22.8</v>
      </c>
      <c r="D73" s="1">
        <f>IFERROR(__xludf.DUMMYFUNCTION("""COMPUTED_VALUE"""),22.41)</f>
        <v>22.41</v>
      </c>
      <c r="E73" s="1">
        <f>IFERROR(__xludf.DUMMYFUNCTION("""COMPUTED_VALUE"""),22.46)</f>
        <v>22.46</v>
      </c>
      <c r="F73" s="1">
        <f>IFERROR(__xludf.DUMMYFUNCTION("""COMPUTED_VALUE"""),288344.0)</f>
        <v>288344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IFERROR(__xludf.DUMMYFUNCTION("""COMPUTED_VALUE"""),22.35)</f>
        <v>22.35</v>
      </c>
      <c r="C74" s="1">
        <f>IFERROR(__xludf.DUMMYFUNCTION("""COMPUTED_VALUE"""),22.44)</f>
        <v>22.44</v>
      </c>
      <c r="D74" s="1">
        <f>IFERROR(__xludf.DUMMYFUNCTION("""COMPUTED_VALUE"""),22.1)</f>
        <v>22.1</v>
      </c>
      <c r="E74" s="1">
        <f>IFERROR(__xludf.DUMMYFUNCTION("""COMPUTED_VALUE"""),22.4)</f>
        <v>22.4</v>
      </c>
      <c r="F74" s="1">
        <f>IFERROR(__xludf.DUMMYFUNCTION("""COMPUTED_VALUE"""),182404.0)</f>
        <v>182404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IFERROR(__xludf.DUMMYFUNCTION("""COMPUTED_VALUE"""),22.51)</f>
        <v>22.51</v>
      </c>
      <c r="C75" s="1">
        <f>IFERROR(__xludf.DUMMYFUNCTION("""COMPUTED_VALUE"""),22.92)</f>
        <v>22.92</v>
      </c>
      <c r="D75" s="1">
        <f>IFERROR(__xludf.DUMMYFUNCTION("""COMPUTED_VALUE"""),22.41)</f>
        <v>22.41</v>
      </c>
      <c r="E75" s="1">
        <f>IFERROR(__xludf.DUMMYFUNCTION("""COMPUTED_VALUE"""),22.74)</f>
        <v>22.74</v>
      </c>
      <c r="F75" s="1">
        <f>IFERROR(__xludf.DUMMYFUNCTION("""COMPUTED_VALUE"""),370830.0)</f>
        <v>370830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IFERROR(__xludf.DUMMYFUNCTION("""COMPUTED_VALUE"""),22.54)</f>
        <v>22.54</v>
      </c>
      <c r="C76" s="1">
        <f>IFERROR(__xludf.DUMMYFUNCTION("""COMPUTED_VALUE"""),23.25)</f>
        <v>23.25</v>
      </c>
      <c r="D76" s="1">
        <f>IFERROR(__xludf.DUMMYFUNCTION("""COMPUTED_VALUE"""),22.45)</f>
        <v>22.45</v>
      </c>
      <c r="E76" s="1">
        <f>IFERROR(__xludf.DUMMYFUNCTION("""COMPUTED_VALUE"""),22.62)</f>
        <v>22.62</v>
      </c>
      <c r="F76" s="1">
        <f>IFERROR(__xludf.DUMMYFUNCTION("""COMPUTED_VALUE"""),380602.0)</f>
        <v>380602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IFERROR(__xludf.DUMMYFUNCTION("""COMPUTED_VALUE"""),22.44)</f>
        <v>22.44</v>
      </c>
      <c r="C77" s="1">
        <f>IFERROR(__xludf.DUMMYFUNCTION("""COMPUTED_VALUE"""),22.83)</f>
        <v>22.83</v>
      </c>
      <c r="D77" s="1">
        <f>IFERROR(__xludf.DUMMYFUNCTION("""COMPUTED_VALUE"""),22.44)</f>
        <v>22.44</v>
      </c>
      <c r="E77" s="1">
        <f>IFERROR(__xludf.DUMMYFUNCTION("""COMPUTED_VALUE"""),22.81)</f>
        <v>22.81</v>
      </c>
      <c r="F77" s="1">
        <f>IFERROR(__xludf.DUMMYFUNCTION("""COMPUTED_VALUE"""),172913.0)</f>
        <v>172913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IFERROR(__xludf.DUMMYFUNCTION("""COMPUTED_VALUE"""),22.9)</f>
        <v>22.9</v>
      </c>
      <c r="C78" s="1">
        <f>IFERROR(__xludf.DUMMYFUNCTION("""COMPUTED_VALUE"""),23.06)</f>
        <v>23.06</v>
      </c>
      <c r="D78" s="1">
        <f>IFERROR(__xludf.DUMMYFUNCTION("""COMPUTED_VALUE"""),22.78)</f>
        <v>22.78</v>
      </c>
      <c r="E78" s="1">
        <f>IFERROR(__xludf.DUMMYFUNCTION("""COMPUTED_VALUE"""),22.95)</f>
        <v>22.95</v>
      </c>
      <c r="F78" s="1">
        <f>IFERROR(__xludf.DUMMYFUNCTION("""COMPUTED_VALUE"""),219838.0)</f>
        <v>219838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IFERROR(__xludf.DUMMYFUNCTION("""COMPUTED_VALUE"""),22.9)</f>
        <v>22.9</v>
      </c>
      <c r="C79" s="1">
        <f>IFERROR(__xludf.DUMMYFUNCTION("""COMPUTED_VALUE"""),23.39)</f>
        <v>23.39</v>
      </c>
      <c r="D79" s="1">
        <f>IFERROR(__xludf.DUMMYFUNCTION("""COMPUTED_VALUE"""),22.72)</f>
        <v>22.72</v>
      </c>
      <c r="E79" s="1">
        <f>IFERROR(__xludf.DUMMYFUNCTION("""COMPUTED_VALUE"""),22.79)</f>
        <v>22.79</v>
      </c>
      <c r="F79" s="1">
        <f>IFERROR(__xludf.DUMMYFUNCTION("""COMPUTED_VALUE"""),313557.0)</f>
        <v>313557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IFERROR(__xludf.DUMMYFUNCTION("""COMPUTED_VALUE"""),22.77)</f>
        <v>22.77</v>
      </c>
      <c r="C80" s="1">
        <f>IFERROR(__xludf.DUMMYFUNCTION("""COMPUTED_VALUE"""),23.65)</f>
        <v>23.65</v>
      </c>
      <c r="D80" s="1">
        <f>IFERROR(__xludf.DUMMYFUNCTION("""COMPUTED_VALUE"""),22.77)</f>
        <v>22.77</v>
      </c>
      <c r="E80" s="1">
        <f>IFERROR(__xludf.DUMMYFUNCTION("""COMPUTED_VALUE"""),22.83)</f>
        <v>22.83</v>
      </c>
      <c r="F80" s="1">
        <f>IFERROR(__xludf.DUMMYFUNCTION("""COMPUTED_VALUE"""),445799.0)</f>
        <v>445799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IFERROR(__xludf.DUMMYFUNCTION("""COMPUTED_VALUE"""),22.85)</f>
        <v>22.85</v>
      </c>
      <c r="C81" s="1">
        <f>IFERROR(__xludf.DUMMYFUNCTION("""COMPUTED_VALUE"""),23.35)</f>
        <v>23.35</v>
      </c>
      <c r="D81" s="1">
        <f>IFERROR(__xludf.DUMMYFUNCTION("""COMPUTED_VALUE"""),22.66)</f>
        <v>22.66</v>
      </c>
      <c r="E81" s="1">
        <f>IFERROR(__xludf.DUMMYFUNCTION("""COMPUTED_VALUE"""),22.84)</f>
        <v>22.84</v>
      </c>
      <c r="F81" s="1">
        <f>IFERROR(__xludf.DUMMYFUNCTION("""COMPUTED_VALUE"""),209303.0)</f>
        <v>209303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IFERROR(__xludf.DUMMYFUNCTION("""COMPUTED_VALUE"""),22.95)</f>
        <v>22.95</v>
      </c>
      <c r="C82" s="1">
        <f>IFERROR(__xludf.DUMMYFUNCTION("""COMPUTED_VALUE"""),23.3)</f>
        <v>23.3</v>
      </c>
      <c r="D82" s="1">
        <f>IFERROR(__xludf.DUMMYFUNCTION("""COMPUTED_VALUE"""),22.84)</f>
        <v>22.84</v>
      </c>
      <c r="E82" s="1">
        <f>IFERROR(__xludf.DUMMYFUNCTION("""COMPUTED_VALUE"""),23.0)</f>
        <v>23</v>
      </c>
      <c r="F82" s="1">
        <f>IFERROR(__xludf.DUMMYFUNCTION("""COMPUTED_VALUE"""),236404.0)</f>
        <v>236404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IFERROR(__xludf.DUMMYFUNCTION("""COMPUTED_VALUE"""),23.16)</f>
        <v>23.16</v>
      </c>
      <c r="C83" s="1">
        <f>IFERROR(__xludf.DUMMYFUNCTION("""COMPUTED_VALUE"""),23.94)</f>
        <v>23.94</v>
      </c>
      <c r="D83" s="1">
        <f>IFERROR(__xludf.DUMMYFUNCTION("""COMPUTED_VALUE"""),22.92)</f>
        <v>22.92</v>
      </c>
      <c r="E83" s="1">
        <f>IFERROR(__xludf.DUMMYFUNCTION("""COMPUTED_VALUE"""),23.4)</f>
        <v>23.4</v>
      </c>
      <c r="F83" s="1">
        <f>IFERROR(__xludf.DUMMYFUNCTION("""COMPUTED_VALUE"""),559563.0)</f>
        <v>559563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IFERROR(__xludf.DUMMYFUNCTION("""COMPUTED_VALUE"""),23.38)</f>
        <v>23.38</v>
      </c>
      <c r="C84" s="1">
        <f>IFERROR(__xludf.DUMMYFUNCTION("""COMPUTED_VALUE"""),23.86)</f>
        <v>23.86</v>
      </c>
      <c r="D84" s="1">
        <f>IFERROR(__xludf.DUMMYFUNCTION("""COMPUTED_VALUE"""),23.04)</f>
        <v>23.04</v>
      </c>
      <c r="E84" s="1">
        <f>IFERROR(__xludf.DUMMYFUNCTION("""COMPUTED_VALUE"""),23.23)</f>
        <v>23.23</v>
      </c>
      <c r="F84" s="1">
        <f>IFERROR(__xludf.DUMMYFUNCTION("""COMPUTED_VALUE"""),729045.0)</f>
        <v>729045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IFERROR(__xludf.DUMMYFUNCTION("""COMPUTED_VALUE"""),22.39)</f>
        <v>22.39</v>
      </c>
      <c r="C85" s="1">
        <f>IFERROR(__xludf.DUMMYFUNCTION("""COMPUTED_VALUE"""),22.39)</f>
        <v>22.39</v>
      </c>
      <c r="D85" s="1">
        <f>IFERROR(__xludf.DUMMYFUNCTION("""COMPUTED_VALUE"""),21.65)</f>
        <v>21.65</v>
      </c>
      <c r="E85" s="1">
        <f>IFERROR(__xludf.DUMMYFUNCTION("""COMPUTED_VALUE"""),22.07)</f>
        <v>22.07</v>
      </c>
      <c r="F85" s="1">
        <f>IFERROR(__xludf.DUMMYFUNCTION("""COMPUTED_VALUE"""),1095369.0)</f>
        <v>1095369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IFERROR(__xludf.DUMMYFUNCTION("""COMPUTED_VALUE"""),22.4)</f>
        <v>22.4</v>
      </c>
      <c r="C86" s="1">
        <f>IFERROR(__xludf.DUMMYFUNCTION("""COMPUTED_VALUE"""),22.88)</f>
        <v>22.88</v>
      </c>
      <c r="D86" s="1">
        <f>IFERROR(__xludf.DUMMYFUNCTION("""COMPUTED_VALUE"""),21.62)</f>
        <v>21.62</v>
      </c>
      <c r="E86" s="1">
        <f>IFERROR(__xludf.DUMMYFUNCTION("""COMPUTED_VALUE"""),21.65)</f>
        <v>21.65</v>
      </c>
      <c r="F86" s="1">
        <f>IFERROR(__xludf.DUMMYFUNCTION("""COMPUTED_VALUE"""),692343.0)</f>
        <v>692343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IFERROR(__xludf.DUMMYFUNCTION("""COMPUTED_VALUE"""),21.62)</f>
        <v>21.62</v>
      </c>
      <c r="C87" s="1">
        <f>IFERROR(__xludf.DUMMYFUNCTION("""COMPUTED_VALUE"""),21.97)</f>
        <v>21.97</v>
      </c>
      <c r="D87" s="1">
        <f>IFERROR(__xludf.DUMMYFUNCTION("""COMPUTED_VALUE"""),20.5)</f>
        <v>20.5</v>
      </c>
      <c r="E87" s="1">
        <f>IFERROR(__xludf.DUMMYFUNCTION("""COMPUTED_VALUE"""),21.02)</f>
        <v>21.02</v>
      </c>
      <c r="F87" s="1">
        <f>IFERROR(__xludf.DUMMYFUNCTION("""COMPUTED_VALUE"""),500923.0)</f>
        <v>500923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IFERROR(__xludf.DUMMYFUNCTION("""COMPUTED_VALUE"""),21.14)</f>
        <v>21.14</v>
      </c>
      <c r="C88" s="1">
        <f>IFERROR(__xludf.DUMMYFUNCTION("""COMPUTED_VALUE"""),21.14)</f>
        <v>21.14</v>
      </c>
      <c r="D88" s="1">
        <f>IFERROR(__xludf.DUMMYFUNCTION("""COMPUTED_VALUE"""),20.23)</f>
        <v>20.23</v>
      </c>
      <c r="E88" s="1">
        <f>IFERROR(__xludf.DUMMYFUNCTION("""COMPUTED_VALUE"""),20.61)</f>
        <v>20.61</v>
      </c>
      <c r="F88" s="1">
        <f>IFERROR(__xludf.DUMMYFUNCTION("""COMPUTED_VALUE"""),1481988.0)</f>
        <v>1481988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IFERROR(__xludf.DUMMYFUNCTION("""COMPUTED_VALUE"""),21.78)</f>
        <v>21.78</v>
      </c>
      <c r="C89" s="1">
        <f>IFERROR(__xludf.DUMMYFUNCTION("""COMPUTED_VALUE"""),22.15)</f>
        <v>22.15</v>
      </c>
      <c r="D89" s="1">
        <f>IFERROR(__xludf.DUMMYFUNCTION("""COMPUTED_VALUE"""),21.21)</f>
        <v>21.21</v>
      </c>
      <c r="E89" s="1">
        <f>IFERROR(__xludf.DUMMYFUNCTION("""COMPUTED_VALUE"""),21.29)</f>
        <v>21.29</v>
      </c>
      <c r="F89" s="1">
        <f>IFERROR(__xludf.DUMMYFUNCTION("""COMPUTED_VALUE"""),403125.0)</f>
        <v>403125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IFERROR(__xludf.DUMMYFUNCTION("""COMPUTED_VALUE"""),21.29)</f>
        <v>21.29</v>
      </c>
      <c r="C90" s="1">
        <f>IFERROR(__xludf.DUMMYFUNCTION("""COMPUTED_VALUE"""),21.37)</f>
        <v>21.37</v>
      </c>
      <c r="D90" s="1">
        <f>IFERROR(__xludf.DUMMYFUNCTION("""COMPUTED_VALUE"""),21.06)</f>
        <v>21.06</v>
      </c>
      <c r="E90" s="1">
        <f>IFERROR(__xludf.DUMMYFUNCTION("""COMPUTED_VALUE"""),21.16)</f>
        <v>21.16</v>
      </c>
      <c r="F90" s="1">
        <f>IFERROR(__xludf.DUMMYFUNCTION("""COMPUTED_VALUE"""),367790.0)</f>
        <v>367790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IFERROR(__xludf.DUMMYFUNCTION("""COMPUTED_VALUE"""),21.24)</f>
        <v>21.24</v>
      </c>
      <c r="C91" s="1">
        <f>IFERROR(__xludf.DUMMYFUNCTION("""COMPUTED_VALUE"""),21.61)</f>
        <v>21.61</v>
      </c>
      <c r="D91" s="1">
        <f>IFERROR(__xludf.DUMMYFUNCTION("""COMPUTED_VALUE"""),21.06)</f>
        <v>21.06</v>
      </c>
      <c r="E91" s="1">
        <f>IFERROR(__xludf.DUMMYFUNCTION("""COMPUTED_VALUE"""),21.14)</f>
        <v>21.14</v>
      </c>
      <c r="F91" s="1">
        <f>IFERROR(__xludf.DUMMYFUNCTION("""COMPUTED_VALUE"""),636035.0)</f>
        <v>636035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IFERROR(__xludf.DUMMYFUNCTION("""COMPUTED_VALUE"""),21.15)</f>
        <v>21.15</v>
      </c>
      <c r="C92" s="1">
        <f>IFERROR(__xludf.DUMMYFUNCTION("""COMPUTED_VALUE"""),21.63)</f>
        <v>21.63</v>
      </c>
      <c r="D92" s="1">
        <f>IFERROR(__xludf.DUMMYFUNCTION("""COMPUTED_VALUE"""),21.11)</f>
        <v>21.11</v>
      </c>
      <c r="E92" s="1">
        <f>IFERROR(__xludf.DUMMYFUNCTION("""COMPUTED_VALUE"""),21.58)</f>
        <v>21.58</v>
      </c>
      <c r="F92" s="1">
        <f>IFERROR(__xludf.DUMMYFUNCTION("""COMPUTED_VALUE"""),380337.0)</f>
        <v>380337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IFERROR(__xludf.DUMMYFUNCTION("""COMPUTED_VALUE"""),21.51)</f>
        <v>21.51</v>
      </c>
      <c r="C93" s="1">
        <f>IFERROR(__xludf.DUMMYFUNCTION("""COMPUTED_VALUE"""),21.64)</f>
        <v>21.64</v>
      </c>
      <c r="D93" s="1">
        <f>IFERROR(__xludf.DUMMYFUNCTION("""COMPUTED_VALUE"""),20.88)</f>
        <v>20.88</v>
      </c>
      <c r="E93" s="1">
        <f>IFERROR(__xludf.DUMMYFUNCTION("""COMPUTED_VALUE"""),21.06)</f>
        <v>21.06</v>
      </c>
      <c r="F93" s="1">
        <f>IFERROR(__xludf.DUMMYFUNCTION("""COMPUTED_VALUE"""),240091.0)</f>
        <v>240091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IFERROR(__xludf.DUMMYFUNCTION("""COMPUTED_VALUE"""),21.13)</f>
        <v>21.13</v>
      </c>
      <c r="C94" s="1">
        <f>IFERROR(__xludf.DUMMYFUNCTION("""COMPUTED_VALUE"""),21.16)</f>
        <v>21.16</v>
      </c>
      <c r="D94" s="1">
        <f>IFERROR(__xludf.DUMMYFUNCTION("""COMPUTED_VALUE"""),20.83)</f>
        <v>20.83</v>
      </c>
      <c r="E94" s="1">
        <f>IFERROR(__xludf.DUMMYFUNCTION("""COMPUTED_VALUE"""),21.16)</f>
        <v>21.16</v>
      </c>
      <c r="F94" s="1">
        <f>IFERROR(__xludf.DUMMYFUNCTION("""COMPUTED_VALUE"""),257184.0)</f>
        <v>257184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IFERROR(__xludf.DUMMYFUNCTION("""COMPUTED_VALUE"""),21.28)</f>
        <v>21.28</v>
      </c>
      <c r="C95" s="1">
        <f>IFERROR(__xludf.DUMMYFUNCTION("""COMPUTED_VALUE"""),21.43)</f>
        <v>21.43</v>
      </c>
      <c r="D95" s="1">
        <f>IFERROR(__xludf.DUMMYFUNCTION("""COMPUTED_VALUE"""),20.53)</f>
        <v>20.53</v>
      </c>
      <c r="E95" s="1">
        <f>IFERROR(__xludf.DUMMYFUNCTION("""COMPUTED_VALUE"""),20.59)</f>
        <v>20.59</v>
      </c>
      <c r="F95" s="1">
        <f>IFERROR(__xludf.DUMMYFUNCTION("""COMPUTED_VALUE"""),675053.0)</f>
        <v>675053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IFERROR(__xludf.DUMMYFUNCTION("""COMPUTED_VALUE"""),20.66)</f>
        <v>20.66</v>
      </c>
      <c r="C96" s="1">
        <f>IFERROR(__xludf.DUMMYFUNCTION("""COMPUTED_VALUE"""),20.68)</f>
        <v>20.68</v>
      </c>
      <c r="D96" s="1">
        <f>IFERROR(__xludf.DUMMYFUNCTION("""COMPUTED_VALUE"""),20.15)</f>
        <v>20.15</v>
      </c>
      <c r="E96" s="1">
        <f>IFERROR(__xludf.DUMMYFUNCTION("""COMPUTED_VALUE"""),20.6)</f>
        <v>20.6</v>
      </c>
      <c r="F96" s="1">
        <f>IFERROR(__xludf.DUMMYFUNCTION("""COMPUTED_VALUE"""),533945.0)</f>
        <v>533945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IFERROR(__xludf.DUMMYFUNCTION("""COMPUTED_VALUE"""),20.21)</f>
        <v>20.21</v>
      </c>
      <c r="C97" s="1">
        <f>IFERROR(__xludf.DUMMYFUNCTION("""COMPUTED_VALUE"""),20.41)</f>
        <v>20.41</v>
      </c>
      <c r="D97" s="1">
        <f>IFERROR(__xludf.DUMMYFUNCTION("""COMPUTED_VALUE"""),19.8)</f>
        <v>19.8</v>
      </c>
      <c r="E97" s="1">
        <f>IFERROR(__xludf.DUMMYFUNCTION("""COMPUTED_VALUE"""),20.3)</f>
        <v>20.3</v>
      </c>
      <c r="F97" s="1">
        <f>IFERROR(__xludf.DUMMYFUNCTION("""COMPUTED_VALUE"""),744216.0)</f>
        <v>744216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IFERROR(__xludf.DUMMYFUNCTION("""COMPUTED_VALUE"""),20.19)</f>
        <v>20.19</v>
      </c>
      <c r="C98" s="1">
        <f>IFERROR(__xludf.DUMMYFUNCTION("""COMPUTED_VALUE"""),20.97)</f>
        <v>20.97</v>
      </c>
      <c r="D98" s="1">
        <f>IFERROR(__xludf.DUMMYFUNCTION("""COMPUTED_VALUE"""),20.07)</f>
        <v>20.07</v>
      </c>
      <c r="E98" s="1">
        <f>IFERROR(__xludf.DUMMYFUNCTION("""COMPUTED_VALUE"""),20.4)</f>
        <v>20.4</v>
      </c>
      <c r="F98" s="1">
        <f>IFERROR(__xludf.DUMMYFUNCTION("""COMPUTED_VALUE"""),457956.0)</f>
        <v>457956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IFERROR(__xludf.DUMMYFUNCTION("""COMPUTED_VALUE"""),20.32)</f>
        <v>20.32</v>
      </c>
      <c r="C99" s="1">
        <f>IFERROR(__xludf.DUMMYFUNCTION("""COMPUTED_VALUE"""),20.51)</f>
        <v>20.51</v>
      </c>
      <c r="D99" s="1">
        <f>IFERROR(__xludf.DUMMYFUNCTION("""COMPUTED_VALUE"""),20.27)</f>
        <v>20.27</v>
      </c>
      <c r="E99" s="1">
        <f>IFERROR(__xludf.DUMMYFUNCTION("""COMPUTED_VALUE"""),20.3)</f>
        <v>20.3</v>
      </c>
      <c r="F99" s="1">
        <f>IFERROR(__xludf.DUMMYFUNCTION("""COMPUTED_VALUE"""),226634.0)</f>
        <v>226634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IFERROR(__xludf.DUMMYFUNCTION("""COMPUTED_VALUE"""),19.81)</f>
        <v>19.81</v>
      </c>
      <c r="C100" s="1">
        <f>IFERROR(__xludf.DUMMYFUNCTION("""COMPUTED_VALUE"""),20.25)</f>
        <v>20.25</v>
      </c>
      <c r="D100" s="1">
        <f>IFERROR(__xludf.DUMMYFUNCTION("""COMPUTED_VALUE"""),19.68)</f>
        <v>19.68</v>
      </c>
      <c r="E100" s="1">
        <f>IFERROR(__xludf.DUMMYFUNCTION("""COMPUTED_VALUE"""),20.05)</f>
        <v>20.05</v>
      </c>
      <c r="F100" s="1">
        <f>IFERROR(__xludf.DUMMYFUNCTION("""COMPUTED_VALUE"""),579296.0)</f>
        <v>579296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IFERROR(__xludf.DUMMYFUNCTION("""COMPUTED_VALUE"""),20.29)</f>
        <v>20.29</v>
      </c>
      <c r="C101" s="1">
        <f>IFERROR(__xludf.DUMMYFUNCTION("""COMPUTED_VALUE"""),20.43)</f>
        <v>20.43</v>
      </c>
      <c r="D101" s="1">
        <f>IFERROR(__xludf.DUMMYFUNCTION("""COMPUTED_VALUE"""),19.93)</f>
        <v>19.93</v>
      </c>
      <c r="E101" s="1">
        <f>IFERROR(__xludf.DUMMYFUNCTION("""COMPUTED_VALUE"""),19.94)</f>
        <v>19.94</v>
      </c>
      <c r="F101" s="1">
        <f>IFERROR(__xludf.DUMMYFUNCTION("""COMPUTED_VALUE"""),264756.0)</f>
        <v>264756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IFERROR(__xludf.DUMMYFUNCTION("""COMPUTED_VALUE"""),20.14)</f>
        <v>20.14</v>
      </c>
      <c r="C102" s="1">
        <f>IFERROR(__xludf.DUMMYFUNCTION("""COMPUTED_VALUE"""),20.42)</f>
        <v>20.42</v>
      </c>
      <c r="D102" s="1">
        <f>IFERROR(__xludf.DUMMYFUNCTION("""COMPUTED_VALUE"""),20.01)</f>
        <v>20.01</v>
      </c>
      <c r="E102" s="1">
        <f>IFERROR(__xludf.DUMMYFUNCTION("""COMPUTED_VALUE"""),20.14)</f>
        <v>20.14</v>
      </c>
      <c r="F102" s="1">
        <f>IFERROR(__xludf.DUMMYFUNCTION("""COMPUTED_VALUE"""),338982.0)</f>
        <v>338982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IFERROR(__xludf.DUMMYFUNCTION("""COMPUTED_VALUE"""),20.13)</f>
        <v>20.13</v>
      </c>
      <c r="C103" s="1">
        <f>IFERROR(__xludf.DUMMYFUNCTION("""COMPUTED_VALUE"""),20.63)</f>
        <v>20.63</v>
      </c>
      <c r="D103" s="1">
        <f>IFERROR(__xludf.DUMMYFUNCTION("""COMPUTED_VALUE"""),20.07)</f>
        <v>20.07</v>
      </c>
      <c r="E103" s="1">
        <f>IFERROR(__xludf.DUMMYFUNCTION("""COMPUTED_VALUE"""),20.38)</f>
        <v>20.38</v>
      </c>
      <c r="F103" s="1">
        <f>IFERROR(__xludf.DUMMYFUNCTION("""COMPUTED_VALUE"""),358616.0)</f>
        <v>358616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IFERROR(__xludf.DUMMYFUNCTION("""COMPUTED_VALUE"""),20.23)</f>
        <v>20.23</v>
      </c>
      <c r="C104" s="1">
        <f>IFERROR(__xludf.DUMMYFUNCTION("""COMPUTED_VALUE"""),20.76)</f>
        <v>20.76</v>
      </c>
      <c r="D104" s="1">
        <f>IFERROR(__xludf.DUMMYFUNCTION("""COMPUTED_VALUE"""),20.1)</f>
        <v>20.1</v>
      </c>
      <c r="E104" s="1">
        <f>IFERROR(__xludf.DUMMYFUNCTION("""COMPUTED_VALUE"""),20.12)</f>
        <v>20.12</v>
      </c>
      <c r="F104" s="1">
        <f>IFERROR(__xludf.DUMMYFUNCTION("""COMPUTED_VALUE"""),540973.0)</f>
        <v>540973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IFERROR(__xludf.DUMMYFUNCTION("""COMPUTED_VALUE"""),20.27)</f>
        <v>20.27</v>
      </c>
      <c r="C105" s="1">
        <f>IFERROR(__xludf.DUMMYFUNCTION("""COMPUTED_VALUE"""),20.29)</f>
        <v>20.29</v>
      </c>
      <c r="D105" s="1">
        <f>IFERROR(__xludf.DUMMYFUNCTION("""COMPUTED_VALUE"""),19.95)</f>
        <v>19.95</v>
      </c>
      <c r="E105" s="1">
        <f>IFERROR(__xludf.DUMMYFUNCTION("""COMPUTED_VALUE"""),20.29)</f>
        <v>20.29</v>
      </c>
      <c r="F105" s="1">
        <f>IFERROR(__xludf.DUMMYFUNCTION("""COMPUTED_VALUE"""),455458.0)</f>
        <v>455458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IFERROR(__xludf.DUMMYFUNCTION("""COMPUTED_VALUE"""),20.4)</f>
        <v>20.4</v>
      </c>
      <c r="C106" s="1">
        <f>IFERROR(__xludf.DUMMYFUNCTION("""COMPUTED_VALUE"""),20.63)</f>
        <v>20.63</v>
      </c>
      <c r="D106" s="1">
        <f>IFERROR(__xludf.DUMMYFUNCTION("""COMPUTED_VALUE"""),20.32)</f>
        <v>20.32</v>
      </c>
      <c r="E106" s="1">
        <f>IFERROR(__xludf.DUMMYFUNCTION("""COMPUTED_VALUE"""),20.44)</f>
        <v>20.44</v>
      </c>
      <c r="F106" s="1">
        <f>IFERROR(__xludf.DUMMYFUNCTION("""COMPUTED_VALUE"""),292587.0)</f>
        <v>292587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IFERROR(__xludf.DUMMYFUNCTION("""COMPUTED_VALUE"""),20.14)</f>
        <v>20.14</v>
      </c>
      <c r="C107" s="1">
        <f>IFERROR(__xludf.DUMMYFUNCTION("""COMPUTED_VALUE"""),20.25)</f>
        <v>20.25</v>
      </c>
      <c r="D107" s="1">
        <f>IFERROR(__xludf.DUMMYFUNCTION("""COMPUTED_VALUE"""),19.81)</f>
        <v>19.81</v>
      </c>
      <c r="E107" s="1">
        <f>IFERROR(__xludf.DUMMYFUNCTION("""COMPUTED_VALUE"""),19.85)</f>
        <v>19.85</v>
      </c>
      <c r="F107" s="1">
        <f>IFERROR(__xludf.DUMMYFUNCTION("""COMPUTED_VALUE"""),279602.0)</f>
        <v>279602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IFERROR(__xludf.DUMMYFUNCTION("""COMPUTED_VALUE"""),19.85)</f>
        <v>19.85</v>
      </c>
      <c r="C108" s="1">
        <f>IFERROR(__xludf.DUMMYFUNCTION("""COMPUTED_VALUE"""),19.96)</f>
        <v>19.96</v>
      </c>
      <c r="D108" s="1">
        <f>IFERROR(__xludf.DUMMYFUNCTION("""COMPUTED_VALUE"""),19.65)</f>
        <v>19.65</v>
      </c>
      <c r="E108" s="1">
        <f>IFERROR(__xludf.DUMMYFUNCTION("""COMPUTED_VALUE"""),19.73)</f>
        <v>19.73</v>
      </c>
      <c r="F108" s="1">
        <f>IFERROR(__xludf.DUMMYFUNCTION("""COMPUTED_VALUE"""),551662.0)</f>
        <v>551662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IFERROR(__xludf.DUMMYFUNCTION("""COMPUTED_VALUE"""),19.87)</f>
        <v>19.87</v>
      </c>
      <c r="C109" s="1">
        <f>IFERROR(__xludf.DUMMYFUNCTION("""COMPUTED_VALUE"""),20.19)</f>
        <v>20.19</v>
      </c>
      <c r="D109" s="1">
        <f>IFERROR(__xludf.DUMMYFUNCTION("""COMPUTED_VALUE"""),19.71)</f>
        <v>19.71</v>
      </c>
      <c r="E109" s="1">
        <f>IFERROR(__xludf.DUMMYFUNCTION("""COMPUTED_VALUE"""),20.15)</f>
        <v>20.15</v>
      </c>
      <c r="F109" s="1">
        <f>IFERROR(__xludf.DUMMYFUNCTION("""COMPUTED_VALUE"""),289548.0)</f>
        <v>289548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IFERROR(__xludf.DUMMYFUNCTION("""COMPUTED_VALUE"""),20.14)</f>
        <v>20.14</v>
      </c>
      <c r="C110" s="1">
        <f>IFERROR(__xludf.DUMMYFUNCTION("""COMPUTED_VALUE"""),20.68)</f>
        <v>20.68</v>
      </c>
      <c r="D110" s="1">
        <f>IFERROR(__xludf.DUMMYFUNCTION("""COMPUTED_VALUE"""),20.14)</f>
        <v>20.14</v>
      </c>
      <c r="E110" s="1">
        <f>IFERROR(__xludf.DUMMYFUNCTION("""COMPUTED_VALUE"""),20.46)</f>
        <v>20.46</v>
      </c>
      <c r="F110" s="1">
        <f>IFERROR(__xludf.DUMMYFUNCTION("""COMPUTED_VALUE"""),258914.0)</f>
        <v>258914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IFERROR(__xludf.DUMMYFUNCTION("""COMPUTED_VALUE"""),20.59)</f>
        <v>20.59</v>
      </c>
      <c r="C111" s="1">
        <f>IFERROR(__xludf.DUMMYFUNCTION("""COMPUTED_VALUE"""),20.86)</f>
        <v>20.86</v>
      </c>
      <c r="D111" s="1">
        <f>IFERROR(__xludf.DUMMYFUNCTION("""COMPUTED_VALUE"""),20.18)</f>
        <v>20.18</v>
      </c>
      <c r="E111" s="1">
        <f>IFERROR(__xludf.DUMMYFUNCTION("""COMPUTED_VALUE"""),20.76)</f>
        <v>20.76</v>
      </c>
      <c r="F111" s="1">
        <f>IFERROR(__xludf.DUMMYFUNCTION("""COMPUTED_VALUE"""),365836.0)</f>
        <v>365836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IFERROR(__xludf.DUMMYFUNCTION("""COMPUTED_VALUE"""),20.53)</f>
        <v>20.53</v>
      </c>
      <c r="C112" s="1">
        <f>IFERROR(__xludf.DUMMYFUNCTION("""COMPUTED_VALUE"""),21.15)</f>
        <v>21.15</v>
      </c>
      <c r="D112" s="1">
        <f>IFERROR(__xludf.DUMMYFUNCTION("""COMPUTED_VALUE"""),20.53)</f>
        <v>20.53</v>
      </c>
      <c r="E112" s="1">
        <f>IFERROR(__xludf.DUMMYFUNCTION("""COMPUTED_VALUE"""),21.03)</f>
        <v>21.03</v>
      </c>
      <c r="F112" s="1">
        <f>IFERROR(__xludf.DUMMYFUNCTION("""COMPUTED_VALUE"""),253862.0)</f>
        <v>253862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IFERROR(__xludf.DUMMYFUNCTION("""COMPUTED_VALUE"""),21.03)</f>
        <v>21.03</v>
      </c>
      <c r="C113" s="1">
        <f>IFERROR(__xludf.DUMMYFUNCTION("""COMPUTED_VALUE"""),21.3)</f>
        <v>21.3</v>
      </c>
      <c r="D113" s="1">
        <f>IFERROR(__xludf.DUMMYFUNCTION("""COMPUTED_VALUE"""),20.96)</f>
        <v>20.96</v>
      </c>
      <c r="E113" s="1">
        <f>IFERROR(__xludf.DUMMYFUNCTION("""COMPUTED_VALUE"""),20.99)</f>
        <v>20.99</v>
      </c>
      <c r="F113" s="1">
        <f>IFERROR(__xludf.DUMMYFUNCTION("""COMPUTED_VALUE"""),112837.0)</f>
        <v>112837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IFERROR(__xludf.DUMMYFUNCTION("""COMPUTED_VALUE"""),21.16)</f>
        <v>21.16</v>
      </c>
      <c r="C114" s="1">
        <f>IFERROR(__xludf.DUMMYFUNCTION("""COMPUTED_VALUE"""),21.2)</f>
        <v>21.2</v>
      </c>
      <c r="D114" s="1">
        <f>IFERROR(__xludf.DUMMYFUNCTION("""COMPUTED_VALUE"""),20.88)</f>
        <v>20.88</v>
      </c>
      <c r="E114" s="1">
        <f>IFERROR(__xludf.DUMMYFUNCTION("""COMPUTED_VALUE"""),20.99)</f>
        <v>20.99</v>
      </c>
      <c r="F114" s="1">
        <f>IFERROR(__xludf.DUMMYFUNCTION("""COMPUTED_VALUE"""),146785.0)</f>
        <v>146785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IFERROR(__xludf.DUMMYFUNCTION("""COMPUTED_VALUE"""),20.92)</f>
        <v>20.92</v>
      </c>
      <c r="C115" s="1">
        <f>IFERROR(__xludf.DUMMYFUNCTION("""COMPUTED_VALUE"""),21.08)</f>
        <v>21.08</v>
      </c>
      <c r="D115" s="1">
        <f>IFERROR(__xludf.DUMMYFUNCTION("""COMPUTED_VALUE"""),20.73)</f>
        <v>20.73</v>
      </c>
      <c r="E115" s="1">
        <f>IFERROR(__xludf.DUMMYFUNCTION("""COMPUTED_VALUE"""),20.78)</f>
        <v>20.78</v>
      </c>
      <c r="F115" s="1">
        <f>IFERROR(__xludf.DUMMYFUNCTION("""COMPUTED_VALUE"""),273341.0)</f>
        <v>273341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IFERROR(__xludf.DUMMYFUNCTION("""COMPUTED_VALUE"""),20.8)</f>
        <v>20.8</v>
      </c>
      <c r="C116" s="1">
        <f>IFERROR(__xludf.DUMMYFUNCTION("""COMPUTED_VALUE"""),20.86)</f>
        <v>20.86</v>
      </c>
      <c r="D116" s="1">
        <f>IFERROR(__xludf.DUMMYFUNCTION("""COMPUTED_VALUE"""),20.6)</f>
        <v>20.6</v>
      </c>
      <c r="E116" s="1">
        <f>IFERROR(__xludf.DUMMYFUNCTION("""COMPUTED_VALUE"""),20.75)</f>
        <v>20.75</v>
      </c>
      <c r="F116" s="1">
        <f>IFERROR(__xludf.DUMMYFUNCTION("""COMPUTED_VALUE"""),204161.0)</f>
        <v>204161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IFERROR(__xludf.DUMMYFUNCTION("""COMPUTED_VALUE"""),20.78)</f>
        <v>20.78</v>
      </c>
      <c r="C117" s="1">
        <f>IFERROR(__xludf.DUMMYFUNCTION("""COMPUTED_VALUE"""),20.87)</f>
        <v>20.87</v>
      </c>
      <c r="D117" s="1">
        <f>IFERROR(__xludf.DUMMYFUNCTION("""COMPUTED_VALUE"""),20.39)</f>
        <v>20.39</v>
      </c>
      <c r="E117" s="1">
        <f>IFERROR(__xludf.DUMMYFUNCTION("""COMPUTED_VALUE"""),20.48)</f>
        <v>20.48</v>
      </c>
      <c r="F117" s="1">
        <f>IFERROR(__xludf.DUMMYFUNCTION("""COMPUTED_VALUE"""),267615.0)</f>
        <v>267615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IFERROR(__xludf.DUMMYFUNCTION("""COMPUTED_VALUE"""),20.65)</f>
        <v>20.65</v>
      </c>
      <c r="C118" s="1">
        <f>IFERROR(__xludf.DUMMYFUNCTION("""COMPUTED_VALUE"""),20.75)</f>
        <v>20.75</v>
      </c>
      <c r="D118" s="1">
        <f>IFERROR(__xludf.DUMMYFUNCTION("""COMPUTED_VALUE"""),19.99)</f>
        <v>19.99</v>
      </c>
      <c r="E118" s="1">
        <f>IFERROR(__xludf.DUMMYFUNCTION("""COMPUTED_VALUE"""),20.06)</f>
        <v>20.06</v>
      </c>
      <c r="F118" s="1">
        <f>IFERROR(__xludf.DUMMYFUNCTION("""COMPUTED_VALUE"""),449068.0)</f>
        <v>449068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IFERROR(__xludf.DUMMYFUNCTION("""COMPUTED_VALUE"""),20.14)</f>
        <v>20.14</v>
      </c>
      <c r="C119" s="1">
        <f>IFERROR(__xludf.DUMMYFUNCTION("""COMPUTED_VALUE"""),20.22)</f>
        <v>20.22</v>
      </c>
      <c r="D119" s="1">
        <f>IFERROR(__xludf.DUMMYFUNCTION("""COMPUTED_VALUE"""),19.86)</f>
        <v>19.86</v>
      </c>
      <c r="E119" s="1">
        <f>IFERROR(__xludf.DUMMYFUNCTION("""COMPUTED_VALUE"""),19.92)</f>
        <v>19.92</v>
      </c>
      <c r="F119" s="1">
        <f>IFERROR(__xludf.DUMMYFUNCTION("""COMPUTED_VALUE"""),334606.0)</f>
        <v>334606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IFERROR(__xludf.DUMMYFUNCTION("""COMPUTED_VALUE"""),20.06)</f>
        <v>20.06</v>
      </c>
      <c r="C120" s="1">
        <f>IFERROR(__xludf.DUMMYFUNCTION("""COMPUTED_VALUE"""),20.06)</f>
        <v>20.06</v>
      </c>
      <c r="D120" s="1">
        <f>IFERROR(__xludf.DUMMYFUNCTION("""COMPUTED_VALUE"""),19.5)</f>
        <v>19.5</v>
      </c>
      <c r="E120" s="1">
        <f>IFERROR(__xludf.DUMMYFUNCTION("""COMPUTED_VALUE"""),19.53)</f>
        <v>19.53</v>
      </c>
      <c r="F120" s="1">
        <f>IFERROR(__xludf.DUMMYFUNCTION("""COMPUTED_VALUE"""),384374.0)</f>
        <v>384374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IFERROR(__xludf.DUMMYFUNCTION("""COMPUTED_VALUE"""),19.51)</f>
        <v>19.51</v>
      </c>
      <c r="C121" s="1">
        <f>IFERROR(__xludf.DUMMYFUNCTION("""COMPUTED_VALUE"""),19.69)</f>
        <v>19.69</v>
      </c>
      <c r="D121" s="1">
        <f>IFERROR(__xludf.DUMMYFUNCTION("""COMPUTED_VALUE"""),18.87)</f>
        <v>18.87</v>
      </c>
      <c r="E121" s="1">
        <f>IFERROR(__xludf.DUMMYFUNCTION("""COMPUTED_VALUE"""),18.99)</f>
        <v>18.99</v>
      </c>
      <c r="F121" s="1">
        <f>IFERROR(__xludf.DUMMYFUNCTION("""COMPUTED_VALUE"""),672341.0)</f>
        <v>672341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IFERROR(__xludf.DUMMYFUNCTION("""COMPUTED_VALUE"""),18.95)</f>
        <v>18.95</v>
      </c>
      <c r="C122" s="1">
        <f>IFERROR(__xludf.DUMMYFUNCTION("""COMPUTED_VALUE"""),19.29)</f>
        <v>19.29</v>
      </c>
      <c r="D122" s="1">
        <f>IFERROR(__xludf.DUMMYFUNCTION("""COMPUTED_VALUE"""),18.78)</f>
        <v>18.78</v>
      </c>
      <c r="E122" s="1">
        <f>IFERROR(__xludf.DUMMYFUNCTION("""COMPUTED_VALUE"""),19.05)</f>
        <v>19.05</v>
      </c>
      <c r="F122" s="1">
        <f>IFERROR(__xludf.DUMMYFUNCTION("""COMPUTED_VALUE"""),403217.0)</f>
        <v>403217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IFERROR(__xludf.DUMMYFUNCTION("""COMPUTED_VALUE"""),19.09)</f>
        <v>19.09</v>
      </c>
      <c r="C123" s="1">
        <f>IFERROR(__xludf.DUMMYFUNCTION("""COMPUTED_VALUE"""),19.18)</f>
        <v>19.18</v>
      </c>
      <c r="D123" s="1">
        <f>IFERROR(__xludf.DUMMYFUNCTION("""COMPUTED_VALUE"""),18.85)</f>
        <v>18.85</v>
      </c>
      <c r="E123" s="1">
        <f>IFERROR(__xludf.DUMMYFUNCTION("""COMPUTED_VALUE"""),19.02)</f>
        <v>19.02</v>
      </c>
      <c r="F123" s="1">
        <f>IFERROR(__xludf.DUMMYFUNCTION("""COMPUTED_VALUE"""),212488.0)</f>
        <v>212488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IFERROR(__xludf.DUMMYFUNCTION("""COMPUTED_VALUE"""),18.8)</f>
        <v>18.8</v>
      </c>
      <c r="C124" s="1">
        <f>IFERROR(__xludf.DUMMYFUNCTION("""COMPUTED_VALUE"""),18.88)</f>
        <v>18.88</v>
      </c>
      <c r="D124" s="1">
        <f>IFERROR(__xludf.DUMMYFUNCTION("""COMPUTED_VALUE"""),18.55)</f>
        <v>18.55</v>
      </c>
      <c r="E124" s="1">
        <f>IFERROR(__xludf.DUMMYFUNCTION("""COMPUTED_VALUE"""),18.61)</f>
        <v>18.61</v>
      </c>
      <c r="F124" s="1">
        <f>IFERROR(__xludf.DUMMYFUNCTION("""COMPUTED_VALUE"""),916145.0)</f>
        <v>916145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IFERROR(__xludf.DUMMYFUNCTION("""COMPUTED_VALUE"""),18.52)</f>
        <v>18.52</v>
      </c>
      <c r="C125" s="1">
        <f>IFERROR(__xludf.DUMMYFUNCTION("""COMPUTED_VALUE"""),18.67)</f>
        <v>18.67</v>
      </c>
      <c r="D125" s="1">
        <f>IFERROR(__xludf.DUMMYFUNCTION("""COMPUTED_VALUE"""),17.96)</f>
        <v>17.96</v>
      </c>
      <c r="E125" s="1">
        <f>IFERROR(__xludf.DUMMYFUNCTION("""COMPUTED_VALUE"""),18.22)</f>
        <v>18.22</v>
      </c>
      <c r="F125" s="1">
        <f>IFERROR(__xludf.DUMMYFUNCTION("""COMPUTED_VALUE"""),902874.0)</f>
        <v>902874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IFERROR(__xludf.DUMMYFUNCTION("""COMPUTED_VALUE"""),18.17)</f>
        <v>18.17</v>
      </c>
      <c r="C126" s="1">
        <f>IFERROR(__xludf.DUMMYFUNCTION("""COMPUTED_VALUE"""),18.51)</f>
        <v>18.51</v>
      </c>
      <c r="D126" s="1">
        <f>IFERROR(__xludf.DUMMYFUNCTION("""COMPUTED_VALUE"""),18.17)</f>
        <v>18.17</v>
      </c>
      <c r="E126" s="1">
        <f>IFERROR(__xludf.DUMMYFUNCTION("""COMPUTED_VALUE"""),18.34)</f>
        <v>18.34</v>
      </c>
      <c r="F126" s="1">
        <f>IFERROR(__xludf.DUMMYFUNCTION("""COMPUTED_VALUE"""),481022.0)</f>
        <v>481022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IFERROR(__xludf.DUMMYFUNCTION("""COMPUTED_VALUE"""),18.44)</f>
        <v>18.44</v>
      </c>
      <c r="C127" s="1">
        <f>IFERROR(__xludf.DUMMYFUNCTION("""COMPUTED_VALUE"""),18.96)</f>
        <v>18.96</v>
      </c>
      <c r="D127" s="1">
        <f>IFERROR(__xludf.DUMMYFUNCTION("""COMPUTED_VALUE"""),18.25)</f>
        <v>18.25</v>
      </c>
      <c r="E127" s="1">
        <f>IFERROR(__xludf.DUMMYFUNCTION("""COMPUTED_VALUE"""),18.8)</f>
        <v>18.8</v>
      </c>
      <c r="F127" s="1">
        <f>IFERROR(__xludf.DUMMYFUNCTION("""COMPUTED_VALUE"""),557355.0)</f>
        <v>557355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IFERROR(__xludf.DUMMYFUNCTION("""COMPUTED_VALUE"""),19.32)</f>
        <v>19.32</v>
      </c>
      <c r="C128" s="1">
        <f>IFERROR(__xludf.DUMMYFUNCTION("""COMPUTED_VALUE"""),19.32)</f>
        <v>19.32</v>
      </c>
      <c r="D128" s="1">
        <f>IFERROR(__xludf.DUMMYFUNCTION("""COMPUTED_VALUE"""),18.34)</f>
        <v>18.34</v>
      </c>
      <c r="E128" s="1">
        <f>IFERROR(__xludf.DUMMYFUNCTION("""COMPUTED_VALUE"""),18.47)</f>
        <v>18.47</v>
      </c>
      <c r="F128" s="1">
        <f>IFERROR(__xludf.DUMMYFUNCTION("""COMPUTED_VALUE"""),497713.0)</f>
        <v>497713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IFERROR(__xludf.DUMMYFUNCTION("""COMPUTED_VALUE"""),18.48)</f>
        <v>18.48</v>
      </c>
      <c r="C129" s="1">
        <f>IFERROR(__xludf.DUMMYFUNCTION("""COMPUTED_VALUE"""),18.76)</f>
        <v>18.76</v>
      </c>
      <c r="D129" s="1">
        <f>IFERROR(__xludf.DUMMYFUNCTION("""COMPUTED_VALUE"""),18.3)</f>
        <v>18.3</v>
      </c>
      <c r="E129" s="1">
        <f>IFERROR(__xludf.DUMMYFUNCTION("""COMPUTED_VALUE"""),18.74)</f>
        <v>18.74</v>
      </c>
      <c r="F129" s="1">
        <f>IFERROR(__xludf.DUMMYFUNCTION("""COMPUTED_VALUE"""),361986.0)</f>
        <v>361986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IFERROR(__xludf.DUMMYFUNCTION("""COMPUTED_VALUE"""),18.86)</f>
        <v>18.86</v>
      </c>
      <c r="C130" s="1">
        <f>IFERROR(__xludf.DUMMYFUNCTION("""COMPUTED_VALUE"""),18.97)</f>
        <v>18.97</v>
      </c>
      <c r="D130" s="1">
        <f>IFERROR(__xludf.DUMMYFUNCTION("""COMPUTED_VALUE"""),18.81)</f>
        <v>18.81</v>
      </c>
      <c r="E130" s="1">
        <f>IFERROR(__xludf.DUMMYFUNCTION("""COMPUTED_VALUE"""),18.84)</f>
        <v>18.84</v>
      </c>
      <c r="F130" s="1">
        <f>IFERROR(__xludf.DUMMYFUNCTION("""COMPUTED_VALUE"""),202906.0)</f>
        <v>202906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IFERROR(__xludf.DUMMYFUNCTION("""COMPUTED_VALUE"""),18.87)</f>
        <v>18.87</v>
      </c>
      <c r="C131" s="1">
        <f>IFERROR(__xludf.DUMMYFUNCTION("""COMPUTED_VALUE"""),20.22)</f>
        <v>20.22</v>
      </c>
      <c r="D131" s="1">
        <f>IFERROR(__xludf.DUMMYFUNCTION("""COMPUTED_VALUE"""),18.45)</f>
        <v>18.45</v>
      </c>
      <c r="E131" s="1">
        <f>IFERROR(__xludf.DUMMYFUNCTION("""COMPUTED_VALUE"""),20.08)</f>
        <v>20.08</v>
      </c>
      <c r="F131" s="1">
        <f>IFERROR(__xludf.DUMMYFUNCTION("""COMPUTED_VALUE"""),898047.0)</f>
        <v>898047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IFERROR(__xludf.DUMMYFUNCTION("""COMPUTED_VALUE"""),20.07)</f>
        <v>20.07</v>
      </c>
      <c r="C132" s="1">
        <f>IFERROR(__xludf.DUMMYFUNCTION("""COMPUTED_VALUE"""),20.53)</f>
        <v>20.53</v>
      </c>
      <c r="D132" s="1">
        <f>IFERROR(__xludf.DUMMYFUNCTION("""COMPUTED_VALUE"""),19.93)</f>
        <v>19.93</v>
      </c>
      <c r="E132" s="1">
        <f>IFERROR(__xludf.DUMMYFUNCTION("""COMPUTED_VALUE"""),20.01)</f>
        <v>20.01</v>
      </c>
      <c r="F132" s="1">
        <f>IFERROR(__xludf.DUMMYFUNCTION("""COMPUTED_VALUE"""),398955.0)</f>
        <v>398955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IFERROR(__xludf.DUMMYFUNCTION("""COMPUTED_VALUE"""),20.18)</f>
        <v>20.18</v>
      </c>
      <c r="C133" s="1">
        <f>IFERROR(__xludf.DUMMYFUNCTION("""COMPUTED_VALUE"""),20.67)</f>
        <v>20.67</v>
      </c>
      <c r="D133" s="1">
        <f>IFERROR(__xludf.DUMMYFUNCTION("""COMPUTED_VALUE"""),20.1)</f>
        <v>20.1</v>
      </c>
      <c r="E133" s="1">
        <f>IFERROR(__xludf.DUMMYFUNCTION("""COMPUTED_VALUE"""),20.5)</f>
        <v>20.5</v>
      </c>
      <c r="F133" s="1">
        <f>IFERROR(__xludf.DUMMYFUNCTION("""COMPUTED_VALUE"""),567304.0)</f>
        <v>567304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IFERROR(__xludf.DUMMYFUNCTION("""COMPUTED_VALUE"""),20.25)</f>
        <v>20.25</v>
      </c>
      <c r="C134" s="1">
        <f>IFERROR(__xludf.DUMMYFUNCTION("""COMPUTED_VALUE"""),20.34)</f>
        <v>20.34</v>
      </c>
      <c r="D134" s="1">
        <f>IFERROR(__xludf.DUMMYFUNCTION("""COMPUTED_VALUE"""),18.17)</f>
        <v>18.17</v>
      </c>
      <c r="E134" s="1">
        <f>IFERROR(__xludf.DUMMYFUNCTION("""COMPUTED_VALUE"""),18.78)</f>
        <v>18.78</v>
      </c>
      <c r="F134" s="1">
        <f>IFERROR(__xludf.DUMMYFUNCTION("""COMPUTED_VALUE"""),3567323.0)</f>
        <v>3567323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IFERROR(__xludf.DUMMYFUNCTION("""COMPUTED_VALUE"""),18.43)</f>
        <v>18.43</v>
      </c>
      <c r="C135" s="1">
        <f>IFERROR(__xludf.DUMMYFUNCTION("""COMPUTED_VALUE"""),18.95)</f>
        <v>18.95</v>
      </c>
      <c r="D135" s="1">
        <f>IFERROR(__xludf.DUMMYFUNCTION("""COMPUTED_VALUE"""),18.43)</f>
        <v>18.43</v>
      </c>
      <c r="E135" s="1">
        <f>IFERROR(__xludf.DUMMYFUNCTION("""COMPUTED_VALUE"""),18.66)</f>
        <v>18.66</v>
      </c>
      <c r="F135" s="1">
        <f>IFERROR(__xludf.DUMMYFUNCTION("""COMPUTED_VALUE"""),1730699.0)</f>
        <v>1730699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IFERROR(__xludf.DUMMYFUNCTION("""COMPUTED_VALUE"""),17.7)</f>
        <v>17.7</v>
      </c>
      <c r="C136" s="1">
        <f>IFERROR(__xludf.DUMMYFUNCTION("""COMPUTED_VALUE"""),18.37)</f>
        <v>18.37</v>
      </c>
      <c r="D136" s="1">
        <f>IFERROR(__xludf.DUMMYFUNCTION("""COMPUTED_VALUE"""),17.17)</f>
        <v>17.17</v>
      </c>
      <c r="E136" s="1">
        <f>IFERROR(__xludf.DUMMYFUNCTION("""COMPUTED_VALUE"""),18.29)</f>
        <v>18.29</v>
      </c>
      <c r="F136" s="1">
        <f>IFERROR(__xludf.DUMMYFUNCTION("""COMPUTED_VALUE"""),5048143.0)</f>
        <v>5048143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IFERROR(__xludf.DUMMYFUNCTION("""COMPUTED_VALUE"""),18.31)</f>
        <v>18.31</v>
      </c>
      <c r="C137" s="1">
        <f>IFERROR(__xludf.DUMMYFUNCTION("""COMPUTED_VALUE"""),18.55)</f>
        <v>18.55</v>
      </c>
      <c r="D137" s="1">
        <f>IFERROR(__xludf.DUMMYFUNCTION("""COMPUTED_VALUE"""),18.21)</f>
        <v>18.21</v>
      </c>
      <c r="E137" s="1">
        <f>IFERROR(__xludf.DUMMYFUNCTION("""COMPUTED_VALUE"""),18.34)</f>
        <v>18.34</v>
      </c>
      <c r="F137" s="1">
        <f>IFERROR(__xludf.DUMMYFUNCTION("""COMPUTED_VALUE"""),543018.0)</f>
        <v>543018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IFERROR(__xludf.DUMMYFUNCTION("""COMPUTED_VALUE"""),18.0)</f>
        <v>18</v>
      </c>
      <c r="C138" s="1">
        <f>IFERROR(__xludf.DUMMYFUNCTION("""COMPUTED_VALUE"""),18.78)</f>
        <v>18.78</v>
      </c>
      <c r="D138" s="1">
        <f>IFERROR(__xludf.DUMMYFUNCTION("""COMPUTED_VALUE"""),18.0)</f>
        <v>18</v>
      </c>
      <c r="E138" s="1">
        <f>IFERROR(__xludf.DUMMYFUNCTION("""COMPUTED_VALUE"""),18.63)</f>
        <v>18.63</v>
      </c>
      <c r="F138" s="1">
        <f>IFERROR(__xludf.DUMMYFUNCTION("""COMPUTED_VALUE"""),558881.0)</f>
        <v>558881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IFERROR(__xludf.DUMMYFUNCTION("""COMPUTED_VALUE"""),18.77)</f>
        <v>18.77</v>
      </c>
      <c r="C139" s="1">
        <f>IFERROR(__xludf.DUMMYFUNCTION("""COMPUTED_VALUE"""),18.83)</f>
        <v>18.83</v>
      </c>
      <c r="D139" s="1">
        <f>IFERROR(__xludf.DUMMYFUNCTION("""COMPUTED_VALUE"""),18.38)</f>
        <v>18.38</v>
      </c>
      <c r="E139" s="1">
        <f>IFERROR(__xludf.DUMMYFUNCTION("""COMPUTED_VALUE"""),18.47)</f>
        <v>18.47</v>
      </c>
      <c r="F139" s="1">
        <f>IFERROR(__xludf.DUMMYFUNCTION("""COMPUTED_VALUE"""),420118.0)</f>
        <v>420118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IFERROR(__xludf.DUMMYFUNCTION("""COMPUTED_VALUE"""),18.62)</f>
        <v>18.62</v>
      </c>
      <c r="C140" s="1">
        <f>IFERROR(__xludf.DUMMYFUNCTION("""COMPUTED_VALUE"""),18.69)</f>
        <v>18.69</v>
      </c>
      <c r="D140" s="1">
        <f>IFERROR(__xludf.DUMMYFUNCTION("""COMPUTED_VALUE"""),18.28)</f>
        <v>18.28</v>
      </c>
      <c r="E140" s="1">
        <f>IFERROR(__xludf.DUMMYFUNCTION("""COMPUTED_VALUE"""),18.45)</f>
        <v>18.45</v>
      </c>
      <c r="F140" s="1">
        <f>IFERROR(__xludf.DUMMYFUNCTION("""COMPUTED_VALUE"""),711651.0)</f>
        <v>711651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IFERROR(__xludf.DUMMYFUNCTION("""COMPUTED_VALUE"""),18.38)</f>
        <v>18.38</v>
      </c>
      <c r="C141" s="1">
        <f>IFERROR(__xludf.DUMMYFUNCTION("""COMPUTED_VALUE"""),18.54)</f>
        <v>18.54</v>
      </c>
      <c r="D141" s="1">
        <f>IFERROR(__xludf.DUMMYFUNCTION("""COMPUTED_VALUE"""),18.26)</f>
        <v>18.26</v>
      </c>
      <c r="E141" s="1">
        <f>IFERROR(__xludf.DUMMYFUNCTION("""COMPUTED_VALUE"""),18.42)</f>
        <v>18.42</v>
      </c>
      <c r="F141" s="1">
        <f>IFERROR(__xludf.DUMMYFUNCTION("""COMPUTED_VALUE"""),390021.0)</f>
        <v>390021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IFERROR(__xludf.DUMMYFUNCTION("""COMPUTED_VALUE"""),18.41)</f>
        <v>18.41</v>
      </c>
      <c r="C142" s="1">
        <f>IFERROR(__xludf.DUMMYFUNCTION("""COMPUTED_VALUE"""),18.88)</f>
        <v>18.88</v>
      </c>
      <c r="D142" s="1">
        <f>IFERROR(__xludf.DUMMYFUNCTION("""COMPUTED_VALUE"""),18.41)</f>
        <v>18.41</v>
      </c>
      <c r="E142" s="1">
        <f>IFERROR(__xludf.DUMMYFUNCTION("""COMPUTED_VALUE"""),18.85)</f>
        <v>18.85</v>
      </c>
      <c r="F142" s="1">
        <f>IFERROR(__xludf.DUMMYFUNCTION("""COMPUTED_VALUE"""),269741.0)</f>
        <v>269741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IFERROR(__xludf.DUMMYFUNCTION("""COMPUTED_VALUE"""),18.94)</f>
        <v>18.94</v>
      </c>
      <c r="C143" s="1">
        <f>IFERROR(__xludf.DUMMYFUNCTION("""COMPUTED_VALUE"""),19.08)</f>
        <v>19.08</v>
      </c>
      <c r="D143" s="1">
        <f>IFERROR(__xludf.DUMMYFUNCTION("""COMPUTED_VALUE"""),18.76)</f>
        <v>18.76</v>
      </c>
      <c r="E143" s="1">
        <f>IFERROR(__xludf.DUMMYFUNCTION("""COMPUTED_VALUE"""),18.95)</f>
        <v>18.95</v>
      </c>
      <c r="F143" s="1">
        <f>IFERROR(__xludf.DUMMYFUNCTION("""COMPUTED_VALUE"""),230520.0)</f>
        <v>230520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IFERROR(__xludf.DUMMYFUNCTION("""COMPUTED_VALUE"""),18.96)</f>
        <v>18.96</v>
      </c>
      <c r="C144" s="1">
        <f>IFERROR(__xludf.DUMMYFUNCTION("""COMPUTED_VALUE"""),19.02)</f>
        <v>19.02</v>
      </c>
      <c r="D144" s="1">
        <f>IFERROR(__xludf.DUMMYFUNCTION("""COMPUTED_VALUE"""),18.76)</f>
        <v>18.76</v>
      </c>
      <c r="E144" s="1">
        <f>IFERROR(__xludf.DUMMYFUNCTION("""COMPUTED_VALUE"""),18.9)</f>
        <v>18.9</v>
      </c>
      <c r="F144" s="1">
        <f>IFERROR(__xludf.DUMMYFUNCTION("""COMPUTED_VALUE"""),614510.0)</f>
        <v>614510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IFERROR(__xludf.DUMMYFUNCTION("""COMPUTED_VALUE"""),19.01)</f>
        <v>19.01</v>
      </c>
      <c r="C145" s="1">
        <f>IFERROR(__xludf.DUMMYFUNCTION("""COMPUTED_VALUE"""),19.02)</f>
        <v>19.02</v>
      </c>
      <c r="D145" s="1">
        <f>IFERROR(__xludf.DUMMYFUNCTION("""COMPUTED_VALUE"""),18.58)</f>
        <v>18.58</v>
      </c>
      <c r="E145" s="1">
        <f>IFERROR(__xludf.DUMMYFUNCTION("""COMPUTED_VALUE"""),18.77)</f>
        <v>18.77</v>
      </c>
      <c r="F145" s="1">
        <f>IFERROR(__xludf.DUMMYFUNCTION("""COMPUTED_VALUE"""),461996.0)</f>
        <v>461996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IFERROR(__xludf.DUMMYFUNCTION("""COMPUTED_VALUE"""),18.6)</f>
        <v>18.6</v>
      </c>
      <c r="C146" s="1">
        <f>IFERROR(__xludf.DUMMYFUNCTION("""COMPUTED_VALUE"""),18.84)</f>
        <v>18.84</v>
      </c>
      <c r="D146" s="1">
        <f>IFERROR(__xludf.DUMMYFUNCTION("""COMPUTED_VALUE"""),18.5)</f>
        <v>18.5</v>
      </c>
      <c r="E146" s="1">
        <f>IFERROR(__xludf.DUMMYFUNCTION("""COMPUTED_VALUE"""),18.61)</f>
        <v>18.61</v>
      </c>
      <c r="F146" s="1">
        <f>IFERROR(__xludf.DUMMYFUNCTION("""COMPUTED_VALUE"""),355398.0)</f>
        <v>355398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IFERROR(__xludf.DUMMYFUNCTION("""COMPUTED_VALUE"""),18.78)</f>
        <v>18.78</v>
      </c>
      <c r="C147" s="1">
        <f>IFERROR(__xludf.DUMMYFUNCTION("""COMPUTED_VALUE"""),18.82)</f>
        <v>18.82</v>
      </c>
      <c r="D147" s="1">
        <f>IFERROR(__xludf.DUMMYFUNCTION("""COMPUTED_VALUE"""),18.41)</f>
        <v>18.41</v>
      </c>
      <c r="E147" s="1">
        <f>IFERROR(__xludf.DUMMYFUNCTION("""COMPUTED_VALUE"""),18.76)</f>
        <v>18.76</v>
      </c>
      <c r="F147" s="1">
        <f>IFERROR(__xludf.DUMMYFUNCTION("""COMPUTED_VALUE"""),341101.0)</f>
        <v>341101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IFERROR(__xludf.DUMMYFUNCTION("""COMPUTED_VALUE"""),18.73)</f>
        <v>18.73</v>
      </c>
      <c r="C148" s="1">
        <f>IFERROR(__xludf.DUMMYFUNCTION("""COMPUTED_VALUE"""),18.78)</f>
        <v>18.78</v>
      </c>
      <c r="D148" s="1">
        <f>IFERROR(__xludf.DUMMYFUNCTION("""COMPUTED_VALUE"""),18.5)</f>
        <v>18.5</v>
      </c>
      <c r="E148" s="1">
        <f>IFERROR(__xludf.DUMMYFUNCTION("""COMPUTED_VALUE"""),18.52)</f>
        <v>18.52</v>
      </c>
      <c r="F148" s="1">
        <f>IFERROR(__xludf.DUMMYFUNCTION("""COMPUTED_VALUE"""),299859.0)</f>
        <v>299859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IFERROR(__xludf.DUMMYFUNCTION("""COMPUTED_VALUE"""),18.51)</f>
        <v>18.51</v>
      </c>
      <c r="C149" s="1">
        <f>IFERROR(__xludf.DUMMYFUNCTION("""COMPUTED_VALUE"""),18.74)</f>
        <v>18.74</v>
      </c>
      <c r="D149" s="1">
        <f>IFERROR(__xludf.DUMMYFUNCTION("""COMPUTED_VALUE"""),18.46)</f>
        <v>18.46</v>
      </c>
      <c r="E149" s="1">
        <f>IFERROR(__xludf.DUMMYFUNCTION("""COMPUTED_VALUE"""),18.57)</f>
        <v>18.57</v>
      </c>
      <c r="F149" s="1">
        <f>IFERROR(__xludf.DUMMYFUNCTION("""COMPUTED_VALUE"""),314735.0)</f>
        <v>314735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IFERROR(__xludf.DUMMYFUNCTION("""COMPUTED_VALUE"""),18.57)</f>
        <v>18.57</v>
      </c>
      <c r="C150" s="1">
        <f>IFERROR(__xludf.DUMMYFUNCTION("""COMPUTED_VALUE"""),18.7)</f>
        <v>18.7</v>
      </c>
      <c r="D150" s="1">
        <f>IFERROR(__xludf.DUMMYFUNCTION("""COMPUTED_VALUE"""),18.47)</f>
        <v>18.47</v>
      </c>
      <c r="E150" s="1">
        <f>IFERROR(__xludf.DUMMYFUNCTION("""COMPUTED_VALUE"""),18.68)</f>
        <v>18.68</v>
      </c>
      <c r="F150" s="1">
        <f>IFERROR(__xludf.DUMMYFUNCTION("""COMPUTED_VALUE"""),421681.0)</f>
        <v>421681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IFERROR(__xludf.DUMMYFUNCTION("""COMPUTED_VALUE"""),18.89)</f>
        <v>18.89</v>
      </c>
      <c r="C151" s="1">
        <f>IFERROR(__xludf.DUMMYFUNCTION("""COMPUTED_VALUE"""),18.89)</f>
        <v>18.89</v>
      </c>
      <c r="D151" s="1">
        <f>IFERROR(__xludf.DUMMYFUNCTION("""COMPUTED_VALUE"""),18.18)</f>
        <v>18.18</v>
      </c>
      <c r="E151" s="1">
        <f>IFERROR(__xludf.DUMMYFUNCTION("""COMPUTED_VALUE"""),18.42)</f>
        <v>18.42</v>
      </c>
      <c r="F151" s="1">
        <f>IFERROR(__xludf.DUMMYFUNCTION("""COMPUTED_VALUE"""),617875.0)</f>
        <v>617875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IFERROR(__xludf.DUMMYFUNCTION("""COMPUTED_VALUE"""),18.5)</f>
        <v>18.5</v>
      </c>
      <c r="C152" s="1">
        <f>IFERROR(__xludf.DUMMYFUNCTION("""COMPUTED_VALUE"""),18.5)</f>
        <v>18.5</v>
      </c>
      <c r="D152" s="1">
        <f>IFERROR(__xludf.DUMMYFUNCTION("""COMPUTED_VALUE"""),18.25)</f>
        <v>18.25</v>
      </c>
      <c r="E152" s="1">
        <f>IFERROR(__xludf.DUMMYFUNCTION("""COMPUTED_VALUE"""),18.38)</f>
        <v>18.38</v>
      </c>
      <c r="F152" s="1">
        <f>IFERROR(__xludf.DUMMYFUNCTION("""COMPUTED_VALUE"""),368312.0)</f>
        <v>368312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IFERROR(__xludf.DUMMYFUNCTION("""COMPUTED_VALUE"""),18.21)</f>
        <v>18.21</v>
      </c>
      <c r="C153" s="1">
        <f>IFERROR(__xludf.DUMMYFUNCTION("""COMPUTED_VALUE"""),18.37)</f>
        <v>18.37</v>
      </c>
      <c r="D153" s="1">
        <f>IFERROR(__xludf.DUMMYFUNCTION("""COMPUTED_VALUE"""),18.04)</f>
        <v>18.04</v>
      </c>
      <c r="E153" s="1">
        <f>IFERROR(__xludf.DUMMYFUNCTION("""COMPUTED_VALUE"""),18.2)</f>
        <v>18.2</v>
      </c>
      <c r="F153" s="1">
        <f>IFERROR(__xludf.DUMMYFUNCTION("""COMPUTED_VALUE"""),761874.0)</f>
        <v>761874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IFERROR(__xludf.DUMMYFUNCTION("""COMPUTED_VALUE"""),18.0)</f>
        <v>18</v>
      </c>
      <c r="C154" s="1">
        <f>IFERROR(__xludf.DUMMYFUNCTION("""COMPUTED_VALUE"""),18.03)</f>
        <v>18.03</v>
      </c>
      <c r="D154" s="1">
        <f>IFERROR(__xludf.DUMMYFUNCTION("""COMPUTED_VALUE"""),17.5)</f>
        <v>17.5</v>
      </c>
      <c r="E154" s="1">
        <f>IFERROR(__xludf.DUMMYFUNCTION("""COMPUTED_VALUE"""),17.55)</f>
        <v>17.55</v>
      </c>
      <c r="F154" s="1">
        <f>IFERROR(__xludf.DUMMYFUNCTION("""COMPUTED_VALUE"""),402843.0)</f>
        <v>402843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IFERROR(__xludf.DUMMYFUNCTION("""COMPUTED_VALUE"""),17.43)</f>
        <v>17.43</v>
      </c>
      <c r="C155" s="1">
        <f>IFERROR(__xludf.DUMMYFUNCTION("""COMPUTED_VALUE"""),17.65)</f>
        <v>17.65</v>
      </c>
      <c r="D155" s="1">
        <f>IFERROR(__xludf.DUMMYFUNCTION("""COMPUTED_VALUE"""),17.32)</f>
        <v>17.32</v>
      </c>
      <c r="E155" s="1">
        <f>IFERROR(__xludf.DUMMYFUNCTION("""COMPUTED_VALUE"""),17.61)</f>
        <v>17.61</v>
      </c>
      <c r="F155" s="1">
        <f>IFERROR(__xludf.DUMMYFUNCTION("""COMPUTED_VALUE"""),281513.0)</f>
        <v>281513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IFERROR(__xludf.DUMMYFUNCTION("""COMPUTED_VALUE"""),17.6)</f>
        <v>17.6</v>
      </c>
      <c r="C156" s="1">
        <f>IFERROR(__xludf.DUMMYFUNCTION("""COMPUTED_VALUE"""),17.69)</f>
        <v>17.69</v>
      </c>
      <c r="D156" s="1">
        <f>IFERROR(__xludf.DUMMYFUNCTION("""COMPUTED_VALUE"""),17.43)</f>
        <v>17.43</v>
      </c>
      <c r="E156" s="1">
        <f>IFERROR(__xludf.DUMMYFUNCTION("""COMPUTED_VALUE"""),17.52)</f>
        <v>17.52</v>
      </c>
      <c r="F156" s="1">
        <f>IFERROR(__xludf.DUMMYFUNCTION("""COMPUTED_VALUE"""),201938.0)</f>
        <v>201938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IFERROR(__xludf.DUMMYFUNCTION("""COMPUTED_VALUE"""),17.42)</f>
        <v>17.42</v>
      </c>
      <c r="C157" s="1">
        <f>IFERROR(__xludf.DUMMYFUNCTION("""COMPUTED_VALUE"""),18.07)</f>
        <v>18.07</v>
      </c>
      <c r="D157" s="1">
        <f>IFERROR(__xludf.DUMMYFUNCTION("""COMPUTED_VALUE"""),17.42)</f>
        <v>17.42</v>
      </c>
      <c r="E157" s="1">
        <f>IFERROR(__xludf.DUMMYFUNCTION("""COMPUTED_VALUE"""),17.78)</f>
        <v>17.78</v>
      </c>
      <c r="F157" s="1">
        <f>IFERROR(__xludf.DUMMYFUNCTION("""COMPUTED_VALUE"""),474610.0)</f>
        <v>474610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IFERROR(__xludf.DUMMYFUNCTION("""COMPUTED_VALUE"""),17.95)</f>
        <v>17.95</v>
      </c>
      <c r="C158" s="1">
        <f>IFERROR(__xludf.DUMMYFUNCTION("""COMPUTED_VALUE"""),18.08)</f>
        <v>18.08</v>
      </c>
      <c r="D158" s="1">
        <f>IFERROR(__xludf.DUMMYFUNCTION("""COMPUTED_VALUE"""),17.8)</f>
        <v>17.8</v>
      </c>
      <c r="E158" s="1">
        <f>IFERROR(__xludf.DUMMYFUNCTION("""COMPUTED_VALUE"""),18.01)</f>
        <v>18.01</v>
      </c>
      <c r="F158" s="1">
        <f>IFERROR(__xludf.DUMMYFUNCTION("""COMPUTED_VALUE"""),312419.0)</f>
        <v>312419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IFERROR(__xludf.DUMMYFUNCTION("""COMPUTED_VALUE"""),17.9)</f>
        <v>17.9</v>
      </c>
      <c r="C159" s="1">
        <f>IFERROR(__xludf.DUMMYFUNCTION("""COMPUTED_VALUE"""),18.21)</f>
        <v>18.21</v>
      </c>
      <c r="D159" s="1">
        <f>IFERROR(__xludf.DUMMYFUNCTION("""COMPUTED_VALUE"""),17.82)</f>
        <v>17.82</v>
      </c>
      <c r="E159" s="1">
        <f>IFERROR(__xludf.DUMMYFUNCTION("""COMPUTED_VALUE"""),18.19)</f>
        <v>18.19</v>
      </c>
      <c r="F159" s="1">
        <f>IFERROR(__xludf.DUMMYFUNCTION("""COMPUTED_VALUE"""),330325.0)</f>
        <v>330325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IFERROR(__xludf.DUMMYFUNCTION("""COMPUTED_VALUE"""),18.16)</f>
        <v>18.16</v>
      </c>
      <c r="C160" s="1">
        <f>IFERROR(__xludf.DUMMYFUNCTION("""COMPUTED_VALUE"""),18.18)</f>
        <v>18.18</v>
      </c>
      <c r="D160" s="1">
        <f>IFERROR(__xludf.DUMMYFUNCTION("""COMPUTED_VALUE"""),17.87)</f>
        <v>17.87</v>
      </c>
      <c r="E160" s="1">
        <f>IFERROR(__xludf.DUMMYFUNCTION("""COMPUTED_VALUE"""),18.0)</f>
        <v>18</v>
      </c>
      <c r="F160" s="1">
        <f>IFERROR(__xludf.DUMMYFUNCTION("""COMPUTED_VALUE"""),164182.0)</f>
        <v>164182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IFERROR(__xludf.DUMMYFUNCTION("""COMPUTED_VALUE"""),17.92)</f>
        <v>17.92</v>
      </c>
      <c r="C161" s="1">
        <f>IFERROR(__xludf.DUMMYFUNCTION("""COMPUTED_VALUE"""),18.07)</f>
        <v>18.07</v>
      </c>
      <c r="D161" s="1">
        <f>IFERROR(__xludf.DUMMYFUNCTION("""COMPUTED_VALUE"""),17.8)</f>
        <v>17.8</v>
      </c>
      <c r="E161" s="1">
        <f>IFERROR(__xludf.DUMMYFUNCTION("""COMPUTED_VALUE"""),18.01)</f>
        <v>18.01</v>
      </c>
      <c r="F161" s="1">
        <f>IFERROR(__xludf.DUMMYFUNCTION("""COMPUTED_VALUE"""),512495.0)</f>
        <v>512495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IFERROR(__xludf.DUMMYFUNCTION("""COMPUTED_VALUE"""),18.1)</f>
        <v>18.1</v>
      </c>
      <c r="C162" s="1">
        <f>IFERROR(__xludf.DUMMYFUNCTION("""COMPUTED_VALUE"""),18.29)</f>
        <v>18.29</v>
      </c>
      <c r="D162" s="1">
        <f>IFERROR(__xludf.DUMMYFUNCTION("""COMPUTED_VALUE"""),17.84)</f>
        <v>17.84</v>
      </c>
      <c r="E162" s="1">
        <f>IFERROR(__xludf.DUMMYFUNCTION("""COMPUTED_VALUE"""),17.98)</f>
        <v>17.98</v>
      </c>
      <c r="F162" s="1">
        <f>IFERROR(__xludf.DUMMYFUNCTION("""COMPUTED_VALUE"""),306661.0)</f>
        <v>306661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IFERROR(__xludf.DUMMYFUNCTION("""COMPUTED_VALUE"""),17.86)</f>
        <v>17.86</v>
      </c>
      <c r="C163" s="1">
        <f>IFERROR(__xludf.DUMMYFUNCTION("""COMPUTED_VALUE"""),18.13)</f>
        <v>18.13</v>
      </c>
      <c r="D163" s="1">
        <f>IFERROR(__xludf.DUMMYFUNCTION("""COMPUTED_VALUE"""),17.77)</f>
        <v>17.77</v>
      </c>
      <c r="E163" s="1">
        <f>IFERROR(__xludf.DUMMYFUNCTION("""COMPUTED_VALUE"""),18.0)</f>
        <v>18</v>
      </c>
      <c r="F163" s="1">
        <f>IFERROR(__xludf.DUMMYFUNCTION("""COMPUTED_VALUE"""),325133.0)</f>
        <v>325133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IFERROR(__xludf.DUMMYFUNCTION("""COMPUTED_VALUE"""),17.95)</f>
        <v>17.95</v>
      </c>
      <c r="C164" s="1">
        <f>IFERROR(__xludf.DUMMYFUNCTION("""COMPUTED_VALUE"""),18.21)</f>
        <v>18.21</v>
      </c>
      <c r="D164" s="1">
        <f>IFERROR(__xludf.DUMMYFUNCTION("""COMPUTED_VALUE"""),17.94)</f>
        <v>17.94</v>
      </c>
      <c r="E164" s="1">
        <f>IFERROR(__xludf.DUMMYFUNCTION("""COMPUTED_VALUE"""),18.19)</f>
        <v>18.19</v>
      </c>
      <c r="F164" s="1">
        <f>IFERROR(__xludf.DUMMYFUNCTION("""COMPUTED_VALUE"""),245992.0)</f>
        <v>245992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IFERROR(__xludf.DUMMYFUNCTION("""COMPUTED_VALUE"""),18.25)</f>
        <v>18.25</v>
      </c>
      <c r="C165" s="1">
        <f>IFERROR(__xludf.DUMMYFUNCTION("""COMPUTED_VALUE"""),18.39)</f>
        <v>18.39</v>
      </c>
      <c r="D165" s="1">
        <f>IFERROR(__xludf.DUMMYFUNCTION("""COMPUTED_VALUE"""),18.04)</f>
        <v>18.04</v>
      </c>
      <c r="E165" s="1">
        <f>IFERROR(__xludf.DUMMYFUNCTION("""COMPUTED_VALUE"""),18.1)</f>
        <v>18.1</v>
      </c>
      <c r="F165" s="1">
        <f>IFERROR(__xludf.DUMMYFUNCTION("""COMPUTED_VALUE"""),82474.0)</f>
        <v>82474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IFERROR(__xludf.DUMMYFUNCTION("""COMPUTED_VALUE"""),18.15)</f>
        <v>18.15</v>
      </c>
      <c r="C166" s="1">
        <f>IFERROR(__xludf.DUMMYFUNCTION("""COMPUTED_VALUE"""),18.19)</f>
        <v>18.19</v>
      </c>
      <c r="D166" s="1">
        <f>IFERROR(__xludf.DUMMYFUNCTION("""COMPUTED_VALUE"""),17.95)</f>
        <v>17.95</v>
      </c>
      <c r="E166" s="1">
        <f>IFERROR(__xludf.DUMMYFUNCTION("""COMPUTED_VALUE"""),18.02)</f>
        <v>18.02</v>
      </c>
      <c r="F166" s="1">
        <f>IFERROR(__xludf.DUMMYFUNCTION("""COMPUTED_VALUE"""),186301.0)</f>
        <v>186301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IFERROR(__xludf.DUMMYFUNCTION("""COMPUTED_VALUE"""),18.07)</f>
        <v>18.07</v>
      </c>
      <c r="C167" s="1">
        <f>IFERROR(__xludf.DUMMYFUNCTION("""COMPUTED_VALUE"""),18.19)</f>
        <v>18.19</v>
      </c>
      <c r="D167" s="1">
        <f>IFERROR(__xludf.DUMMYFUNCTION("""COMPUTED_VALUE"""),17.95)</f>
        <v>17.95</v>
      </c>
      <c r="E167" s="1">
        <f>IFERROR(__xludf.DUMMYFUNCTION("""COMPUTED_VALUE"""),18.02)</f>
        <v>18.02</v>
      </c>
      <c r="F167" s="1">
        <f>IFERROR(__xludf.DUMMYFUNCTION("""COMPUTED_VALUE"""),252308.0)</f>
        <v>252308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IFERROR(__xludf.DUMMYFUNCTION("""COMPUTED_VALUE"""),18.01)</f>
        <v>18.01</v>
      </c>
      <c r="C168" s="1">
        <f>IFERROR(__xludf.DUMMYFUNCTION("""COMPUTED_VALUE"""),18.26)</f>
        <v>18.26</v>
      </c>
      <c r="D168" s="1">
        <f>IFERROR(__xludf.DUMMYFUNCTION("""COMPUTED_VALUE"""),17.78)</f>
        <v>17.78</v>
      </c>
      <c r="E168" s="1">
        <f>IFERROR(__xludf.DUMMYFUNCTION("""COMPUTED_VALUE"""),18.23)</f>
        <v>18.23</v>
      </c>
      <c r="F168" s="1">
        <f>IFERROR(__xludf.DUMMYFUNCTION("""COMPUTED_VALUE"""),352996.0)</f>
        <v>352996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IFERROR(__xludf.DUMMYFUNCTION("""COMPUTED_VALUE"""),18.37)</f>
        <v>18.37</v>
      </c>
      <c r="C169" s="1">
        <f>IFERROR(__xludf.DUMMYFUNCTION("""COMPUTED_VALUE"""),18.51)</f>
        <v>18.51</v>
      </c>
      <c r="D169" s="1">
        <f>IFERROR(__xludf.DUMMYFUNCTION("""COMPUTED_VALUE"""),18.22)</f>
        <v>18.22</v>
      </c>
      <c r="E169" s="1">
        <f>IFERROR(__xludf.DUMMYFUNCTION("""COMPUTED_VALUE"""),18.4)</f>
        <v>18.4</v>
      </c>
      <c r="F169" s="1">
        <f>IFERROR(__xludf.DUMMYFUNCTION("""COMPUTED_VALUE"""),262017.0)</f>
        <v>262017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IFERROR(__xludf.DUMMYFUNCTION("""COMPUTED_VALUE"""),18.42)</f>
        <v>18.42</v>
      </c>
      <c r="C170" s="1">
        <f>IFERROR(__xludf.DUMMYFUNCTION("""COMPUTED_VALUE"""),18.62)</f>
        <v>18.62</v>
      </c>
      <c r="D170" s="1">
        <f>IFERROR(__xludf.DUMMYFUNCTION("""COMPUTED_VALUE"""),18.24)</f>
        <v>18.24</v>
      </c>
      <c r="E170" s="1">
        <f>IFERROR(__xludf.DUMMYFUNCTION("""COMPUTED_VALUE"""),18.41)</f>
        <v>18.41</v>
      </c>
      <c r="F170" s="1">
        <f>IFERROR(__xludf.DUMMYFUNCTION("""COMPUTED_VALUE"""),156363.0)</f>
        <v>156363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IFERROR(__xludf.DUMMYFUNCTION("""COMPUTED_VALUE"""),18.51)</f>
        <v>18.51</v>
      </c>
      <c r="C171" s="1">
        <f>IFERROR(__xludf.DUMMYFUNCTION("""COMPUTED_VALUE"""),19.05)</f>
        <v>19.05</v>
      </c>
      <c r="D171" s="1">
        <f>IFERROR(__xludf.DUMMYFUNCTION("""COMPUTED_VALUE"""),18.51)</f>
        <v>18.51</v>
      </c>
      <c r="E171" s="1">
        <f>IFERROR(__xludf.DUMMYFUNCTION("""COMPUTED_VALUE"""),18.99)</f>
        <v>18.99</v>
      </c>
      <c r="F171" s="1">
        <f>IFERROR(__xludf.DUMMYFUNCTION("""COMPUTED_VALUE"""),357349.0)</f>
        <v>357349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IFERROR(__xludf.DUMMYFUNCTION("""COMPUTED_VALUE"""),18.95)</f>
        <v>18.95</v>
      </c>
      <c r="C172" s="1">
        <f>IFERROR(__xludf.DUMMYFUNCTION("""COMPUTED_VALUE"""),19.08)</f>
        <v>19.08</v>
      </c>
      <c r="D172" s="1">
        <f>IFERROR(__xludf.DUMMYFUNCTION("""COMPUTED_VALUE"""),18.8)</f>
        <v>18.8</v>
      </c>
      <c r="E172" s="1">
        <f>IFERROR(__xludf.DUMMYFUNCTION("""COMPUTED_VALUE"""),18.97)</f>
        <v>18.97</v>
      </c>
      <c r="F172" s="1">
        <f>IFERROR(__xludf.DUMMYFUNCTION("""COMPUTED_VALUE"""),204927.0)</f>
        <v>204927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IFERROR(__xludf.DUMMYFUNCTION("""COMPUTED_VALUE"""),19.0)</f>
        <v>19</v>
      </c>
      <c r="C173" s="1">
        <f>IFERROR(__xludf.DUMMYFUNCTION("""COMPUTED_VALUE"""),19.32)</f>
        <v>19.32</v>
      </c>
      <c r="D173" s="1">
        <f>IFERROR(__xludf.DUMMYFUNCTION("""COMPUTED_VALUE"""),18.93)</f>
        <v>18.93</v>
      </c>
      <c r="E173" s="1">
        <f>IFERROR(__xludf.DUMMYFUNCTION("""COMPUTED_VALUE"""),19.23)</f>
        <v>19.23</v>
      </c>
      <c r="F173" s="1">
        <f>IFERROR(__xludf.DUMMYFUNCTION("""COMPUTED_VALUE"""),223589.0)</f>
        <v>223589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IFERROR(__xludf.DUMMYFUNCTION("""COMPUTED_VALUE"""),19.35)</f>
        <v>19.35</v>
      </c>
      <c r="C174" s="1">
        <f>IFERROR(__xludf.DUMMYFUNCTION("""COMPUTED_VALUE"""),19.53)</f>
        <v>19.53</v>
      </c>
      <c r="D174" s="1">
        <f>IFERROR(__xludf.DUMMYFUNCTION("""COMPUTED_VALUE"""),19.19)</f>
        <v>19.19</v>
      </c>
      <c r="E174" s="1">
        <f>IFERROR(__xludf.DUMMYFUNCTION("""COMPUTED_VALUE"""),19.46)</f>
        <v>19.46</v>
      </c>
      <c r="F174" s="1">
        <f>IFERROR(__xludf.DUMMYFUNCTION("""COMPUTED_VALUE"""),212284.0)</f>
        <v>212284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IFERROR(__xludf.DUMMYFUNCTION("""COMPUTED_VALUE"""),19.47)</f>
        <v>19.47</v>
      </c>
      <c r="C175" s="1">
        <f>IFERROR(__xludf.DUMMYFUNCTION("""COMPUTED_VALUE"""),19.47)</f>
        <v>19.47</v>
      </c>
      <c r="D175" s="1">
        <f>IFERROR(__xludf.DUMMYFUNCTION("""COMPUTED_VALUE"""),18.98)</f>
        <v>18.98</v>
      </c>
      <c r="E175" s="1">
        <f>IFERROR(__xludf.DUMMYFUNCTION("""COMPUTED_VALUE"""),19.09)</f>
        <v>19.09</v>
      </c>
      <c r="F175" s="1">
        <f>IFERROR(__xludf.DUMMYFUNCTION("""COMPUTED_VALUE"""),169299.0)</f>
        <v>169299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IFERROR(__xludf.DUMMYFUNCTION("""COMPUTED_VALUE"""),19.27)</f>
        <v>19.27</v>
      </c>
      <c r="C176" s="1">
        <f>IFERROR(__xludf.DUMMYFUNCTION("""COMPUTED_VALUE"""),19.4)</f>
        <v>19.4</v>
      </c>
      <c r="D176" s="1">
        <f>IFERROR(__xludf.DUMMYFUNCTION("""COMPUTED_VALUE"""),18.59)</f>
        <v>18.59</v>
      </c>
      <c r="E176" s="1">
        <f>IFERROR(__xludf.DUMMYFUNCTION("""COMPUTED_VALUE"""),18.72)</f>
        <v>18.72</v>
      </c>
      <c r="F176" s="1">
        <f>IFERROR(__xludf.DUMMYFUNCTION("""COMPUTED_VALUE"""),311944.0)</f>
        <v>311944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IFERROR(__xludf.DUMMYFUNCTION("""COMPUTED_VALUE"""),18.73)</f>
        <v>18.73</v>
      </c>
      <c r="C177" s="1">
        <f>IFERROR(__xludf.DUMMYFUNCTION("""COMPUTED_VALUE"""),19.15)</f>
        <v>19.15</v>
      </c>
      <c r="D177" s="1">
        <f>IFERROR(__xludf.DUMMYFUNCTION("""COMPUTED_VALUE"""),18.63)</f>
        <v>18.63</v>
      </c>
      <c r="E177" s="1">
        <f>IFERROR(__xludf.DUMMYFUNCTION("""COMPUTED_VALUE"""),19.03)</f>
        <v>19.03</v>
      </c>
      <c r="F177" s="1">
        <f>IFERROR(__xludf.DUMMYFUNCTION("""COMPUTED_VALUE"""),104705.0)</f>
        <v>104705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IFERROR(__xludf.DUMMYFUNCTION("""COMPUTED_VALUE"""),19.0)</f>
        <v>19</v>
      </c>
      <c r="C178" s="1">
        <f>IFERROR(__xludf.DUMMYFUNCTION("""COMPUTED_VALUE"""),19.0)</f>
        <v>19</v>
      </c>
      <c r="D178" s="1">
        <f>IFERROR(__xludf.DUMMYFUNCTION("""COMPUTED_VALUE"""),18.81)</f>
        <v>18.81</v>
      </c>
      <c r="E178" s="1">
        <f>IFERROR(__xludf.DUMMYFUNCTION("""COMPUTED_VALUE"""),18.97)</f>
        <v>18.97</v>
      </c>
      <c r="F178" s="1">
        <f>IFERROR(__xludf.DUMMYFUNCTION("""COMPUTED_VALUE"""),110389.0)</f>
        <v>110389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IFERROR(__xludf.DUMMYFUNCTION("""COMPUTED_VALUE"""),18.87)</f>
        <v>18.87</v>
      </c>
      <c r="C179" s="1">
        <f>IFERROR(__xludf.DUMMYFUNCTION("""COMPUTED_VALUE"""),19.21)</f>
        <v>19.21</v>
      </c>
      <c r="D179" s="1">
        <f>IFERROR(__xludf.DUMMYFUNCTION("""COMPUTED_VALUE"""),18.85)</f>
        <v>18.85</v>
      </c>
      <c r="E179" s="1">
        <f>IFERROR(__xludf.DUMMYFUNCTION("""COMPUTED_VALUE"""),19.18)</f>
        <v>19.18</v>
      </c>
      <c r="F179" s="1">
        <f>IFERROR(__xludf.DUMMYFUNCTION("""COMPUTED_VALUE"""),221653.0)</f>
        <v>221653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IFERROR(__xludf.DUMMYFUNCTION("""COMPUTED_VALUE"""),19.29)</f>
        <v>19.29</v>
      </c>
      <c r="C180" s="1">
        <f>IFERROR(__xludf.DUMMYFUNCTION("""COMPUTED_VALUE"""),19.49)</f>
        <v>19.49</v>
      </c>
      <c r="D180" s="1">
        <f>IFERROR(__xludf.DUMMYFUNCTION("""COMPUTED_VALUE"""),19.13)</f>
        <v>19.13</v>
      </c>
      <c r="E180" s="1">
        <f>IFERROR(__xludf.DUMMYFUNCTION("""COMPUTED_VALUE"""),19.2)</f>
        <v>19.2</v>
      </c>
      <c r="F180" s="1">
        <f>IFERROR(__xludf.DUMMYFUNCTION("""COMPUTED_VALUE"""),371184.0)</f>
        <v>371184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IFERROR(__xludf.DUMMYFUNCTION("""COMPUTED_VALUE"""),19.17)</f>
        <v>19.17</v>
      </c>
      <c r="C181" s="1">
        <f>IFERROR(__xludf.DUMMYFUNCTION("""COMPUTED_VALUE"""),19.6)</f>
        <v>19.6</v>
      </c>
      <c r="D181" s="1">
        <f>IFERROR(__xludf.DUMMYFUNCTION("""COMPUTED_VALUE"""),19.17)</f>
        <v>19.17</v>
      </c>
      <c r="E181" s="1">
        <f>IFERROR(__xludf.DUMMYFUNCTION("""COMPUTED_VALUE"""),19.42)</f>
        <v>19.42</v>
      </c>
      <c r="F181" s="1">
        <f>IFERROR(__xludf.DUMMYFUNCTION("""COMPUTED_VALUE"""),139778.0)</f>
        <v>139778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IFERROR(__xludf.DUMMYFUNCTION("""COMPUTED_VALUE"""),19.41)</f>
        <v>19.41</v>
      </c>
      <c r="C182" s="1">
        <f>IFERROR(__xludf.DUMMYFUNCTION("""COMPUTED_VALUE"""),19.74)</f>
        <v>19.74</v>
      </c>
      <c r="D182" s="1">
        <f>IFERROR(__xludf.DUMMYFUNCTION("""COMPUTED_VALUE"""),19.05)</f>
        <v>19.05</v>
      </c>
      <c r="E182" s="1">
        <f>IFERROR(__xludf.DUMMYFUNCTION("""COMPUTED_VALUE"""),19.1)</f>
        <v>19.1</v>
      </c>
      <c r="F182" s="1">
        <f>IFERROR(__xludf.DUMMYFUNCTION("""COMPUTED_VALUE"""),252813.0)</f>
        <v>252813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IFERROR(__xludf.DUMMYFUNCTION("""COMPUTED_VALUE"""),19.02)</f>
        <v>19.02</v>
      </c>
      <c r="C183" s="1">
        <f>IFERROR(__xludf.DUMMYFUNCTION("""COMPUTED_VALUE"""),19.23)</f>
        <v>19.23</v>
      </c>
      <c r="D183" s="1">
        <f>IFERROR(__xludf.DUMMYFUNCTION("""COMPUTED_VALUE"""),19.0)</f>
        <v>19</v>
      </c>
      <c r="E183" s="1">
        <f>IFERROR(__xludf.DUMMYFUNCTION("""COMPUTED_VALUE"""),19.12)</f>
        <v>19.12</v>
      </c>
      <c r="F183" s="1">
        <f>IFERROR(__xludf.DUMMYFUNCTION("""COMPUTED_VALUE"""),66287.0)</f>
        <v>66287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IFERROR(__xludf.DUMMYFUNCTION("""COMPUTED_VALUE"""),18.94)</f>
        <v>18.94</v>
      </c>
      <c r="C184" s="1">
        <f>IFERROR(__xludf.DUMMYFUNCTION("""COMPUTED_VALUE"""),19.05)</f>
        <v>19.05</v>
      </c>
      <c r="D184" s="1">
        <f>IFERROR(__xludf.DUMMYFUNCTION("""COMPUTED_VALUE"""),18.57)</f>
        <v>18.57</v>
      </c>
      <c r="E184" s="1">
        <f>IFERROR(__xludf.DUMMYFUNCTION("""COMPUTED_VALUE"""),18.6)</f>
        <v>18.6</v>
      </c>
      <c r="F184" s="1">
        <f>IFERROR(__xludf.DUMMYFUNCTION("""COMPUTED_VALUE"""),145410.0)</f>
        <v>145410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IFERROR(__xludf.DUMMYFUNCTION("""COMPUTED_VALUE"""),18.82)</f>
        <v>18.82</v>
      </c>
      <c r="C185" s="1">
        <f>IFERROR(__xludf.DUMMYFUNCTION("""COMPUTED_VALUE"""),19.32)</f>
        <v>19.32</v>
      </c>
      <c r="D185" s="1">
        <f>IFERROR(__xludf.DUMMYFUNCTION("""COMPUTED_VALUE"""),18.82)</f>
        <v>18.82</v>
      </c>
      <c r="E185" s="1">
        <f>IFERROR(__xludf.DUMMYFUNCTION("""COMPUTED_VALUE"""),19.26)</f>
        <v>19.26</v>
      </c>
      <c r="F185" s="1">
        <f>IFERROR(__xludf.DUMMYFUNCTION("""COMPUTED_VALUE"""),230213.0)</f>
        <v>230213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IFERROR(__xludf.DUMMYFUNCTION("""COMPUTED_VALUE"""),19.23)</f>
        <v>19.23</v>
      </c>
      <c r="C186" s="1">
        <f>IFERROR(__xludf.DUMMYFUNCTION("""COMPUTED_VALUE"""),19.77)</f>
        <v>19.77</v>
      </c>
      <c r="D186" s="1">
        <f>IFERROR(__xludf.DUMMYFUNCTION("""COMPUTED_VALUE"""),19.22)</f>
        <v>19.22</v>
      </c>
      <c r="E186" s="1">
        <f>IFERROR(__xludf.DUMMYFUNCTION("""COMPUTED_VALUE"""),19.69)</f>
        <v>19.69</v>
      </c>
      <c r="F186" s="1">
        <f>IFERROR(__xludf.DUMMYFUNCTION("""COMPUTED_VALUE"""),198476.0)</f>
        <v>198476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IFERROR(__xludf.DUMMYFUNCTION("""COMPUTED_VALUE"""),19.62)</f>
        <v>19.62</v>
      </c>
      <c r="C187" s="1">
        <f>IFERROR(__xludf.DUMMYFUNCTION("""COMPUTED_VALUE"""),20.24)</f>
        <v>20.24</v>
      </c>
      <c r="D187" s="1">
        <f>IFERROR(__xludf.DUMMYFUNCTION("""COMPUTED_VALUE"""),19.62)</f>
        <v>19.62</v>
      </c>
      <c r="E187" s="1">
        <f>IFERROR(__xludf.DUMMYFUNCTION("""COMPUTED_VALUE"""),20.17)</f>
        <v>20.17</v>
      </c>
      <c r="F187" s="1">
        <f>IFERROR(__xludf.DUMMYFUNCTION("""COMPUTED_VALUE"""),538665.0)</f>
        <v>538665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IFERROR(__xludf.DUMMYFUNCTION("""COMPUTED_VALUE"""),20.12)</f>
        <v>20.12</v>
      </c>
      <c r="C188" s="1">
        <f>IFERROR(__xludf.DUMMYFUNCTION("""COMPUTED_VALUE"""),20.47)</f>
        <v>20.47</v>
      </c>
      <c r="D188" s="1">
        <f>IFERROR(__xludf.DUMMYFUNCTION("""COMPUTED_VALUE"""),20.03)</f>
        <v>20.03</v>
      </c>
      <c r="E188" s="1">
        <f>IFERROR(__xludf.DUMMYFUNCTION("""COMPUTED_VALUE"""),20.25)</f>
        <v>20.25</v>
      </c>
      <c r="F188" s="1">
        <f>IFERROR(__xludf.DUMMYFUNCTION("""COMPUTED_VALUE"""),383278.0)</f>
        <v>383278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IFERROR(__xludf.DUMMYFUNCTION("""COMPUTED_VALUE"""),20.75)</f>
        <v>20.75</v>
      </c>
      <c r="C189" s="1">
        <f>IFERROR(__xludf.DUMMYFUNCTION("""COMPUTED_VALUE"""),21.17)</f>
        <v>21.17</v>
      </c>
      <c r="D189" s="1">
        <f>IFERROR(__xludf.DUMMYFUNCTION("""COMPUTED_VALUE"""),20.4)</f>
        <v>20.4</v>
      </c>
      <c r="E189" s="1">
        <f>IFERROR(__xludf.DUMMYFUNCTION("""COMPUTED_VALUE"""),20.77)</f>
        <v>20.77</v>
      </c>
      <c r="F189" s="1">
        <f>IFERROR(__xludf.DUMMYFUNCTION("""COMPUTED_VALUE"""),551770.0)</f>
        <v>551770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IFERROR(__xludf.DUMMYFUNCTION("""COMPUTED_VALUE"""),20.86)</f>
        <v>20.86</v>
      </c>
      <c r="C190" s="1">
        <f>IFERROR(__xludf.DUMMYFUNCTION("""COMPUTED_VALUE"""),21.48)</f>
        <v>21.48</v>
      </c>
      <c r="D190" s="1">
        <f>IFERROR(__xludf.DUMMYFUNCTION("""COMPUTED_VALUE"""),20.73)</f>
        <v>20.73</v>
      </c>
      <c r="E190" s="1">
        <f>IFERROR(__xludf.DUMMYFUNCTION("""COMPUTED_VALUE"""),21.41)</f>
        <v>21.41</v>
      </c>
      <c r="F190" s="1">
        <f>IFERROR(__xludf.DUMMYFUNCTION("""COMPUTED_VALUE"""),569520.0)</f>
        <v>569520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IFERROR(__xludf.DUMMYFUNCTION("""COMPUTED_VALUE"""),21.28)</f>
        <v>21.28</v>
      </c>
      <c r="C191" s="1">
        <f>IFERROR(__xludf.DUMMYFUNCTION("""COMPUTED_VALUE"""),21.4)</f>
        <v>21.4</v>
      </c>
      <c r="D191" s="1">
        <f>IFERROR(__xludf.DUMMYFUNCTION("""COMPUTED_VALUE"""),21.01)</f>
        <v>21.01</v>
      </c>
      <c r="E191" s="1">
        <f>IFERROR(__xludf.DUMMYFUNCTION("""COMPUTED_VALUE"""),21.13)</f>
        <v>21.13</v>
      </c>
      <c r="F191" s="1">
        <f>IFERROR(__xludf.DUMMYFUNCTION("""COMPUTED_VALUE"""),179142.0)</f>
        <v>179142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IFERROR(__xludf.DUMMYFUNCTION("""COMPUTED_VALUE"""),21.2)</f>
        <v>21.2</v>
      </c>
      <c r="C192" s="1">
        <f>IFERROR(__xludf.DUMMYFUNCTION("""COMPUTED_VALUE"""),21.45)</f>
        <v>21.45</v>
      </c>
      <c r="D192" s="1">
        <f>IFERROR(__xludf.DUMMYFUNCTION("""COMPUTED_VALUE"""),21.17)</f>
        <v>21.17</v>
      </c>
      <c r="E192" s="1">
        <f>IFERROR(__xludf.DUMMYFUNCTION("""COMPUTED_VALUE"""),21.31)</f>
        <v>21.31</v>
      </c>
      <c r="F192" s="1">
        <f>IFERROR(__xludf.DUMMYFUNCTION("""COMPUTED_VALUE"""),197135.0)</f>
        <v>197135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IFERROR(__xludf.DUMMYFUNCTION("""COMPUTED_VALUE"""),21.25)</f>
        <v>21.25</v>
      </c>
      <c r="C193" s="1">
        <f>IFERROR(__xludf.DUMMYFUNCTION("""COMPUTED_VALUE"""),21.45)</f>
        <v>21.45</v>
      </c>
      <c r="D193" s="1">
        <f>IFERROR(__xludf.DUMMYFUNCTION("""COMPUTED_VALUE"""),21.03)</f>
        <v>21.03</v>
      </c>
      <c r="E193" s="1">
        <f>IFERROR(__xludf.DUMMYFUNCTION("""COMPUTED_VALUE"""),21.22)</f>
        <v>21.22</v>
      </c>
      <c r="F193" s="1">
        <f>IFERROR(__xludf.DUMMYFUNCTION("""COMPUTED_VALUE"""),131010.0)</f>
        <v>131010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IFERROR(__xludf.DUMMYFUNCTION("""COMPUTED_VALUE"""),21.32)</f>
        <v>21.32</v>
      </c>
      <c r="C194" s="1">
        <f>IFERROR(__xludf.DUMMYFUNCTION("""COMPUTED_VALUE"""),21.33)</f>
        <v>21.33</v>
      </c>
      <c r="D194" s="1">
        <f>IFERROR(__xludf.DUMMYFUNCTION("""COMPUTED_VALUE"""),20.95)</f>
        <v>20.95</v>
      </c>
      <c r="E194" s="1">
        <f>IFERROR(__xludf.DUMMYFUNCTION("""COMPUTED_VALUE"""),21.11)</f>
        <v>21.11</v>
      </c>
      <c r="F194" s="1">
        <f>IFERROR(__xludf.DUMMYFUNCTION("""COMPUTED_VALUE"""),156100.0)</f>
        <v>156100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IFERROR(__xludf.DUMMYFUNCTION("""COMPUTED_VALUE"""),21.01)</f>
        <v>21.01</v>
      </c>
      <c r="C195" s="1">
        <f>IFERROR(__xludf.DUMMYFUNCTION("""COMPUTED_VALUE"""),21.24)</f>
        <v>21.24</v>
      </c>
      <c r="D195" s="1">
        <f>IFERROR(__xludf.DUMMYFUNCTION("""COMPUTED_VALUE"""),20.98)</f>
        <v>20.98</v>
      </c>
      <c r="E195" s="1">
        <f>IFERROR(__xludf.DUMMYFUNCTION("""COMPUTED_VALUE"""),21.2)</f>
        <v>21.2</v>
      </c>
      <c r="F195" s="1">
        <f>IFERROR(__xludf.DUMMYFUNCTION("""COMPUTED_VALUE"""),125031.0)</f>
        <v>125031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IFERROR(__xludf.DUMMYFUNCTION("""COMPUTED_VALUE"""),21.18)</f>
        <v>21.18</v>
      </c>
      <c r="C196" s="1">
        <f>IFERROR(__xludf.DUMMYFUNCTION("""COMPUTED_VALUE"""),21.33)</f>
        <v>21.33</v>
      </c>
      <c r="D196" s="1">
        <f>IFERROR(__xludf.DUMMYFUNCTION("""COMPUTED_VALUE"""),21.04)</f>
        <v>21.04</v>
      </c>
      <c r="E196" s="1">
        <f>IFERROR(__xludf.DUMMYFUNCTION("""COMPUTED_VALUE"""),21.06)</f>
        <v>21.06</v>
      </c>
      <c r="F196" s="1">
        <f>IFERROR(__xludf.DUMMYFUNCTION("""COMPUTED_VALUE"""),50356.0)</f>
        <v>50356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IFERROR(__xludf.DUMMYFUNCTION("""COMPUTED_VALUE"""),21.1)</f>
        <v>21.1</v>
      </c>
      <c r="C197" s="1">
        <f>IFERROR(__xludf.DUMMYFUNCTION("""COMPUTED_VALUE"""),21.3)</f>
        <v>21.3</v>
      </c>
      <c r="D197" s="1">
        <f>IFERROR(__xludf.DUMMYFUNCTION("""COMPUTED_VALUE"""),20.95)</f>
        <v>20.95</v>
      </c>
      <c r="E197" s="1">
        <f>IFERROR(__xludf.DUMMYFUNCTION("""COMPUTED_VALUE"""),21.15)</f>
        <v>21.15</v>
      </c>
      <c r="F197" s="1">
        <f>IFERROR(__xludf.DUMMYFUNCTION("""COMPUTED_VALUE"""),166487.0)</f>
        <v>166487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IFERROR(__xludf.DUMMYFUNCTION("""COMPUTED_VALUE"""),21.22)</f>
        <v>21.22</v>
      </c>
      <c r="C198" s="1">
        <f>IFERROR(__xludf.DUMMYFUNCTION("""COMPUTED_VALUE"""),21.3)</f>
        <v>21.3</v>
      </c>
      <c r="D198" s="1">
        <f>IFERROR(__xludf.DUMMYFUNCTION("""COMPUTED_VALUE"""),21.02)</f>
        <v>21.02</v>
      </c>
      <c r="E198" s="1">
        <f>IFERROR(__xludf.DUMMYFUNCTION("""COMPUTED_VALUE"""),21.17)</f>
        <v>21.17</v>
      </c>
      <c r="F198" s="1">
        <f>IFERROR(__xludf.DUMMYFUNCTION("""COMPUTED_VALUE"""),469113.0)</f>
        <v>469113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IFERROR(__xludf.DUMMYFUNCTION("""COMPUTED_VALUE"""),21.21)</f>
        <v>21.21</v>
      </c>
      <c r="C199" s="1">
        <f>IFERROR(__xludf.DUMMYFUNCTION("""COMPUTED_VALUE"""),21.23)</f>
        <v>21.23</v>
      </c>
      <c r="D199" s="1">
        <f>IFERROR(__xludf.DUMMYFUNCTION("""COMPUTED_VALUE"""),20.69)</f>
        <v>20.69</v>
      </c>
      <c r="E199" s="1">
        <f>IFERROR(__xludf.DUMMYFUNCTION("""COMPUTED_VALUE"""),20.9)</f>
        <v>20.9</v>
      </c>
      <c r="F199" s="1">
        <f>IFERROR(__xludf.DUMMYFUNCTION("""COMPUTED_VALUE"""),491187.0)</f>
        <v>491187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IFERROR(__xludf.DUMMYFUNCTION("""COMPUTED_VALUE"""),20.91)</f>
        <v>20.91</v>
      </c>
      <c r="C200" s="1">
        <f>IFERROR(__xludf.DUMMYFUNCTION("""COMPUTED_VALUE"""),20.91)</f>
        <v>20.91</v>
      </c>
      <c r="D200" s="1">
        <f>IFERROR(__xludf.DUMMYFUNCTION("""COMPUTED_VALUE"""),20.33)</f>
        <v>20.33</v>
      </c>
      <c r="E200" s="1">
        <f>IFERROR(__xludf.DUMMYFUNCTION("""COMPUTED_VALUE"""),20.81)</f>
        <v>20.81</v>
      </c>
      <c r="F200" s="1">
        <f>IFERROR(__xludf.DUMMYFUNCTION("""COMPUTED_VALUE"""),372043.0)</f>
        <v>372043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IFERROR(__xludf.DUMMYFUNCTION("""COMPUTED_VALUE"""),20.79)</f>
        <v>20.79</v>
      </c>
      <c r="C201" s="1">
        <f>IFERROR(__xludf.DUMMYFUNCTION("""COMPUTED_VALUE"""),21.23)</f>
        <v>21.23</v>
      </c>
      <c r="D201" s="1">
        <f>IFERROR(__xludf.DUMMYFUNCTION("""COMPUTED_VALUE"""),20.79)</f>
        <v>20.79</v>
      </c>
      <c r="E201" s="1">
        <f>IFERROR(__xludf.DUMMYFUNCTION("""COMPUTED_VALUE"""),20.96)</f>
        <v>20.96</v>
      </c>
      <c r="F201" s="1">
        <f>IFERROR(__xludf.DUMMYFUNCTION("""COMPUTED_VALUE"""),185774.0)</f>
        <v>185774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IFERROR(__xludf.DUMMYFUNCTION("""COMPUTED_VALUE"""),20.8)</f>
        <v>20.8</v>
      </c>
      <c r="C202" s="1">
        <f>IFERROR(__xludf.DUMMYFUNCTION("""COMPUTED_VALUE"""),20.84)</f>
        <v>20.84</v>
      </c>
      <c r="D202" s="1">
        <f>IFERROR(__xludf.DUMMYFUNCTION("""COMPUTED_VALUE"""),20.49)</f>
        <v>20.49</v>
      </c>
      <c r="E202" s="1">
        <f>IFERROR(__xludf.DUMMYFUNCTION("""COMPUTED_VALUE"""),20.58)</f>
        <v>20.58</v>
      </c>
      <c r="F202" s="1">
        <f>IFERROR(__xludf.DUMMYFUNCTION("""COMPUTED_VALUE"""),109005.0)</f>
        <v>109005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IFERROR(__xludf.DUMMYFUNCTION("""COMPUTED_VALUE"""),20.63)</f>
        <v>20.63</v>
      </c>
      <c r="C203" s="1">
        <f>IFERROR(__xludf.DUMMYFUNCTION("""COMPUTED_VALUE"""),20.71)</f>
        <v>20.71</v>
      </c>
      <c r="D203" s="1">
        <f>IFERROR(__xludf.DUMMYFUNCTION("""COMPUTED_VALUE"""),20.44)</f>
        <v>20.44</v>
      </c>
      <c r="E203" s="1">
        <f>IFERROR(__xludf.DUMMYFUNCTION("""COMPUTED_VALUE"""),20.46)</f>
        <v>20.46</v>
      </c>
      <c r="F203" s="1">
        <f>IFERROR(__xludf.DUMMYFUNCTION("""COMPUTED_VALUE"""),266473.0)</f>
        <v>266473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IFERROR(__xludf.DUMMYFUNCTION("""COMPUTED_VALUE"""),20.58)</f>
        <v>20.58</v>
      </c>
      <c r="C204" s="1">
        <f>IFERROR(__xludf.DUMMYFUNCTION("""COMPUTED_VALUE"""),20.73)</f>
        <v>20.73</v>
      </c>
      <c r="D204" s="1">
        <f>IFERROR(__xludf.DUMMYFUNCTION("""COMPUTED_VALUE"""),20.33)</f>
        <v>20.33</v>
      </c>
      <c r="E204" s="1">
        <f>IFERROR(__xludf.DUMMYFUNCTION("""COMPUTED_VALUE"""),20.58)</f>
        <v>20.58</v>
      </c>
      <c r="F204" s="1">
        <f>IFERROR(__xludf.DUMMYFUNCTION("""COMPUTED_VALUE"""),245841.0)</f>
        <v>245841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IFERROR(__xludf.DUMMYFUNCTION("""COMPUTED_VALUE"""),20.6)</f>
        <v>20.6</v>
      </c>
      <c r="C205" s="1">
        <f>IFERROR(__xludf.DUMMYFUNCTION("""COMPUTED_VALUE"""),20.71)</f>
        <v>20.71</v>
      </c>
      <c r="D205" s="1">
        <f>IFERROR(__xludf.DUMMYFUNCTION("""COMPUTED_VALUE"""),20.48)</f>
        <v>20.48</v>
      </c>
      <c r="E205" s="1">
        <f>IFERROR(__xludf.DUMMYFUNCTION("""COMPUTED_VALUE"""),20.66)</f>
        <v>20.66</v>
      </c>
      <c r="F205" s="1">
        <f>IFERROR(__xludf.DUMMYFUNCTION("""COMPUTED_VALUE"""),103916.0)</f>
        <v>103916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IFERROR(__xludf.DUMMYFUNCTION("""COMPUTED_VALUE"""),20.79)</f>
        <v>20.79</v>
      </c>
      <c r="C206" s="1">
        <f>IFERROR(__xludf.DUMMYFUNCTION("""COMPUTED_VALUE"""),21.05)</f>
        <v>21.05</v>
      </c>
      <c r="D206" s="1">
        <f>IFERROR(__xludf.DUMMYFUNCTION("""COMPUTED_VALUE"""),20.77)</f>
        <v>20.77</v>
      </c>
      <c r="E206" s="1">
        <f>IFERROR(__xludf.DUMMYFUNCTION("""COMPUTED_VALUE"""),20.95)</f>
        <v>20.95</v>
      </c>
      <c r="F206" s="1">
        <f>IFERROR(__xludf.DUMMYFUNCTION("""COMPUTED_VALUE"""),111835.0)</f>
        <v>111835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IFERROR(__xludf.DUMMYFUNCTION("""COMPUTED_VALUE"""),20.85)</f>
        <v>20.85</v>
      </c>
      <c r="C207" s="1">
        <f>IFERROR(__xludf.DUMMYFUNCTION("""COMPUTED_VALUE"""),20.85)</f>
        <v>20.85</v>
      </c>
      <c r="D207" s="1">
        <f>IFERROR(__xludf.DUMMYFUNCTION("""COMPUTED_VALUE"""),20.65)</f>
        <v>20.65</v>
      </c>
      <c r="E207" s="1">
        <f>IFERROR(__xludf.DUMMYFUNCTION("""COMPUTED_VALUE"""),20.72)</f>
        <v>20.72</v>
      </c>
      <c r="F207" s="1">
        <f>IFERROR(__xludf.DUMMYFUNCTION("""COMPUTED_VALUE"""),192175.0)</f>
        <v>192175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IFERROR(__xludf.DUMMYFUNCTION("""COMPUTED_VALUE"""),20.62)</f>
        <v>20.62</v>
      </c>
      <c r="C208" s="1">
        <f>IFERROR(__xludf.DUMMYFUNCTION("""COMPUTED_VALUE"""),20.7)</f>
        <v>20.7</v>
      </c>
      <c r="D208" s="1">
        <f>IFERROR(__xludf.DUMMYFUNCTION("""COMPUTED_VALUE"""),20.34)</f>
        <v>20.34</v>
      </c>
      <c r="E208" s="1">
        <f>IFERROR(__xludf.DUMMYFUNCTION("""COMPUTED_VALUE"""),20.43)</f>
        <v>20.43</v>
      </c>
      <c r="F208" s="1">
        <f>IFERROR(__xludf.DUMMYFUNCTION("""COMPUTED_VALUE"""),166799.0)</f>
        <v>166799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IFERROR(__xludf.DUMMYFUNCTION("""COMPUTED_VALUE"""),20.56)</f>
        <v>20.56</v>
      </c>
      <c r="C209" s="1">
        <f>IFERROR(__xludf.DUMMYFUNCTION("""COMPUTED_VALUE"""),20.86)</f>
        <v>20.86</v>
      </c>
      <c r="D209" s="1">
        <f>IFERROR(__xludf.DUMMYFUNCTION("""COMPUTED_VALUE"""),20.51)</f>
        <v>20.51</v>
      </c>
      <c r="E209" s="1">
        <f>IFERROR(__xludf.DUMMYFUNCTION("""COMPUTED_VALUE"""),20.71)</f>
        <v>20.71</v>
      </c>
      <c r="F209" s="1">
        <f>IFERROR(__xludf.DUMMYFUNCTION("""COMPUTED_VALUE"""),190137.0)</f>
        <v>190137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IFERROR(__xludf.DUMMYFUNCTION("""COMPUTED_VALUE"""),20.58)</f>
        <v>20.58</v>
      </c>
      <c r="C210" s="1">
        <f>IFERROR(__xludf.DUMMYFUNCTION("""COMPUTED_VALUE"""),21.22)</f>
        <v>21.22</v>
      </c>
      <c r="D210" s="1">
        <f>IFERROR(__xludf.DUMMYFUNCTION("""COMPUTED_VALUE"""),20.58)</f>
        <v>20.58</v>
      </c>
      <c r="E210" s="1">
        <f>IFERROR(__xludf.DUMMYFUNCTION("""COMPUTED_VALUE"""),21.18)</f>
        <v>21.18</v>
      </c>
      <c r="F210" s="1">
        <f>IFERROR(__xludf.DUMMYFUNCTION("""COMPUTED_VALUE"""),144864.0)</f>
        <v>144864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IFERROR(__xludf.DUMMYFUNCTION("""COMPUTED_VALUE"""),21.14)</f>
        <v>21.14</v>
      </c>
      <c r="C211" s="1">
        <f>IFERROR(__xludf.DUMMYFUNCTION("""COMPUTED_VALUE"""),21.4)</f>
        <v>21.4</v>
      </c>
      <c r="D211" s="1">
        <f>IFERROR(__xludf.DUMMYFUNCTION("""COMPUTED_VALUE"""),20.97)</f>
        <v>20.97</v>
      </c>
      <c r="E211" s="1">
        <f>IFERROR(__xludf.DUMMYFUNCTION("""COMPUTED_VALUE"""),21.01)</f>
        <v>21.01</v>
      </c>
      <c r="F211" s="1">
        <f>IFERROR(__xludf.DUMMYFUNCTION("""COMPUTED_VALUE"""),384333.0)</f>
        <v>384333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IFERROR(__xludf.DUMMYFUNCTION("""COMPUTED_VALUE"""),21.22)</f>
        <v>21.22</v>
      </c>
      <c r="C212" s="1">
        <f>IFERROR(__xludf.DUMMYFUNCTION("""COMPUTED_VALUE"""),21.33)</f>
        <v>21.33</v>
      </c>
      <c r="D212" s="1">
        <f>IFERROR(__xludf.DUMMYFUNCTION("""COMPUTED_VALUE"""),20.47)</f>
        <v>20.47</v>
      </c>
      <c r="E212" s="1">
        <f>IFERROR(__xludf.DUMMYFUNCTION("""COMPUTED_VALUE"""),21.15)</f>
        <v>21.15</v>
      </c>
      <c r="F212" s="1">
        <f>IFERROR(__xludf.DUMMYFUNCTION("""COMPUTED_VALUE"""),419387.0)</f>
        <v>419387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IFERROR(__xludf.DUMMYFUNCTION("""COMPUTED_VALUE"""),21.24)</f>
        <v>21.24</v>
      </c>
      <c r="C213" s="1">
        <f>IFERROR(__xludf.DUMMYFUNCTION("""COMPUTED_VALUE"""),21.3)</f>
        <v>21.3</v>
      </c>
      <c r="D213" s="1">
        <f>IFERROR(__xludf.DUMMYFUNCTION("""COMPUTED_VALUE"""),20.97)</f>
        <v>20.97</v>
      </c>
      <c r="E213" s="1">
        <f>IFERROR(__xludf.DUMMYFUNCTION("""COMPUTED_VALUE"""),21.14)</f>
        <v>21.14</v>
      </c>
      <c r="F213" s="1">
        <f>IFERROR(__xludf.DUMMYFUNCTION("""COMPUTED_VALUE"""),770984.0)</f>
        <v>770984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IFERROR(__xludf.DUMMYFUNCTION("""COMPUTED_VALUE"""),21.23)</f>
        <v>21.23</v>
      </c>
      <c r="C214" s="1">
        <f>IFERROR(__xludf.DUMMYFUNCTION("""COMPUTED_VALUE"""),21.41)</f>
        <v>21.41</v>
      </c>
      <c r="D214" s="1">
        <f>IFERROR(__xludf.DUMMYFUNCTION("""COMPUTED_VALUE"""),21.17)</f>
        <v>21.17</v>
      </c>
      <c r="E214" s="1">
        <f>IFERROR(__xludf.DUMMYFUNCTION("""COMPUTED_VALUE"""),21.23)</f>
        <v>21.23</v>
      </c>
      <c r="F214" s="1">
        <f>IFERROR(__xludf.DUMMYFUNCTION("""COMPUTED_VALUE"""),947113.0)</f>
        <v>947113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IFERROR(__xludf.DUMMYFUNCTION("""COMPUTED_VALUE"""),21.2)</f>
        <v>21.2</v>
      </c>
      <c r="C215" s="1">
        <f>IFERROR(__xludf.DUMMYFUNCTION("""COMPUTED_VALUE"""),21.25)</f>
        <v>21.25</v>
      </c>
      <c r="D215" s="1">
        <f>IFERROR(__xludf.DUMMYFUNCTION("""COMPUTED_VALUE"""),20.9)</f>
        <v>20.9</v>
      </c>
      <c r="E215" s="1">
        <f>IFERROR(__xludf.DUMMYFUNCTION("""COMPUTED_VALUE"""),20.98)</f>
        <v>20.98</v>
      </c>
      <c r="F215" s="1">
        <f>IFERROR(__xludf.DUMMYFUNCTION("""COMPUTED_VALUE"""),1629599.0)</f>
        <v>1629599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IFERROR(__xludf.DUMMYFUNCTION("""COMPUTED_VALUE"""),20.81)</f>
        <v>20.81</v>
      </c>
      <c r="C216" s="1">
        <f>IFERROR(__xludf.DUMMYFUNCTION("""COMPUTED_VALUE"""),20.87)</f>
        <v>20.87</v>
      </c>
      <c r="D216" s="1">
        <f>IFERROR(__xludf.DUMMYFUNCTION("""COMPUTED_VALUE"""),20.68)</f>
        <v>20.68</v>
      </c>
      <c r="E216" s="1">
        <f>IFERROR(__xludf.DUMMYFUNCTION("""COMPUTED_VALUE"""),20.75)</f>
        <v>20.75</v>
      </c>
      <c r="F216" s="1">
        <f>IFERROR(__xludf.DUMMYFUNCTION("""COMPUTED_VALUE"""),171574.0)</f>
        <v>171574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IFERROR(__xludf.DUMMYFUNCTION("""COMPUTED_VALUE"""),20.65)</f>
        <v>20.65</v>
      </c>
      <c r="C217" s="1">
        <f>IFERROR(__xludf.DUMMYFUNCTION("""COMPUTED_VALUE"""),20.8)</f>
        <v>20.8</v>
      </c>
      <c r="D217" s="1">
        <f>IFERROR(__xludf.DUMMYFUNCTION("""COMPUTED_VALUE"""),20.46)</f>
        <v>20.46</v>
      </c>
      <c r="E217" s="1">
        <f>IFERROR(__xludf.DUMMYFUNCTION("""COMPUTED_VALUE"""),20.61)</f>
        <v>20.61</v>
      </c>
      <c r="F217" s="1">
        <f>IFERROR(__xludf.DUMMYFUNCTION("""COMPUTED_VALUE"""),211095.0)</f>
        <v>211095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IFERROR(__xludf.DUMMYFUNCTION("""COMPUTED_VALUE"""),20.6)</f>
        <v>20.6</v>
      </c>
      <c r="C218" s="1">
        <f>IFERROR(__xludf.DUMMYFUNCTION("""COMPUTED_VALUE"""),20.78)</f>
        <v>20.78</v>
      </c>
      <c r="D218" s="1">
        <f>IFERROR(__xludf.DUMMYFUNCTION("""COMPUTED_VALUE"""),20.26)</f>
        <v>20.26</v>
      </c>
      <c r="E218" s="1">
        <f>IFERROR(__xludf.DUMMYFUNCTION("""COMPUTED_VALUE"""),20.45)</f>
        <v>20.45</v>
      </c>
      <c r="F218" s="1">
        <f>IFERROR(__xludf.DUMMYFUNCTION("""COMPUTED_VALUE"""),213737.0)</f>
        <v>213737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IFERROR(__xludf.DUMMYFUNCTION("""COMPUTED_VALUE"""),20.38)</f>
        <v>20.38</v>
      </c>
      <c r="C219" s="1">
        <f>IFERROR(__xludf.DUMMYFUNCTION("""COMPUTED_VALUE"""),20.56)</f>
        <v>20.56</v>
      </c>
      <c r="D219" s="1">
        <f>IFERROR(__xludf.DUMMYFUNCTION("""COMPUTED_VALUE"""),20.22)</f>
        <v>20.22</v>
      </c>
      <c r="E219" s="1">
        <f>IFERROR(__xludf.DUMMYFUNCTION("""COMPUTED_VALUE"""),20.34)</f>
        <v>20.34</v>
      </c>
      <c r="F219" s="1">
        <f>IFERROR(__xludf.DUMMYFUNCTION("""COMPUTED_VALUE"""),312948.0)</f>
        <v>312948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IFERROR(__xludf.DUMMYFUNCTION("""COMPUTED_VALUE"""),20.21)</f>
        <v>20.21</v>
      </c>
      <c r="C220" s="1">
        <f>IFERROR(__xludf.DUMMYFUNCTION("""COMPUTED_VALUE"""),20.34)</f>
        <v>20.34</v>
      </c>
      <c r="D220" s="1">
        <f>IFERROR(__xludf.DUMMYFUNCTION("""COMPUTED_VALUE"""),19.99)</f>
        <v>19.99</v>
      </c>
      <c r="E220" s="1">
        <f>IFERROR(__xludf.DUMMYFUNCTION("""COMPUTED_VALUE"""),20.01)</f>
        <v>20.01</v>
      </c>
      <c r="F220" s="1">
        <f>IFERROR(__xludf.DUMMYFUNCTION("""COMPUTED_VALUE"""),182906.0)</f>
        <v>182906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IFERROR(__xludf.DUMMYFUNCTION("""COMPUTED_VALUE"""),20.01)</f>
        <v>20.01</v>
      </c>
      <c r="C221" s="1">
        <f>IFERROR(__xludf.DUMMYFUNCTION("""COMPUTED_VALUE"""),20.25)</f>
        <v>20.25</v>
      </c>
      <c r="D221" s="1">
        <f>IFERROR(__xludf.DUMMYFUNCTION("""COMPUTED_VALUE"""),19.92)</f>
        <v>19.92</v>
      </c>
      <c r="E221" s="1">
        <f>IFERROR(__xludf.DUMMYFUNCTION("""COMPUTED_VALUE"""),20.01)</f>
        <v>20.01</v>
      </c>
      <c r="F221" s="1">
        <f>IFERROR(__xludf.DUMMYFUNCTION("""COMPUTED_VALUE"""),234166.0)</f>
        <v>234166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IFERROR(__xludf.DUMMYFUNCTION("""COMPUTED_VALUE"""),19.97)</f>
        <v>19.97</v>
      </c>
      <c r="C222" s="1">
        <f>IFERROR(__xludf.DUMMYFUNCTION("""COMPUTED_VALUE"""),20.01)</f>
        <v>20.01</v>
      </c>
      <c r="D222" s="1">
        <f>IFERROR(__xludf.DUMMYFUNCTION("""COMPUTED_VALUE"""),19.58)</f>
        <v>19.58</v>
      </c>
      <c r="E222" s="1">
        <f>IFERROR(__xludf.DUMMYFUNCTION("""COMPUTED_VALUE"""),19.72)</f>
        <v>19.72</v>
      </c>
      <c r="F222" s="1">
        <f>IFERROR(__xludf.DUMMYFUNCTION("""COMPUTED_VALUE"""),357906.0)</f>
        <v>357906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IFERROR(__xludf.DUMMYFUNCTION("""COMPUTED_VALUE"""),19.62)</f>
        <v>19.62</v>
      </c>
      <c r="C223" s="1">
        <f>IFERROR(__xludf.DUMMYFUNCTION("""COMPUTED_VALUE"""),19.86)</f>
        <v>19.86</v>
      </c>
      <c r="D223" s="1">
        <f>IFERROR(__xludf.DUMMYFUNCTION("""COMPUTED_VALUE"""),19.57)</f>
        <v>19.57</v>
      </c>
      <c r="E223" s="1">
        <f>IFERROR(__xludf.DUMMYFUNCTION("""COMPUTED_VALUE"""),19.63)</f>
        <v>19.63</v>
      </c>
      <c r="F223" s="1">
        <f>IFERROR(__xludf.DUMMYFUNCTION("""COMPUTED_VALUE"""),565377.0)</f>
        <v>565377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IFERROR(__xludf.DUMMYFUNCTION("""COMPUTED_VALUE"""),19.75)</f>
        <v>19.75</v>
      </c>
      <c r="C224" s="1">
        <f>IFERROR(__xludf.DUMMYFUNCTION("""COMPUTED_VALUE"""),20.12)</f>
        <v>20.12</v>
      </c>
      <c r="D224" s="1">
        <f>IFERROR(__xludf.DUMMYFUNCTION("""COMPUTED_VALUE"""),19.69)</f>
        <v>19.69</v>
      </c>
      <c r="E224" s="1">
        <f>IFERROR(__xludf.DUMMYFUNCTION("""COMPUTED_VALUE"""),19.97)</f>
        <v>19.97</v>
      </c>
      <c r="F224" s="1">
        <f>IFERROR(__xludf.DUMMYFUNCTION("""COMPUTED_VALUE"""),207375.0)</f>
        <v>207375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IFERROR(__xludf.DUMMYFUNCTION("""COMPUTED_VALUE"""),19.95)</f>
        <v>19.95</v>
      </c>
      <c r="C225" s="1">
        <f>IFERROR(__xludf.DUMMYFUNCTION("""COMPUTED_VALUE"""),19.98)</f>
        <v>19.98</v>
      </c>
      <c r="D225" s="1">
        <f>IFERROR(__xludf.DUMMYFUNCTION("""COMPUTED_VALUE"""),19.73)</f>
        <v>19.73</v>
      </c>
      <c r="E225" s="1">
        <f>IFERROR(__xludf.DUMMYFUNCTION("""COMPUTED_VALUE"""),19.94)</f>
        <v>19.94</v>
      </c>
      <c r="F225" s="1">
        <f>IFERROR(__xludf.DUMMYFUNCTION("""COMPUTED_VALUE"""),282432.0)</f>
        <v>282432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IFERROR(__xludf.DUMMYFUNCTION("""COMPUTED_VALUE"""),19.83)</f>
        <v>19.83</v>
      </c>
      <c r="C226" s="1">
        <f>IFERROR(__xludf.DUMMYFUNCTION("""COMPUTED_VALUE"""),20.08)</f>
        <v>20.08</v>
      </c>
      <c r="D226" s="1">
        <f>IFERROR(__xludf.DUMMYFUNCTION("""COMPUTED_VALUE"""),19.72)</f>
        <v>19.72</v>
      </c>
      <c r="E226" s="1">
        <f>IFERROR(__xludf.DUMMYFUNCTION("""COMPUTED_VALUE"""),19.96)</f>
        <v>19.96</v>
      </c>
      <c r="F226" s="1">
        <f>IFERROR(__xludf.DUMMYFUNCTION("""COMPUTED_VALUE"""),372202.0)</f>
        <v>372202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IFERROR(__xludf.DUMMYFUNCTION("""COMPUTED_VALUE"""),19.85)</f>
        <v>19.85</v>
      </c>
      <c r="C227" s="1">
        <f>IFERROR(__xludf.DUMMYFUNCTION("""COMPUTED_VALUE"""),20.04)</f>
        <v>20.04</v>
      </c>
      <c r="D227" s="1">
        <f>IFERROR(__xludf.DUMMYFUNCTION("""COMPUTED_VALUE"""),19.67)</f>
        <v>19.67</v>
      </c>
      <c r="E227" s="1">
        <f>IFERROR(__xludf.DUMMYFUNCTION("""COMPUTED_VALUE"""),19.85)</f>
        <v>19.85</v>
      </c>
      <c r="F227" s="1">
        <f>IFERROR(__xludf.DUMMYFUNCTION("""COMPUTED_VALUE"""),196131.0)</f>
        <v>196131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IFERROR(__xludf.DUMMYFUNCTION("""COMPUTED_VALUE"""),19.97)</f>
        <v>19.97</v>
      </c>
      <c r="C228" s="1">
        <f>IFERROR(__xludf.DUMMYFUNCTION("""COMPUTED_VALUE"""),20.15)</f>
        <v>20.15</v>
      </c>
      <c r="D228" s="1">
        <f>IFERROR(__xludf.DUMMYFUNCTION("""COMPUTED_VALUE"""),19.86)</f>
        <v>19.86</v>
      </c>
      <c r="E228" s="1">
        <f>IFERROR(__xludf.DUMMYFUNCTION("""COMPUTED_VALUE"""),20.05)</f>
        <v>20.05</v>
      </c>
      <c r="F228" s="1">
        <f>IFERROR(__xludf.DUMMYFUNCTION("""COMPUTED_VALUE"""),512146.0)</f>
        <v>512146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IFERROR(__xludf.DUMMYFUNCTION("""COMPUTED_VALUE"""),19.83)</f>
        <v>19.83</v>
      </c>
      <c r="C229" s="1">
        <f>IFERROR(__xludf.DUMMYFUNCTION("""COMPUTED_VALUE"""),20.11)</f>
        <v>20.11</v>
      </c>
      <c r="D229" s="1">
        <f>IFERROR(__xludf.DUMMYFUNCTION("""COMPUTED_VALUE"""),19.8)</f>
        <v>19.8</v>
      </c>
      <c r="E229" s="1">
        <f>IFERROR(__xludf.DUMMYFUNCTION("""COMPUTED_VALUE"""),19.95)</f>
        <v>19.95</v>
      </c>
      <c r="F229" s="1">
        <f>IFERROR(__xludf.DUMMYFUNCTION("""COMPUTED_VALUE"""),96741.0)</f>
        <v>96741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IFERROR(__xludf.DUMMYFUNCTION("""COMPUTED_VALUE"""),19.81)</f>
        <v>19.81</v>
      </c>
      <c r="C230" s="1">
        <f>IFERROR(__xludf.DUMMYFUNCTION("""COMPUTED_VALUE"""),19.9)</f>
        <v>19.9</v>
      </c>
      <c r="D230" s="1">
        <f>IFERROR(__xludf.DUMMYFUNCTION("""COMPUTED_VALUE"""),19.63)</f>
        <v>19.63</v>
      </c>
      <c r="E230" s="1">
        <f>IFERROR(__xludf.DUMMYFUNCTION("""COMPUTED_VALUE"""),19.8)</f>
        <v>19.8</v>
      </c>
      <c r="F230" s="1">
        <f>IFERROR(__xludf.DUMMYFUNCTION("""COMPUTED_VALUE"""),264421.0)</f>
        <v>264421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IFERROR(__xludf.DUMMYFUNCTION("""COMPUTED_VALUE"""),19.56)</f>
        <v>19.56</v>
      </c>
      <c r="C231" s="1">
        <f>IFERROR(__xludf.DUMMYFUNCTION("""COMPUTED_VALUE"""),20.1)</f>
        <v>20.1</v>
      </c>
      <c r="D231" s="1">
        <f>IFERROR(__xludf.DUMMYFUNCTION("""COMPUTED_VALUE"""),19.55)</f>
        <v>19.55</v>
      </c>
      <c r="E231" s="1">
        <f>IFERROR(__xludf.DUMMYFUNCTION("""COMPUTED_VALUE"""),20.02)</f>
        <v>20.02</v>
      </c>
      <c r="F231" s="1">
        <f>IFERROR(__xludf.DUMMYFUNCTION("""COMPUTED_VALUE"""),308035.0)</f>
        <v>308035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IFERROR(__xludf.DUMMYFUNCTION("""COMPUTED_VALUE"""),20.36)</f>
        <v>20.36</v>
      </c>
      <c r="C232" s="1">
        <f>IFERROR(__xludf.DUMMYFUNCTION("""COMPUTED_VALUE"""),20.36)</f>
        <v>20.36</v>
      </c>
      <c r="D232" s="1">
        <f>IFERROR(__xludf.DUMMYFUNCTION("""COMPUTED_VALUE"""),19.87)</f>
        <v>19.87</v>
      </c>
      <c r="E232" s="1">
        <f>IFERROR(__xludf.DUMMYFUNCTION("""COMPUTED_VALUE"""),20.26)</f>
        <v>20.26</v>
      </c>
      <c r="F232" s="1">
        <f>IFERROR(__xludf.DUMMYFUNCTION("""COMPUTED_VALUE"""),609109.0)</f>
        <v>609109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IFERROR(__xludf.DUMMYFUNCTION("""COMPUTED_VALUE"""),20.31)</f>
        <v>20.31</v>
      </c>
      <c r="C233" s="1">
        <f>IFERROR(__xludf.DUMMYFUNCTION("""COMPUTED_VALUE"""),20.49)</f>
        <v>20.49</v>
      </c>
      <c r="D233" s="1">
        <f>IFERROR(__xludf.DUMMYFUNCTION("""COMPUTED_VALUE"""),20.29)</f>
        <v>20.29</v>
      </c>
      <c r="E233" s="1">
        <f>IFERROR(__xludf.DUMMYFUNCTION("""COMPUTED_VALUE"""),20.38)</f>
        <v>20.38</v>
      </c>
      <c r="F233" s="1">
        <f>IFERROR(__xludf.DUMMYFUNCTION("""COMPUTED_VALUE"""),278009.0)</f>
        <v>278009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IFERROR(__xludf.DUMMYFUNCTION("""COMPUTED_VALUE"""),20.38)</f>
        <v>20.38</v>
      </c>
      <c r="C234" s="1">
        <f>IFERROR(__xludf.DUMMYFUNCTION("""COMPUTED_VALUE"""),20.38)</f>
        <v>20.38</v>
      </c>
      <c r="D234" s="1">
        <f>IFERROR(__xludf.DUMMYFUNCTION("""COMPUTED_VALUE"""),20.09)</f>
        <v>20.09</v>
      </c>
      <c r="E234" s="1">
        <f>IFERROR(__xludf.DUMMYFUNCTION("""COMPUTED_VALUE"""),20.17)</f>
        <v>20.17</v>
      </c>
      <c r="F234" s="1">
        <f>IFERROR(__xludf.DUMMYFUNCTION("""COMPUTED_VALUE"""),285318.0)</f>
        <v>285318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IFERROR(__xludf.DUMMYFUNCTION("""COMPUTED_VALUE"""),20.11)</f>
        <v>20.11</v>
      </c>
      <c r="C235" s="1">
        <f>IFERROR(__xludf.DUMMYFUNCTION("""COMPUTED_VALUE"""),20.55)</f>
        <v>20.55</v>
      </c>
      <c r="D235" s="1">
        <f>IFERROR(__xludf.DUMMYFUNCTION("""COMPUTED_VALUE"""),20.07)</f>
        <v>20.07</v>
      </c>
      <c r="E235" s="1">
        <f>IFERROR(__xludf.DUMMYFUNCTION("""COMPUTED_VALUE"""),20.48)</f>
        <v>20.48</v>
      </c>
      <c r="F235" s="1">
        <f>IFERROR(__xludf.DUMMYFUNCTION("""COMPUTED_VALUE"""),386496.0)</f>
        <v>386496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IFERROR(__xludf.DUMMYFUNCTION("""COMPUTED_VALUE"""),20.62)</f>
        <v>20.62</v>
      </c>
      <c r="C236" s="1">
        <f>IFERROR(__xludf.DUMMYFUNCTION("""COMPUTED_VALUE"""),20.82)</f>
        <v>20.82</v>
      </c>
      <c r="D236" s="1">
        <f>IFERROR(__xludf.DUMMYFUNCTION("""COMPUTED_VALUE"""),20.54)</f>
        <v>20.54</v>
      </c>
      <c r="E236" s="1">
        <f>IFERROR(__xludf.DUMMYFUNCTION("""COMPUTED_VALUE"""),20.69)</f>
        <v>20.69</v>
      </c>
      <c r="F236" s="1">
        <f>IFERROR(__xludf.DUMMYFUNCTION("""COMPUTED_VALUE"""),239725.0)</f>
        <v>239725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IFERROR(__xludf.DUMMYFUNCTION("""COMPUTED_VALUE"""),20.71)</f>
        <v>20.71</v>
      </c>
      <c r="C237" s="1">
        <f>IFERROR(__xludf.DUMMYFUNCTION("""COMPUTED_VALUE"""),20.82)</f>
        <v>20.82</v>
      </c>
      <c r="D237" s="1">
        <f>IFERROR(__xludf.DUMMYFUNCTION("""COMPUTED_VALUE"""),20.61)</f>
        <v>20.61</v>
      </c>
      <c r="E237" s="1">
        <f>IFERROR(__xludf.DUMMYFUNCTION("""COMPUTED_VALUE"""),20.71)</f>
        <v>20.71</v>
      </c>
      <c r="F237" s="1">
        <f>IFERROR(__xludf.DUMMYFUNCTION("""COMPUTED_VALUE"""),184202.0)</f>
        <v>184202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IFERROR(__xludf.DUMMYFUNCTION("""COMPUTED_VALUE"""),20.72)</f>
        <v>20.72</v>
      </c>
      <c r="C238" s="1">
        <f>IFERROR(__xludf.DUMMYFUNCTION("""COMPUTED_VALUE"""),20.79)</f>
        <v>20.79</v>
      </c>
      <c r="D238" s="1">
        <f>IFERROR(__xludf.DUMMYFUNCTION("""COMPUTED_VALUE"""),20.48)</f>
        <v>20.48</v>
      </c>
      <c r="E238" s="1">
        <f>IFERROR(__xludf.DUMMYFUNCTION("""COMPUTED_VALUE"""),20.53)</f>
        <v>20.53</v>
      </c>
      <c r="F238" s="1">
        <f>IFERROR(__xludf.DUMMYFUNCTION("""COMPUTED_VALUE"""),155664.0)</f>
        <v>155664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IFERROR(__xludf.DUMMYFUNCTION("""COMPUTED_VALUE"""),20.44)</f>
        <v>20.44</v>
      </c>
      <c r="C239" s="1">
        <f>IFERROR(__xludf.DUMMYFUNCTION("""COMPUTED_VALUE"""),20.66)</f>
        <v>20.66</v>
      </c>
      <c r="D239" s="1">
        <f>IFERROR(__xludf.DUMMYFUNCTION("""COMPUTED_VALUE"""),20.05)</f>
        <v>20.05</v>
      </c>
      <c r="E239" s="1">
        <f>IFERROR(__xludf.DUMMYFUNCTION("""COMPUTED_VALUE"""),20.43)</f>
        <v>20.43</v>
      </c>
      <c r="F239" s="1">
        <f>IFERROR(__xludf.DUMMYFUNCTION("""COMPUTED_VALUE"""),232138.0)</f>
        <v>232138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IFERROR(__xludf.DUMMYFUNCTION("""COMPUTED_VALUE"""),20.46)</f>
        <v>20.46</v>
      </c>
      <c r="C240" s="1">
        <f>IFERROR(__xludf.DUMMYFUNCTION("""COMPUTED_VALUE"""),20.72)</f>
        <v>20.72</v>
      </c>
      <c r="D240" s="1">
        <f>IFERROR(__xludf.DUMMYFUNCTION("""COMPUTED_VALUE"""),20.4)</f>
        <v>20.4</v>
      </c>
      <c r="E240" s="1">
        <f>IFERROR(__xludf.DUMMYFUNCTION("""COMPUTED_VALUE"""),20.64)</f>
        <v>20.64</v>
      </c>
      <c r="F240" s="1">
        <f>IFERROR(__xludf.DUMMYFUNCTION("""COMPUTED_VALUE"""),634591.0)</f>
        <v>634591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IFERROR(__xludf.DUMMYFUNCTION("""COMPUTED_VALUE"""),20.7)</f>
        <v>20.7</v>
      </c>
      <c r="C241" s="1">
        <f>IFERROR(__xludf.DUMMYFUNCTION("""COMPUTED_VALUE"""),20.83)</f>
        <v>20.83</v>
      </c>
      <c r="D241" s="1">
        <f>IFERROR(__xludf.DUMMYFUNCTION("""COMPUTED_VALUE"""),20.5)</f>
        <v>20.5</v>
      </c>
      <c r="E241" s="1">
        <f>IFERROR(__xludf.DUMMYFUNCTION("""COMPUTED_VALUE"""),20.76)</f>
        <v>20.76</v>
      </c>
      <c r="F241" s="1">
        <f>IFERROR(__xludf.DUMMYFUNCTION("""COMPUTED_VALUE"""),515880.0)</f>
        <v>515880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IFERROR(__xludf.DUMMYFUNCTION("""COMPUTED_VALUE"""),20.77)</f>
        <v>20.77</v>
      </c>
      <c r="C242" s="1">
        <f>IFERROR(__xludf.DUMMYFUNCTION("""COMPUTED_VALUE"""),21.13)</f>
        <v>21.13</v>
      </c>
      <c r="D242" s="1">
        <f>IFERROR(__xludf.DUMMYFUNCTION("""COMPUTED_VALUE"""),20.58)</f>
        <v>20.58</v>
      </c>
      <c r="E242" s="1">
        <f>IFERROR(__xludf.DUMMYFUNCTION("""COMPUTED_VALUE"""),20.93)</f>
        <v>20.93</v>
      </c>
      <c r="F242" s="1">
        <f>IFERROR(__xludf.DUMMYFUNCTION("""COMPUTED_VALUE"""),367274.0)</f>
        <v>367274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IFERROR(__xludf.DUMMYFUNCTION("""COMPUTED_VALUE"""),20.87)</f>
        <v>20.87</v>
      </c>
      <c r="C243" s="1">
        <f>IFERROR(__xludf.DUMMYFUNCTION("""COMPUTED_VALUE"""),21.25)</f>
        <v>21.25</v>
      </c>
      <c r="D243" s="1">
        <f>IFERROR(__xludf.DUMMYFUNCTION("""COMPUTED_VALUE"""),20.77)</f>
        <v>20.77</v>
      </c>
      <c r="E243" s="1">
        <f>IFERROR(__xludf.DUMMYFUNCTION("""COMPUTED_VALUE"""),21.18)</f>
        <v>21.18</v>
      </c>
      <c r="F243" s="1">
        <f>IFERROR(__xludf.DUMMYFUNCTION("""COMPUTED_VALUE"""),417058.0)</f>
        <v>417058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IFERROR(__xludf.DUMMYFUNCTION("""COMPUTED_VALUE"""),21.06)</f>
        <v>21.06</v>
      </c>
      <c r="C244" s="1">
        <f>IFERROR(__xludf.DUMMYFUNCTION("""COMPUTED_VALUE"""),21.31)</f>
        <v>21.31</v>
      </c>
      <c r="D244" s="1">
        <f>IFERROR(__xludf.DUMMYFUNCTION("""COMPUTED_VALUE"""),20.89)</f>
        <v>20.89</v>
      </c>
      <c r="E244" s="1">
        <f>IFERROR(__xludf.DUMMYFUNCTION("""COMPUTED_VALUE"""),21.19)</f>
        <v>21.19</v>
      </c>
      <c r="F244" s="1">
        <f>IFERROR(__xludf.DUMMYFUNCTION("""COMPUTED_VALUE"""),1179604.0)</f>
        <v>1179604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IFERROR(__xludf.DUMMYFUNCTION("""COMPUTED_VALUE"""),21.18)</f>
        <v>21.18</v>
      </c>
      <c r="C245" s="1">
        <f>IFERROR(__xludf.DUMMYFUNCTION("""COMPUTED_VALUE"""),21.48)</f>
        <v>21.48</v>
      </c>
      <c r="D245" s="1">
        <f>IFERROR(__xludf.DUMMYFUNCTION("""COMPUTED_VALUE"""),21.0)</f>
        <v>21</v>
      </c>
      <c r="E245" s="1">
        <f>IFERROR(__xludf.DUMMYFUNCTION("""COMPUTED_VALUE"""),21.46)</f>
        <v>21.46</v>
      </c>
      <c r="F245" s="1">
        <f>IFERROR(__xludf.DUMMYFUNCTION("""COMPUTED_VALUE"""),461963.0)</f>
        <v>461963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IFERROR(__xludf.DUMMYFUNCTION("""COMPUTED_VALUE"""),21.44)</f>
        <v>21.44</v>
      </c>
      <c r="C246" s="1">
        <f>IFERROR(__xludf.DUMMYFUNCTION("""COMPUTED_VALUE"""),21.69)</f>
        <v>21.69</v>
      </c>
      <c r="D246" s="1">
        <f>IFERROR(__xludf.DUMMYFUNCTION("""COMPUTED_VALUE"""),21.39)</f>
        <v>21.39</v>
      </c>
      <c r="E246" s="1">
        <f>IFERROR(__xludf.DUMMYFUNCTION("""COMPUTED_VALUE"""),21.65)</f>
        <v>21.65</v>
      </c>
      <c r="F246" s="1">
        <f>IFERROR(__xludf.DUMMYFUNCTION("""COMPUTED_VALUE"""),261185.0)</f>
        <v>261185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IFERROR(__xludf.DUMMYFUNCTION("""COMPUTED_VALUE"""),21.67)</f>
        <v>21.67</v>
      </c>
      <c r="C247" s="1">
        <f>IFERROR(__xludf.DUMMYFUNCTION("""COMPUTED_VALUE"""),22.06)</f>
        <v>22.06</v>
      </c>
      <c r="D247" s="1">
        <f>IFERROR(__xludf.DUMMYFUNCTION("""COMPUTED_VALUE"""),21.62)</f>
        <v>21.62</v>
      </c>
      <c r="E247" s="1">
        <f>IFERROR(__xludf.DUMMYFUNCTION("""COMPUTED_VALUE"""),22.0)</f>
        <v>22</v>
      </c>
      <c r="F247" s="1">
        <f>IFERROR(__xludf.DUMMYFUNCTION("""COMPUTED_VALUE"""),264735.0)</f>
        <v>264735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IFERROR(__xludf.DUMMYFUNCTION("""COMPUTED_VALUE"""),22.06)</f>
        <v>22.06</v>
      </c>
      <c r="C248" s="1">
        <f>IFERROR(__xludf.DUMMYFUNCTION("""COMPUTED_VALUE"""),22.21)</f>
        <v>22.21</v>
      </c>
      <c r="D248" s="1">
        <f>IFERROR(__xludf.DUMMYFUNCTION("""COMPUTED_VALUE"""),21.97)</f>
        <v>21.97</v>
      </c>
      <c r="E248" s="1">
        <f>IFERROR(__xludf.DUMMYFUNCTION("""COMPUTED_VALUE"""),22.13)</f>
        <v>22.13</v>
      </c>
      <c r="F248" s="1">
        <f>IFERROR(__xludf.DUMMYFUNCTION("""COMPUTED_VALUE"""),248842.0)</f>
        <v>248842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IFERROR(__xludf.DUMMYFUNCTION("""COMPUTED_VALUE"""),21.95)</f>
        <v>21.95</v>
      </c>
      <c r="C249" s="1">
        <f>IFERROR(__xludf.DUMMYFUNCTION("""COMPUTED_VALUE"""),22.86)</f>
        <v>22.86</v>
      </c>
      <c r="D249" s="1">
        <f>IFERROR(__xludf.DUMMYFUNCTION("""COMPUTED_VALUE"""),21.83)</f>
        <v>21.83</v>
      </c>
      <c r="E249" s="1">
        <f>IFERROR(__xludf.DUMMYFUNCTION("""COMPUTED_VALUE"""),22.68)</f>
        <v>22.68</v>
      </c>
      <c r="F249" s="1">
        <f>IFERROR(__xludf.DUMMYFUNCTION("""COMPUTED_VALUE"""),266166.0)</f>
        <v>266166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IFERROR(__xludf.DUMMYFUNCTION("""COMPUTED_VALUE"""),22.62)</f>
        <v>22.62</v>
      </c>
      <c r="C250" s="1">
        <f>IFERROR(__xludf.DUMMYFUNCTION("""COMPUTED_VALUE"""),22.96)</f>
        <v>22.96</v>
      </c>
      <c r="D250" s="1">
        <f>IFERROR(__xludf.DUMMYFUNCTION("""COMPUTED_VALUE"""),22.56)</f>
        <v>22.56</v>
      </c>
      <c r="E250" s="1">
        <f>IFERROR(__xludf.DUMMYFUNCTION("""COMPUTED_VALUE"""),22.91)</f>
        <v>22.91</v>
      </c>
      <c r="F250" s="1">
        <f>IFERROR(__xludf.DUMMYFUNCTION("""COMPUTED_VALUE"""),173755.0)</f>
        <v>173755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IFERROR(__xludf.DUMMYFUNCTION("""COMPUTED_VALUE"""),22.8)</f>
        <v>22.8</v>
      </c>
      <c r="C251" s="1">
        <f>IFERROR(__xludf.DUMMYFUNCTION("""COMPUTED_VALUE"""),23.26)</f>
        <v>23.26</v>
      </c>
      <c r="D251" s="1">
        <f>IFERROR(__xludf.DUMMYFUNCTION("""COMPUTED_VALUE"""),22.68)</f>
        <v>22.68</v>
      </c>
      <c r="E251" s="1">
        <f>IFERROR(__xludf.DUMMYFUNCTION("""COMPUTED_VALUE"""),23.26)</f>
        <v>23.26</v>
      </c>
      <c r="F251" s="1">
        <f>IFERROR(__xludf.DUMMYFUNCTION("""COMPUTED_VALUE"""),264119.0)</f>
        <v>264119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IFERROR(__xludf.DUMMYFUNCTION("""COMPUTED_VALUE"""),23.28)</f>
        <v>23.28</v>
      </c>
      <c r="C252" s="1">
        <f>IFERROR(__xludf.DUMMYFUNCTION("""COMPUTED_VALUE"""),23.75)</f>
        <v>23.75</v>
      </c>
      <c r="D252" s="1">
        <f>IFERROR(__xludf.DUMMYFUNCTION("""COMPUTED_VALUE"""),23.26)</f>
        <v>23.26</v>
      </c>
      <c r="E252" s="1">
        <f>IFERROR(__xludf.DUMMYFUNCTION("""COMPUTED_VALUE"""),23.6)</f>
        <v>23.6</v>
      </c>
      <c r="F252" s="1">
        <f>IFERROR(__xludf.DUMMYFUNCTION("""COMPUTED_VALUE"""),415293.0)</f>
        <v>415293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IFERROR(__xludf.DUMMYFUNCTION("""COMPUTED_VALUE"""),23.67)</f>
        <v>23.67</v>
      </c>
      <c r="C253" s="1">
        <f>IFERROR(__xludf.DUMMYFUNCTION("""COMPUTED_VALUE"""),23.72)</f>
        <v>23.72</v>
      </c>
      <c r="D253" s="1">
        <f>IFERROR(__xludf.DUMMYFUNCTION("""COMPUTED_VALUE"""),22.97)</f>
        <v>22.97</v>
      </c>
      <c r="E253" s="1">
        <f>IFERROR(__xludf.DUMMYFUNCTION("""COMPUTED_VALUE"""),23.05)</f>
        <v>23.05</v>
      </c>
      <c r="F253" s="1">
        <f>IFERROR(__xludf.DUMMYFUNCTION("""COMPUTED_VALUE"""),224678.0)</f>
        <v>224678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IFERROR(__xludf.DUMMYFUNCTION("""COMPUTED_VALUE"""),23.25)</f>
        <v>23.25</v>
      </c>
      <c r="C254" s="1">
        <f>IFERROR(__xludf.DUMMYFUNCTION("""COMPUTED_VALUE"""),23.53)</f>
        <v>23.53</v>
      </c>
      <c r="D254" s="1">
        <f>IFERROR(__xludf.DUMMYFUNCTION("""COMPUTED_VALUE"""),23.02)</f>
        <v>23.02</v>
      </c>
      <c r="E254" s="1">
        <f>IFERROR(__xludf.DUMMYFUNCTION("""COMPUTED_VALUE"""),23.16)</f>
        <v>23.16</v>
      </c>
      <c r="F254" s="1">
        <f>IFERROR(__xludf.DUMMYFUNCTION("""COMPUTED_VALUE"""),278423.0)</f>
        <v>278423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IFERROR(__xludf.DUMMYFUNCTION("""COMPUTED_VALUE"""),23.12)</f>
        <v>23.12</v>
      </c>
      <c r="C255" s="1">
        <f>IFERROR(__xludf.DUMMYFUNCTION("""COMPUTED_VALUE"""),23.51)</f>
        <v>23.51</v>
      </c>
      <c r="D255" s="1">
        <f>IFERROR(__xludf.DUMMYFUNCTION("""COMPUTED_VALUE"""),23.08)</f>
        <v>23.08</v>
      </c>
      <c r="E255" s="1">
        <f>IFERROR(__xludf.DUMMYFUNCTION("""COMPUTED_VALUE"""),23.42)</f>
        <v>23.42</v>
      </c>
      <c r="F255" s="1">
        <f>IFERROR(__xludf.DUMMYFUNCTION("""COMPUTED_VALUE"""),431459.0)</f>
        <v>431459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IFERROR(__xludf.DUMMYFUNCTION("""COMPUTED_VALUE"""),23.34)</f>
        <v>23.34</v>
      </c>
      <c r="C256" s="1">
        <f>IFERROR(__xludf.DUMMYFUNCTION("""COMPUTED_VALUE"""),23.77)</f>
        <v>23.77</v>
      </c>
      <c r="D256" s="1">
        <f>IFERROR(__xludf.DUMMYFUNCTION("""COMPUTED_VALUE"""),23.2)</f>
        <v>23.2</v>
      </c>
      <c r="E256" s="1">
        <f>IFERROR(__xludf.DUMMYFUNCTION("""COMPUTED_VALUE"""),23.72)</f>
        <v>23.72</v>
      </c>
      <c r="F256" s="1">
        <f>IFERROR(__xludf.DUMMYFUNCTION("""COMPUTED_VALUE"""),255920.0)</f>
        <v>255920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IFERROR(__xludf.DUMMYFUNCTION("""COMPUTED_VALUE"""),23.57)</f>
        <v>23.57</v>
      </c>
      <c r="C257" s="1">
        <f>IFERROR(__xludf.DUMMYFUNCTION("""COMPUTED_VALUE"""),23.6)</f>
        <v>23.6</v>
      </c>
      <c r="D257" s="1">
        <f>IFERROR(__xludf.DUMMYFUNCTION("""COMPUTED_VALUE"""),23.26)</f>
        <v>23.26</v>
      </c>
      <c r="E257" s="1">
        <f>IFERROR(__xludf.DUMMYFUNCTION("""COMPUTED_VALUE"""),23.56)</f>
        <v>23.56</v>
      </c>
      <c r="F257" s="1">
        <f>IFERROR(__xludf.DUMMYFUNCTION("""COMPUTED_VALUE"""),190406.0)</f>
        <v>190406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IFERROR(__xludf.DUMMYFUNCTION("""COMPUTED_VALUE"""),23.46)</f>
        <v>23.46</v>
      </c>
      <c r="C258" s="1">
        <f>IFERROR(__xludf.DUMMYFUNCTION("""COMPUTED_VALUE"""),24.0)</f>
        <v>24</v>
      </c>
      <c r="D258" s="1">
        <f>IFERROR(__xludf.DUMMYFUNCTION("""COMPUTED_VALUE"""),23.31)</f>
        <v>23.31</v>
      </c>
      <c r="E258" s="1">
        <f>IFERROR(__xludf.DUMMYFUNCTION("""COMPUTED_VALUE"""),24.0)</f>
        <v>24</v>
      </c>
      <c r="F258" s="1">
        <f>IFERROR(__xludf.DUMMYFUNCTION("""COMPUTED_VALUE"""),285648.0)</f>
        <v>285648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IFERROR(__xludf.DUMMYFUNCTION("""COMPUTED_VALUE"""),23.93)</f>
        <v>23.93</v>
      </c>
      <c r="C259" s="1">
        <f>IFERROR(__xludf.DUMMYFUNCTION("""COMPUTED_VALUE"""),24.16)</f>
        <v>24.16</v>
      </c>
      <c r="D259" s="1">
        <f>IFERROR(__xludf.DUMMYFUNCTION("""COMPUTED_VALUE"""),23.74)</f>
        <v>23.74</v>
      </c>
      <c r="E259" s="1">
        <f>IFERROR(__xludf.DUMMYFUNCTION("""COMPUTED_VALUE"""),24.12)</f>
        <v>24.12</v>
      </c>
      <c r="F259" s="1">
        <f>IFERROR(__xludf.DUMMYFUNCTION("""COMPUTED_VALUE"""),206806.0)</f>
        <v>206806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IFERROR(__xludf.DUMMYFUNCTION("""COMPUTED_VALUE"""),24.69)</f>
        <v>24.69</v>
      </c>
      <c r="C260" s="1">
        <f>IFERROR(__xludf.DUMMYFUNCTION("""COMPUTED_VALUE"""),25.23)</f>
        <v>25.23</v>
      </c>
      <c r="D260" s="1">
        <f>IFERROR(__xludf.DUMMYFUNCTION("""COMPUTED_VALUE"""),24.22)</f>
        <v>24.22</v>
      </c>
      <c r="E260" s="1">
        <f>IFERROR(__xludf.DUMMYFUNCTION("""COMPUTED_VALUE"""),24.37)</f>
        <v>24.37</v>
      </c>
      <c r="F260" s="1">
        <f>IFERROR(__xludf.DUMMYFUNCTION("""COMPUTED_VALUE"""),928763.0)</f>
        <v>928763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IFERROR(__xludf.DUMMYFUNCTION("""COMPUTED_VALUE"""),24.62)</f>
        <v>24.62</v>
      </c>
      <c r="C261" s="1">
        <f>IFERROR(__xludf.DUMMYFUNCTION("""COMPUTED_VALUE"""),25.33)</f>
        <v>25.33</v>
      </c>
      <c r="D261" s="1">
        <f>IFERROR(__xludf.DUMMYFUNCTION("""COMPUTED_VALUE"""),24.6)</f>
        <v>24.6</v>
      </c>
      <c r="E261" s="1">
        <f>IFERROR(__xludf.DUMMYFUNCTION("""COMPUTED_VALUE"""),25.03)</f>
        <v>25.03</v>
      </c>
      <c r="F261" s="1">
        <f>IFERROR(__xludf.DUMMYFUNCTION("""COMPUTED_VALUE"""),416819.0)</f>
        <v>416819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IFERROR(__xludf.DUMMYFUNCTION("""COMPUTED_VALUE"""),24.99)</f>
        <v>24.99</v>
      </c>
      <c r="C262" s="1">
        <f>IFERROR(__xludf.DUMMYFUNCTION("""COMPUTED_VALUE"""),25.16)</f>
        <v>25.16</v>
      </c>
      <c r="D262" s="1">
        <f>IFERROR(__xludf.DUMMYFUNCTION("""COMPUTED_VALUE"""),24.87)</f>
        <v>24.87</v>
      </c>
      <c r="E262" s="1">
        <f>IFERROR(__xludf.DUMMYFUNCTION("""COMPUTED_VALUE"""),25.13)</f>
        <v>25.13</v>
      </c>
      <c r="F262" s="1">
        <f>IFERROR(__xludf.DUMMYFUNCTION("""COMPUTED_VALUE"""),412694.0)</f>
        <v>412694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IFERROR(__xludf.DUMMYFUNCTION("""COMPUTED_VALUE"""),25.06)</f>
        <v>25.06</v>
      </c>
      <c r="C263" s="1">
        <f>IFERROR(__xludf.DUMMYFUNCTION("""COMPUTED_VALUE"""),25.57)</f>
        <v>25.57</v>
      </c>
      <c r="D263" s="1">
        <f>IFERROR(__xludf.DUMMYFUNCTION("""COMPUTED_VALUE"""),24.82)</f>
        <v>24.82</v>
      </c>
      <c r="E263" s="1">
        <f>IFERROR(__xludf.DUMMYFUNCTION("""COMPUTED_VALUE"""),25.45)</f>
        <v>25.45</v>
      </c>
      <c r="F263" s="1">
        <f>IFERROR(__xludf.DUMMYFUNCTION("""COMPUTED_VALUE"""),505785.0)</f>
        <v>505785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IFERROR(__xludf.DUMMYFUNCTION("""COMPUTED_VALUE"""),25.18)</f>
        <v>25.18</v>
      </c>
      <c r="C264" s="1">
        <f>IFERROR(__xludf.DUMMYFUNCTION("""COMPUTED_VALUE"""),25.37)</f>
        <v>25.37</v>
      </c>
      <c r="D264" s="1">
        <f>IFERROR(__xludf.DUMMYFUNCTION("""COMPUTED_VALUE"""),24.62)</f>
        <v>24.62</v>
      </c>
      <c r="E264" s="1">
        <f>IFERROR(__xludf.DUMMYFUNCTION("""COMPUTED_VALUE"""),25.14)</f>
        <v>25.14</v>
      </c>
      <c r="F264" s="1">
        <f>IFERROR(__xludf.DUMMYFUNCTION("""COMPUTED_VALUE"""),376164.0)</f>
        <v>376164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IFERROR(__xludf.DUMMYFUNCTION("""COMPUTED_VALUE"""),25.08)</f>
        <v>25.08</v>
      </c>
      <c r="C265" s="1">
        <f>IFERROR(__xludf.DUMMYFUNCTION("""COMPUTED_VALUE"""),25.2)</f>
        <v>25.2</v>
      </c>
      <c r="D265" s="1">
        <f>IFERROR(__xludf.DUMMYFUNCTION("""COMPUTED_VALUE"""),24.16)</f>
        <v>24.16</v>
      </c>
      <c r="E265" s="1">
        <f>IFERROR(__xludf.DUMMYFUNCTION("""COMPUTED_VALUE"""),24.28)</f>
        <v>24.28</v>
      </c>
      <c r="F265" s="1">
        <f>IFERROR(__xludf.DUMMYFUNCTION("""COMPUTED_VALUE"""),471843.0)</f>
        <v>471843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IFERROR(__xludf.DUMMYFUNCTION("""COMPUTED_VALUE"""),24.09)</f>
        <v>24.09</v>
      </c>
      <c r="C266" s="1">
        <f>IFERROR(__xludf.DUMMYFUNCTION("""COMPUTED_VALUE"""),24.52)</f>
        <v>24.52</v>
      </c>
      <c r="D266" s="1">
        <f>IFERROR(__xludf.DUMMYFUNCTION("""COMPUTED_VALUE"""),23.8)</f>
        <v>23.8</v>
      </c>
      <c r="E266" s="1">
        <f>IFERROR(__xludf.DUMMYFUNCTION("""COMPUTED_VALUE"""),24.33)</f>
        <v>24.33</v>
      </c>
      <c r="F266" s="1">
        <f>IFERROR(__xludf.DUMMYFUNCTION("""COMPUTED_VALUE"""),227471.0)</f>
        <v>227471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IFERROR(__xludf.DUMMYFUNCTION("""COMPUTED_VALUE"""),24.45)</f>
        <v>24.45</v>
      </c>
      <c r="C267" s="1">
        <f>IFERROR(__xludf.DUMMYFUNCTION("""COMPUTED_VALUE"""),24.85)</f>
        <v>24.85</v>
      </c>
      <c r="D267" s="1">
        <f>IFERROR(__xludf.DUMMYFUNCTION("""COMPUTED_VALUE"""),24.45)</f>
        <v>24.45</v>
      </c>
      <c r="E267" s="1">
        <f>IFERROR(__xludf.DUMMYFUNCTION("""COMPUTED_VALUE"""),24.61)</f>
        <v>24.61</v>
      </c>
      <c r="F267" s="1">
        <f>IFERROR(__xludf.DUMMYFUNCTION("""COMPUTED_VALUE"""),124263.0)</f>
        <v>124263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IFERROR(__xludf.DUMMYFUNCTION("""COMPUTED_VALUE"""),24.43)</f>
        <v>24.43</v>
      </c>
      <c r="C268" s="1">
        <f>IFERROR(__xludf.DUMMYFUNCTION("""COMPUTED_VALUE"""),24.95)</f>
        <v>24.95</v>
      </c>
      <c r="D268" s="1">
        <f>IFERROR(__xludf.DUMMYFUNCTION("""COMPUTED_VALUE"""),24.29)</f>
        <v>24.29</v>
      </c>
      <c r="E268" s="1">
        <f>IFERROR(__xludf.DUMMYFUNCTION("""COMPUTED_VALUE"""),24.95)</f>
        <v>24.95</v>
      </c>
      <c r="F268" s="1">
        <f>IFERROR(__xludf.DUMMYFUNCTION("""COMPUTED_VALUE"""),201184.0)</f>
        <v>201184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IFERROR(__xludf.DUMMYFUNCTION("""COMPUTED_VALUE"""),24.78)</f>
        <v>24.78</v>
      </c>
      <c r="C269" s="1">
        <f>IFERROR(__xludf.DUMMYFUNCTION("""COMPUTED_VALUE"""),25.01)</f>
        <v>25.01</v>
      </c>
      <c r="D269" s="1">
        <f>IFERROR(__xludf.DUMMYFUNCTION("""COMPUTED_VALUE"""),24.72)</f>
        <v>24.72</v>
      </c>
      <c r="E269" s="1">
        <f>IFERROR(__xludf.DUMMYFUNCTION("""COMPUTED_VALUE"""),24.84)</f>
        <v>24.84</v>
      </c>
      <c r="F269" s="1">
        <f>IFERROR(__xludf.DUMMYFUNCTION("""COMPUTED_VALUE"""),261831.0)</f>
        <v>261831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IFERROR(__xludf.DUMMYFUNCTION("""COMPUTED_VALUE"""),24.83)</f>
        <v>24.83</v>
      </c>
      <c r="C270" s="1">
        <f>IFERROR(__xludf.DUMMYFUNCTION("""COMPUTED_VALUE"""),25.17)</f>
        <v>25.17</v>
      </c>
      <c r="D270" s="1">
        <f>IFERROR(__xludf.DUMMYFUNCTION("""COMPUTED_VALUE"""),24.8)</f>
        <v>24.8</v>
      </c>
      <c r="E270" s="1">
        <f>IFERROR(__xludf.DUMMYFUNCTION("""COMPUTED_VALUE"""),25.17)</f>
        <v>25.17</v>
      </c>
      <c r="F270" s="1">
        <f>IFERROR(__xludf.DUMMYFUNCTION("""COMPUTED_VALUE"""),522924.0)</f>
        <v>522924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IFERROR(__xludf.DUMMYFUNCTION("""COMPUTED_VALUE"""),25.0)</f>
        <v>25</v>
      </c>
      <c r="C271" s="1">
        <f>IFERROR(__xludf.DUMMYFUNCTION("""COMPUTED_VALUE"""),25.19)</f>
        <v>25.19</v>
      </c>
      <c r="D271" s="1">
        <f>IFERROR(__xludf.DUMMYFUNCTION("""COMPUTED_VALUE"""),25.0)</f>
        <v>25</v>
      </c>
      <c r="E271" s="1">
        <f>IFERROR(__xludf.DUMMYFUNCTION("""COMPUTED_VALUE"""),25.15)</f>
        <v>25.15</v>
      </c>
      <c r="F271" s="1">
        <f>IFERROR(__xludf.DUMMYFUNCTION("""COMPUTED_VALUE"""),340367.0)</f>
        <v>340367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IFERROR(__xludf.DUMMYFUNCTION("""COMPUTED_VALUE"""),25.14)</f>
        <v>25.14</v>
      </c>
      <c r="C272" s="1">
        <f>IFERROR(__xludf.DUMMYFUNCTION("""COMPUTED_VALUE"""),25.17)</f>
        <v>25.17</v>
      </c>
      <c r="D272" s="1">
        <f>IFERROR(__xludf.DUMMYFUNCTION("""COMPUTED_VALUE"""),24.7)</f>
        <v>24.7</v>
      </c>
      <c r="E272" s="1">
        <f>IFERROR(__xludf.DUMMYFUNCTION("""COMPUTED_VALUE"""),25.0)</f>
        <v>25</v>
      </c>
      <c r="F272" s="1">
        <f>IFERROR(__xludf.DUMMYFUNCTION("""COMPUTED_VALUE"""),486246.0)</f>
        <v>486246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IFERROR(__xludf.DUMMYFUNCTION("""COMPUTED_VALUE"""),24.96)</f>
        <v>24.96</v>
      </c>
      <c r="C273" s="1">
        <f>IFERROR(__xludf.DUMMYFUNCTION("""COMPUTED_VALUE"""),25.06)</f>
        <v>25.06</v>
      </c>
      <c r="D273" s="1">
        <f>IFERROR(__xludf.DUMMYFUNCTION("""COMPUTED_VALUE"""),24.85)</f>
        <v>24.85</v>
      </c>
      <c r="E273" s="1">
        <f>IFERROR(__xludf.DUMMYFUNCTION("""COMPUTED_VALUE"""),24.93)</f>
        <v>24.93</v>
      </c>
      <c r="F273" s="1">
        <f>IFERROR(__xludf.DUMMYFUNCTION("""COMPUTED_VALUE"""),480858.0)</f>
        <v>480858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IFERROR(__xludf.DUMMYFUNCTION("""COMPUTED_VALUE"""),25.06)</f>
        <v>25.06</v>
      </c>
      <c r="C274" s="1">
        <f>IFERROR(__xludf.DUMMYFUNCTION("""COMPUTED_VALUE"""),25.31)</f>
        <v>25.31</v>
      </c>
      <c r="D274" s="1">
        <f>IFERROR(__xludf.DUMMYFUNCTION("""COMPUTED_VALUE"""),24.84)</f>
        <v>24.84</v>
      </c>
      <c r="E274" s="1">
        <f>IFERROR(__xludf.DUMMYFUNCTION("""COMPUTED_VALUE"""),25.31)</f>
        <v>25.31</v>
      </c>
      <c r="F274" s="1">
        <f>IFERROR(__xludf.DUMMYFUNCTION("""COMPUTED_VALUE"""),555207.0)</f>
        <v>555207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IFERROR(__xludf.DUMMYFUNCTION("""COMPUTED_VALUE"""),25.22)</f>
        <v>25.22</v>
      </c>
      <c r="C275" s="1">
        <f>IFERROR(__xludf.DUMMYFUNCTION("""COMPUTED_VALUE"""),25.37)</f>
        <v>25.37</v>
      </c>
      <c r="D275" s="1">
        <f>IFERROR(__xludf.DUMMYFUNCTION("""COMPUTED_VALUE"""),25.14)</f>
        <v>25.14</v>
      </c>
      <c r="E275" s="1">
        <f>IFERROR(__xludf.DUMMYFUNCTION("""COMPUTED_VALUE"""),25.17)</f>
        <v>25.17</v>
      </c>
      <c r="F275" s="1">
        <f>IFERROR(__xludf.DUMMYFUNCTION("""COMPUTED_VALUE"""),275204.0)</f>
        <v>275204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IFERROR(__xludf.DUMMYFUNCTION("""COMPUTED_VALUE"""),25.1)</f>
        <v>25.1</v>
      </c>
      <c r="C276" s="1">
        <f>IFERROR(__xludf.DUMMYFUNCTION("""COMPUTED_VALUE"""),25.29)</f>
        <v>25.29</v>
      </c>
      <c r="D276" s="1">
        <f>IFERROR(__xludf.DUMMYFUNCTION("""COMPUTED_VALUE"""),25.0)</f>
        <v>25</v>
      </c>
      <c r="E276" s="1">
        <f>IFERROR(__xludf.DUMMYFUNCTION("""COMPUTED_VALUE"""),25.21)</f>
        <v>25.21</v>
      </c>
      <c r="F276" s="1">
        <f>IFERROR(__xludf.DUMMYFUNCTION("""COMPUTED_VALUE"""),189124.0)</f>
        <v>189124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IFERROR(__xludf.DUMMYFUNCTION("""COMPUTED_VALUE"""),25.21)</f>
        <v>25.21</v>
      </c>
      <c r="C277" s="1">
        <f>IFERROR(__xludf.DUMMYFUNCTION("""COMPUTED_VALUE"""),25.27)</f>
        <v>25.27</v>
      </c>
      <c r="D277" s="1">
        <f>IFERROR(__xludf.DUMMYFUNCTION("""COMPUTED_VALUE"""),25.08)</f>
        <v>25.08</v>
      </c>
      <c r="E277" s="1">
        <f>IFERROR(__xludf.DUMMYFUNCTION("""COMPUTED_VALUE"""),25.27)</f>
        <v>25.27</v>
      </c>
      <c r="F277" s="1">
        <f>IFERROR(__xludf.DUMMYFUNCTION("""COMPUTED_VALUE"""),196750.0)</f>
        <v>196750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IFERROR(__xludf.DUMMYFUNCTION("""COMPUTED_VALUE"""),25.25)</f>
        <v>25.25</v>
      </c>
      <c r="C278" s="1">
        <f>IFERROR(__xludf.DUMMYFUNCTION("""COMPUTED_VALUE"""),25.89)</f>
        <v>25.89</v>
      </c>
      <c r="D278" s="1">
        <f>IFERROR(__xludf.DUMMYFUNCTION("""COMPUTED_VALUE"""),25.24)</f>
        <v>25.24</v>
      </c>
      <c r="E278" s="1">
        <f>IFERROR(__xludf.DUMMYFUNCTION("""COMPUTED_VALUE"""),25.83)</f>
        <v>25.83</v>
      </c>
      <c r="F278" s="1">
        <f>IFERROR(__xludf.DUMMYFUNCTION("""COMPUTED_VALUE"""),270822.0)</f>
        <v>270822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IFERROR(__xludf.DUMMYFUNCTION("""COMPUTED_VALUE"""),25.72)</f>
        <v>25.72</v>
      </c>
      <c r="C279" s="1">
        <f>IFERROR(__xludf.DUMMYFUNCTION("""COMPUTED_VALUE"""),25.9)</f>
        <v>25.9</v>
      </c>
      <c r="D279" s="1">
        <f>IFERROR(__xludf.DUMMYFUNCTION("""COMPUTED_VALUE"""),25.62)</f>
        <v>25.62</v>
      </c>
      <c r="E279" s="1">
        <f>IFERROR(__xludf.DUMMYFUNCTION("""COMPUTED_VALUE"""),25.85)</f>
        <v>25.85</v>
      </c>
      <c r="F279" s="1">
        <f>IFERROR(__xludf.DUMMYFUNCTION("""COMPUTED_VALUE"""),139574.0)</f>
        <v>139574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IFERROR(__xludf.DUMMYFUNCTION("""COMPUTED_VALUE"""),25.82)</f>
        <v>25.82</v>
      </c>
      <c r="C280" s="1">
        <f>IFERROR(__xludf.DUMMYFUNCTION("""COMPUTED_VALUE"""),25.98)</f>
        <v>25.98</v>
      </c>
      <c r="D280" s="1">
        <f>IFERROR(__xludf.DUMMYFUNCTION("""COMPUTED_VALUE"""),25.82)</f>
        <v>25.82</v>
      </c>
      <c r="E280" s="1">
        <f>IFERROR(__xludf.DUMMYFUNCTION("""COMPUTED_VALUE"""),25.87)</f>
        <v>25.87</v>
      </c>
      <c r="F280" s="1">
        <f>IFERROR(__xludf.DUMMYFUNCTION("""COMPUTED_VALUE"""),172370.0)</f>
        <v>172370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IFERROR(__xludf.DUMMYFUNCTION("""COMPUTED_VALUE"""),25.74)</f>
        <v>25.74</v>
      </c>
      <c r="C281" s="1">
        <f>IFERROR(__xludf.DUMMYFUNCTION("""COMPUTED_VALUE"""),26.12)</f>
        <v>26.12</v>
      </c>
      <c r="D281" s="1">
        <f>IFERROR(__xludf.DUMMYFUNCTION("""COMPUTED_VALUE"""),25.74)</f>
        <v>25.74</v>
      </c>
      <c r="E281" s="1">
        <f>IFERROR(__xludf.DUMMYFUNCTION("""COMPUTED_VALUE"""),25.88)</f>
        <v>25.88</v>
      </c>
      <c r="F281" s="1">
        <f>IFERROR(__xludf.DUMMYFUNCTION("""COMPUTED_VALUE"""),547767.0)</f>
        <v>547767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IFERROR(__xludf.DUMMYFUNCTION("""COMPUTED_VALUE"""),25.87)</f>
        <v>25.87</v>
      </c>
      <c r="C282" s="1">
        <f>IFERROR(__xludf.DUMMYFUNCTION("""COMPUTED_VALUE"""),26.03)</f>
        <v>26.03</v>
      </c>
      <c r="D282" s="1">
        <f>IFERROR(__xludf.DUMMYFUNCTION("""COMPUTED_VALUE"""),25.82)</f>
        <v>25.82</v>
      </c>
      <c r="E282" s="1">
        <f>IFERROR(__xludf.DUMMYFUNCTION("""COMPUTED_VALUE"""),25.85)</f>
        <v>25.85</v>
      </c>
      <c r="F282" s="1">
        <f>IFERROR(__xludf.DUMMYFUNCTION("""COMPUTED_VALUE"""),384986.0)</f>
        <v>384986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IFERROR(__xludf.DUMMYFUNCTION("""COMPUTED_VALUE"""),25.81)</f>
        <v>25.81</v>
      </c>
      <c r="C283" s="1">
        <f>IFERROR(__xludf.DUMMYFUNCTION("""COMPUTED_VALUE"""),25.91)</f>
        <v>25.91</v>
      </c>
      <c r="D283" s="1">
        <f>IFERROR(__xludf.DUMMYFUNCTION("""COMPUTED_VALUE"""),25.64)</f>
        <v>25.64</v>
      </c>
      <c r="E283" s="1">
        <f>IFERROR(__xludf.DUMMYFUNCTION("""COMPUTED_VALUE"""),25.83)</f>
        <v>25.83</v>
      </c>
      <c r="F283" s="1">
        <f>IFERROR(__xludf.DUMMYFUNCTION("""COMPUTED_VALUE"""),265934.0)</f>
        <v>265934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IFERROR(__xludf.DUMMYFUNCTION("""COMPUTED_VALUE"""),25.75)</f>
        <v>25.75</v>
      </c>
      <c r="C284" s="1">
        <f>IFERROR(__xludf.DUMMYFUNCTION("""COMPUTED_VALUE"""),25.91)</f>
        <v>25.91</v>
      </c>
      <c r="D284" s="1">
        <f>IFERROR(__xludf.DUMMYFUNCTION("""COMPUTED_VALUE"""),25.66)</f>
        <v>25.66</v>
      </c>
      <c r="E284" s="1">
        <f>IFERROR(__xludf.DUMMYFUNCTION("""COMPUTED_VALUE"""),25.79)</f>
        <v>25.79</v>
      </c>
      <c r="F284" s="1">
        <f>IFERROR(__xludf.DUMMYFUNCTION("""COMPUTED_VALUE"""),211858.0)</f>
        <v>211858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IFERROR(__xludf.DUMMYFUNCTION("""COMPUTED_VALUE"""),25.73)</f>
        <v>25.73</v>
      </c>
      <c r="C285" s="1">
        <f>IFERROR(__xludf.DUMMYFUNCTION("""COMPUTED_VALUE"""),26.05)</f>
        <v>26.05</v>
      </c>
      <c r="D285" s="1">
        <f>IFERROR(__xludf.DUMMYFUNCTION("""COMPUTED_VALUE"""),25.67)</f>
        <v>25.67</v>
      </c>
      <c r="E285" s="1">
        <f>IFERROR(__xludf.DUMMYFUNCTION("""COMPUTED_VALUE"""),26.04)</f>
        <v>26.04</v>
      </c>
      <c r="F285" s="1">
        <f>IFERROR(__xludf.DUMMYFUNCTION("""COMPUTED_VALUE"""),1000815.0)</f>
        <v>1000815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IFERROR(__xludf.DUMMYFUNCTION("""COMPUTED_VALUE"""),26.09)</f>
        <v>26.09</v>
      </c>
      <c r="C286" s="1">
        <f>IFERROR(__xludf.DUMMYFUNCTION("""COMPUTED_VALUE"""),26.1)</f>
        <v>26.1</v>
      </c>
      <c r="D286" s="1">
        <f>IFERROR(__xludf.DUMMYFUNCTION("""COMPUTED_VALUE"""),25.75)</f>
        <v>25.75</v>
      </c>
      <c r="E286" s="1">
        <f>IFERROR(__xludf.DUMMYFUNCTION("""COMPUTED_VALUE"""),26.05)</f>
        <v>26.05</v>
      </c>
      <c r="F286" s="1">
        <f>IFERROR(__xludf.DUMMYFUNCTION("""COMPUTED_VALUE"""),211945.0)</f>
        <v>211945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IFERROR(__xludf.DUMMYFUNCTION("""COMPUTED_VALUE"""),26.05)</f>
        <v>26.05</v>
      </c>
      <c r="C287" s="1">
        <f>IFERROR(__xludf.DUMMYFUNCTION("""COMPUTED_VALUE"""),26.37)</f>
        <v>26.37</v>
      </c>
      <c r="D287" s="1">
        <f>IFERROR(__xludf.DUMMYFUNCTION("""COMPUTED_VALUE"""),25.92)</f>
        <v>25.92</v>
      </c>
      <c r="E287" s="1">
        <f>IFERROR(__xludf.DUMMYFUNCTION("""COMPUTED_VALUE"""),26.35)</f>
        <v>26.35</v>
      </c>
      <c r="F287" s="1">
        <f>IFERROR(__xludf.DUMMYFUNCTION("""COMPUTED_VALUE"""),664369.0)</f>
        <v>664369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IFERROR(__xludf.DUMMYFUNCTION("""COMPUTED_VALUE"""),26.26)</f>
        <v>26.26</v>
      </c>
      <c r="C288" s="1">
        <f>IFERROR(__xludf.DUMMYFUNCTION("""COMPUTED_VALUE"""),26.49)</f>
        <v>26.49</v>
      </c>
      <c r="D288" s="1">
        <f>IFERROR(__xludf.DUMMYFUNCTION("""COMPUTED_VALUE"""),25.86)</f>
        <v>25.86</v>
      </c>
      <c r="E288" s="1">
        <f>IFERROR(__xludf.DUMMYFUNCTION("""COMPUTED_VALUE"""),26.44)</f>
        <v>26.44</v>
      </c>
      <c r="F288" s="1">
        <f>IFERROR(__xludf.DUMMYFUNCTION("""COMPUTED_VALUE"""),340484.0)</f>
        <v>340484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IFERROR(__xludf.DUMMYFUNCTION("""COMPUTED_VALUE"""),26.5)</f>
        <v>26.5</v>
      </c>
      <c r="C289" s="1">
        <f>IFERROR(__xludf.DUMMYFUNCTION("""COMPUTED_VALUE"""),26.5)</f>
        <v>26.5</v>
      </c>
      <c r="D289" s="1">
        <f>IFERROR(__xludf.DUMMYFUNCTION("""COMPUTED_VALUE"""),26.17)</f>
        <v>26.17</v>
      </c>
      <c r="E289" s="1">
        <f>IFERROR(__xludf.DUMMYFUNCTION("""COMPUTED_VALUE"""),26.43)</f>
        <v>26.43</v>
      </c>
      <c r="F289" s="1">
        <f>IFERROR(__xludf.DUMMYFUNCTION("""COMPUTED_VALUE"""),615531.0)</f>
        <v>615531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IFERROR(__xludf.DUMMYFUNCTION("""COMPUTED_VALUE"""),26.18)</f>
        <v>26.18</v>
      </c>
      <c r="C290" s="1">
        <f>IFERROR(__xludf.DUMMYFUNCTION("""COMPUTED_VALUE"""),26.5)</f>
        <v>26.5</v>
      </c>
      <c r="D290" s="1">
        <f>IFERROR(__xludf.DUMMYFUNCTION("""COMPUTED_VALUE"""),25.55)</f>
        <v>25.55</v>
      </c>
      <c r="E290" s="1">
        <f>IFERROR(__xludf.DUMMYFUNCTION("""COMPUTED_VALUE"""),25.84)</f>
        <v>25.84</v>
      </c>
      <c r="F290" s="1">
        <f>IFERROR(__xludf.DUMMYFUNCTION("""COMPUTED_VALUE"""),1523231.0)</f>
        <v>1523231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IFERROR(__xludf.DUMMYFUNCTION("""COMPUTED_VALUE"""),25.68)</f>
        <v>25.68</v>
      </c>
      <c r="C291" s="1">
        <f>IFERROR(__xludf.DUMMYFUNCTION("""COMPUTED_VALUE"""),26.0)</f>
        <v>26</v>
      </c>
      <c r="D291" s="1">
        <f>IFERROR(__xludf.DUMMYFUNCTION("""COMPUTED_VALUE"""),24.41)</f>
        <v>24.41</v>
      </c>
      <c r="E291" s="1">
        <f>IFERROR(__xludf.DUMMYFUNCTION("""COMPUTED_VALUE"""),25.29)</f>
        <v>25.29</v>
      </c>
      <c r="F291" s="1">
        <f>IFERROR(__xludf.DUMMYFUNCTION("""COMPUTED_VALUE"""),1620899.0)</f>
        <v>1620899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IFERROR(__xludf.DUMMYFUNCTION("""COMPUTED_VALUE"""),25.53)</f>
        <v>25.53</v>
      </c>
      <c r="C292" s="1">
        <f>IFERROR(__xludf.DUMMYFUNCTION("""COMPUTED_VALUE"""),25.58)</f>
        <v>25.58</v>
      </c>
      <c r="D292" s="1">
        <f>IFERROR(__xludf.DUMMYFUNCTION("""COMPUTED_VALUE"""),25.07)</f>
        <v>25.07</v>
      </c>
      <c r="E292" s="1">
        <f>IFERROR(__xludf.DUMMYFUNCTION("""COMPUTED_VALUE"""),25.5)</f>
        <v>25.5</v>
      </c>
      <c r="F292" s="1">
        <f>IFERROR(__xludf.DUMMYFUNCTION("""COMPUTED_VALUE"""),443660.0)</f>
        <v>443660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IFERROR(__xludf.DUMMYFUNCTION("""COMPUTED_VALUE"""),25.54)</f>
        <v>25.54</v>
      </c>
      <c r="C293" s="1">
        <f>IFERROR(__xludf.DUMMYFUNCTION("""COMPUTED_VALUE"""),25.78)</f>
        <v>25.78</v>
      </c>
      <c r="D293" s="1">
        <f>IFERROR(__xludf.DUMMYFUNCTION("""COMPUTED_VALUE"""),25.41)</f>
        <v>25.41</v>
      </c>
      <c r="E293" s="1">
        <f>IFERROR(__xludf.DUMMYFUNCTION("""COMPUTED_VALUE"""),25.52)</f>
        <v>25.52</v>
      </c>
      <c r="F293" s="1">
        <f>IFERROR(__xludf.DUMMYFUNCTION("""COMPUTED_VALUE"""),288693.0)</f>
        <v>288693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IFERROR(__xludf.DUMMYFUNCTION("""COMPUTED_VALUE"""),25.48)</f>
        <v>25.48</v>
      </c>
      <c r="C294" s="1">
        <f>IFERROR(__xludf.DUMMYFUNCTION("""COMPUTED_VALUE"""),25.94)</f>
        <v>25.94</v>
      </c>
      <c r="D294" s="1">
        <f>IFERROR(__xludf.DUMMYFUNCTION("""COMPUTED_VALUE"""),25.44)</f>
        <v>25.44</v>
      </c>
      <c r="E294" s="1">
        <f>IFERROR(__xludf.DUMMYFUNCTION("""COMPUTED_VALUE"""),25.89)</f>
        <v>25.89</v>
      </c>
      <c r="F294" s="1">
        <f>IFERROR(__xludf.DUMMYFUNCTION("""COMPUTED_VALUE"""),387916.0)</f>
        <v>387916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IFERROR(__xludf.DUMMYFUNCTION("""COMPUTED_VALUE"""),25.78)</f>
        <v>25.78</v>
      </c>
      <c r="C295" s="1">
        <f>IFERROR(__xludf.DUMMYFUNCTION("""COMPUTED_VALUE"""),26.02)</f>
        <v>26.02</v>
      </c>
      <c r="D295" s="1">
        <f>IFERROR(__xludf.DUMMYFUNCTION("""COMPUTED_VALUE"""),25.54)</f>
        <v>25.54</v>
      </c>
      <c r="E295" s="1">
        <f>IFERROR(__xludf.DUMMYFUNCTION("""COMPUTED_VALUE"""),25.91)</f>
        <v>25.91</v>
      </c>
      <c r="F295" s="1">
        <f>IFERROR(__xludf.DUMMYFUNCTION("""COMPUTED_VALUE"""),426386.0)</f>
        <v>426386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IFERROR(__xludf.DUMMYFUNCTION("""COMPUTED_VALUE"""),26.09)</f>
        <v>26.09</v>
      </c>
      <c r="C296" s="1">
        <f>IFERROR(__xludf.DUMMYFUNCTION("""COMPUTED_VALUE"""),26.09)</f>
        <v>26.09</v>
      </c>
      <c r="D296" s="1">
        <f>IFERROR(__xludf.DUMMYFUNCTION("""COMPUTED_VALUE"""),25.17)</f>
        <v>25.17</v>
      </c>
      <c r="E296" s="1">
        <f>IFERROR(__xludf.DUMMYFUNCTION("""COMPUTED_VALUE"""),25.38)</f>
        <v>25.38</v>
      </c>
      <c r="F296" s="1">
        <f>IFERROR(__xludf.DUMMYFUNCTION("""COMPUTED_VALUE"""),298224.0)</f>
        <v>298224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IFERROR(__xludf.DUMMYFUNCTION("""COMPUTED_VALUE"""),25.37)</f>
        <v>25.37</v>
      </c>
      <c r="C297" s="1">
        <f>IFERROR(__xludf.DUMMYFUNCTION("""COMPUTED_VALUE"""),25.37)</f>
        <v>25.37</v>
      </c>
      <c r="D297" s="1">
        <f>IFERROR(__xludf.DUMMYFUNCTION("""COMPUTED_VALUE"""),24.45)</f>
        <v>24.45</v>
      </c>
      <c r="E297" s="1">
        <f>IFERROR(__xludf.DUMMYFUNCTION("""COMPUTED_VALUE"""),24.6)</f>
        <v>24.6</v>
      </c>
      <c r="F297" s="1">
        <f>IFERROR(__xludf.DUMMYFUNCTION("""COMPUTED_VALUE"""),430627.0)</f>
        <v>430627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IFERROR(__xludf.DUMMYFUNCTION("""COMPUTED_VALUE"""),24.64)</f>
        <v>24.64</v>
      </c>
      <c r="C298" s="1">
        <f>IFERROR(__xludf.DUMMYFUNCTION("""COMPUTED_VALUE"""),24.99)</f>
        <v>24.99</v>
      </c>
      <c r="D298" s="1">
        <f>IFERROR(__xludf.DUMMYFUNCTION("""COMPUTED_VALUE"""),24.55)</f>
        <v>24.55</v>
      </c>
      <c r="E298" s="1">
        <f>IFERROR(__xludf.DUMMYFUNCTION("""COMPUTED_VALUE"""),24.79)</f>
        <v>24.79</v>
      </c>
      <c r="F298" s="1">
        <f>IFERROR(__xludf.DUMMYFUNCTION("""COMPUTED_VALUE"""),216004.0)</f>
        <v>216004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IFERROR(__xludf.DUMMYFUNCTION("""COMPUTED_VALUE"""),24.8)</f>
        <v>24.8</v>
      </c>
      <c r="C299" s="1">
        <f>IFERROR(__xludf.DUMMYFUNCTION("""COMPUTED_VALUE"""),24.9)</f>
        <v>24.9</v>
      </c>
      <c r="D299" s="1">
        <f>IFERROR(__xludf.DUMMYFUNCTION("""COMPUTED_VALUE"""),24.62)</f>
        <v>24.62</v>
      </c>
      <c r="E299" s="1">
        <f>IFERROR(__xludf.DUMMYFUNCTION("""COMPUTED_VALUE"""),24.85)</f>
        <v>24.85</v>
      </c>
      <c r="F299" s="1">
        <f>IFERROR(__xludf.DUMMYFUNCTION("""COMPUTED_VALUE"""),178210.0)</f>
        <v>178210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IFERROR(__xludf.DUMMYFUNCTION("""COMPUTED_VALUE"""),24.82)</f>
        <v>24.82</v>
      </c>
      <c r="C300" s="1">
        <f>IFERROR(__xludf.DUMMYFUNCTION("""COMPUTED_VALUE"""),24.87)</f>
        <v>24.87</v>
      </c>
      <c r="D300" s="1">
        <f>IFERROR(__xludf.DUMMYFUNCTION("""COMPUTED_VALUE"""),24.37)</f>
        <v>24.37</v>
      </c>
      <c r="E300" s="1">
        <f>IFERROR(__xludf.DUMMYFUNCTION("""COMPUTED_VALUE"""),24.52)</f>
        <v>24.52</v>
      </c>
      <c r="F300" s="1">
        <f>IFERROR(__xludf.DUMMYFUNCTION("""COMPUTED_VALUE"""),179631.0)</f>
        <v>179631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IFERROR(__xludf.DUMMYFUNCTION("""COMPUTED_VALUE"""),24.25)</f>
        <v>24.25</v>
      </c>
      <c r="C301" s="1">
        <f>IFERROR(__xludf.DUMMYFUNCTION("""COMPUTED_VALUE"""),24.54)</f>
        <v>24.54</v>
      </c>
      <c r="D301" s="1">
        <f>IFERROR(__xludf.DUMMYFUNCTION("""COMPUTED_VALUE"""),24.01)</f>
        <v>24.01</v>
      </c>
      <c r="E301" s="1">
        <f>IFERROR(__xludf.DUMMYFUNCTION("""COMPUTED_VALUE"""),24.46)</f>
        <v>24.46</v>
      </c>
      <c r="F301" s="1">
        <f>IFERROR(__xludf.DUMMYFUNCTION("""COMPUTED_VALUE"""),165001.0)</f>
        <v>165001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IFERROR(__xludf.DUMMYFUNCTION("""COMPUTED_VALUE"""),24.29)</f>
        <v>24.29</v>
      </c>
      <c r="C302" s="1">
        <f>IFERROR(__xludf.DUMMYFUNCTION("""COMPUTED_VALUE"""),24.51)</f>
        <v>24.51</v>
      </c>
      <c r="D302" s="1">
        <f>IFERROR(__xludf.DUMMYFUNCTION("""COMPUTED_VALUE"""),24.2)</f>
        <v>24.2</v>
      </c>
      <c r="E302" s="1">
        <f>IFERROR(__xludf.DUMMYFUNCTION("""COMPUTED_VALUE"""),24.46)</f>
        <v>24.46</v>
      </c>
      <c r="F302" s="1">
        <f>IFERROR(__xludf.DUMMYFUNCTION("""COMPUTED_VALUE"""),160076.0)</f>
        <v>160076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IFERROR(__xludf.DUMMYFUNCTION("""COMPUTED_VALUE"""),23.76)</f>
        <v>23.76</v>
      </c>
      <c r="C303" s="1">
        <f>IFERROR(__xludf.DUMMYFUNCTION("""COMPUTED_VALUE"""),25.0)</f>
        <v>25</v>
      </c>
      <c r="D303" s="1">
        <f>IFERROR(__xludf.DUMMYFUNCTION("""COMPUTED_VALUE"""),23.76)</f>
        <v>23.76</v>
      </c>
      <c r="E303" s="1">
        <f>IFERROR(__xludf.DUMMYFUNCTION("""COMPUTED_VALUE"""),24.88)</f>
        <v>24.88</v>
      </c>
      <c r="F303" s="1">
        <f>IFERROR(__xludf.DUMMYFUNCTION("""COMPUTED_VALUE"""),371672.0)</f>
        <v>371672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IFERROR(__xludf.DUMMYFUNCTION("""COMPUTED_VALUE"""),24.75)</f>
        <v>24.75</v>
      </c>
      <c r="C304" s="1">
        <f>IFERROR(__xludf.DUMMYFUNCTION("""COMPUTED_VALUE"""),25.43)</f>
        <v>25.43</v>
      </c>
      <c r="D304" s="1">
        <f>IFERROR(__xludf.DUMMYFUNCTION("""COMPUTED_VALUE"""),24.69)</f>
        <v>24.69</v>
      </c>
      <c r="E304" s="1">
        <f>IFERROR(__xludf.DUMMYFUNCTION("""COMPUTED_VALUE"""),25.35)</f>
        <v>25.35</v>
      </c>
      <c r="F304" s="1">
        <f>IFERROR(__xludf.DUMMYFUNCTION("""COMPUTED_VALUE"""),337339.0)</f>
        <v>337339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IFERROR(__xludf.DUMMYFUNCTION("""COMPUTED_VALUE"""),25.41)</f>
        <v>25.41</v>
      </c>
      <c r="C305" s="1">
        <f>IFERROR(__xludf.DUMMYFUNCTION("""COMPUTED_VALUE"""),25.64)</f>
        <v>25.64</v>
      </c>
      <c r="D305" s="1">
        <f>IFERROR(__xludf.DUMMYFUNCTION("""COMPUTED_VALUE"""),25.18)</f>
        <v>25.18</v>
      </c>
      <c r="E305" s="1">
        <f>IFERROR(__xludf.DUMMYFUNCTION("""COMPUTED_VALUE"""),25.29)</f>
        <v>25.29</v>
      </c>
      <c r="F305" s="1">
        <f>IFERROR(__xludf.DUMMYFUNCTION("""COMPUTED_VALUE"""),274529.0)</f>
        <v>274529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IFERROR(__xludf.DUMMYFUNCTION("""COMPUTED_VALUE"""),25.42)</f>
        <v>25.42</v>
      </c>
      <c r="C306" s="1">
        <f>IFERROR(__xludf.DUMMYFUNCTION("""COMPUTED_VALUE"""),25.92)</f>
        <v>25.92</v>
      </c>
      <c r="D306" s="1">
        <f>IFERROR(__xludf.DUMMYFUNCTION("""COMPUTED_VALUE"""),25.16)</f>
        <v>25.16</v>
      </c>
      <c r="E306" s="1">
        <f>IFERROR(__xludf.DUMMYFUNCTION("""COMPUTED_VALUE"""),25.81)</f>
        <v>25.81</v>
      </c>
      <c r="F306" s="1">
        <f>IFERROR(__xludf.DUMMYFUNCTION("""COMPUTED_VALUE"""),496745.0)</f>
        <v>496745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IFERROR(__xludf.DUMMYFUNCTION("""COMPUTED_VALUE"""),26.13)</f>
        <v>26.13</v>
      </c>
      <c r="C307" s="1">
        <f>IFERROR(__xludf.DUMMYFUNCTION("""COMPUTED_VALUE"""),26.25)</f>
        <v>26.25</v>
      </c>
      <c r="D307" s="1">
        <f>IFERROR(__xludf.DUMMYFUNCTION("""COMPUTED_VALUE"""),25.92)</f>
        <v>25.92</v>
      </c>
      <c r="E307" s="1">
        <f>IFERROR(__xludf.DUMMYFUNCTION("""COMPUTED_VALUE"""),26.13)</f>
        <v>26.13</v>
      </c>
      <c r="F307" s="1">
        <f>IFERROR(__xludf.DUMMYFUNCTION("""COMPUTED_VALUE"""),311626.0)</f>
        <v>311626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IFERROR(__xludf.DUMMYFUNCTION("""COMPUTED_VALUE"""),26.23)</f>
        <v>26.23</v>
      </c>
      <c r="C308" s="1">
        <f>IFERROR(__xludf.DUMMYFUNCTION("""COMPUTED_VALUE"""),26.26)</f>
        <v>26.26</v>
      </c>
      <c r="D308" s="1">
        <f>IFERROR(__xludf.DUMMYFUNCTION("""COMPUTED_VALUE"""),26.0)</f>
        <v>26</v>
      </c>
      <c r="E308" s="1">
        <f>IFERROR(__xludf.DUMMYFUNCTION("""COMPUTED_VALUE"""),26.2)</f>
        <v>26.2</v>
      </c>
      <c r="F308" s="1">
        <f>IFERROR(__xludf.DUMMYFUNCTION("""COMPUTED_VALUE"""),129136.0)</f>
        <v>129136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IFERROR(__xludf.DUMMYFUNCTION("""COMPUTED_VALUE"""),26.17)</f>
        <v>26.17</v>
      </c>
      <c r="C309" s="1">
        <f>IFERROR(__xludf.DUMMYFUNCTION("""COMPUTED_VALUE"""),26.23)</f>
        <v>26.23</v>
      </c>
      <c r="D309" s="1">
        <f>IFERROR(__xludf.DUMMYFUNCTION("""COMPUTED_VALUE"""),25.96)</f>
        <v>25.96</v>
      </c>
      <c r="E309" s="1">
        <f>IFERROR(__xludf.DUMMYFUNCTION("""COMPUTED_VALUE"""),26.16)</f>
        <v>26.16</v>
      </c>
      <c r="F309" s="1">
        <f>IFERROR(__xludf.DUMMYFUNCTION("""COMPUTED_VALUE"""),189290.0)</f>
        <v>189290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IFERROR(__xludf.DUMMYFUNCTION("""COMPUTED_VALUE"""),26.23)</f>
        <v>26.23</v>
      </c>
      <c r="C310" s="1">
        <f>IFERROR(__xludf.DUMMYFUNCTION("""COMPUTED_VALUE"""),26.28)</f>
        <v>26.28</v>
      </c>
      <c r="D310" s="1">
        <f>IFERROR(__xludf.DUMMYFUNCTION("""COMPUTED_VALUE"""),25.78)</f>
        <v>25.78</v>
      </c>
      <c r="E310" s="1">
        <f>IFERROR(__xludf.DUMMYFUNCTION("""COMPUTED_VALUE"""),25.81)</f>
        <v>25.81</v>
      </c>
      <c r="F310" s="1">
        <f>IFERROR(__xludf.DUMMYFUNCTION("""COMPUTED_VALUE"""),1319573.0)</f>
        <v>1319573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IFERROR(__xludf.DUMMYFUNCTION("""COMPUTED_VALUE"""),25.93)</f>
        <v>25.93</v>
      </c>
      <c r="C311" s="1">
        <f>IFERROR(__xludf.DUMMYFUNCTION("""COMPUTED_VALUE"""),25.95)</f>
        <v>25.95</v>
      </c>
      <c r="D311" s="1">
        <f>IFERROR(__xludf.DUMMYFUNCTION("""COMPUTED_VALUE"""),25.46)</f>
        <v>25.46</v>
      </c>
      <c r="E311" s="1">
        <f>IFERROR(__xludf.DUMMYFUNCTION("""COMPUTED_VALUE"""),25.75)</f>
        <v>25.75</v>
      </c>
      <c r="F311" s="1">
        <f>IFERROR(__xludf.DUMMYFUNCTION("""COMPUTED_VALUE"""),604001.0)</f>
        <v>604001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IFERROR(__xludf.DUMMYFUNCTION("""COMPUTED_VALUE"""),26.0)</f>
        <v>26</v>
      </c>
      <c r="C312" s="1">
        <f>IFERROR(__xludf.DUMMYFUNCTION("""COMPUTED_VALUE"""),26.27)</f>
        <v>26.27</v>
      </c>
      <c r="D312" s="1">
        <f>IFERROR(__xludf.DUMMYFUNCTION("""COMPUTED_VALUE"""),25.84)</f>
        <v>25.84</v>
      </c>
      <c r="E312" s="1">
        <f>IFERROR(__xludf.DUMMYFUNCTION("""COMPUTED_VALUE"""),26.17)</f>
        <v>26.17</v>
      </c>
      <c r="F312" s="1">
        <f>IFERROR(__xludf.DUMMYFUNCTION("""COMPUTED_VALUE"""),953800.0)</f>
        <v>953800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IFERROR(__xludf.DUMMYFUNCTION("""COMPUTED_VALUE"""),26.12)</f>
        <v>26.12</v>
      </c>
      <c r="C313" s="1">
        <f>IFERROR(__xludf.DUMMYFUNCTION("""COMPUTED_VALUE"""),27.58)</f>
        <v>27.58</v>
      </c>
      <c r="D313" s="1">
        <f>IFERROR(__xludf.DUMMYFUNCTION("""COMPUTED_VALUE"""),26.09)</f>
        <v>26.09</v>
      </c>
      <c r="E313" s="1">
        <f>IFERROR(__xludf.DUMMYFUNCTION("""COMPUTED_VALUE"""),27.49)</f>
        <v>27.49</v>
      </c>
      <c r="F313" s="1">
        <f>IFERROR(__xludf.DUMMYFUNCTION("""COMPUTED_VALUE"""),1229111.0)</f>
        <v>1229111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IFERROR(__xludf.DUMMYFUNCTION("""COMPUTED_VALUE"""),27.55)</f>
        <v>27.55</v>
      </c>
      <c r="C314" s="1">
        <f>IFERROR(__xludf.DUMMYFUNCTION("""COMPUTED_VALUE"""),28.21)</f>
        <v>28.21</v>
      </c>
      <c r="D314" s="1">
        <f>IFERROR(__xludf.DUMMYFUNCTION("""COMPUTED_VALUE"""),27.55)</f>
        <v>27.55</v>
      </c>
      <c r="E314" s="1">
        <f>IFERROR(__xludf.DUMMYFUNCTION("""COMPUTED_VALUE"""),28.01)</f>
        <v>28.01</v>
      </c>
      <c r="F314" s="1">
        <f>IFERROR(__xludf.DUMMYFUNCTION("""COMPUTED_VALUE"""),338791.0)</f>
        <v>338791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IFERROR(__xludf.DUMMYFUNCTION("""COMPUTED_VALUE"""),28.05)</f>
        <v>28.05</v>
      </c>
      <c r="C315" s="1">
        <f>IFERROR(__xludf.DUMMYFUNCTION("""COMPUTED_VALUE"""),28.25)</f>
        <v>28.25</v>
      </c>
      <c r="D315" s="1">
        <f>IFERROR(__xludf.DUMMYFUNCTION("""COMPUTED_VALUE"""),27.69)</f>
        <v>27.69</v>
      </c>
      <c r="E315" s="1">
        <f>IFERROR(__xludf.DUMMYFUNCTION("""COMPUTED_VALUE"""),28.15)</f>
        <v>28.15</v>
      </c>
      <c r="F315" s="1">
        <f>IFERROR(__xludf.DUMMYFUNCTION("""COMPUTED_VALUE"""),218684.0)</f>
        <v>218684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IFERROR(__xludf.DUMMYFUNCTION("""COMPUTED_VALUE"""),28.27)</f>
        <v>28.27</v>
      </c>
      <c r="C316" s="1">
        <f>IFERROR(__xludf.DUMMYFUNCTION("""COMPUTED_VALUE"""),28.58)</f>
        <v>28.58</v>
      </c>
      <c r="D316" s="1">
        <f>IFERROR(__xludf.DUMMYFUNCTION("""COMPUTED_VALUE"""),28.05)</f>
        <v>28.05</v>
      </c>
      <c r="E316" s="1">
        <f>IFERROR(__xludf.DUMMYFUNCTION("""COMPUTED_VALUE"""),28.52)</f>
        <v>28.52</v>
      </c>
      <c r="F316" s="1">
        <f>IFERROR(__xludf.DUMMYFUNCTION("""COMPUTED_VALUE"""),522220.0)</f>
        <v>522220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IFERROR(__xludf.DUMMYFUNCTION("""COMPUTED_VALUE"""),28.63)</f>
        <v>28.63</v>
      </c>
      <c r="C317" s="1">
        <f>IFERROR(__xludf.DUMMYFUNCTION("""COMPUTED_VALUE"""),28.69)</f>
        <v>28.69</v>
      </c>
      <c r="D317" s="1">
        <f>IFERROR(__xludf.DUMMYFUNCTION("""COMPUTED_VALUE"""),28.41)</f>
        <v>28.41</v>
      </c>
      <c r="E317" s="1">
        <f>IFERROR(__xludf.DUMMYFUNCTION("""COMPUTED_VALUE"""),28.54)</f>
        <v>28.54</v>
      </c>
      <c r="F317" s="1">
        <f>IFERROR(__xludf.DUMMYFUNCTION("""COMPUTED_VALUE"""),277252.0)</f>
        <v>277252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IFERROR(__xludf.DUMMYFUNCTION("""COMPUTED_VALUE"""),28.48)</f>
        <v>28.48</v>
      </c>
      <c r="C318" s="1">
        <f>IFERROR(__xludf.DUMMYFUNCTION("""COMPUTED_VALUE"""),28.94)</f>
        <v>28.94</v>
      </c>
      <c r="D318" s="1">
        <f>IFERROR(__xludf.DUMMYFUNCTION("""COMPUTED_VALUE"""),28.37)</f>
        <v>28.37</v>
      </c>
      <c r="E318" s="1">
        <f>IFERROR(__xludf.DUMMYFUNCTION("""COMPUTED_VALUE"""),28.44)</f>
        <v>28.44</v>
      </c>
      <c r="F318" s="1">
        <f>IFERROR(__xludf.DUMMYFUNCTION("""COMPUTED_VALUE"""),453162.0)</f>
        <v>453162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IFERROR(__xludf.DUMMYFUNCTION("""COMPUTED_VALUE"""),28.22)</f>
        <v>28.22</v>
      </c>
      <c r="C319" s="1">
        <f>IFERROR(__xludf.DUMMYFUNCTION("""COMPUTED_VALUE"""),28.23)</f>
        <v>28.23</v>
      </c>
      <c r="D319" s="1">
        <f>IFERROR(__xludf.DUMMYFUNCTION("""COMPUTED_VALUE"""),27.38)</f>
        <v>27.38</v>
      </c>
      <c r="E319" s="1">
        <f>IFERROR(__xludf.DUMMYFUNCTION("""COMPUTED_VALUE"""),27.72)</f>
        <v>27.72</v>
      </c>
      <c r="F319" s="1">
        <f>IFERROR(__xludf.DUMMYFUNCTION("""COMPUTED_VALUE"""),771081.0)</f>
        <v>771081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IFERROR(__xludf.DUMMYFUNCTION("""COMPUTED_VALUE"""),27.72)</f>
        <v>27.72</v>
      </c>
      <c r="C320" s="1">
        <f>IFERROR(__xludf.DUMMYFUNCTION("""COMPUTED_VALUE"""),27.9)</f>
        <v>27.9</v>
      </c>
      <c r="D320" s="1">
        <f>IFERROR(__xludf.DUMMYFUNCTION("""COMPUTED_VALUE"""),27.26)</f>
        <v>27.26</v>
      </c>
      <c r="E320" s="1">
        <f>IFERROR(__xludf.DUMMYFUNCTION("""COMPUTED_VALUE"""),27.3)</f>
        <v>27.3</v>
      </c>
      <c r="F320" s="1">
        <f>IFERROR(__xludf.DUMMYFUNCTION("""COMPUTED_VALUE"""),221791.0)</f>
        <v>221791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IFERROR(__xludf.DUMMYFUNCTION("""COMPUTED_VALUE"""),27.41)</f>
        <v>27.41</v>
      </c>
      <c r="C321" s="1">
        <f>IFERROR(__xludf.DUMMYFUNCTION("""COMPUTED_VALUE"""),27.69)</f>
        <v>27.69</v>
      </c>
      <c r="D321" s="1">
        <f>IFERROR(__xludf.DUMMYFUNCTION("""COMPUTED_VALUE"""),27.29)</f>
        <v>27.29</v>
      </c>
      <c r="E321" s="1">
        <f>IFERROR(__xludf.DUMMYFUNCTION("""COMPUTED_VALUE"""),27.56)</f>
        <v>27.56</v>
      </c>
      <c r="F321" s="1">
        <f>IFERROR(__xludf.DUMMYFUNCTION("""COMPUTED_VALUE"""),402374.0)</f>
        <v>402374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IFERROR(__xludf.DUMMYFUNCTION("""COMPUTED_VALUE"""),27.52)</f>
        <v>27.52</v>
      </c>
      <c r="C322" s="1">
        <f>IFERROR(__xludf.DUMMYFUNCTION("""COMPUTED_VALUE"""),27.62)</f>
        <v>27.62</v>
      </c>
      <c r="D322" s="1">
        <f>IFERROR(__xludf.DUMMYFUNCTION("""COMPUTED_VALUE"""),27.36)</f>
        <v>27.36</v>
      </c>
      <c r="E322" s="1">
        <f>IFERROR(__xludf.DUMMYFUNCTION("""COMPUTED_VALUE"""),27.5)</f>
        <v>27.5</v>
      </c>
      <c r="F322" s="1">
        <f>IFERROR(__xludf.DUMMYFUNCTION("""COMPUTED_VALUE"""),301596.0)</f>
        <v>301596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IFERROR(__xludf.DUMMYFUNCTION("""COMPUTED_VALUE"""),27.46)</f>
        <v>27.46</v>
      </c>
      <c r="C323" s="1">
        <f>IFERROR(__xludf.DUMMYFUNCTION("""COMPUTED_VALUE"""),27.58)</f>
        <v>27.58</v>
      </c>
      <c r="D323" s="1">
        <f>IFERROR(__xludf.DUMMYFUNCTION("""COMPUTED_VALUE"""),27.36)</f>
        <v>27.36</v>
      </c>
      <c r="E323" s="1">
        <f>IFERROR(__xludf.DUMMYFUNCTION("""COMPUTED_VALUE"""),27.5)</f>
        <v>27.5</v>
      </c>
      <c r="F323" s="1">
        <f>IFERROR(__xludf.DUMMYFUNCTION("""COMPUTED_VALUE"""),341897.0)</f>
        <v>341897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IFERROR(__xludf.DUMMYFUNCTION("""COMPUTED_VALUE"""),27.64)</f>
        <v>27.64</v>
      </c>
      <c r="C324" s="1">
        <f>IFERROR(__xludf.DUMMYFUNCTION("""COMPUTED_VALUE"""),27.77)</f>
        <v>27.77</v>
      </c>
      <c r="D324" s="1">
        <f>IFERROR(__xludf.DUMMYFUNCTION("""COMPUTED_VALUE"""),27.47)</f>
        <v>27.47</v>
      </c>
      <c r="E324" s="1">
        <f>IFERROR(__xludf.DUMMYFUNCTION("""COMPUTED_VALUE"""),27.57)</f>
        <v>27.57</v>
      </c>
      <c r="F324" s="1">
        <f>IFERROR(__xludf.DUMMYFUNCTION("""COMPUTED_VALUE"""),165652.0)</f>
        <v>165652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IFERROR(__xludf.DUMMYFUNCTION("""COMPUTED_VALUE"""),27.48)</f>
        <v>27.48</v>
      </c>
      <c r="C325" s="1">
        <f>IFERROR(__xludf.DUMMYFUNCTION("""COMPUTED_VALUE"""),27.73)</f>
        <v>27.73</v>
      </c>
      <c r="D325" s="1">
        <f>IFERROR(__xludf.DUMMYFUNCTION("""COMPUTED_VALUE"""),27.48)</f>
        <v>27.48</v>
      </c>
      <c r="E325" s="1">
        <f>IFERROR(__xludf.DUMMYFUNCTION("""COMPUTED_VALUE"""),27.64)</f>
        <v>27.64</v>
      </c>
      <c r="F325" s="1">
        <f>IFERROR(__xludf.DUMMYFUNCTION("""COMPUTED_VALUE"""),171190.0)</f>
        <v>171190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IFERROR(__xludf.DUMMYFUNCTION("""COMPUTED_VALUE"""),27.58)</f>
        <v>27.58</v>
      </c>
      <c r="C326" s="1">
        <f>IFERROR(__xludf.DUMMYFUNCTION("""COMPUTED_VALUE"""),28.08)</f>
        <v>28.08</v>
      </c>
      <c r="D326" s="1">
        <f>IFERROR(__xludf.DUMMYFUNCTION("""COMPUTED_VALUE"""),27.54)</f>
        <v>27.54</v>
      </c>
      <c r="E326" s="1">
        <f>IFERROR(__xludf.DUMMYFUNCTION("""COMPUTED_VALUE"""),28.04)</f>
        <v>28.04</v>
      </c>
      <c r="F326" s="1">
        <f>IFERROR(__xludf.DUMMYFUNCTION("""COMPUTED_VALUE"""),217190.0)</f>
        <v>217190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IFERROR(__xludf.DUMMYFUNCTION("""COMPUTED_VALUE"""),27.79)</f>
        <v>27.79</v>
      </c>
      <c r="C327" s="1">
        <f>IFERROR(__xludf.DUMMYFUNCTION("""COMPUTED_VALUE"""),28.43)</f>
        <v>28.43</v>
      </c>
      <c r="D327" s="1">
        <f>IFERROR(__xludf.DUMMYFUNCTION("""COMPUTED_VALUE"""),27.79)</f>
        <v>27.79</v>
      </c>
      <c r="E327" s="1">
        <f>IFERROR(__xludf.DUMMYFUNCTION("""COMPUTED_VALUE"""),28.43)</f>
        <v>28.43</v>
      </c>
      <c r="F327" s="1">
        <f>IFERROR(__xludf.DUMMYFUNCTION("""COMPUTED_VALUE"""),275641.0)</f>
        <v>275641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IFERROR(__xludf.DUMMYFUNCTION("""COMPUTED_VALUE"""),28.43)</f>
        <v>28.43</v>
      </c>
      <c r="C328" s="1">
        <f>IFERROR(__xludf.DUMMYFUNCTION("""COMPUTED_VALUE"""),28.49)</f>
        <v>28.49</v>
      </c>
      <c r="D328" s="1">
        <f>IFERROR(__xludf.DUMMYFUNCTION("""COMPUTED_VALUE"""),27.79)</f>
        <v>27.79</v>
      </c>
      <c r="E328" s="1">
        <f>IFERROR(__xludf.DUMMYFUNCTION("""COMPUTED_VALUE"""),27.92)</f>
        <v>27.92</v>
      </c>
      <c r="F328" s="1">
        <f>IFERROR(__xludf.DUMMYFUNCTION("""COMPUTED_VALUE"""),268919.0)</f>
        <v>268919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IFERROR(__xludf.DUMMYFUNCTION("""COMPUTED_VALUE"""),28.15)</f>
        <v>28.15</v>
      </c>
      <c r="C329" s="1">
        <f>IFERROR(__xludf.DUMMYFUNCTION("""COMPUTED_VALUE"""),28.5)</f>
        <v>28.5</v>
      </c>
      <c r="D329" s="1">
        <f>IFERROR(__xludf.DUMMYFUNCTION("""COMPUTED_VALUE"""),28.09)</f>
        <v>28.09</v>
      </c>
      <c r="E329" s="1">
        <f>IFERROR(__xludf.DUMMYFUNCTION("""COMPUTED_VALUE"""),28.39)</f>
        <v>28.39</v>
      </c>
      <c r="F329" s="1">
        <f>IFERROR(__xludf.DUMMYFUNCTION("""COMPUTED_VALUE"""),123615.0)</f>
        <v>123615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IFERROR(__xludf.DUMMYFUNCTION("""COMPUTED_VALUE"""),28.4)</f>
        <v>28.4</v>
      </c>
      <c r="C330" s="1">
        <f>IFERROR(__xludf.DUMMYFUNCTION("""COMPUTED_VALUE"""),28.87)</f>
        <v>28.87</v>
      </c>
      <c r="D330" s="1">
        <f>IFERROR(__xludf.DUMMYFUNCTION("""COMPUTED_VALUE"""),28.26)</f>
        <v>28.26</v>
      </c>
      <c r="E330" s="1">
        <f>IFERROR(__xludf.DUMMYFUNCTION("""COMPUTED_VALUE"""),28.82)</f>
        <v>28.82</v>
      </c>
      <c r="F330" s="1">
        <f>IFERROR(__xludf.DUMMYFUNCTION("""COMPUTED_VALUE"""),174267.0)</f>
        <v>174267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IFERROR(__xludf.DUMMYFUNCTION("""COMPUTED_VALUE"""),28.83)</f>
        <v>28.83</v>
      </c>
      <c r="C331" s="1">
        <f>IFERROR(__xludf.DUMMYFUNCTION("""COMPUTED_VALUE"""),29.23)</f>
        <v>29.23</v>
      </c>
      <c r="D331" s="1">
        <f>IFERROR(__xludf.DUMMYFUNCTION("""COMPUTED_VALUE"""),28.82)</f>
        <v>28.82</v>
      </c>
      <c r="E331" s="1">
        <f>IFERROR(__xludf.DUMMYFUNCTION("""COMPUTED_VALUE"""),29.14)</f>
        <v>29.14</v>
      </c>
      <c r="F331" s="1">
        <f>IFERROR(__xludf.DUMMYFUNCTION("""COMPUTED_VALUE"""),378224.0)</f>
        <v>378224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IFERROR(__xludf.DUMMYFUNCTION("""COMPUTED_VALUE"""),29.21)</f>
        <v>29.21</v>
      </c>
      <c r="C332" s="1">
        <f>IFERROR(__xludf.DUMMYFUNCTION("""COMPUTED_VALUE"""),29.99)</f>
        <v>29.99</v>
      </c>
      <c r="D332" s="1">
        <f>IFERROR(__xludf.DUMMYFUNCTION("""COMPUTED_VALUE"""),29.19)</f>
        <v>29.19</v>
      </c>
      <c r="E332" s="1">
        <f>IFERROR(__xludf.DUMMYFUNCTION("""COMPUTED_VALUE"""),29.89)</f>
        <v>29.89</v>
      </c>
      <c r="F332" s="1">
        <f>IFERROR(__xludf.DUMMYFUNCTION("""COMPUTED_VALUE"""),566348.0)</f>
        <v>566348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IFERROR(__xludf.DUMMYFUNCTION("""COMPUTED_VALUE"""),29.86)</f>
        <v>29.86</v>
      </c>
      <c r="C333" s="1">
        <f>IFERROR(__xludf.DUMMYFUNCTION("""COMPUTED_VALUE"""),30.09)</f>
        <v>30.09</v>
      </c>
      <c r="D333" s="1">
        <f>IFERROR(__xludf.DUMMYFUNCTION("""COMPUTED_VALUE"""),29.48)</f>
        <v>29.48</v>
      </c>
      <c r="E333" s="1">
        <f>IFERROR(__xludf.DUMMYFUNCTION("""COMPUTED_VALUE"""),30.07)</f>
        <v>30.07</v>
      </c>
      <c r="F333" s="1">
        <f>IFERROR(__xludf.DUMMYFUNCTION("""COMPUTED_VALUE"""),381126.0)</f>
        <v>381126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IFERROR(__xludf.DUMMYFUNCTION("""COMPUTED_VALUE"""),30.0)</f>
        <v>30</v>
      </c>
      <c r="C334" s="1">
        <f>IFERROR(__xludf.DUMMYFUNCTION("""COMPUTED_VALUE"""),30.27)</f>
        <v>30.27</v>
      </c>
      <c r="D334" s="1">
        <f>IFERROR(__xludf.DUMMYFUNCTION("""COMPUTED_VALUE"""),29.85)</f>
        <v>29.85</v>
      </c>
      <c r="E334" s="1">
        <f>IFERROR(__xludf.DUMMYFUNCTION("""COMPUTED_VALUE"""),30.15)</f>
        <v>30.15</v>
      </c>
      <c r="F334" s="1">
        <f>IFERROR(__xludf.DUMMYFUNCTION("""COMPUTED_VALUE"""),210778.0)</f>
        <v>210778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IFERROR(__xludf.DUMMYFUNCTION("""COMPUTED_VALUE"""),30.13)</f>
        <v>30.13</v>
      </c>
      <c r="C335" s="1">
        <f>IFERROR(__xludf.DUMMYFUNCTION("""COMPUTED_VALUE"""),31.62)</f>
        <v>31.62</v>
      </c>
      <c r="D335" s="1">
        <f>IFERROR(__xludf.DUMMYFUNCTION("""COMPUTED_VALUE"""),29.93)</f>
        <v>29.93</v>
      </c>
      <c r="E335" s="1">
        <f>IFERROR(__xludf.DUMMYFUNCTION("""COMPUTED_VALUE"""),31.27)</f>
        <v>31.27</v>
      </c>
      <c r="F335" s="1">
        <f>IFERROR(__xludf.DUMMYFUNCTION("""COMPUTED_VALUE"""),567445.0)</f>
        <v>567445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IFERROR(__xludf.DUMMYFUNCTION("""COMPUTED_VALUE"""),31.63)</f>
        <v>31.63</v>
      </c>
      <c r="C336" s="1">
        <f>IFERROR(__xludf.DUMMYFUNCTION("""COMPUTED_VALUE"""),31.75)</f>
        <v>31.75</v>
      </c>
      <c r="D336" s="1">
        <f>IFERROR(__xludf.DUMMYFUNCTION("""COMPUTED_VALUE"""),30.06)</f>
        <v>30.06</v>
      </c>
      <c r="E336" s="1">
        <f>IFERROR(__xludf.DUMMYFUNCTION("""COMPUTED_VALUE"""),30.13)</f>
        <v>30.13</v>
      </c>
      <c r="F336" s="1">
        <f>IFERROR(__xludf.DUMMYFUNCTION("""COMPUTED_VALUE"""),707877.0)</f>
        <v>707877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IFERROR(__xludf.DUMMYFUNCTION("""COMPUTED_VALUE"""),29.41)</f>
        <v>29.41</v>
      </c>
      <c r="C337" s="1">
        <f>IFERROR(__xludf.DUMMYFUNCTION("""COMPUTED_VALUE"""),30.19)</f>
        <v>30.19</v>
      </c>
      <c r="D337" s="1">
        <f>IFERROR(__xludf.DUMMYFUNCTION("""COMPUTED_VALUE"""),29.1)</f>
        <v>29.1</v>
      </c>
      <c r="E337" s="1">
        <f>IFERROR(__xludf.DUMMYFUNCTION("""COMPUTED_VALUE"""),29.78)</f>
        <v>29.78</v>
      </c>
      <c r="F337" s="1">
        <f>IFERROR(__xludf.DUMMYFUNCTION("""COMPUTED_VALUE"""),862804.0)</f>
        <v>862804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IFERROR(__xludf.DUMMYFUNCTION("""COMPUTED_VALUE"""),29.1)</f>
        <v>29.1</v>
      </c>
      <c r="C338" s="1">
        <f>IFERROR(__xludf.DUMMYFUNCTION("""COMPUTED_VALUE"""),29.7)</f>
        <v>29.7</v>
      </c>
      <c r="D338" s="1">
        <f>IFERROR(__xludf.DUMMYFUNCTION("""COMPUTED_VALUE"""),28.37)</f>
        <v>28.37</v>
      </c>
      <c r="E338" s="1">
        <f>IFERROR(__xludf.DUMMYFUNCTION("""COMPUTED_VALUE"""),28.48)</f>
        <v>28.48</v>
      </c>
      <c r="F338" s="1">
        <f>IFERROR(__xludf.DUMMYFUNCTION("""COMPUTED_VALUE"""),695257.0)</f>
        <v>695257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IFERROR(__xludf.DUMMYFUNCTION("""COMPUTED_VALUE"""),28.24)</f>
        <v>28.24</v>
      </c>
      <c r="C339" s="1">
        <f>IFERROR(__xludf.DUMMYFUNCTION("""COMPUTED_VALUE"""),28.87)</f>
        <v>28.87</v>
      </c>
      <c r="D339" s="1">
        <f>IFERROR(__xludf.DUMMYFUNCTION("""COMPUTED_VALUE"""),28.18)</f>
        <v>28.18</v>
      </c>
      <c r="E339" s="1">
        <f>IFERROR(__xludf.DUMMYFUNCTION("""COMPUTED_VALUE"""),28.8)</f>
        <v>28.8</v>
      </c>
      <c r="F339" s="1">
        <f>IFERROR(__xludf.DUMMYFUNCTION("""COMPUTED_VALUE"""),324445.0)</f>
        <v>324445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IFERROR(__xludf.DUMMYFUNCTION("""COMPUTED_VALUE"""),28.96)</f>
        <v>28.96</v>
      </c>
      <c r="C340" s="1">
        <f>IFERROR(__xludf.DUMMYFUNCTION("""COMPUTED_VALUE"""),29.18)</f>
        <v>29.18</v>
      </c>
      <c r="D340" s="1">
        <f>IFERROR(__xludf.DUMMYFUNCTION("""COMPUTED_VALUE"""),28.51)</f>
        <v>28.51</v>
      </c>
      <c r="E340" s="1">
        <f>IFERROR(__xludf.DUMMYFUNCTION("""COMPUTED_VALUE"""),28.56)</f>
        <v>28.56</v>
      </c>
      <c r="F340" s="1">
        <f>IFERROR(__xludf.DUMMYFUNCTION("""COMPUTED_VALUE"""),302506.0)</f>
        <v>302506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IFERROR(__xludf.DUMMYFUNCTION("""COMPUTED_VALUE"""),28.53)</f>
        <v>28.53</v>
      </c>
      <c r="C341" s="1">
        <f>IFERROR(__xludf.DUMMYFUNCTION("""COMPUTED_VALUE"""),28.54)</f>
        <v>28.54</v>
      </c>
      <c r="D341" s="1">
        <f>IFERROR(__xludf.DUMMYFUNCTION("""COMPUTED_VALUE"""),28.01)</f>
        <v>28.01</v>
      </c>
      <c r="E341" s="1">
        <f>IFERROR(__xludf.DUMMYFUNCTION("""COMPUTED_VALUE"""),28.42)</f>
        <v>28.42</v>
      </c>
      <c r="F341" s="1">
        <f>IFERROR(__xludf.DUMMYFUNCTION("""COMPUTED_VALUE"""),489282.0)</f>
        <v>489282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IFERROR(__xludf.DUMMYFUNCTION("""COMPUTED_VALUE"""),28.42)</f>
        <v>28.42</v>
      </c>
      <c r="C342" s="1">
        <f>IFERROR(__xludf.DUMMYFUNCTION("""COMPUTED_VALUE"""),28.91)</f>
        <v>28.91</v>
      </c>
      <c r="D342" s="1">
        <f>IFERROR(__xludf.DUMMYFUNCTION("""COMPUTED_VALUE"""),28.22)</f>
        <v>28.22</v>
      </c>
      <c r="E342" s="1">
        <f>IFERROR(__xludf.DUMMYFUNCTION("""COMPUTED_VALUE"""),28.79)</f>
        <v>28.79</v>
      </c>
      <c r="F342" s="1">
        <f>IFERROR(__xludf.DUMMYFUNCTION("""COMPUTED_VALUE"""),348099.0)</f>
        <v>348099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IFERROR(__xludf.DUMMYFUNCTION("""COMPUTED_VALUE"""),28.82)</f>
        <v>28.82</v>
      </c>
      <c r="C343" s="1">
        <f>IFERROR(__xludf.DUMMYFUNCTION("""COMPUTED_VALUE"""),28.86)</f>
        <v>28.86</v>
      </c>
      <c r="D343" s="1">
        <f>IFERROR(__xludf.DUMMYFUNCTION("""COMPUTED_VALUE"""),28.02)</f>
        <v>28.02</v>
      </c>
      <c r="E343" s="1">
        <f>IFERROR(__xludf.DUMMYFUNCTION("""COMPUTED_VALUE"""),28.49)</f>
        <v>28.49</v>
      </c>
      <c r="F343" s="1">
        <f>IFERROR(__xludf.DUMMYFUNCTION("""COMPUTED_VALUE"""),442935.0)</f>
        <v>442935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IFERROR(__xludf.DUMMYFUNCTION("""COMPUTED_VALUE"""),28.34)</f>
        <v>28.34</v>
      </c>
      <c r="C344" s="1">
        <f>IFERROR(__xludf.DUMMYFUNCTION("""COMPUTED_VALUE"""),28.71)</f>
        <v>28.71</v>
      </c>
      <c r="D344" s="1">
        <f>IFERROR(__xludf.DUMMYFUNCTION("""COMPUTED_VALUE"""),27.89)</f>
        <v>27.89</v>
      </c>
      <c r="E344" s="1">
        <f>IFERROR(__xludf.DUMMYFUNCTION("""COMPUTED_VALUE"""),28.35)</f>
        <v>28.35</v>
      </c>
      <c r="F344" s="1">
        <f>IFERROR(__xludf.DUMMYFUNCTION("""COMPUTED_VALUE"""),355745.0)</f>
        <v>355745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IFERROR(__xludf.DUMMYFUNCTION("""COMPUTED_VALUE"""),28.33)</f>
        <v>28.33</v>
      </c>
      <c r="C345" s="1">
        <f>IFERROR(__xludf.DUMMYFUNCTION("""COMPUTED_VALUE"""),28.49)</f>
        <v>28.49</v>
      </c>
      <c r="D345" s="1">
        <f>IFERROR(__xludf.DUMMYFUNCTION("""COMPUTED_VALUE"""),27.68)</f>
        <v>27.68</v>
      </c>
      <c r="E345" s="1">
        <f>IFERROR(__xludf.DUMMYFUNCTION("""COMPUTED_VALUE"""),27.84)</f>
        <v>27.84</v>
      </c>
      <c r="F345" s="1">
        <f>IFERROR(__xludf.DUMMYFUNCTION("""COMPUTED_VALUE"""),182271.0)</f>
        <v>182271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IFERROR(__xludf.DUMMYFUNCTION("""COMPUTED_VALUE"""),27.77)</f>
        <v>27.77</v>
      </c>
      <c r="C346" s="1">
        <f>IFERROR(__xludf.DUMMYFUNCTION("""COMPUTED_VALUE"""),27.77)</f>
        <v>27.77</v>
      </c>
      <c r="D346" s="1">
        <f>IFERROR(__xludf.DUMMYFUNCTION("""COMPUTED_VALUE"""),26.99)</f>
        <v>26.99</v>
      </c>
      <c r="E346" s="1">
        <f>IFERROR(__xludf.DUMMYFUNCTION("""COMPUTED_VALUE"""),27.24)</f>
        <v>27.24</v>
      </c>
      <c r="F346" s="1">
        <f>IFERROR(__xludf.DUMMYFUNCTION("""COMPUTED_VALUE"""),278158.0)</f>
        <v>278158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IFERROR(__xludf.DUMMYFUNCTION("""COMPUTED_VALUE"""),27.1)</f>
        <v>27.1</v>
      </c>
      <c r="C347" s="1">
        <f>IFERROR(__xludf.DUMMYFUNCTION("""COMPUTED_VALUE"""),27.14)</f>
        <v>27.14</v>
      </c>
      <c r="D347" s="1">
        <f>IFERROR(__xludf.DUMMYFUNCTION("""COMPUTED_VALUE"""),26.78)</f>
        <v>26.78</v>
      </c>
      <c r="E347" s="1">
        <f>IFERROR(__xludf.DUMMYFUNCTION("""COMPUTED_VALUE"""),26.96)</f>
        <v>26.96</v>
      </c>
      <c r="F347" s="1">
        <f>IFERROR(__xludf.DUMMYFUNCTION("""COMPUTED_VALUE"""),231674.0)</f>
        <v>231674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IFERROR(__xludf.DUMMYFUNCTION("""COMPUTED_VALUE"""),26.92)</f>
        <v>26.92</v>
      </c>
      <c r="C348" s="1">
        <f>IFERROR(__xludf.DUMMYFUNCTION("""COMPUTED_VALUE"""),27.45)</f>
        <v>27.45</v>
      </c>
      <c r="D348" s="1">
        <f>IFERROR(__xludf.DUMMYFUNCTION("""COMPUTED_VALUE"""),26.63)</f>
        <v>26.63</v>
      </c>
      <c r="E348" s="1">
        <f>IFERROR(__xludf.DUMMYFUNCTION("""COMPUTED_VALUE"""),27.25)</f>
        <v>27.25</v>
      </c>
      <c r="F348" s="1">
        <f>IFERROR(__xludf.DUMMYFUNCTION("""COMPUTED_VALUE"""),442943.0)</f>
        <v>442943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IFERROR(__xludf.DUMMYFUNCTION("""COMPUTED_VALUE"""),27.4)</f>
        <v>27.4</v>
      </c>
      <c r="C349" s="1">
        <f>IFERROR(__xludf.DUMMYFUNCTION("""COMPUTED_VALUE"""),27.74)</f>
        <v>27.74</v>
      </c>
      <c r="D349" s="1">
        <f>IFERROR(__xludf.DUMMYFUNCTION("""COMPUTED_VALUE"""),27.12)</f>
        <v>27.12</v>
      </c>
      <c r="E349" s="1">
        <f>IFERROR(__xludf.DUMMYFUNCTION("""COMPUTED_VALUE"""),27.57)</f>
        <v>27.57</v>
      </c>
      <c r="F349" s="1">
        <f>IFERROR(__xludf.DUMMYFUNCTION("""COMPUTED_VALUE"""),383812.0)</f>
        <v>383812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IFERROR(__xludf.DUMMYFUNCTION("""COMPUTED_VALUE"""),27.5)</f>
        <v>27.5</v>
      </c>
      <c r="C350" s="1">
        <f>IFERROR(__xludf.DUMMYFUNCTION("""COMPUTED_VALUE"""),27.66)</f>
        <v>27.66</v>
      </c>
      <c r="D350" s="1">
        <f>IFERROR(__xludf.DUMMYFUNCTION("""COMPUTED_VALUE"""),27.05)</f>
        <v>27.05</v>
      </c>
      <c r="E350" s="1">
        <f>IFERROR(__xludf.DUMMYFUNCTION("""COMPUTED_VALUE"""),27.3)</f>
        <v>27.3</v>
      </c>
      <c r="F350" s="1">
        <f>IFERROR(__xludf.DUMMYFUNCTION("""COMPUTED_VALUE"""),249544.0)</f>
        <v>249544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IFERROR(__xludf.DUMMYFUNCTION("""COMPUTED_VALUE"""),27.03)</f>
        <v>27.03</v>
      </c>
      <c r="C351" s="1">
        <f>IFERROR(__xludf.DUMMYFUNCTION("""COMPUTED_VALUE"""),27.07)</f>
        <v>27.07</v>
      </c>
      <c r="D351" s="1">
        <f>IFERROR(__xludf.DUMMYFUNCTION("""COMPUTED_VALUE"""),26.61)</f>
        <v>26.61</v>
      </c>
      <c r="E351" s="1">
        <f>IFERROR(__xludf.DUMMYFUNCTION("""COMPUTED_VALUE"""),27.02)</f>
        <v>27.02</v>
      </c>
      <c r="F351" s="1">
        <f>IFERROR(__xludf.DUMMYFUNCTION("""COMPUTED_VALUE"""),209417.0)</f>
        <v>209417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IFERROR(__xludf.DUMMYFUNCTION("""COMPUTED_VALUE"""),27.0)</f>
        <v>27</v>
      </c>
      <c r="C352" s="1">
        <f>IFERROR(__xludf.DUMMYFUNCTION("""COMPUTED_VALUE"""),27.11)</f>
        <v>27.11</v>
      </c>
      <c r="D352" s="1">
        <f>IFERROR(__xludf.DUMMYFUNCTION("""COMPUTED_VALUE"""),26.58)</f>
        <v>26.58</v>
      </c>
      <c r="E352" s="1">
        <f>IFERROR(__xludf.DUMMYFUNCTION("""COMPUTED_VALUE"""),26.77)</f>
        <v>26.77</v>
      </c>
      <c r="F352" s="1">
        <f>IFERROR(__xludf.DUMMYFUNCTION("""COMPUTED_VALUE"""),255708.0)</f>
        <v>255708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IFERROR(__xludf.DUMMYFUNCTION("""COMPUTED_VALUE"""),26.66)</f>
        <v>26.66</v>
      </c>
      <c r="C353" s="1">
        <f>IFERROR(__xludf.DUMMYFUNCTION("""COMPUTED_VALUE"""),27.03)</f>
        <v>27.03</v>
      </c>
      <c r="D353" s="1">
        <f>IFERROR(__xludf.DUMMYFUNCTION("""COMPUTED_VALUE"""),26.47)</f>
        <v>26.47</v>
      </c>
      <c r="E353" s="1">
        <f>IFERROR(__xludf.DUMMYFUNCTION("""COMPUTED_VALUE"""),26.93)</f>
        <v>26.93</v>
      </c>
      <c r="F353" s="1">
        <f>IFERROR(__xludf.DUMMYFUNCTION("""COMPUTED_VALUE"""),185856.0)</f>
        <v>185856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IFERROR(__xludf.DUMMYFUNCTION("""COMPUTED_VALUE"""),26.9)</f>
        <v>26.9</v>
      </c>
      <c r="C354" s="1">
        <f>IFERROR(__xludf.DUMMYFUNCTION("""COMPUTED_VALUE"""),26.93)</f>
        <v>26.93</v>
      </c>
      <c r="D354" s="1">
        <f>IFERROR(__xludf.DUMMYFUNCTION("""COMPUTED_VALUE"""),26.61)</f>
        <v>26.61</v>
      </c>
      <c r="E354" s="1">
        <f>IFERROR(__xludf.DUMMYFUNCTION("""COMPUTED_VALUE"""),26.76)</f>
        <v>26.76</v>
      </c>
      <c r="F354" s="1">
        <f>IFERROR(__xludf.DUMMYFUNCTION("""COMPUTED_VALUE"""),395138.0)</f>
        <v>395138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IFERROR(__xludf.DUMMYFUNCTION("""COMPUTED_VALUE"""),26.87)</f>
        <v>26.87</v>
      </c>
      <c r="C355" s="1">
        <f>IFERROR(__xludf.DUMMYFUNCTION("""COMPUTED_VALUE"""),27.53)</f>
        <v>27.53</v>
      </c>
      <c r="D355" s="1">
        <f>IFERROR(__xludf.DUMMYFUNCTION("""COMPUTED_VALUE"""),26.83)</f>
        <v>26.83</v>
      </c>
      <c r="E355" s="1">
        <f>IFERROR(__xludf.DUMMYFUNCTION("""COMPUTED_VALUE"""),27.46)</f>
        <v>27.46</v>
      </c>
      <c r="F355" s="1">
        <f>IFERROR(__xludf.DUMMYFUNCTION("""COMPUTED_VALUE"""),318145.0)</f>
        <v>318145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IFERROR(__xludf.DUMMYFUNCTION("""COMPUTED_VALUE"""),27.2)</f>
        <v>27.2</v>
      </c>
      <c r="C356" s="1">
        <f>IFERROR(__xludf.DUMMYFUNCTION("""COMPUTED_VALUE"""),27.75)</f>
        <v>27.75</v>
      </c>
      <c r="D356" s="1">
        <f>IFERROR(__xludf.DUMMYFUNCTION("""COMPUTED_VALUE"""),27.08)</f>
        <v>27.08</v>
      </c>
      <c r="E356" s="1">
        <f>IFERROR(__xludf.DUMMYFUNCTION("""COMPUTED_VALUE"""),27.72)</f>
        <v>27.72</v>
      </c>
      <c r="F356" s="1">
        <f>IFERROR(__xludf.DUMMYFUNCTION("""COMPUTED_VALUE"""),236171.0)</f>
        <v>236171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IFERROR(__xludf.DUMMYFUNCTION("""COMPUTED_VALUE"""),27.68)</f>
        <v>27.68</v>
      </c>
      <c r="C357" s="1">
        <f>IFERROR(__xludf.DUMMYFUNCTION("""COMPUTED_VALUE"""),27.73)</f>
        <v>27.73</v>
      </c>
      <c r="D357" s="1">
        <f>IFERROR(__xludf.DUMMYFUNCTION("""COMPUTED_VALUE"""),26.77)</f>
        <v>26.77</v>
      </c>
      <c r="E357" s="1">
        <f>IFERROR(__xludf.DUMMYFUNCTION("""COMPUTED_VALUE"""),26.85)</f>
        <v>26.85</v>
      </c>
      <c r="F357" s="1">
        <f>IFERROR(__xludf.DUMMYFUNCTION("""COMPUTED_VALUE"""),421588.0)</f>
        <v>421588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IFERROR(__xludf.DUMMYFUNCTION("""COMPUTED_VALUE"""),26.85)</f>
        <v>26.85</v>
      </c>
      <c r="C358" s="1">
        <f>IFERROR(__xludf.DUMMYFUNCTION("""COMPUTED_VALUE"""),26.94)</f>
        <v>26.94</v>
      </c>
      <c r="D358" s="1">
        <f>IFERROR(__xludf.DUMMYFUNCTION("""COMPUTED_VALUE"""),26.61)</f>
        <v>26.61</v>
      </c>
      <c r="E358" s="1">
        <f>IFERROR(__xludf.DUMMYFUNCTION("""COMPUTED_VALUE"""),26.85)</f>
        <v>26.85</v>
      </c>
      <c r="F358" s="1">
        <f>IFERROR(__xludf.DUMMYFUNCTION("""COMPUTED_VALUE"""),204393.0)</f>
        <v>204393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IFERROR(__xludf.DUMMYFUNCTION("""COMPUTED_VALUE"""),26.57)</f>
        <v>26.57</v>
      </c>
      <c r="C359" s="1">
        <f>IFERROR(__xludf.DUMMYFUNCTION("""COMPUTED_VALUE"""),26.81)</f>
        <v>26.81</v>
      </c>
      <c r="D359" s="1">
        <f>IFERROR(__xludf.DUMMYFUNCTION("""COMPUTED_VALUE"""),26.35)</f>
        <v>26.35</v>
      </c>
      <c r="E359" s="1">
        <f>IFERROR(__xludf.DUMMYFUNCTION("""COMPUTED_VALUE"""),26.47)</f>
        <v>26.47</v>
      </c>
      <c r="F359" s="1">
        <f>IFERROR(__xludf.DUMMYFUNCTION("""COMPUTED_VALUE"""),573312.0)</f>
        <v>573312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IFERROR(__xludf.DUMMYFUNCTION("""COMPUTED_VALUE"""),26.48)</f>
        <v>26.48</v>
      </c>
      <c r="C360" s="1">
        <f>IFERROR(__xludf.DUMMYFUNCTION("""COMPUTED_VALUE"""),26.7)</f>
        <v>26.7</v>
      </c>
      <c r="D360" s="1">
        <f>IFERROR(__xludf.DUMMYFUNCTION("""COMPUTED_VALUE"""),26.02)</f>
        <v>26.02</v>
      </c>
      <c r="E360" s="1">
        <f>IFERROR(__xludf.DUMMYFUNCTION("""COMPUTED_VALUE"""),26.34)</f>
        <v>26.34</v>
      </c>
      <c r="F360" s="1">
        <f>IFERROR(__xludf.DUMMYFUNCTION("""COMPUTED_VALUE"""),482576.0)</f>
        <v>482576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IFERROR(__xludf.DUMMYFUNCTION("""COMPUTED_VALUE"""),26.42)</f>
        <v>26.42</v>
      </c>
      <c r="C361" s="1">
        <f>IFERROR(__xludf.DUMMYFUNCTION("""COMPUTED_VALUE"""),26.57)</f>
        <v>26.57</v>
      </c>
      <c r="D361" s="1">
        <f>IFERROR(__xludf.DUMMYFUNCTION("""COMPUTED_VALUE"""),26.12)</f>
        <v>26.12</v>
      </c>
      <c r="E361" s="1">
        <f>IFERROR(__xludf.DUMMYFUNCTION("""COMPUTED_VALUE"""),26.18)</f>
        <v>26.18</v>
      </c>
      <c r="F361" s="1">
        <f>IFERROR(__xludf.DUMMYFUNCTION("""COMPUTED_VALUE"""),360612.0)</f>
        <v>360612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IFERROR(__xludf.DUMMYFUNCTION("""COMPUTED_VALUE"""),25.96)</f>
        <v>25.96</v>
      </c>
      <c r="C362" s="1">
        <f>IFERROR(__xludf.DUMMYFUNCTION("""COMPUTED_VALUE"""),26.13)</f>
        <v>26.13</v>
      </c>
      <c r="D362" s="1">
        <f>IFERROR(__xludf.DUMMYFUNCTION("""COMPUTED_VALUE"""),25.68)</f>
        <v>25.68</v>
      </c>
      <c r="E362" s="1">
        <f>IFERROR(__xludf.DUMMYFUNCTION("""COMPUTED_VALUE"""),25.78)</f>
        <v>25.78</v>
      </c>
      <c r="F362" s="1">
        <f>IFERROR(__xludf.DUMMYFUNCTION("""COMPUTED_VALUE"""),615145.0)</f>
        <v>615145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IFERROR(__xludf.DUMMYFUNCTION("""COMPUTED_VALUE"""),25.85)</f>
        <v>25.85</v>
      </c>
      <c r="C363" s="1">
        <f>IFERROR(__xludf.DUMMYFUNCTION("""COMPUTED_VALUE"""),26.08)</f>
        <v>26.08</v>
      </c>
      <c r="D363" s="1">
        <f>IFERROR(__xludf.DUMMYFUNCTION("""COMPUTED_VALUE"""),25.61)</f>
        <v>25.61</v>
      </c>
      <c r="E363" s="1">
        <f>IFERROR(__xludf.DUMMYFUNCTION("""COMPUTED_VALUE"""),26.0)</f>
        <v>26</v>
      </c>
      <c r="F363" s="1">
        <f>IFERROR(__xludf.DUMMYFUNCTION("""COMPUTED_VALUE"""),251743.0)</f>
        <v>251743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IFERROR(__xludf.DUMMYFUNCTION("""COMPUTED_VALUE"""),25.95)</f>
        <v>25.95</v>
      </c>
      <c r="C364" s="1">
        <f>IFERROR(__xludf.DUMMYFUNCTION("""COMPUTED_VALUE"""),25.97)</f>
        <v>25.97</v>
      </c>
      <c r="D364" s="1">
        <f>IFERROR(__xludf.DUMMYFUNCTION("""COMPUTED_VALUE"""),25.64)</f>
        <v>25.64</v>
      </c>
      <c r="E364" s="1">
        <f>IFERROR(__xludf.DUMMYFUNCTION("""COMPUTED_VALUE"""),25.7)</f>
        <v>25.7</v>
      </c>
      <c r="F364" s="1">
        <f>IFERROR(__xludf.DUMMYFUNCTION("""COMPUTED_VALUE"""),270266.0)</f>
        <v>270266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IFERROR(__xludf.DUMMYFUNCTION("""COMPUTED_VALUE"""),25.6)</f>
        <v>25.6</v>
      </c>
      <c r="C365" s="1">
        <f>IFERROR(__xludf.DUMMYFUNCTION("""COMPUTED_VALUE"""),25.72)</f>
        <v>25.72</v>
      </c>
      <c r="D365" s="1">
        <f>IFERROR(__xludf.DUMMYFUNCTION("""COMPUTED_VALUE"""),25.16)</f>
        <v>25.16</v>
      </c>
      <c r="E365" s="1">
        <f>IFERROR(__xludf.DUMMYFUNCTION("""COMPUTED_VALUE"""),25.31)</f>
        <v>25.31</v>
      </c>
      <c r="F365" s="1">
        <f>IFERROR(__xludf.DUMMYFUNCTION("""COMPUTED_VALUE"""),462447.0)</f>
        <v>462447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IFERROR(__xludf.DUMMYFUNCTION("""COMPUTED_VALUE"""),25.49)</f>
        <v>25.49</v>
      </c>
      <c r="C366" s="1">
        <f>IFERROR(__xludf.DUMMYFUNCTION("""COMPUTED_VALUE"""),25.72)</f>
        <v>25.72</v>
      </c>
      <c r="D366" s="1">
        <f>IFERROR(__xludf.DUMMYFUNCTION("""COMPUTED_VALUE"""),25.19)</f>
        <v>25.19</v>
      </c>
      <c r="E366" s="1">
        <f>IFERROR(__xludf.DUMMYFUNCTION("""COMPUTED_VALUE"""),25.56)</f>
        <v>25.56</v>
      </c>
      <c r="F366" s="1">
        <f>IFERROR(__xludf.DUMMYFUNCTION("""COMPUTED_VALUE"""),313705.0)</f>
        <v>313705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IFERROR(__xludf.DUMMYFUNCTION("""COMPUTED_VALUE"""),25.42)</f>
        <v>25.42</v>
      </c>
      <c r="C367" s="1">
        <f>IFERROR(__xludf.DUMMYFUNCTION("""COMPUTED_VALUE"""),25.46)</f>
        <v>25.46</v>
      </c>
      <c r="D367" s="1">
        <f>IFERROR(__xludf.DUMMYFUNCTION("""COMPUTED_VALUE"""),24.93)</f>
        <v>24.93</v>
      </c>
      <c r="E367" s="1">
        <f>IFERROR(__xludf.DUMMYFUNCTION("""COMPUTED_VALUE"""),25.27)</f>
        <v>25.27</v>
      </c>
      <c r="F367" s="1">
        <f>IFERROR(__xludf.DUMMYFUNCTION("""COMPUTED_VALUE"""),410396.0)</f>
        <v>410396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IFERROR(__xludf.DUMMYFUNCTION("""COMPUTED_VALUE"""),25.15)</f>
        <v>25.15</v>
      </c>
      <c r="C368" s="1">
        <f>IFERROR(__xludf.DUMMYFUNCTION("""COMPUTED_VALUE"""),25.6)</f>
        <v>25.6</v>
      </c>
      <c r="D368" s="1">
        <f>IFERROR(__xludf.DUMMYFUNCTION("""COMPUTED_VALUE"""),25.15)</f>
        <v>25.15</v>
      </c>
      <c r="E368" s="1">
        <f>IFERROR(__xludf.DUMMYFUNCTION("""COMPUTED_VALUE"""),25.53)</f>
        <v>25.53</v>
      </c>
      <c r="F368" s="1">
        <f>IFERROR(__xludf.DUMMYFUNCTION("""COMPUTED_VALUE"""),489073.0)</f>
        <v>489073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IFERROR(__xludf.DUMMYFUNCTION("""COMPUTED_VALUE"""),25.68)</f>
        <v>25.68</v>
      </c>
      <c r="C369" s="1">
        <f>IFERROR(__xludf.DUMMYFUNCTION("""COMPUTED_VALUE"""),25.79)</f>
        <v>25.79</v>
      </c>
      <c r="D369" s="1">
        <f>IFERROR(__xludf.DUMMYFUNCTION("""COMPUTED_VALUE"""),25.06)</f>
        <v>25.06</v>
      </c>
      <c r="E369" s="1">
        <f>IFERROR(__xludf.DUMMYFUNCTION("""COMPUTED_VALUE"""),25.14)</f>
        <v>25.14</v>
      </c>
      <c r="F369" s="1">
        <f>IFERROR(__xludf.DUMMYFUNCTION("""COMPUTED_VALUE"""),542990.0)</f>
        <v>542990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IFERROR(__xludf.DUMMYFUNCTION("""COMPUTED_VALUE"""),24.88)</f>
        <v>24.88</v>
      </c>
      <c r="C370" s="1">
        <f>IFERROR(__xludf.DUMMYFUNCTION("""COMPUTED_VALUE"""),25.76)</f>
        <v>25.76</v>
      </c>
      <c r="D370" s="1">
        <f>IFERROR(__xludf.DUMMYFUNCTION("""COMPUTED_VALUE"""),24.88)</f>
        <v>24.88</v>
      </c>
      <c r="E370" s="1">
        <f>IFERROR(__xludf.DUMMYFUNCTION("""COMPUTED_VALUE"""),25.62)</f>
        <v>25.62</v>
      </c>
      <c r="F370" s="1">
        <f>IFERROR(__xludf.DUMMYFUNCTION("""COMPUTED_VALUE"""),316307.0)</f>
        <v>316307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IFERROR(__xludf.DUMMYFUNCTION("""COMPUTED_VALUE"""),25.78)</f>
        <v>25.78</v>
      </c>
      <c r="C371" s="1">
        <f>IFERROR(__xludf.DUMMYFUNCTION("""COMPUTED_VALUE"""),26.42)</f>
        <v>26.42</v>
      </c>
      <c r="D371" s="1">
        <f>IFERROR(__xludf.DUMMYFUNCTION("""COMPUTED_VALUE"""),25.77)</f>
        <v>25.77</v>
      </c>
      <c r="E371" s="1">
        <f>IFERROR(__xludf.DUMMYFUNCTION("""COMPUTED_VALUE"""),26.34)</f>
        <v>26.34</v>
      </c>
      <c r="F371" s="1">
        <f>IFERROR(__xludf.DUMMYFUNCTION("""COMPUTED_VALUE"""),382701.0)</f>
        <v>382701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IFERROR(__xludf.DUMMYFUNCTION("""COMPUTED_VALUE"""),26.16)</f>
        <v>26.16</v>
      </c>
      <c r="C372" s="1">
        <f>IFERROR(__xludf.DUMMYFUNCTION("""COMPUTED_VALUE"""),26.39)</f>
        <v>26.39</v>
      </c>
      <c r="D372" s="1">
        <f>IFERROR(__xludf.DUMMYFUNCTION("""COMPUTED_VALUE"""),26.01)</f>
        <v>26.01</v>
      </c>
      <c r="E372" s="1">
        <f>IFERROR(__xludf.DUMMYFUNCTION("""COMPUTED_VALUE"""),26.07)</f>
        <v>26.07</v>
      </c>
      <c r="F372" s="1">
        <f>IFERROR(__xludf.DUMMYFUNCTION("""COMPUTED_VALUE"""),281244.0)</f>
        <v>281244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IFERROR(__xludf.DUMMYFUNCTION("""COMPUTED_VALUE"""),25.82)</f>
        <v>25.82</v>
      </c>
      <c r="C373" s="1">
        <f>IFERROR(__xludf.DUMMYFUNCTION("""COMPUTED_VALUE"""),25.99)</f>
        <v>25.99</v>
      </c>
      <c r="D373" s="1">
        <f>IFERROR(__xludf.DUMMYFUNCTION("""COMPUTED_VALUE"""),25.38)</f>
        <v>25.38</v>
      </c>
      <c r="E373" s="1">
        <f>IFERROR(__xludf.DUMMYFUNCTION("""COMPUTED_VALUE"""),25.96)</f>
        <v>25.96</v>
      </c>
      <c r="F373" s="1">
        <f>IFERROR(__xludf.DUMMYFUNCTION("""COMPUTED_VALUE"""),225163.0)</f>
        <v>225163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IFERROR(__xludf.DUMMYFUNCTION("""COMPUTED_VALUE"""),25.96)</f>
        <v>25.96</v>
      </c>
      <c r="C374" s="1">
        <f>IFERROR(__xludf.DUMMYFUNCTION("""COMPUTED_VALUE"""),26.12)</f>
        <v>26.12</v>
      </c>
      <c r="D374" s="1">
        <f>IFERROR(__xludf.DUMMYFUNCTION("""COMPUTED_VALUE"""),25.5)</f>
        <v>25.5</v>
      </c>
      <c r="E374" s="1">
        <f>IFERROR(__xludf.DUMMYFUNCTION("""COMPUTED_VALUE"""),25.62)</f>
        <v>25.62</v>
      </c>
      <c r="F374" s="1">
        <f>IFERROR(__xludf.DUMMYFUNCTION("""COMPUTED_VALUE"""),168004.0)</f>
        <v>168004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IFERROR(__xludf.DUMMYFUNCTION("""COMPUTED_VALUE"""),25.49)</f>
        <v>25.49</v>
      </c>
      <c r="C375" s="1">
        <f>IFERROR(__xludf.DUMMYFUNCTION("""COMPUTED_VALUE"""),26.11)</f>
        <v>26.11</v>
      </c>
      <c r="D375" s="1">
        <f>IFERROR(__xludf.DUMMYFUNCTION("""COMPUTED_VALUE"""),25.41)</f>
        <v>25.41</v>
      </c>
      <c r="E375" s="1">
        <f>IFERROR(__xludf.DUMMYFUNCTION("""COMPUTED_VALUE"""),25.97)</f>
        <v>25.97</v>
      </c>
      <c r="F375" s="1">
        <f>IFERROR(__xludf.DUMMYFUNCTION("""COMPUTED_VALUE"""),245596.0)</f>
        <v>245596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IFERROR(__xludf.DUMMYFUNCTION("""COMPUTED_VALUE"""),26.06)</f>
        <v>26.06</v>
      </c>
      <c r="C376" s="1">
        <f>IFERROR(__xludf.DUMMYFUNCTION("""COMPUTED_VALUE"""),26.25)</f>
        <v>26.25</v>
      </c>
      <c r="D376" s="1">
        <f>IFERROR(__xludf.DUMMYFUNCTION("""COMPUTED_VALUE"""),25.98)</f>
        <v>25.98</v>
      </c>
      <c r="E376" s="1">
        <f>IFERROR(__xludf.DUMMYFUNCTION("""COMPUTED_VALUE"""),26.06)</f>
        <v>26.06</v>
      </c>
      <c r="F376" s="1">
        <f>IFERROR(__xludf.DUMMYFUNCTION("""COMPUTED_VALUE"""),141955.0)</f>
        <v>141955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IFERROR(__xludf.DUMMYFUNCTION("""COMPUTED_VALUE"""),26.33)</f>
        <v>26.33</v>
      </c>
      <c r="C377" s="1">
        <f>IFERROR(__xludf.DUMMYFUNCTION("""COMPUTED_VALUE"""),26.81)</f>
        <v>26.81</v>
      </c>
      <c r="D377" s="1">
        <f>IFERROR(__xludf.DUMMYFUNCTION("""COMPUTED_VALUE"""),26.12)</f>
        <v>26.12</v>
      </c>
      <c r="E377" s="1">
        <f>IFERROR(__xludf.DUMMYFUNCTION("""COMPUTED_VALUE"""),26.67)</f>
        <v>26.67</v>
      </c>
      <c r="F377" s="1">
        <f>IFERROR(__xludf.DUMMYFUNCTION("""COMPUTED_VALUE"""),230340.0)</f>
        <v>230340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IFERROR(__xludf.DUMMYFUNCTION("""COMPUTED_VALUE"""),26.78)</f>
        <v>26.78</v>
      </c>
      <c r="C378" s="1">
        <f>IFERROR(__xludf.DUMMYFUNCTION("""COMPUTED_VALUE"""),27.53)</f>
        <v>27.53</v>
      </c>
      <c r="D378" s="1">
        <f>IFERROR(__xludf.DUMMYFUNCTION("""COMPUTED_VALUE"""),26.78)</f>
        <v>26.78</v>
      </c>
      <c r="E378" s="1">
        <f>IFERROR(__xludf.DUMMYFUNCTION("""COMPUTED_VALUE"""),27.49)</f>
        <v>27.49</v>
      </c>
      <c r="F378" s="1">
        <f>IFERROR(__xludf.DUMMYFUNCTION("""COMPUTED_VALUE"""),260690.0)</f>
        <v>260690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IFERROR(__xludf.DUMMYFUNCTION("""COMPUTED_VALUE"""),27.43)</f>
        <v>27.43</v>
      </c>
      <c r="C379" s="1">
        <f>IFERROR(__xludf.DUMMYFUNCTION("""COMPUTED_VALUE"""),27.71)</f>
        <v>27.71</v>
      </c>
      <c r="D379" s="1">
        <f>IFERROR(__xludf.DUMMYFUNCTION("""COMPUTED_VALUE"""),27.35)</f>
        <v>27.35</v>
      </c>
      <c r="E379" s="1">
        <f>IFERROR(__xludf.DUMMYFUNCTION("""COMPUTED_VALUE"""),27.49)</f>
        <v>27.49</v>
      </c>
      <c r="F379" s="1">
        <f>IFERROR(__xludf.DUMMYFUNCTION("""COMPUTED_VALUE"""),266831.0)</f>
        <v>266831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IFERROR(__xludf.DUMMYFUNCTION("""COMPUTED_VALUE"""),27.53)</f>
        <v>27.53</v>
      </c>
      <c r="C380" s="1">
        <f>IFERROR(__xludf.DUMMYFUNCTION("""COMPUTED_VALUE"""),27.59)</f>
        <v>27.59</v>
      </c>
      <c r="D380" s="1">
        <f>IFERROR(__xludf.DUMMYFUNCTION("""COMPUTED_VALUE"""),27.08)</f>
        <v>27.08</v>
      </c>
      <c r="E380" s="1">
        <f>IFERROR(__xludf.DUMMYFUNCTION("""COMPUTED_VALUE"""),27.3)</f>
        <v>27.3</v>
      </c>
      <c r="F380" s="1">
        <f>IFERROR(__xludf.DUMMYFUNCTION("""COMPUTED_VALUE"""),188987.0)</f>
        <v>188987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IFERROR(__xludf.DUMMYFUNCTION("""COMPUTED_VALUE"""),27.22)</f>
        <v>27.22</v>
      </c>
      <c r="C381" s="1">
        <f>IFERROR(__xludf.DUMMYFUNCTION("""COMPUTED_VALUE"""),27.47)</f>
        <v>27.47</v>
      </c>
      <c r="D381" s="1">
        <f>IFERROR(__xludf.DUMMYFUNCTION("""COMPUTED_VALUE"""),26.96)</f>
        <v>26.96</v>
      </c>
      <c r="E381" s="1">
        <f>IFERROR(__xludf.DUMMYFUNCTION("""COMPUTED_VALUE"""),27.42)</f>
        <v>27.42</v>
      </c>
      <c r="F381" s="1">
        <f>IFERROR(__xludf.DUMMYFUNCTION("""COMPUTED_VALUE"""),176922.0)</f>
        <v>176922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IFERROR(__xludf.DUMMYFUNCTION("""COMPUTED_VALUE"""),27.57)</f>
        <v>27.57</v>
      </c>
      <c r="C382" s="1">
        <f>IFERROR(__xludf.DUMMYFUNCTION("""COMPUTED_VALUE"""),28.6)</f>
        <v>28.6</v>
      </c>
      <c r="D382" s="1">
        <f>IFERROR(__xludf.DUMMYFUNCTION("""COMPUTED_VALUE"""),27.47)</f>
        <v>27.47</v>
      </c>
      <c r="E382" s="1">
        <f>IFERROR(__xludf.DUMMYFUNCTION("""COMPUTED_VALUE"""),28.32)</f>
        <v>28.32</v>
      </c>
      <c r="F382" s="1">
        <f>IFERROR(__xludf.DUMMYFUNCTION("""COMPUTED_VALUE"""),414250.0)</f>
        <v>414250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IFERROR(__xludf.DUMMYFUNCTION("""COMPUTED_VALUE"""),28.02)</f>
        <v>28.02</v>
      </c>
      <c r="C383" s="1">
        <f>IFERROR(__xludf.DUMMYFUNCTION("""COMPUTED_VALUE"""),28.31)</f>
        <v>28.31</v>
      </c>
      <c r="D383" s="1">
        <f>IFERROR(__xludf.DUMMYFUNCTION("""COMPUTED_VALUE"""),27.87)</f>
        <v>27.87</v>
      </c>
      <c r="E383" s="1">
        <f>IFERROR(__xludf.DUMMYFUNCTION("""COMPUTED_VALUE"""),28.28)</f>
        <v>28.28</v>
      </c>
      <c r="F383" s="1">
        <f>IFERROR(__xludf.DUMMYFUNCTION("""COMPUTED_VALUE"""),165570.0)</f>
        <v>165570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IFERROR(__xludf.DUMMYFUNCTION("""COMPUTED_VALUE"""),27.99)</f>
        <v>27.99</v>
      </c>
      <c r="C384" s="1">
        <f>IFERROR(__xludf.DUMMYFUNCTION("""COMPUTED_VALUE"""),28.08)</f>
        <v>28.08</v>
      </c>
      <c r="D384" s="1">
        <f>IFERROR(__xludf.DUMMYFUNCTION("""COMPUTED_VALUE"""),27.49)</f>
        <v>27.49</v>
      </c>
      <c r="E384" s="1">
        <f>IFERROR(__xludf.DUMMYFUNCTION("""COMPUTED_VALUE"""),27.62)</f>
        <v>27.62</v>
      </c>
      <c r="F384" s="1">
        <f>IFERROR(__xludf.DUMMYFUNCTION("""COMPUTED_VALUE"""),175517.0)</f>
        <v>175517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IFERROR(__xludf.DUMMYFUNCTION("""COMPUTED_VALUE"""),27.55)</f>
        <v>27.55</v>
      </c>
      <c r="C385" s="1">
        <f>IFERROR(__xludf.DUMMYFUNCTION("""COMPUTED_VALUE"""),27.82)</f>
        <v>27.82</v>
      </c>
      <c r="D385" s="1">
        <f>IFERROR(__xludf.DUMMYFUNCTION("""COMPUTED_VALUE"""),27.47)</f>
        <v>27.47</v>
      </c>
      <c r="E385" s="1">
        <f>IFERROR(__xludf.DUMMYFUNCTION("""COMPUTED_VALUE"""),27.59)</f>
        <v>27.59</v>
      </c>
      <c r="F385" s="1">
        <f>IFERROR(__xludf.DUMMYFUNCTION("""COMPUTED_VALUE"""),149120.0)</f>
        <v>149120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IFERROR(__xludf.DUMMYFUNCTION("""COMPUTED_VALUE"""),27.76)</f>
        <v>27.76</v>
      </c>
      <c r="C386" s="1">
        <f>IFERROR(__xludf.DUMMYFUNCTION("""COMPUTED_VALUE"""),28.61)</f>
        <v>28.61</v>
      </c>
      <c r="D386" s="1">
        <f>IFERROR(__xludf.DUMMYFUNCTION("""COMPUTED_VALUE"""),27.71)</f>
        <v>27.71</v>
      </c>
      <c r="E386" s="1">
        <f>IFERROR(__xludf.DUMMYFUNCTION("""COMPUTED_VALUE"""),28.3)</f>
        <v>28.3</v>
      </c>
      <c r="F386" s="1">
        <f>IFERROR(__xludf.DUMMYFUNCTION("""COMPUTED_VALUE"""),384171.0)</f>
        <v>384171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IFERROR(__xludf.DUMMYFUNCTION("""COMPUTED_VALUE"""),28.38)</f>
        <v>28.38</v>
      </c>
      <c r="C387" s="1">
        <f>IFERROR(__xludf.DUMMYFUNCTION("""COMPUTED_VALUE"""),28.69)</f>
        <v>28.69</v>
      </c>
      <c r="D387" s="1">
        <f>IFERROR(__xludf.DUMMYFUNCTION("""COMPUTED_VALUE"""),28.33)</f>
        <v>28.33</v>
      </c>
      <c r="E387" s="1">
        <f>IFERROR(__xludf.DUMMYFUNCTION("""COMPUTED_VALUE"""),28.44)</f>
        <v>28.44</v>
      </c>
      <c r="F387" s="1">
        <f>IFERROR(__xludf.DUMMYFUNCTION("""COMPUTED_VALUE"""),341723.0)</f>
        <v>341723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IFERROR(__xludf.DUMMYFUNCTION("""COMPUTED_VALUE"""),28.57)</f>
        <v>28.57</v>
      </c>
      <c r="C388" s="1">
        <f>IFERROR(__xludf.DUMMYFUNCTION("""COMPUTED_VALUE"""),28.61)</f>
        <v>28.61</v>
      </c>
      <c r="D388" s="1">
        <f>IFERROR(__xludf.DUMMYFUNCTION("""COMPUTED_VALUE"""),28.23)</f>
        <v>28.23</v>
      </c>
      <c r="E388" s="1">
        <f>IFERROR(__xludf.DUMMYFUNCTION("""COMPUTED_VALUE"""),28.45)</f>
        <v>28.45</v>
      </c>
      <c r="F388" s="1">
        <f>IFERROR(__xludf.DUMMYFUNCTION("""COMPUTED_VALUE"""),308614.0)</f>
        <v>308614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IFERROR(__xludf.DUMMYFUNCTION("""COMPUTED_VALUE"""),28.36)</f>
        <v>28.36</v>
      </c>
      <c r="C389" s="1">
        <f>IFERROR(__xludf.DUMMYFUNCTION("""COMPUTED_VALUE"""),28.4)</f>
        <v>28.4</v>
      </c>
      <c r="D389" s="1">
        <f>IFERROR(__xludf.DUMMYFUNCTION("""COMPUTED_VALUE"""),27.71)</f>
        <v>27.71</v>
      </c>
      <c r="E389" s="1">
        <f>IFERROR(__xludf.DUMMYFUNCTION("""COMPUTED_VALUE"""),27.78)</f>
        <v>27.78</v>
      </c>
      <c r="F389" s="1">
        <f>IFERROR(__xludf.DUMMYFUNCTION("""COMPUTED_VALUE"""),263716.0)</f>
        <v>263716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IFERROR(__xludf.DUMMYFUNCTION("""COMPUTED_VALUE"""),27.85)</f>
        <v>27.85</v>
      </c>
      <c r="C390" s="1">
        <f>IFERROR(__xludf.DUMMYFUNCTION("""COMPUTED_VALUE"""),28.18)</f>
        <v>28.18</v>
      </c>
      <c r="D390" s="1">
        <f>IFERROR(__xludf.DUMMYFUNCTION("""COMPUTED_VALUE"""),27.14)</f>
        <v>27.14</v>
      </c>
      <c r="E390" s="1">
        <f>IFERROR(__xludf.DUMMYFUNCTION("""COMPUTED_VALUE"""),27.35)</f>
        <v>27.35</v>
      </c>
      <c r="F390" s="1">
        <f>IFERROR(__xludf.DUMMYFUNCTION("""COMPUTED_VALUE"""),334111.0)</f>
        <v>334111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IFERROR(__xludf.DUMMYFUNCTION("""COMPUTED_VALUE"""),27.4)</f>
        <v>27.4</v>
      </c>
      <c r="C391" s="1">
        <f>IFERROR(__xludf.DUMMYFUNCTION("""COMPUTED_VALUE"""),27.91)</f>
        <v>27.91</v>
      </c>
      <c r="D391" s="1">
        <f>IFERROR(__xludf.DUMMYFUNCTION("""COMPUTED_VALUE"""),27.22)</f>
        <v>27.22</v>
      </c>
      <c r="E391" s="1">
        <f>IFERROR(__xludf.DUMMYFUNCTION("""COMPUTED_VALUE"""),27.86)</f>
        <v>27.86</v>
      </c>
      <c r="F391" s="1">
        <f>IFERROR(__xludf.DUMMYFUNCTION("""COMPUTED_VALUE"""),160398.0)</f>
        <v>160398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IFERROR(__xludf.DUMMYFUNCTION("""COMPUTED_VALUE"""),28.05)</f>
        <v>28.05</v>
      </c>
      <c r="C392" s="1">
        <f>IFERROR(__xludf.DUMMYFUNCTION("""COMPUTED_VALUE"""),28.15)</f>
        <v>28.15</v>
      </c>
      <c r="D392" s="1">
        <f>IFERROR(__xludf.DUMMYFUNCTION("""COMPUTED_VALUE"""),27.76)</f>
        <v>27.76</v>
      </c>
      <c r="E392" s="1">
        <f>IFERROR(__xludf.DUMMYFUNCTION("""COMPUTED_VALUE"""),28.03)</f>
        <v>28.03</v>
      </c>
      <c r="F392" s="1">
        <f>IFERROR(__xludf.DUMMYFUNCTION("""COMPUTED_VALUE"""),128248.0)</f>
        <v>128248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IFERROR(__xludf.DUMMYFUNCTION("""COMPUTED_VALUE"""),28.0)</f>
        <v>28</v>
      </c>
      <c r="C393" s="1">
        <f>IFERROR(__xludf.DUMMYFUNCTION("""COMPUTED_VALUE"""),28.05)</f>
        <v>28.05</v>
      </c>
      <c r="D393" s="1">
        <f>IFERROR(__xludf.DUMMYFUNCTION("""COMPUTED_VALUE"""),27.0)</f>
        <v>27</v>
      </c>
      <c r="E393" s="1">
        <f>IFERROR(__xludf.DUMMYFUNCTION("""COMPUTED_VALUE"""),27.82)</f>
        <v>27.82</v>
      </c>
      <c r="F393" s="1">
        <f>IFERROR(__xludf.DUMMYFUNCTION("""COMPUTED_VALUE"""),177305.0)</f>
        <v>177305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IFERROR(__xludf.DUMMYFUNCTION("""COMPUTED_VALUE"""),27.88)</f>
        <v>27.88</v>
      </c>
      <c r="C394" s="1">
        <f>IFERROR(__xludf.DUMMYFUNCTION("""COMPUTED_VALUE"""),29.63)</f>
        <v>29.63</v>
      </c>
      <c r="D394" s="1">
        <f>IFERROR(__xludf.DUMMYFUNCTION("""COMPUTED_VALUE"""),27.74)</f>
        <v>27.74</v>
      </c>
      <c r="E394" s="1">
        <f>IFERROR(__xludf.DUMMYFUNCTION("""COMPUTED_VALUE"""),28.79)</f>
        <v>28.79</v>
      </c>
      <c r="F394" s="1">
        <f>IFERROR(__xludf.DUMMYFUNCTION("""COMPUTED_VALUE"""),850553.0)</f>
        <v>850553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IFERROR(__xludf.DUMMYFUNCTION("""COMPUTED_VALUE"""),28.74)</f>
        <v>28.74</v>
      </c>
      <c r="C395" s="1">
        <f>IFERROR(__xludf.DUMMYFUNCTION("""COMPUTED_VALUE"""),28.76)</f>
        <v>28.76</v>
      </c>
      <c r="D395" s="1">
        <f>IFERROR(__xludf.DUMMYFUNCTION("""COMPUTED_VALUE"""),27.9)</f>
        <v>27.9</v>
      </c>
      <c r="E395" s="1">
        <f>IFERROR(__xludf.DUMMYFUNCTION("""COMPUTED_VALUE"""),28.17)</f>
        <v>28.17</v>
      </c>
      <c r="F395" s="1">
        <f>IFERROR(__xludf.DUMMYFUNCTION("""COMPUTED_VALUE"""),223956.0)</f>
        <v>223956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IFERROR(__xludf.DUMMYFUNCTION("""COMPUTED_VALUE"""),28.1)</f>
        <v>28.1</v>
      </c>
      <c r="C396" s="1">
        <f>IFERROR(__xludf.DUMMYFUNCTION("""COMPUTED_VALUE"""),28.1)</f>
        <v>28.1</v>
      </c>
      <c r="D396" s="1">
        <f>IFERROR(__xludf.DUMMYFUNCTION("""COMPUTED_VALUE"""),27.34)</f>
        <v>27.34</v>
      </c>
      <c r="E396" s="1">
        <f>IFERROR(__xludf.DUMMYFUNCTION("""COMPUTED_VALUE"""),28.02)</f>
        <v>28.02</v>
      </c>
      <c r="F396" s="1">
        <f>IFERROR(__xludf.DUMMYFUNCTION("""COMPUTED_VALUE"""),309277.0)</f>
        <v>309277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IFERROR(__xludf.DUMMYFUNCTION("""COMPUTED_VALUE"""),27.98)</f>
        <v>27.98</v>
      </c>
      <c r="C397" s="1">
        <f>IFERROR(__xludf.DUMMYFUNCTION("""COMPUTED_VALUE"""),28.1)</f>
        <v>28.1</v>
      </c>
      <c r="D397" s="1">
        <f>IFERROR(__xludf.DUMMYFUNCTION("""COMPUTED_VALUE"""),27.25)</f>
        <v>27.25</v>
      </c>
      <c r="E397" s="1">
        <f>IFERROR(__xludf.DUMMYFUNCTION("""COMPUTED_VALUE"""),27.33)</f>
        <v>27.33</v>
      </c>
      <c r="F397" s="1">
        <f>IFERROR(__xludf.DUMMYFUNCTION("""COMPUTED_VALUE"""),202611.0)</f>
        <v>202611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IFERROR(__xludf.DUMMYFUNCTION("""COMPUTED_VALUE"""),27.11)</f>
        <v>27.11</v>
      </c>
      <c r="C398" s="1">
        <f>IFERROR(__xludf.DUMMYFUNCTION("""COMPUTED_VALUE"""),27.68)</f>
        <v>27.68</v>
      </c>
      <c r="D398" s="1">
        <f>IFERROR(__xludf.DUMMYFUNCTION("""COMPUTED_VALUE"""),26.82)</f>
        <v>26.82</v>
      </c>
      <c r="E398" s="1">
        <f>IFERROR(__xludf.DUMMYFUNCTION("""COMPUTED_VALUE"""),27.39)</f>
        <v>27.39</v>
      </c>
      <c r="F398" s="1">
        <f>IFERROR(__xludf.DUMMYFUNCTION("""COMPUTED_VALUE"""),206788.0)</f>
        <v>206788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IFERROR(__xludf.DUMMYFUNCTION("""COMPUTED_VALUE"""),27.64)</f>
        <v>27.64</v>
      </c>
      <c r="C399" s="1">
        <f>IFERROR(__xludf.DUMMYFUNCTION("""COMPUTED_VALUE"""),27.66)</f>
        <v>27.66</v>
      </c>
      <c r="D399" s="1">
        <f>IFERROR(__xludf.DUMMYFUNCTION("""COMPUTED_VALUE"""),27.01)</f>
        <v>27.01</v>
      </c>
      <c r="E399" s="1">
        <f>IFERROR(__xludf.DUMMYFUNCTION("""COMPUTED_VALUE"""),27.37)</f>
        <v>27.37</v>
      </c>
      <c r="F399" s="1">
        <f>IFERROR(__xludf.DUMMYFUNCTION("""COMPUTED_VALUE"""),379507.0)</f>
        <v>379507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IFERROR(__xludf.DUMMYFUNCTION("""COMPUTED_VALUE"""),27.39)</f>
        <v>27.39</v>
      </c>
      <c r="C400" s="1">
        <f>IFERROR(__xludf.DUMMYFUNCTION("""COMPUTED_VALUE"""),28.56)</f>
        <v>28.56</v>
      </c>
      <c r="D400" s="1">
        <f>IFERROR(__xludf.DUMMYFUNCTION("""COMPUTED_VALUE"""),27.22)</f>
        <v>27.22</v>
      </c>
      <c r="E400" s="1">
        <f>IFERROR(__xludf.DUMMYFUNCTION("""COMPUTED_VALUE"""),27.3)</f>
        <v>27.3</v>
      </c>
      <c r="F400" s="1">
        <f>IFERROR(__xludf.DUMMYFUNCTION("""COMPUTED_VALUE"""),543163.0)</f>
        <v>543163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IFERROR(__xludf.DUMMYFUNCTION("""COMPUTED_VALUE"""),27.31)</f>
        <v>27.31</v>
      </c>
      <c r="C401" s="1">
        <f>IFERROR(__xludf.DUMMYFUNCTION("""COMPUTED_VALUE"""),27.39)</f>
        <v>27.39</v>
      </c>
      <c r="D401" s="1">
        <f>IFERROR(__xludf.DUMMYFUNCTION("""COMPUTED_VALUE"""),26.65)</f>
        <v>26.65</v>
      </c>
      <c r="E401" s="1">
        <f>IFERROR(__xludf.DUMMYFUNCTION("""COMPUTED_VALUE"""),27.37)</f>
        <v>27.37</v>
      </c>
      <c r="F401" s="1">
        <f>IFERROR(__xludf.DUMMYFUNCTION("""COMPUTED_VALUE"""),216700.0)</f>
        <v>216700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IFERROR(__xludf.DUMMYFUNCTION("""COMPUTED_VALUE"""),27.08)</f>
        <v>27.08</v>
      </c>
      <c r="C402" s="1">
        <f>IFERROR(__xludf.DUMMYFUNCTION("""COMPUTED_VALUE"""),27.08)</f>
        <v>27.08</v>
      </c>
      <c r="D402" s="1">
        <f>IFERROR(__xludf.DUMMYFUNCTION("""COMPUTED_VALUE"""),25.58)</f>
        <v>25.58</v>
      </c>
      <c r="E402" s="1">
        <f>IFERROR(__xludf.DUMMYFUNCTION("""COMPUTED_VALUE"""),25.8)</f>
        <v>25.8</v>
      </c>
      <c r="F402" s="1">
        <f>IFERROR(__xludf.DUMMYFUNCTION("""COMPUTED_VALUE"""),611998.0)</f>
        <v>611998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IFERROR(__xludf.DUMMYFUNCTION("""COMPUTED_VALUE"""),22.47)</f>
        <v>22.47</v>
      </c>
      <c r="C403" s="1">
        <f>IFERROR(__xludf.DUMMYFUNCTION("""COMPUTED_VALUE"""),25.29)</f>
        <v>25.29</v>
      </c>
      <c r="D403" s="1">
        <f>IFERROR(__xludf.DUMMYFUNCTION("""COMPUTED_VALUE"""),22.17)</f>
        <v>22.17</v>
      </c>
      <c r="E403" s="1">
        <f>IFERROR(__xludf.DUMMYFUNCTION("""COMPUTED_VALUE"""),23.9)</f>
        <v>23.9</v>
      </c>
      <c r="F403" s="1">
        <f>IFERROR(__xludf.DUMMYFUNCTION("""COMPUTED_VALUE"""),1693292.0)</f>
        <v>1693292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IFERROR(__xludf.DUMMYFUNCTION("""COMPUTED_VALUE"""),23.42)</f>
        <v>23.42</v>
      </c>
      <c r="C404" s="1">
        <f>IFERROR(__xludf.DUMMYFUNCTION("""COMPUTED_VALUE"""),23.66)</f>
        <v>23.66</v>
      </c>
      <c r="D404" s="1">
        <f>IFERROR(__xludf.DUMMYFUNCTION("""COMPUTED_VALUE"""),21.54)</f>
        <v>21.54</v>
      </c>
      <c r="E404" s="1">
        <f>IFERROR(__xludf.DUMMYFUNCTION("""COMPUTED_VALUE"""),21.62)</f>
        <v>21.62</v>
      </c>
      <c r="F404" s="1">
        <f>IFERROR(__xludf.DUMMYFUNCTION("""COMPUTED_VALUE"""),1130884.0)</f>
        <v>1130884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IFERROR(__xludf.DUMMYFUNCTION("""COMPUTED_VALUE"""),21.54)</f>
        <v>21.54</v>
      </c>
      <c r="C405" s="1">
        <f>IFERROR(__xludf.DUMMYFUNCTION("""COMPUTED_VALUE"""),22.93)</f>
        <v>22.93</v>
      </c>
      <c r="D405" s="1">
        <f>IFERROR(__xludf.DUMMYFUNCTION("""COMPUTED_VALUE"""),21.16)</f>
        <v>21.16</v>
      </c>
      <c r="E405" s="1">
        <f>IFERROR(__xludf.DUMMYFUNCTION("""COMPUTED_VALUE"""),22.89)</f>
        <v>22.89</v>
      </c>
      <c r="F405" s="1">
        <f>IFERROR(__xludf.DUMMYFUNCTION("""COMPUTED_VALUE"""),653047.0)</f>
        <v>653047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IFERROR(__xludf.DUMMYFUNCTION("""COMPUTED_VALUE"""),22.88)</f>
        <v>22.88</v>
      </c>
      <c r="C406" s="1">
        <f>IFERROR(__xludf.DUMMYFUNCTION("""COMPUTED_VALUE"""),23.2)</f>
        <v>23.2</v>
      </c>
      <c r="D406" s="1">
        <f>IFERROR(__xludf.DUMMYFUNCTION("""COMPUTED_VALUE"""),22.39)</f>
        <v>22.39</v>
      </c>
      <c r="E406" s="1">
        <f>IFERROR(__xludf.DUMMYFUNCTION("""COMPUTED_VALUE"""),22.43)</f>
        <v>22.43</v>
      </c>
      <c r="F406" s="1">
        <f>IFERROR(__xludf.DUMMYFUNCTION("""COMPUTED_VALUE"""),639920.0)</f>
        <v>639920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IFERROR(__xludf.DUMMYFUNCTION("""COMPUTED_VALUE"""),22.6)</f>
        <v>22.6</v>
      </c>
      <c r="C407" s="1">
        <f>IFERROR(__xludf.DUMMYFUNCTION("""COMPUTED_VALUE"""),22.99)</f>
        <v>22.99</v>
      </c>
      <c r="D407" s="1">
        <f>IFERROR(__xludf.DUMMYFUNCTION("""COMPUTED_VALUE"""),22.21)</f>
        <v>22.21</v>
      </c>
      <c r="E407" s="1">
        <f>IFERROR(__xludf.DUMMYFUNCTION("""COMPUTED_VALUE"""),22.75)</f>
        <v>22.75</v>
      </c>
      <c r="F407" s="1">
        <f>IFERROR(__xludf.DUMMYFUNCTION("""COMPUTED_VALUE"""),761455.0)</f>
        <v>761455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IFERROR(__xludf.DUMMYFUNCTION("""COMPUTED_VALUE"""),22.91)</f>
        <v>22.91</v>
      </c>
      <c r="C408" s="1">
        <f>IFERROR(__xludf.DUMMYFUNCTION("""COMPUTED_VALUE"""),23.15)</f>
        <v>23.15</v>
      </c>
      <c r="D408" s="1">
        <f>IFERROR(__xludf.DUMMYFUNCTION("""COMPUTED_VALUE"""),22.57)</f>
        <v>22.57</v>
      </c>
      <c r="E408" s="1">
        <f>IFERROR(__xludf.DUMMYFUNCTION("""COMPUTED_VALUE"""),23.11)</f>
        <v>23.11</v>
      </c>
      <c r="F408" s="1">
        <f>IFERROR(__xludf.DUMMYFUNCTION("""COMPUTED_VALUE"""),616404.0)</f>
        <v>616404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IFERROR(__xludf.DUMMYFUNCTION("""COMPUTED_VALUE"""),23.4)</f>
        <v>23.4</v>
      </c>
      <c r="C409" s="1">
        <f>IFERROR(__xludf.DUMMYFUNCTION("""COMPUTED_VALUE"""),23.74)</f>
        <v>23.74</v>
      </c>
      <c r="D409" s="1">
        <f>IFERROR(__xludf.DUMMYFUNCTION("""COMPUTED_VALUE"""),23.03)</f>
        <v>23.03</v>
      </c>
      <c r="E409" s="1">
        <f>IFERROR(__xludf.DUMMYFUNCTION("""COMPUTED_VALUE"""),23.43)</f>
        <v>23.43</v>
      </c>
      <c r="F409" s="1">
        <f>IFERROR(__xludf.DUMMYFUNCTION("""COMPUTED_VALUE"""),545191.0)</f>
        <v>545191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IFERROR(__xludf.DUMMYFUNCTION("""COMPUTED_VALUE"""),23.4)</f>
        <v>23.4</v>
      </c>
      <c r="C410" s="1">
        <f>IFERROR(__xludf.DUMMYFUNCTION("""COMPUTED_VALUE"""),23.4)</f>
        <v>23.4</v>
      </c>
      <c r="D410" s="1">
        <f>IFERROR(__xludf.DUMMYFUNCTION("""COMPUTED_VALUE"""),22.69)</f>
        <v>22.69</v>
      </c>
      <c r="E410" s="1">
        <f>IFERROR(__xludf.DUMMYFUNCTION("""COMPUTED_VALUE"""),23.1)</f>
        <v>23.1</v>
      </c>
      <c r="F410" s="1">
        <f>IFERROR(__xludf.DUMMYFUNCTION("""COMPUTED_VALUE"""),344743.0)</f>
        <v>344743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IFERROR(__xludf.DUMMYFUNCTION("""COMPUTED_VALUE"""),23.25)</f>
        <v>23.25</v>
      </c>
      <c r="C411" s="1">
        <f>IFERROR(__xludf.DUMMYFUNCTION("""COMPUTED_VALUE"""),23.39)</f>
        <v>23.39</v>
      </c>
      <c r="D411" s="1">
        <f>IFERROR(__xludf.DUMMYFUNCTION("""COMPUTED_VALUE"""),22.69)</f>
        <v>22.69</v>
      </c>
      <c r="E411" s="1">
        <f>IFERROR(__xludf.DUMMYFUNCTION("""COMPUTED_VALUE"""),22.77)</f>
        <v>22.77</v>
      </c>
      <c r="F411" s="1">
        <f>IFERROR(__xludf.DUMMYFUNCTION("""COMPUTED_VALUE"""),361949.0)</f>
        <v>361949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IFERROR(__xludf.DUMMYFUNCTION("""COMPUTED_VALUE"""),22.42)</f>
        <v>22.42</v>
      </c>
      <c r="C412" s="1">
        <f>IFERROR(__xludf.DUMMYFUNCTION("""COMPUTED_VALUE"""),22.42)</f>
        <v>22.42</v>
      </c>
      <c r="D412" s="1">
        <f>IFERROR(__xludf.DUMMYFUNCTION("""COMPUTED_VALUE"""),21.28)</f>
        <v>21.28</v>
      </c>
      <c r="E412" s="1">
        <f>IFERROR(__xludf.DUMMYFUNCTION("""COMPUTED_VALUE"""),21.46)</f>
        <v>21.46</v>
      </c>
      <c r="F412" s="1">
        <f>IFERROR(__xludf.DUMMYFUNCTION("""COMPUTED_VALUE"""),353691.0)</f>
        <v>353691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IFERROR(__xludf.DUMMYFUNCTION("""COMPUTED_VALUE"""),21.36)</f>
        <v>21.36</v>
      </c>
      <c r="C413" s="1">
        <f>IFERROR(__xludf.DUMMYFUNCTION("""COMPUTED_VALUE"""),22.08)</f>
        <v>22.08</v>
      </c>
      <c r="D413" s="1">
        <f>IFERROR(__xludf.DUMMYFUNCTION("""COMPUTED_VALUE"""),21.19)</f>
        <v>21.19</v>
      </c>
      <c r="E413" s="1">
        <f>IFERROR(__xludf.DUMMYFUNCTION("""COMPUTED_VALUE"""),21.4)</f>
        <v>21.4</v>
      </c>
      <c r="F413" s="1">
        <f>IFERROR(__xludf.DUMMYFUNCTION("""COMPUTED_VALUE"""),521125.0)</f>
        <v>521125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IFERROR(__xludf.DUMMYFUNCTION("""COMPUTED_VALUE"""),21.88)</f>
        <v>21.88</v>
      </c>
      <c r="C414" s="1">
        <f>IFERROR(__xludf.DUMMYFUNCTION("""COMPUTED_VALUE"""),21.98)</f>
        <v>21.98</v>
      </c>
      <c r="D414" s="1">
        <f>IFERROR(__xludf.DUMMYFUNCTION("""COMPUTED_VALUE"""),21.5)</f>
        <v>21.5</v>
      </c>
      <c r="E414" s="1">
        <f>IFERROR(__xludf.DUMMYFUNCTION("""COMPUTED_VALUE"""),21.67)</f>
        <v>21.67</v>
      </c>
      <c r="F414" s="1">
        <f>IFERROR(__xludf.DUMMYFUNCTION("""COMPUTED_VALUE"""),437707.0)</f>
        <v>437707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IFERROR(__xludf.DUMMYFUNCTION("""COMPUTED_VALUE"""),21.8)</f>
        <v>21.8</v>
      </c>
      <c r="C415" s="1">
        <f>IFERROR(__xludf.DUMMYFUNCTION("""COMPUTED_VALUE"""),22.76)</f>
        <v>22.76</v>
      </c>
      <c r="D415" s="1">
        <f>IFERROR(__xludf.DUMMYFUNCTION("""COMPUTED_VALUE"""),21.63)</f>
        <v>21.63</v>
      </c>
      <c r="E415" s="1">
        <f>IFERROR(__xludf.DUMMYFUNCTION("""COMPUTED_VALUE"""),22.7)</f>
        <v>22.7</v>
      </c>
      <c r="F415" s="1">
        <f>IFERROR(__xludf.DUMMYFUNCTION("""COMPUTED_VALUE"""),324609.0)</f>
        <v>324609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IFERROR(__xludf.DUMMYFUNCTION("""COMPUTED_VALUE"""),22.62)</f>
        <v>22.62</v>
      </c>
      <c r="C416" s="1">
        <f>IFERROR(__xludf.DUMMYFUNCTION("""COMPUTED_VALUE"""),23.21)</f>
        <v>23.21</v>
      </c>
      <c r="D416" s="1">
        <f>IFERROR(__xludf.DUMMYFUNCTION("""COMPUTED_VALUE"""),22.37)</f>
        <v>22.37</v>
      </c>
      <c r="E416" s="1">
        <f>IFERROR(__xludf.DUMMYFUNCTION("""COMPUTED_VALUE"""),22.63)</f>
        <v>22.63</v>
      </c>
      <c r="F416" s="1">
        <f>IFERROR(__xludf.DUMMYFUNCTION("""COMPUTED_VALUE"""),416058.0)</f>
        <v>416058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IFERROR(__xludf.DUMMYFUNCTION("""COMPUTED_VALUE"""),22.85)</f>
        <v>22.85</v>
      </c>
      <c r="C417" s="1">
        <f>IFERROR(__xludf.DUMMYFUNCTION("""COMPUTED_VALUE"""),22.9)</f>
        <v>22.9</v>
      </c>
      <c r="D417" s="1">
        <f>IFERROR(__xludf.DUMMYFUNCTION("""COMPUTED_VALUE"""),21.79)</f>
        <v>21.79</v>
      </c>
      <c r="E417" s="1">
        <f>IFERROR(__xludf.DUMMYFUNCTION("""COMPUTED_VALUE"""),22.0)</f>
        <v>22</v>
      </c>
      <c r="F417" s="1">
        <f>IFERROR(__xludf.DUMMYFUNCTION("""COMPUTED_VALUE"""),259836.0)</f>
        <v>259836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IFERROR(__xludf.DUMMYFUNCTION("""COMPUTED_VALUE"""),21.84)</f>
        <v>21.84</v>
      </c>
      <c r="C418" s="1">
        <f>IFERROR(__xludf.DUMMYFUNCTION("""COMPUTED_VALUE"""),22.88)</f>
        <v>22.88</v>
      </c>
      <c r="D418" s="1">
        <f>IFERROR(__xludf.DUMMYFUNCTION("""COMPUTED_VALUE"""),21.51)</f>
        <v>21.51</v>
      </c>
      <c r="E418" s="1">
        <f>IFERROR(__xludf.DUMMYFUNCTION("""COMPUTED_VALUE"""),22.82)</f>
        <v>22.82</v>
      </c>
      <c r="F418" s="1">
        <f>IFERROR(__xludf.DUMMYFUNCTION("""COMPUTED_VALUE"""),278787.0)</f>
        <v>278787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IFERROR(__xludf.DUMMYFUNCTION("""COMPUTED_VALUE"""),23.03)</f>
        <v>23.03</v>
      </c>
      <c r="C419" s="1">
        <f>IFERROR(__xludf.DUMMYFUNCTION("""COMPUTED_VALUE"""),23.35)</f>
        <v>23.35</v>
      </c>
      <c r="D419" s="1">
        <f>IFERROR(__xludf.DUMMYFUNCTION("""COMPUTED_VALUE"""),22.75)</f>
        <v>22.75</v>
      </c>
      <c r="E419" s="1">
        <f>IFERROR(__xludf.DUMMYFUNCTION("""COMPUTED_VALUE"""),22.98)</f>
        <v>22.98</v>
      </c>
      <c r="F419" s="1">
        <f>IFERROR(__xludf.DUMMYFUNCTION("""COMPUTED_VALUE"""),173034.0)</f>
        <v>173034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IFERROR(__xludf.DUMMYFUNCTION("""COMPUTED_VALUE"""),22.91)</f>
        <v>22.91</v>
      </c>
      <c r="C420" s="1">
        <f>IFERROR(__xludf.DUMMYFUNCTION("""COMPUTED_VALUE"""),23.29)</f>
        <v>23.29</v>
      </c>
      <c r="D420" s="1">
        <f>IFERROR(__xludf.DUMMYFUNCTION("""COMPUTED_VALUE"""),22.63)</f>
        <v>22.63</v>
      </c>
      <c r="E420" s="1">
        <f>IFERROR(__xludf.DUMMYFUNCTION("""COMPUTED_VALUE"""),23.17)</f>
        <v>23.17</v>
      </c>
      <c r="F420" s="1">
        <f>IFERROR(__xludf.DUMMYFUNCTION("""COMPUTED_VALUE"""),203070.0)</f>
        <v>203070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IFERROR(__xludf.DUMMYFUNCTION("""COMPUTED_VALUE"""),23.26)</f>
        <v>23.26</v>
      </c>
      <c r="C421" s="1">
        <f>IFERROR(__xludf.DUMMYFUNCTION("""COMPUTED_VALUE"""),23.76)</f>
        <v>23.76</v>
      </c>
      <c r="D421" s="1">
        <f>IFERROR(__xludf.DUMMYFUNCTION("""COMPUTED_VALUE"""),22.85)</f>
        <v>22.85</v>
      </c>
      <c r="E421" s="1">
        <f>IFERROR(__xludf.DUMMYFUNCTION("""COMPUTED_VALUE"""),22.99)</f>
        <v>22.99</v>
      </c>
      <c r="F421" s="1">
        <f>IFERROR(__xludf.DUMMYFUNCTION("""COMPUTED_VALUE"""),325839.0)</f>
        <v>325839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IFERROR(__xludf.DUMMYFUNCTION("""COMPUTED_VALUE"""),22.91)</f>
        <v>22.91</v>
      </c>
      <c r="C422" s="1">
        <f>IFERROR(__xludf.DUMMYFUNCTION("""COMPUTED_VALUE"""),23.14)</f>
        <v>23.14</v>
      </c>
      <c r="D422" s="1">
        <f>IFERROR(__xludf.DUMMYFUNCTION("""COMPUTED_VALUE"""),22.35)</f>
        <v>22.35</v>
      </c>
      <c r="E422" s="1">
        <f>IFERROR(__xludf.DUMMYFUNCTION("""COMPUTED_VALUE"""),22.49)</f>
        <v>22.49</v>
      </c>
      <c r="F422" s="1">
        <f>IFERROR(__xludf.DUMMYFUNCTION("""COMPUTED_VALUE"""),283980.0)</f>
        <v>283980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IFERROR(__xludf.DUMMYFUNCTION("""COMPUTED_VALUE"""),22.11)</f>
        <v>22.11</v>
      </c>
      <c r="C423" s="1">
        <f>IFERROR(__xludf.DUMMYFUNCTION("""COMPUTED_VALUE"""),22.23)</f>
        <v>22.23</v>
      </c>
      <c r="D423" s="1">
        <f>IFERROR(__xludf.DUMMYFUNCTION("""COMPUTED_VALUE"""),21.75)</f>
        <v>21.75</v>
      </c>
      <c r="E423" s="1">
        <f>IFERROR(__xludf.DUMMYFUNCTION("""COMPUTED_VALUE"""),21.78)</f>
        <v>21.78</v>
      </c>
      <c r="F423" s="1">
        <f>IFERROR(__xludf.DUMMYFUNCTION("""COMPUTED_VALUE"""),138843.0)</f>
        <v>138843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IFERROR(__xludf.DUMMYFUNCTION("""COMPUTED_VALUE"""),21.29)</f>
        <v>21.29</v>
      </c>
      <c r="C424" s="1">
        <f>IFERROR(__xludf.DUMMYFUNCTION("""COMPUTED_VALUE"""),21.41)</f>
        <v>21.41</v>
      </c>
      <c r="D424" s="1">
        <f>IFERROR(__xludf.DUMMYFUNCTION("""COMPUTED_VALUE"""),21.03)</f>
        <v>21.03</v>
      </c>
      <c r="E424" s="1">
        <f>IFERROR(__xludf.DUMMYFUNCTION("""COMPUTED_VALUE"""),21.4)</f>
        <v>21.4</v>
      </c>
      <c r="F424" s="1">
        <f>IFERROR(__xludf.DUMMYFUNCTION("""COMPUTED_VALUE"""),182757.0)</f>
        <v>182757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IFERROR(__xludf.DUMMYFUNCTION("""COMPUTED_VALUE"""),21.57)</f>
        <v>21.57</v>
      </c>
      <c r="C425" s="1">
        <f>IFERROR(__xludf.DUMMYFUNCTION("""COMPUTED_VALUE"""),22.07)</f>
        <v>22.07</v>
      </c>
      <c r="D425" s="1">
        <f>IFERROR(__xludf.DUMMYFUNCTION("""COMPUTED_VALUE"""),21.52)</f>
        <v>21.52</v>
      </c>
      <c r="E425" s="1">
        <f>IFERROR(__xludf.DUMMYFUNCTION("""COMPUTED_VALUE"""),21.96)</f>
        <v>21.96</v>
      </c>
      <c r="F425" s="1">
        <f>IFERROR(__xludf.DUMMYFUNCTION("""COMPUTED_VALUE"""),424514.0)</f>
        <v>424514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IFERROR(__xludf.DUMMYFUNCTION("""COMPUTED_VALUE"""),21.86)</f>
        <v>21.86</v>
      </c>
      <c r="C426" s="1">
        <f>IFERROR(__xludf.DUMMYFUNCTION("""COMPUTED_VALUE"""),21.99)</f>
        <v>21.99</v>
      </c>
      <c r="D426" s="1">
        <f>IFERROR(__xludf.DUMMYFUNCTION("""COMPUTED_VALUE"""),21.53)</f>
        <v>21.53</v>
      </c>
      <c r="E426" s="1">
        <f>IFERROR(__xludf.DUMMYFUNCTION("""COMPUTED_VALUE"""),21.66)</f>
        <v>21.66</v>
      </c>
      <c r="F426" s="1">
        <f>IFERROR(__xludf.DUMMYFUNCTION("""COMPUTED_VALUE"""),167323.0)</f>
        <v>167323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IFERROR(__xludf.DUMMYFUNCTION("""COMPUTED_VALUE"""),21.51)</f>
        <v>21.51</v>
      </c>
      <c r="C427" s="1">
        <f>IFERROR(__xludf.DUMMYFUNCTION("""COMPUTED_VALUE"""),21.74)</f>
        <v>21.74</v>
      </c>
      <c r="D427" s="1">
        <f>IFERROR(__xludf.DUMMYFUNCTION("""COMPUTED_VALUE"""),20.95)</f>
        <v>20.95</v>
      </c>
      <c r="E427" s="1">
        <f>IFERROR(__xludf.DUMMYFUNCTION("""COMPUTED_VALUE"""),21.33)</f>
        <v>21.33</v>
      </c>
      <c r="F427" s="1">
        <f>IFERROR(__xludf.DUMMYFUNCTION("""COMPUTED_VALUE"""),215785.0)</f>
        <v>215785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IFERROR(__xludf.DUMMYFUNCTION("""COMPUTED_VALUE"""),21.09)</f>
        <v>21.09</v>
      </c>
      <c r="C428" s="1">
        <f>IFERROR(__xludf.DUMMYFUNCTION("""COMPUTED_VALUE"""),21.29)</f>
        <v>21.29</v>
      </c>
      <c r="D428" s="1">
        <f>IFERROR(__xludf.DUMMYFUNCTION("""COMPUTED_VALUE"""),20.56)</f>
        <v>20.56</v>
      </c>
      <c r="E428" s="1">
        <f>IFERROR(__xludf.DUMMYFUNCTION("""COMPUTED_VALUE"""),21.21)</f>
        <v>21.21</v>
      </c>
      <c r="F428" s="1">
        <f>IFERROR(__xludf.DUMMYFUNCTION("""COMPUTED_VALUE"""),180896.0)</f>
        <v>180896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IFERROR(__xludf.DUMMYFUNCTION("""COMPUTED_VALUE"""),21.29)</f>
        <v>21.29</v>
      </c>
      <c r="C429" s="1">
        <f>IFERROR(__xludf.DUMMYFUNCTION("""COMPUTED_VALUE"""),21.74)</f>
        <v>21.74</v>
      </c>
      <c r="D429" s="1">
        <f>IFERROR(__xludf.DUMMYFUNCTION("""COMPUTED_VALUE"""),21.27)</f>
        <v>21.27</v>
      </c>
      <c r="E429" s="1">
        <f>IFERROR(__xludf.DUMMYFUNCTION("""COMPUTED_VALUE"""),21.58)</f>
        <v>21.58</v>
      </c>
      <c r="F429" s="1">
        <f>IFERROR(__xludf.DUMMYFUNCTION("""COMPUTED_VALUE"""),189174.0)</f>
        <v>189174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IFERROR(__xludf.DUMMYFUNCTION("""COMPUTED_VALUE"""),21.7)</f>
        <v>21.7</v>
      </c>
      <c r="C430" s="1">
        <f>IFERROR(__xludf.DUMMYFUNCTION("""COMPUTED_VALUE"""),22.15)</f>
        <v>22.15</v>
      </c>
      <c r="D430" s="1">
        <f>IFERROR(__xludf.DUMMYFUNCTION("""COMPUTED_VALUE"""),21.51)</f>
        <v>21.51</v>
      </c>
      <c r="E430" s="1">
        <f>IFERROR(__xludf.DUMMYFUNCTION("""COMPUTED_VALUE"""),22.09)</f>
        <v>22.09</v>
      </c>
      <c r="F430" s="1">
        <f>IFERROR(__xludf.DUMMYFUNCTION("""COMPUTED_VALUE"""),746988.0)</f>
        <v>746988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IFERROR(__xludf.DUMMYFUNCTION("""COMPUTED_VALUE"""),22.23)</f>
        <v>22.23</v>
      </c>
      <c r="C431" s="1">
        <f>IFERROR(__xludf.DUMMYFUNCTION("""COMPUTED_VALUE"""),22.28)</f>
        <v>22.28</v>
      </c>
      <c r="D431" s="1">
        <f>IFERROR(__xludf.DUMMYFUNCTION("""COMPUTED_VALUE"""),21.64)</f>
        <v>21.64</v>
      </c>
      <c r="E431" s="1">
        <f>IFERROR(__xludf.DUMMYFUNCTION("""COMPUTED_VALUE"""),21.95)</f>
        <v>21.95</v>
      </c>
      <c r="F431" s="1">
        <f>IFERROR(__xludf.DUMMYFUNCTION("""COMPUTED_VALUE"""),173077.0)</f>
        <v>173077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IFERROR(__xludf.DUMMYFUNCTION("""COMPUTED_VALUE"""),21.95)</f>
        <v>21.95</v>
      </c>
      <c r="C432" s="1">
        <f>IFERROR(__xludf.DUMMYFUNCTION("""COMPUTED_VALUE"""),22.0)</f>
        <v>22</v>
      </c>
      <c r="D432" s="1">
        <f>IFERROR(__xludf.DUMMYFUNCTION("""COMPUTED_VALUE"""),21.55)</f>
        <v>21.55</v>
      </c>
      <c r="E432" s="1">
        <f>IFERROR(__xludf.DUMMYFUNCTION("""COMPUTED_VALUE"""),21.7)</f>
        <v>21.7</v>
      </c>
      <c r="F432" s="1">
        <f>IFERROR(__xludf.DUMMYFUNCTION("""COMPUTED_VALUE"""),255072.0)</f>
        <v>255072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IFERROR(__xludf.DUMMYFUNCTION("""COMPUTED_VALUE"""),21.23)</f>
        <v>21.23</v>
      </c>
      <c r="C433" s="1">
        <f>IFERROR(__xludf.DUMMYFUNCTION("""COMPUTED_VALUE"""),21.46)</f>
        <v>21.46</v>
      </c>
      <c r="D433" s="1">
        <f>IFERROR(__xludf.DUMMYFUNCTION("""COMPUTED_VALUE"""),20.75)</f>
        <v>20.75</v>
      </c>
      <c r="E433" s="1">
        <f>IFERROR(__xludf.DUMMYFUNCTION("""COMPUTED_VALUE"""),21.03)</f>
        <v>21.03</v>
      </c>
      <c r="F433" s="1">
        <f>IFERROR(__xludf.DUMMYFUNCTION("""COMPUTED_VALUE"""),335990.0)</f>
        <v>335990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IFERROR(__xludf.DUMMYFUNCTION("""COMPUTED_VALUE"""),21.03)</f>
        <v>21.03</v>
      </c>
      <c r="C434" s="1">
        <f>IFERROR(__xludf.DUMMYFUNCTION("""COMPUTED_VALUE"""),21.79)</f>
        <v>21.79</v>
      </c>
      <c r="D434" s="1">
        <f>IFERROR(__xludf.DUMMYFUNCTION("""COMPUTED_VALUE"""),21.01)</f>
        <v>21.01</v>
      </c>
      <c r="E434" s="1">
        <f>IFERROR(__xludf.DUMMYFUNCTION("""COMPUTED_VALUE"""),21.7)</f>
        <v>21.7</v>
      </c>
      <c r="F434" s="1">
        <f>IFERROR(__xludf.DUMMYFUNCTION("""COMPUTED_VALUE"""),386420.0)</f>
        <v>386420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IFERROR(__xludf.DUMMYFUNCTION("""COMPUTED_VALUE"""),21.66)</f>
        <v>21.66</v>
      </c>
      <c r="C435" s="1">
        <f>IFERROR(__xludf.DUMMYFUNCTION("""COMPUTED_VALUE"""),21.93)</f>
        <v>21.93</v>
      </c>
      <c r="D435" s="1">
        <f>IFERROR(__xludf.DUMMYFUNCTION("""COMPUTED_VALUE"""),20.74)</f>
        <v>20.74</v>
      </c>
      <c r="E435" s="1">
        <f>IFERROR(__xludf.DUMMYFUNCTION("""COMPUTED_VALUE"""),20.81)</f>
        <v>20.81</v>
      </c>
      <c r="F435" s="1">
        <f>IFERROR(__xludf.DUMMYFUNCTION("""COMPUTED_VALUE"""),235506.0)</f>
        <v>235506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IFERROR(__xludf.DUMMYFUNCTION("""COMPUTED_VALUE"""),20.32)</f>
        <v>20.32</v>
      </c>
      <c r="C436" s="1">
        <f>IFERROR(__xludf.DUMMYFUNCTION("""COMPUTED_VALUE"""),20.47)</f>
        <v>20.47</v>
      </c>
      <c r="D436" s="1">
        <f>IFERROR(__xludf.DUMMYFUNCTION("""COMPUTED_VALUE"""),20.0)</f>
        <v>20</v>
      </c>
      <c r="E436" s="1">
        <f>IFERROR(__xludf.DUMMYFUNCTION("""COMPUTED_VALUE"""),20.33)</f>
        <v>20.33</v>
      </c>
      <c r="F436" s="1">
        <f>IFERROR(__xludf.DUMMYFUNCTION("""COMPUTED_VALUE"""),511849.0)</f>
        <v>511849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IFERROR(__xludf.DUMMYFUNCTION("""COMPUTED_VALUE"""),20.29)</f>
        <v>20.29</v>
      </c>
      <c r="C437" s="1">
        <f>IFERROR(__xludf.DUMMYFUNCTION("""COMPUTED_VALUE"""),21.04)</f>
        <v>21.04</v>
      </c>
      <c r="D437" s="1">
        <f>IFERROR(__xludf.DUMMYFUNCTION("""COMPUTED_VALUE"""),20.28)</f>
        <v>20.28</v>
      </c>
      <c r="E437" s="1">
        <f>IFERROR(__xludf.DUMMYFUNCTION("""COMPUTED_VALUE"""),20.54)</f>
        <v>20.54</v>
      </c>
      <c r="F437" s="1">
        <f>IFERROR(__xludf.DUMMYFUNCTION("""COMPUTED_VALUE"""),356946.0)</f>
        <v>356946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IFERROR(__xludf.DUMMYFUNCTION("""COMPUTED_VALUE"""),20.7)</f>
        <v>20.7</v>
      </c>
      <c r="C438" s="1">
        <f>IFERROR(__xludf.DUMMYFUNCTION("""COMPUTED_VALUE"""),20.77)</f>
        <v>20.77</v>
      </c>
      <c r="D438" s="1">
        <f>IFERROR(__xludf.DUMMYFUNCTION("""COMPUTED_VALUE"""),20.44)</f>
        <v>20.44</v>
      </c>
      <c r="E438" s="1">
        <f>IFERROR(__xludf.DUMMYFUNCTION("""COMPUTED_VALUE"""),20.61)</f>
        <v>20.61</v>
      </c>
      <c r="F438" s="1">
        <f>IFERROR(__xludf.DUMMYFUNCTION("""COMPUTED_VALUE"""),262887.0)</f>
        <v>262887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IFERROR(__xludf.DUMMYFUNCTION("""COMPUTED_VALUE"""),21.14)</f>
        <v>21.14</v>
      </c>
      <c r="C439" s="1">
        <f>IFERROR(__xludf.DUMMYFUNCTION("""COMPUTED_VALUE"""),21.77)</f>
        <v>21.77</v>
      </c>
      <c r="D439" s="1">
        <f>IFERROR(__xludf.DUMMYFUNCTION("""COMPUTED_VALUE"""),20.96)</f>
        <v>20.96</v>
      </c>
      <c r="E439" s="1">
        <f>IFERROR(__xludf.DUMMYFUNCTION("""COMPUTED_VALUE"""),21.15)</f>
        <v>21.15</v>
      </c>
      <c r="F439" s="1">
        <f>IFERROR(__xludf.DUMMYFUNCTION("""COMPUTED_VALUE"""),237146.0)</f>
        <v>237146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IFERROR(__xludf.DUMMYFUNCTION("""COMPUTED_VALUE"""),21.2)</f>
        <v>21.2</v>
      </c>
      <c r="C440" s="1">
        <f>IFERROR(__xludf.DUMMYFUNCTION("""COMPUTED_VALUE"""),21.3)</f>
        <v>21.3</v>
      </c>
      <c r="D440" s="1">
        <f>IFERROR(__xludf.DUMMYFUNCTION("""COMPUTED_VALUE"""),20.35)</f>
        <v>20.35</v>
      </c>
      <c r="E440" s="1">
        <f>IFERROR(__xludf.DUMMYFUNCTION("""COMPUTED_VALUE"""),20.55)</f>
        <v>20.55</v>
      </c>
      <c r="F440" s="1">
        <f>IFERROR(__xludf.DUMMYFUNCTION("""COMPUTED_VALUE"""),396303.0)</f>
        <v>396303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IFERROR(__xludf.DUMMYFUNCTION("""COMPUTED_VALUE"""),20.9)</f>
        <v>20.9</v>
      </c>
      <c r="C441" s="1">
        <f>IFERROR(__xludf.DUMMYFUNCTION("""COMPUTED_VALUE"""),21.12)</f>
        <v>21.12</v>
      </c>
      <c r="D441" s="1">
        <f>IFERROR(__xludf.DUMMYFUNCTION("""COMPUTED_VALUE"""),20.12)</f>
        <v>20.12</v>
      </c>
      <c r="E441" s="1">
        <f>IFERROR(__xludf.DUMMYFUNCTION("""COMPUTED_VALUE"""),20.53)</f>
        <v>20.53</v>
      </c>
      <c r="F441" s="1">
        <f>IFERROR(__xludf.DUMMYFUNCTION("""COMPUTED_VALUE"""),441108.0)</f>
        <v>441108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IFERROR(__xludf.DUMMYFUNCTION("""COMPUTED_VALUE"""),20.29)</f>
        <v>20.29</v>
      </c>
      <c r="C442" s="1">
        <f>IFERROR(__xludf.DUMMYFUNCTION("""COMPUTED_VALUE"""),20.71)</f>
        <v>20.71</v>
      </c>
      <c r="D442" s="1">
        <f>IFERROR(__xludf.DUMMYFUNCTION("""COMPUTED_VALUE"""),19.91)</f>
        <v>19.91</v>
      </c>
      <c r="E442" s="1">
        <f>IFERROR(__xludf.DUMMYFUNCTION("""COMPUTED_VALUE"""),20.19)</f>
        <v>20.19</v>
      </c>
      <c r="F442" s="1">
        <f>IFERROR(__xludf.DUMMYFUNCTION("""COMPUTED_VALUE"""),435843.0)</f>
        <v>435843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IFERROR(__xludf.DUMMYFUNCTION("""COMPUTED_VALUE"""),19.9)</f>
        <v>19.9</v>
      </c>
      <c r="C443" s="1">
        <f>IFERROR(__xludf.DUMMYFUNCTION("""COMPUTED_VALUE"""),19.91)</f>
        <v>19.91</v>
      </c>
      <c r="D443" s="1">
        <f>IFERROR(__xludf.DUMMYFUNCTION("""COMPUTED_VALUE"""),19.12)</f>
        <v>19.12</v>
      </c>
      <c r="E443" s="1">
        <f>IFERROR(__xludf.DUMMYFUNCTION("""COMPUTED_VALUE"""),19.43)</f>
        <v>19.43</v>
      </c>
      <c r="F443" s="1">
        <f>IFERROR(__xludf.DUMMYFUNCTION("""COMPUTED_VALUE"""),1335120.0)</f>
        <v>1335120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IFERROR(__xludf.DUMMYFUNCTION("""COMPUTED_VALUE"""),19.24)</f>
        <v>19.24</v>
      </c>
      <c r="C444" s="1">
        <f>IFERROR(__xludf.DUMMYFUNCTION("""COMPUTED_VALUE"""),19.89)</f>
        <v>19.89</v>
      </c>
      <c r="D444" s="1">
        <f>IFERROR(__xludf.DUMMYFUNCTION("""COMPUTED_VALUE"""),19.01)</f>
        <v>19.01</v>
      </c>
      <c r="E444" s="1">
        <f>IFERROR(__xludf.DUMMYFUNCTION("""COMPUTED_VALUE"""),19.5)</f>
        <v>19.5</v>
      </c>
      <c r="F444" s="1">
        <f>IFERROR(__xludf.DUMMYFUNCTION("""COMPUTED_VALUE"""),1577140.0)</f>
        <v>1577140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IFERROR(__xludf.DUMMYFUNCTION("""COMPUTED_VALUE"""),19.65)</f>
        <v>19.65</v>
      </c>
      <c r="C445" s="1">
        <f>IFERROR(__xludf.DUMMYFUNCTION("""COMPUTED_VALUE"""),19.65)</f>
        <v>19.65</v>
      </c>
      <c r="D445" s="1">
        <f>IFERROR(__xludf.DUMMYFUNCTION("""COMPUTED_VALUE"""),19.32)</f>
        <v>19.32</v>
      </c>
      <c r="E445" s="1">
        <f>IFERROR(__xludf.DUMMYFUNCTION("""COMPUTED_VALUE"""),19.5)</f>
        <v>19.5</v>
      </c>
      <c r="F445" s="1">
        <f>IFERROR(__xludf.DUMMYFUNCTION("""COMPUTED_VALUE"""),730758.0)</f>
        <v>730758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IFERROR(__xludf.DUMMYFUNCTION("""COMPUTED_VALUE"""),19.41)</f>
        <v>19.41</v>
      </c>
      <c r="C446" s="1">
        <f>IFERROR(__xludf.DUMMYFUNCTION("""COMPUTED_VALUE"""),19.6)</f>
        <v>19.6</v>
      </c>
      <c r="D446" s="1">
        <f>IFERROR(__xludf.DUMMYFUNCTION("""COMPUTED_VALUE"""),19.13)</f>
        <v>19.13</v>
      </c>
      <c r="E446" s="1">
        <f>IFERROR(__xludf.DUMMYFUNCTION("""COMPUTED_VALUE"""),19.2)</f>
        <v>19.2</v>
      </c>
      <c r="F446" s="1">
        <f>IFERROR(__xludf.DUMMYFUNCTION("""COMPUTED_VALUE"""),989720.0)</f>
        <v>989720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IFERROR(__xludf.DUMMYFUNCTION("""COMPUTED_VALUE"""),19.37)</f>
        <v>19.37</v>
      </c>
      <c r="C447" s="1">
        <f>IFERROR(__xludf.DUMMYFUNCTION("""COMPUTED_VALUE"""),19.42)</f>
        <v>19.42</v>
      </c>
      <c r="D447" s="1">
        <f>IFERROR(__xludf.DUMMYFUNCTION("""COMPUTED_VALUE"""),18.67)</f>
        <v>18.67</v>
      </c>
      <c r="E447" s="1">
        <f>IFERROR(__xludf.DUMMYFUNCTION("""COMPUTED_VALUE"""),18.87)</f>
        <v>18.87</v>
      </c>
      <c r="F447" s="1">
        <f>IFERROR(__xludf.DUMMYFUNCTION("""COMPUTED_VALUE"""),1751107.0)</f>
        <v>1751107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IFERROR(__xludf.DUMMYFUNCTION("""COMPUTED_VALUE"""),19.18)</f>
        <v>19.18</v>
      </c>
      <c r="C448" s="1">
        <f>IFERROR(__xludf.DUMMYFUNCTION("""COMPUTED_VALUE"""),19.53)</f>
        <v>19.53</v>
      </c>
      <c r="D448" s="1">
        <f>IFERROR(__xludf.DUMMYFUNCTION("""COMPUTED_VALUE"""),19.09)</f>
        <v>19.09</v>
      </c>
      <c r="E448" s="1">
        <f>IFERROR(__xludf.DUMMYFUNCTION("""COMPUTED_VALUE"""),19.4)</f>
        <v>19.4</v>
      </c>
      <c r="F448" s="1">
        <f>IFERROR(__xludf.DUMMYFUNCTION("""COMPUTED_VALUE"""),493507.0)</f>
        <v>493507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IFERROR(__xludf.DUMMYFUNCTION("""COMPUTED_VALUE"""),19.29)</f>
        <v>19.29</v>
      </c>
      <c r="C449" s="1">
        <f>IFERROR(__xludf.DUMMYFUNCTION("""COMPUTED_VALUE"""),19.34)</f>
        <v>19.34</v>
      </c>
      <c r="D449" s="1">
        <f>IFERROR(__xludf.DUMMYFUNCTION("""COMPUTED_VALUE"""),18.68)</f>
        <v>18.68</v>
      </c>
      <c r="E449" s="1">
        <f>IFERROR(__xludf.DUMMYFUNCTION("""COMPUTED_VALUE"""),19.0)</f>
        <v>19</v>
      </c>
      <c r="F449" s="1">
        <f>IFERROR(__xludf.DUMMYFUNCTION("""COMPUTED_VALUE"""),1087369.0)</f>
        <v>1087369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IFERROR(__xludf.DUMMYFUNCTION("""COMPUTED_VALUE"""),19.36)</f>
        <v>19.36</v>
      </c>
      <c r="C450" s="1">
        <f>IFERROR(__xludf.DUMMYFUNCTION("""COMPUTED_VALUE"""),19.36)</f>
        <v>19.36</v>
      </c>
      <c r="D450" s="1">
        <f>IFERROR(__xludf.DUMMYFUNCTION("""COMPUTED_VALUE"""),18.71)</f>
        <v>18.71</v>
      </c>
      <c r="E450" s="1">
        <f>IFERROR(__xludf.DUMMYFUNCTION("""COMPUTED_VALUE"""),18.75)</f>
        <v>18.75</v>
      </c>
      <c r="F450" s="1">
        <f>IFERROR(__xludf.DUMMYFUNCTION("""COMPUTED_VALUE"""),1380654.0)</f>
        <v>1380654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IFERROR(__xludf.DUMMYFUNCTION("""COMPUTED_VALUE"""),18.64)</f>
        <v>18.64</v>
      </c>
      <c r="C451" s="1">
        <f>IFERROR(__xludf.DUMMYFUNCTION("""COMPUTED_VALUE"""),18.81)</f>
        <v>18.81</v>
      </c>
      <c r="D451" s="1">
        <f>IFERROR(__xludf.DUMMYFUNCTION("""COMPUTED_VALUE"""),18.18)</f>
        <v>18.18</v>
      </c>
      <c r="E451" s="1">
        <f>IFERROR(__xludf.DUMMYFUNCTION("""COMPUTED_VALUE"""),18.33)</f>
        <v>18.33</v>
      </c>
      <c r="F451" s="1">
        <f>IFERROR(__xludf.DUMMYFUNCTION("""COMPUTED_VALUE"""),962024.0)</f>
        <v>962024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IFERROR(__xludf.DUMMYFUNCTION("""COMPUTED_VALUE"""),18.61)</f>
        <v>18.61</v>
      </c>
      <c r="C452" s="1">
        <f>IFERROR(__xludf.DUMMYFUNCTION("""COMPUTED_VALUE"""),18.63)</f>
        <v>18.63</v>
      </c>
      <c r="D452" s="1">
        <f>IFERROR(__xludf.DUMMYFUNCTION("""COMPUTED_VALUE"""),18.02)</f>
        <v>18.02</v>
      </c>
      <c r="E452" s="1">
        <f>IFERROR(__xludf.DUMMYFUNCTION("""COMPUTED_VALUE"""),18.62)</f>
        <v>18.62</v>
      </c>
      <c r="F452" s="1">
        <f>IFERROR(__xludf.DUMMYFUNCTION("""COMPUTED_VALUE"""),987147.0)</f>
        <v>987147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IFERROR(__xludf.DUMMYFUNCTION("""COMPUTED_VALUE"""),18.64)</f>
        <v>18.64</v>
      </c>
      <c r="C453" s="1">
        <f>IFERROR(__xludf.DUMMYFUNCTION("""COMPUTED_VALUE"""),18.79)</f>
        <v>18.79</v>
      </c>
      <c r="D453" s="1">
        <f>IFERROR(__xludf.DUMMYFUNCTION("""COMPUTED_VALUE"""),18.36)</f>
        <v>18.36</v>
      </c>
      <c r="E453" s="1">
        <f>IFERROR(__xludf.DUMMYFUNCTION("""COMPUTED_VALUE"""),18.63)</f>
        <v>18.63</v>
      </c>
      <c r="F453" s="1">
        <f>IFERROR(__xludf.DUMMYFUNCTION("""COMPUTED_VALUE"""),1003443.0)</f>
        <v>1003443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IFERROR(__xludf.DUMMYFUNCTION("""COMPUTED_VALUE"""),18.6)</f>
        <v>18.6</v>
      </c>
      <c r="C454" s="1">
        <f>IFERROR(__xludf.DUMMYFUNCTION("""COMPUTED_VALUE"""),18.94)</f>
        <v>18.94</v>
      </c>
      <c r="D454" s="1">
        <f>IFERROR(__xludf.DUMMYFUNCTION("""COMPUTED_VALUE"""),18.39)</f>
        <v>18.39</v>
      </c>
      <c r="E454" s="1">
        <f>IFERROR(__xludf.DUMMYFUNCTION("""COMPUTED_VALUE"""),18.82)</f>
        <v>18.82</v>
      </c>
      <c r="F454" s="1">
        <f>IFERROR(__xludf.DUMMYFUNCTION("""COMPUTED_VALUE"""),747004.0)</f>
        <v>747004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IFERROR(__xludf.DUMMYFUNCTION("""COMPUTED_VALUE"""),18.73)</f>
        <v>18.73</v>
      </c>
      <c r="C455" s="1">
        <f>IFERROR(__xludf.DUMMYFUNCTION("""COMPUTED_VALUE"""),18.85)</f>
        <v>18.85</v>
      </c>
      <c r="D455" s="1">
        <f>IFERROR(__xludf.DUMMYFUNCTION("""COMPUTED_VALUE"""),18.43)</f>
        <v>18.43</v>
      </c>
      <c r="E455" s="1">
        <f>IFERROR(__xludf.DUMMYFUNCTION("""COMPUTED_VALUE"""),18.52)</f>
        <v>18.52</v>
      </c>
      <c r="F455" s="1">
        <f>IFERROR(__xludf.DUMMYFUNCTION("""COMPUTED_VALUE"""),581882.0)</f>
        <v>581882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IFERROR(__xludf.DUMMYFUNCTION("""COMPUTED_VALUE"""),18.54)</f>
        <v>18.54</v>
      </c>
      <c r="C456" s="1">
        <f>IFERROR(__xludf.DUMMYFUNCTION("""COMPUTED_VALUE"""),19.22)</f>
        <v>19.22</v>
      </c>
      <c r="D456" s="1">
        <f>IFERROR(__xludf.DUMMYFUNCTION("""COMPUTED_VALUE"""),18.47)</f>
        <v>18.47</v>
      </c>
      <c r="E456" s="1">
        <f>IFERROR(__xludf.DUMMYFUNCTION("""COMPUTED_VALUE"""),18.98)</f>
        <v>18.98</v>
      </c>
      <c r="F456" s="1">
        <f>IFERROR(__xludf.DUMMYFUNCTION("""COMPUTED_VALUE"""),601460.0)</f>
        <v>601460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IFERROR(__xludf.DUMMYFUNCTION("""COMPUTED_VALUE"""),19.23)</f>
        <v>19.23</v>
      </c>
      <c r="C457" s="1">
        <f>IFERROR(__xludf.DUMMYFUNCTION("""COMPUTED_VALUE"""),19.35)</f>
        <v>19.35</v>
      </c>
      <c r="D457" s="1">
        <f>IFERROR(__xludf.DUMMYFUNCTION("""COMPUTED_VALUE"""),18.83)</f>
        <v>18.83</v>
      </c>
      <c r="E457" s="1">
        <f>IFERROR(__xludf.DUMMYFUNCTION("""COMPUTED_VALUE"""),18.92)</f>
        <v>18.92</v>
      </c>
      <c r="F457" s="1">
        <f>IFERROR(__xludf.DUMMYFUNCTION("""COMPUTED_VALUE"""),465876.0)</f>
        <v>465876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IFERROR(__xludf.DUMMYFUNCTION("""COMPUTED_VALUE"""),19.02)</f>
        <v>19.02</v>
      </c>
      <c r="C458" s="1">
        <f>IFERROR(__xludf.DUMMYFUNCTION("""COMPUTED_VALUE"""),19.53)</f>
        <v>19.53</v>
      </c>
      <c r="D458" s="1">
        <f>IFERROR(__xludf.DUMMYFUNCTION("""COMPUTED_VALUE"""),18.95)</f>
        <v>18.95</v>
      </c>
      <c r="E458" s="1">
        <f>IFERROR(__xludf.DUMMYFUNCTION("""COMPUTED_VALUE"""),19.37)</f>
        <v>19.37</v>
      </c>
      <c r="F458" s="1">
        <f>IFERROR(__xludf.DUMMYFUNCTION("""COMPUTED_VALUE"""),545770.0)</f>
        <v>545770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IFERROR(__xludf.DUMMYFUNCTION("""COMPUTED_VALUE"""),19.32)</f>
        <v>19.32</v>
      </c>
      <c r="C459" s="1">
        <f>IFERROR(__xludf.DUMMYFUNCTION("""COMPUTED_VALUE"""),19.42)</f>
        <v>19.42</v>
      </c>
      <c r="D459" s="1">
        <f>IFERROR(__xludf.DUMMYFUNCTION("""COMPUTED_VALUE"""),19.14)</f>
        <v>19.14</v>
      </c>
      <c r="E459" s="1">
        <f>IFERROR(__xludf.DUMMYFUNCTION("""COMPUTED_VALUE"""),19.15)</f>
        <v>19.15</v>
      </c>
      <c r="F459" s="1">
        <f>IFERROR(__xludf.DUMMYFUNCTION("""COMPUTED_VALUE"""),475965.0)</f>
        <v>475965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IFERROR(__xludf.DUMMYFUNCTION("""COMPUTED_VALUE"""),19.42)</f>
        <v>19.42</v>
      </c>
      <c r="C460" s="1">
        <f>IFERROR(__xludf.DUMMYFUNCTION("""COMPUTED_VALUE"""),19.54)</f>
        <v>19.54</v>
      </c>
      <c r="D460" s="1">
        <f>IFERROR(__xludf.DUMMYFUNCTION("""COMPUTED_VALUE"""),19.02)</f>
        <v>19.02</v>
      </c>
      <c r="E460" s="1">
        <f>IFERROR(__xludf.DUMMYFUNCTION("""COMPUTED_VALUE"""),19.19)</f>
        <v>19.19</v>
      </c>
      <c r="F460" s="1">
        <f>IFERROR(__xludf.DUMMYFUNCTION("""COMPUTED_VALUE"""),467351.0)</f>
        <v>467351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IFERROR(__xludf.DUMMYFUNCTION("""COMPUTED_VALUE"""),19.67)</f>
        <v>19.67</v>
      </c>
      <c r="C461" s="1">
        <f>IFERROR(__xludf.DUMMYFUNCTION("""COMPUTED_VALUE"""),20.84)</f>
        <v>20.84</v>
      </c>
      <c r="D461" s="1">
        <f>IFERROR(__xludf.DUMMYFUNCTION("""COMPUTED_VALUE"""),19.67)</f>
        <v>19.67</v>
      </c>
      <c r="E461" s="1">
        <f>IFERROR(__xludf.DUMMYFUNCTION("""COMPUTED_VALUE"""),20.06)</f>
        <v>20.06</v>
      </c>
      <c r="F461" s="1">
        <f>IFERROR(__xludf.DUMMYFUNCTION("""COMPUTED_VALUE"""),808854.0)</f>
        <v>808854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IFERROR(__xludf.DUMMYFUNCTION("""COMPUTED_VALUE"""),20.62)</f>
        <v>20.62</v>
      </c>
      <c r="C462" s="1">
        <f>IFERROR(__xludf.DUMMYFUNCTION("""COMPUTED_VALUE"""),21.81)</f>
        <v>21.81</v>
      </c>
      <c r="D462" s="1">
        <f>IFERROR(__xludf.DUMMYFUNCTION("""COMPUTED_VALUE"""),20.4)</f>
        <v>20.4</v>
      </c>
      <c r="E462" s="1">
        <f>IFERROR(__xludf.DUMMYFUNCTION("""COMPUTED_VALUE"""),21.69)</f>
        <v>21.69</v>
      </c>
      <c r="F462" s="1">
        <f>IFERROR(__xludf.DUMMYFUNCTION("""COMPUTED_VALUE"""),1055602.0)</f>
        <v>1055602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IFERROR(__xludf.DUMMYFUNCTION("""COMPUTED_VALUE"""),21.41)</f>
        <v>21.41</v>
      </c>
      <c r="C463" s="1">
        <f>IFERROR(__xludf.DUMMYFUNCTION("""COMPUTED_VALUE"""),22.07)</f>
        <v>22.07</v>
      </c>
      <c r="D463" s="1">
        <f>IFERROR(__xludf.DUMMYFUNCTION("""COMPUTED_VALUE"""),19.91)</f>
        <v>19.91</v>
      </c>
      <c r="E463" s="1">
        <f>IFERROR(__xludf.DUMMYFUNCTION("""COMPUTED_VALUE"""),19.94)</f>
        <v>19.94</v>
      </c>
      <c r="F463" s="1">
        <f>IFERROR(__xludf.DUMMYFUNCTION("""COMPUTED_VALUE"""),830034.0)</f>
        <v>830034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IFERROR(__xludf.DUMMYFUNCTION("""COMPUTED_VALUE"""),17.99)</f>
        <v>17.99</v>
      </c>
      <c r="C464" s="1">
        <f>IFERROR(__xludf.DUMMYFUNCTION("""COMPUTED_VALUE"""),20.32)</f>
        <v>20.32</v>
      </c>
      <c r="D464" s="1">
        <f>IFERROR(__xludf.DUMMYFUNCTION("""COMPUTED_VALUE"""),17.9)</f>
        <v>17.9</v>
      </c>
      <c r="E464" s="1">
        <f>IFERROR(__xludf.DUMMYFUNCTION("""COMPUTED_VALUE"""),19.91)</f>
        <v>19.91</v>
      </c>
      <c r="F464" s="1">
        <f>IFERROR(__xludf.DUMMYFUNCTION("""COMPUTED_VALUE"""),1612455.0)</f>
        <v>1612455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IFERROR(__xludf.DUMMYFUNCTION("""COMPUTED_VALUE"""),20.37)</f>
        <v>20.37</v>
      </c>
      <c r="C465" s="1">
        <f>IFERROR(__xludf.DUMMYFUNCTION("""COMPUTED_VALUE"""),20.61)</f>
        <v>20.61</v>
      </c>
      <c r="D465" s="1">
        <f>IFERROR(__xludf.DUMMYFUNCTION("""COMPUTED_VALUE"""),20.05)</f>
        <v>20.05</v>
      </c>
      <c r="E465" s="1">
        <f>IFERROR(__xludf.DUMMYFUNCTION("""COMPUTED_VALUE"""),20.43)</f>
        <v>20.43</v>
      </c>
      <c r="F465" s="1">
        <f>IFERROR(__xludf.DUMMYFUNCTION("""COMPUTED_VALUE"""),808296.0)</f>
        <v>808296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IFERROR(__xludf.DUMMYFUNCTION("""COMPUTED_VALUE"""),20.62)</f>
        <v>20.62</v>
      </c>
      <c r="C466" s="1">
        <f>IFERROR(__xludf.DUMMYFUNCTION("""COMPUTED_VALUE"""),21.53)</f>
        <v>21.53</v>
      </c>
      <c r="D466" s="1">
        <f>IFERROR(__xludf.DUMMYFUNCTION("""COMPUTED_VALUE"""),20.35)</f>
        <v>20.35</v>
      </c>
      <c r="E466" s="1">
        <f>IFERROR(__xludf.DUMMYFUNCTION("""COMPUTED_VALUE"""),21.11)</f>
        <v>21.11</v>
      </c>
      <c r="F466" s="1">
        <f>IFERROR(__xludf.DUMMYFUNCTION("""COMPUTED_VALUE"""),709516.0)</f>
        <v>709516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IFERROR(__xludf.DUMMYFUNCTION("""COMPUTED_VALUE"""),20.93)</f>
        <v>20.93</v>
      </c>
      <c r="C467" s="1">
        <f>IFERROR(__xludf.DUMMYFUNCTION("""COMPUTED_VALUE"""),21.04)</f>
        <v>21.04</v>
      </c>
      <c r="D467" s="1">
        <f>IFERROR(__xludf.DUMMYFUNCTION("""COMPUTED_VALUE"""),20.28)</f>
        <v>20.28</v>
      </c>
      <c r="E467" s="1">
        <f>IFERROR(__xludf.DUMMYFUNCTION("""COMPUTED_VALUE"""),20.59)</f>
        <v>20.59</v>
      </c>
      <c r="F467" s="1">
        <f>IFERROR(__xludf.DUMMYFUNCTION("""COMPUTED_VALUE"""),503885.0)</f>
        <v>503885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IFERROR(__xludf.DUMMYFUNCTION("""COMPUTED_VALUE"""),20.54)</f>
        <v>20.54</v>
      </c>
      <c r="C468" s="1">
        <f>IFERROR(__xludf.DUMMYFUNCTION("""COMPUTED_VALUE"""),21.05)</f>
        <v>21.05</v>
      </c>
      <c r="D468" s="1">
        <f>IFERROR(__xludf.DUMMYFUNCTION("""COMPUTED_VALUE"""),20.39)</f>
        <v>20.39</v>
      </c>
      <c r="E468" s="1">
        <f>IFERROR(__xludf.DUMMYFUNCTION("""COMPUTED_VALUE"""),21.02)</f>
        <v>21.02</v>
      </c>
      <c r="F468" s="1">
        <f>IFERROR(__xludf.DUMMYFUNCTION("""COMPUTED_VALUE"""),364926.0)</f>
        <v>364926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IFERROR(__xludf.DUMMYFUNCTION("""COMPUTED_VALUE"""),21.1)</f>
        <v>21.1</v>
      </c>
      <c r="C469" s="1">
        <f>IFERROR(__xludf.DUMMYFUNCTION("""COMPUTED_VALUE"""),21.38)</f>
        <v>21.38</v>
      </c>
      <c r="D469" s="1">
        <f>IFERROR(__xludf.DUMMYFUNCTION("""COMPUTED_VALUE"""),20.74)</f>
        <v>20.74</v>
      </c>
      <c r="E469" s="1">
        <f>IFERROR(__xludf.DUMMYFUNCTION("""COMPUTED_VALUE"""),20.97)</f>
        <v>20.97</v>
      </c>
      <c r="F469" s="1">
        <f>IFERROR(__xludf.DUMMYFUNCTION("""COMPUTED_VALUE"""),395276.0)</f>
        <v>395276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IFERROR(__xludf.DUMMYFUNCTION("""COMPUTED_VALUE"""),20.55)</f>
        <v>20.55</v>
      </c>
      <c r="C470" s="1">
        <f>IFERROR(__xludf.DUMMYFUNCTION("""COMPUTED_VALUE"""),20.6)</f>
        <v>20.6</v>
      </c>
      <c r="D470" s="1">
        <f>IFERROR(__xludf.DUMMYFUNCTION("""COMPUTED_VALUE"""),20.16)</f>
        <v>20.16</v>
      </c>
      <c r="E470" s="1">
        <f>IFERROR(__xludf.DUMMYFUNCTION("""COMPUTED_VALUE"""),20.28)</f>
        <v>20.28</v>
      </c>
      <c r="F470" s="1">
        <f>IFERROR(__xludf.DUMMYFUNCTION("""COMPUTED_VALUE"""),384842.0)</f>
        <v>384842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IFERROR(__xludf.DUMMYFUNCTION("""COMPUTED_VALUE"""),20.52)</f>
        <v>20.52</v>
      </c>
      <c r="C471" s="1">
        <f>IFERROR(__xludf.DUMMYFUNCTION("""COMPUTED_VALUE"""),20.52)</f>
        <v>20.52</v>
      </c>
      <c r="D471" s="1">
        <f>IFERROR(__xludf.DUMMYFUNCTION("""COMPUTED_VALUE"""),20.0)</f>
        <v>20</v>
      </c>
      <c r="E471" s="1">
        <f>IFERROR(__xludf.DUMMYFUNCTION("""COMPUTED_VALUE"""),20.09)</f>
        <v>20.09</v>
      </c>
      <c r="F471" s="1">
        <f>IFERROR(__xludf.DUMMYFUNCTION("""COMPUTED_VALUE"""),290933.0)</f>
        <v>290933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IFERROR(__xludf.DUMMYFUNCTION("""COMPUTED_VALUE"""),20.2)</f>
        <v>20.2</v>
      </c>
      <c r="C472" s="1">
        <f>IFERROR(__xludf.DUMMYFUNCTION("""COMPUTED_VALUE"""),20.68)</f>
        <v>20.68</v>
      </c>
      <c r="D472" s="1">
        <f>IFERROR(__xludf.DUMMYFUNCTION("""COMPUTED_VALUE"""),20.16)</f>
        <v>20.16</v>
      </c>
      <c r="E472" s="1">
        <f>IFERROR(__xludf.DUMMYFUNCTION("""COMPUTED_VALUE"""),20.53)</f>
        <v>20.53</v>
      </c>
      <c r="F472" s="1">
        <f>IFERROR(__xludf.DUMMYFUNCTION("""COMPUTED_VALUE"""),186424.0)</f>
        <v>186424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IFERROR(__xludf.DUMMYFUNCTION("""COMPUTED_VALUE"""),20.5)</f>
        <v>20.5</v>
      </c>
      <c r="C473" s="1">
        <f>IFERROR(__xludf.DUMMYFUNCTION("""COMPUTED_VALUE"""),20.51)</f>
        <v>20.51</v>
      </c>
      <c r="D473" s="1">
        <f>IFERROR(__xludf.DUMMYFUNCTION("""COMPUTED_VALUE"""),19.77)</f>
        <v>19.77</v>
      </c>
      <c r="E473" s="1">
        <f>IFERROR(__xludf.DUMMYFUNCTION("""COMPUTED_VALUE"""),19.88)</f>
        <v>19.88</v>
      </c>
      <c r="F473" s="1">
        <f>IFERROR(__xludf.DUMMYFUNCTION("""COMPUTED_VALUE"""),399564.0)</f>
        <v>399564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IFERROR(__xludf.DUMMYFUNCTION("""COMPUTED_VALUE"""),19.81)</f>
        <v>19.81</v>
      </c>
      <c r="C474" s="1">
        <f>IFERROR(__xludf.DUMMYFUNCTION("""COMPUTED_VALUE"""),19.91)</f>
        <v>19.91</v>
      </c>
      <c r="D474" s="1">
        <f>IFERROR(__xludf.DUMMYFUNCTION("""COMPUTED_VALUE"""),19.58)</f>
        <v>19.58</v>
      </c>
      <c r="E474" s="1">
        <f>IFERROR(__xludf.DUMMYFUNCTION("""COMPUTED_VALUE"""),19.77)</f>
        <v>19.77</v>
      </c>
      <c r="F474" s="1">
        <f>IFERROR(__xludf.DUMMYFUNCTION("""COMPUTED_VALUE"""),490992.0)</f>
        <v>490992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IFERROR(__xludf.DUMMYFUNCTION("""COMPUTED_VALUE"""),19.61)</f>
        <v>19.61</v>
      </c>
      <c r="C475" s="1">
        <f>IFERROR(__xludf.DUMMYFUNCTION("""COMPUTED_VALUE"""),21.2)</f>
        <v>21.2</v>
      </c>
      <c r="D475" s="1">
        <f>IFERROR(__xludf.DUMMYFUNCTION("""COMPUTED_VALUE"""),19.54)</f>
        <v>19.54</v>
      </c>
      <c r="E475" s="1">
        <f>IFERROR(__xludf.DUMMYFUNCTION("""COMPUTED_VALUE"""),20.66)</f>
        <v>20.66</v>
      </c>
      <c r="F475" s="1">
        <f>IFERROR(__xludf.DUMMYFUNCTION("""COMPUTED_VALUE"""),845389.0)</f>
        <v>845389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IFERROR(__xludf.DUMMYFUNCTION("""COMPUTED_VALUE"""),20.65)</f>
        <v>20.65</v>
      </c>
      <c r="C476" s="1">
        <f>IFERROR(__xludf.DUMMYFUNCTION("""COMPUTED_VALUE"""),20.92)</f>
        <v>20.92</v>
      </c>
      <c r="D476" s="1">
        <f>IFERROR(__xludf.DUMMYFUNCTION("""COMPUTED_VALUE"""),20.51)</f>
        <v>20.51</v>
      </c>
      <c r="E476" s="1">
        <f>IFERROR(__xludf.DUMMYFUNCTION("""COMPUTED_VALUE"""),20.69)</f>
        <v>20.69</v>
      </c>
      <c r="F476" s="1">
        <f>IFERROR(__xludf.DUMMYFUNCTION("""COMPUTED_VALUE"""),586319.0)</f>
        <v>586319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IFERROR(__xludf.DUMMYFUNCTION("""COMPUTED_VALUE"""),20.77)</f>
        <v>20.77</v>
      </c>
      <c r="C477" s="1">
        <f>IFERROR(__xludf.DUMMYFUNCTION("""COMPUTED_VALUE"""),21.07)</f>
        <v>21.07</v>
      </c>
      <c r="D477" s="1">
        <f>IFERROR(__xludf.DUMMYFUNCTION("""COMPUTED_VALUE"""),20.72)</f>
        <v>20.72</v>
      </c>
      <c r="E477" s="1">
        <f>IFERROR(__xludf.DUMMYFUNCTION("""COMPUTED_VALUE"""),20.92)</f>
        <v>20.92</v>
      </c>
      <c r="F477" s="1">
        <f>IFERROR(__xludf.DUMMYFUNCTION("""COMPUTED_VALUE"""),593799.0)</f>
        <v>593799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IFERROR(__xludf.DUMMYFUNCTION("""COMPUTED_VALUE"""),20.59)</f>
        <v>20.59</v>
      </c>
      <c r="C478" s="1">
        <f>IFERROR(__xludf.DUMMYFUNCTION("""COMPUTED_VALUE"""),20.76)</f>
        <v>20.76</v>
      </c>
      <c r="D478" s="1">
        <f>IFERROR(__xludf.DUMMYFUNCTION("""COMPUTED_VALUE"""),20.04)</f>
        <v>20.04</v>
      </c>
      <c r="E478" s="1">
        <f>IFERROR(__xludf.DUMMYFUNCTION("""COMPUTED_VALUE"""),20.2)</f>
        <v>20.2</v>
      </c>
      <c r="F478" s="1">
        <f>IFERROR(__xludf.DUMMYFUNCTION("""COMPUTED_VALUE"""),539625.0)</f>
        <v>539625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IFERROR(__xludf.DUMMYFUNCTION("""COMPUTED_VALUE"""),20.15)</f>
        <v>20.15</v>
      </c>
      <c r="C479" s="1">
        <f>IFERROR(__xludf.DUMMYFUNCTION("""COMPUTED_VALUE"""),20.25)</f>
        <v>20.25</v>
      </c>
      <c r="D479" s="1">
        <f>IFERROR(__xludf.DUMMYFUNCTION("""COMPUTED_VALUE"""),19.66)</f>
        <v>19.66</v>
      </c>
      <c r="E479" s="1">
        <f>IFERROR(__xludf.DUMMYFUNCTION("""COMPUTED_VALUE"""),19.7)</f>
        <v>19.7</v>
      </c>
      <c r="F479" s="1">
        <f>IFERROR(__xludf.DUMMYFUNCTION("""COMPUTED_VALUE"""),344065.0)</f>
        <v>344065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IFERROR(__xludf.DUMMYFUNCTION("""COMPUTED_VALUE"""),19.46)</f>
        <v>19.46</v>
      </c>
      <c r="C480" s="1">
        <f>IFERROR(__xludf.DUMMYFUNCTION("""COMPUTED_VALUE"""),19.55)</f>
        <v>19.55</v>
      </c>
      <c r="D480" s="1">
        <f>IFERROR(__xludf.DUMMYFUNCTION("""COMPUTED_VALUE"""),19.05)</f>
        <v>19.05</v>
      </c>
      <c r="E480" s="1">
        <f>IFERROR(__xludf.DUMMYFUNCTION("""COMPUTED_VALUE"""),19.18)</f>
        <v>19.18</v>
      </c>
      <c r="F480" s="1">
        <f>IFERROR(__xludf.DUMMYFUNCTION("""COMPUTED_VALUE"""),466986.0)</f>
        <v>466986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IFERROR(__xludf.DUMMYFUNCTION("""COMPUTED_VALUE"""),19.12)</f>
        <v>19.12</v>
      </c>
      <c r="C481" s="1">
        <f>IFERROR(__xludf.DUMMYFUNCTION("""COMPUTED_VALUE"""),19.28)</f>
        <v>19.28</v>
      </c>
      <c r="D481" s="1">
        <f>IFERROR(__xludf.DUMMYFUNCTION("""COMPUTED_VALUE"""),18.96)</f>
        <v>18.96</v>
      </c>
      <c r="E481" s="1">
        <f>IFERROR(__xludf.DUMMYFUNCTION("""COMPUTED_VALUE"""),19.04)</f>
        <v>19.04</v>
      </c>
      <c r="F481" s="1">
        <f>IFERROR(__xludf.DUMMYFUNCTION("""COMPUTED_VALUE"""),143118.0)</f>
        <v>143118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IFERROR(__xludf.DUMMYFUNCTION("""COMPUTED_VALUE"""),19.51)</f>
        <v>19.51</v>
      </c>
      <c r="C482" s="1">
        <f>IFERROR(__xludf.DUMMYFUNCTION("""COMPUTED_VALUE"""),19.8)</f>
        <v>19.8</v>
      </c>
      <c r="D482" s="1">
        <f>IFERROR(__xludf.DUMMYFUNCTION("""COMPUTED_VALUE"""),19.37)</f>
        <v>19.37</v>
      </c>
      <c r="E482" s="1">
        <f>IFERROR(__xludf.DUMMYFUNCTION("""COMPUTED_VALUE"""),19.55)</f>
        <v>19.55</v>
      </c>
      <c r="F482" s="1">
        <f>IFERROR(__xludf.DUMMYFUNCTION("""COMPUTED_VALUE"""),308564.0)</f>
        <v>308564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IFERROR(__xludf.DUMMYFUNCTION("""COMPUTED_VALUE"""),19.55)</f>
        <v>19.55</v>
      </c>
      <c r="C483" s="1">
        <f>IFERROR(__xludf.DUMMYFUNCTION("""COMPUTED_VALUE"""),19.63)</f>
        <v>19.63</v>
      </c>
      <c r="D483" s="1">
        <f>IFERROR(__xludf.DUMMYFUNCTION("""COMPUTED_VALUE"""),19.24)</f>
        <v>19.24</v>
      </c>
      <c r="E483" s="1">
        <f>IFERROR(__xludf.DUMMYFUNCTION("""COMPUTED_VALUE"""),19.29)</f>
        <v>19.29</v>
      </c>
      <c r="F483" s="1">
        <f>IFERROR(__xludf.DUMMYFUNCTION("""COMPUTED_VALUE"""),384778.0)</f>
        <v>384778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IFERROR(__xludf.DUMMYFUNCTION("""COMPUTED_VALUE"""),19.91)</f>
        <v>19.91</v>
      </c>
      <c r="C484" s="1">
        <f>IFERROR(__xludf.DUMMYFUNCTION("""COMPUTED_VALUE"""),20.59)</f>
        <v>20.59</v>
      </c>
      <c r="D484" s="1">
        <f>IFERROR(__xludf.DUMMYFUNCTION("""COMPUTED_VALUE"""),19.69)</f>
        <v>19.69</v>
      </c>
      <c r="E484" s="1">
        <f>IFERROR(__xludf.DUMMYFUNCTION("""COMPUTED_VALUE"""),20.57)</f>
        <v>20.57</v>
      </c>
      <c r="F484" s="1">
        <f>IFERROR(__xludf.DUMMYFUNCTION("""COMPUTED_VALUE"""),239381.0)</f>
        <v>239381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IFERROR(__xludf.DUMMYFUNCTION("""COMPUTED_VALUE"""),20.6)</f>
        <v>20.6</v>
      </c>
      <c r="C485" s="1">
        <f>IFERROR(__xludf.DUMMYFUNCTION("""COMPUTED_VALUE"""),20.94)</f>
        <v>20.94</v>
      </c>
      <c r="D485" s="1">
        <f>IFERROR(__xludf.DUMMYFUNCTION("""COMPUTED_VALUE"""),20.39)</f>
        <v>20.39</v>
      </c>
      <c r="E485" s="1">
        <f>IFERROR(__xludf.DUMMYFUNCTION("""COMPUTED_VALUE"""),20.49)</f>
        <v>20.49</v>
      </c>
      <c r="F485" s="1">
        <f>IFERROR(__xludf.DUMMYFUNCTION("""COMPUTED_VALUE"""),340629.0)</f>
        <v>340629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IFERROR(__xludf.DUMMYFUNCTION("""COMPUTED_VALUE"""),20.7)</f>
        <v>20.7</v>
      </c>
      <c r="C486" s="1">
        <f>IFERROR(__xludf.DUMMYFUNCTION("""COMPUTED_VALUE"""),20.85)</f>
        <v>20.85</v>
      </c>
      <c r="D486" s="1">
        <f>IFERROR(__xludf.DUMMYFUNCTION("""COMPUTED_VALUE"""),20.44)</f>
        <v>20.44</v>
      </c>
      <c r="E486" s="1">
        <f>IFERROR(__xludf.DUMMYFUNCTION("""COMPUTED_VALUE"""),20.65)</f>
        <v>20.65</v>
      </c>
      <c r="F486" s="1">
        <f>IFERROR(__xludf.DUMMYFUNCTION("""COMPUTED_VALUE"""),468300.0)</f>
        <v>468300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IFERROR(__xludf.DUMMYFUNCTION("""COMPUTED_VALUE"""),20.9)</f>
        <v>20.9</v>
      </c>
      <c r="C487" s="1">
        <f>IFERROR(__xludf.DUMMYFUNCTION("""COMPUTED_VALUE"""),20.9)</f>
        <v>20.9</v>
      </c>
      <c r="D487" s="1">
        <f>IFERROR(__xludf.DUMMYFUNCTION("""COMPUTED_VALUE"""),20.23)</f>
        <v>20.23</v>
      </c>
      <c r="E487" s="1">
        <f>IFERROR(__xludf.DUMMYFUNCTION("""COMPUTED_VALUE"""),20.3)</f>
        <v>20.3</v>
      </c>
      <c r="F487" s="1">
        <f>IFERROR(__xludf.DUMMYFUNCTION("""COMPUTED_VALUE"""),419642.0)</f>
        <v>419642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IFERROR(__xludf.DUMMYFUNCTION("""COMPUTED_VALUE"""),20.39)</f>
        <v>20.39</v>
      </c>
      <c r="C488" s="1">
        <f>IFERROR(__xludf.DUMMYFUNCTION("""COMPUTED_VALUE"""),20.4)</f>
        <v>20.4</v>
      </c>
      <c r="D488" s="1">
        <f>IFERROR(__xludf.DUMMYFUNCTION("""COMPUTED_VALUE"""),19.95)</f>
        <v>19.95</v>
      </c>
      <c r="E488" s="1">
        <f>IFERROR(__xludf.DUMMYFUNCTION("""COMPUTED_VALUE"""),20.05)</f>
        <v>20.05</v>
      </c>
      <c r="F488" s="1">
        <f>IFERROR(__xludf.DUMMYFUNCTION("""COMPUTED_VALUE"""),272398.0)</f>
        <v>272398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IFERROR(__xludf.DUMMYFUNCTION("""COMPUTED_VALUE"""),20.04)</f>
        <v>20.04</v>
      </c>
      <c r="C489" s="1">
        <f>IFERROR(__xludf.DUMMYFUNCTION("""COMPUTED_VALUE"""),20.13)</f>
        <v>20.13</v>
      </c>
      <c r="D489" s="1">
        <f>IFERROR(__xludf.DUMMYFUNCTION("""COMPUTED_VALUE"""),19.83)</f>
        <v>19.83</v>
      </c>
      <c r="E489" s="1">
        <f>IFERROR(__xludf.DUMMYFUNCTION("""COMPUTED_VALUE"""),20.03)</f>
        <v>20.03</v>
      </c>
      <c r="F489" s="1">
        <f>IFERROR(__xludf.DUMMYFUNCTION("""COMPUTED_VALUE"""),664407.0)</f>
        <v>664407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IFERROR(__xludf.DUMMYFUNCTION("""COMPUTED_VALUE"""),19.88)</f>
        <v>19.88</v>
      </c>
      <c r="C490" s="1">
        <f>IFERROR(__xludf.DUMMYFUNCTION("""COMPUTED_VALUE"""),19.96)</f>
        <v>19.96</v>
      </c>
      <c r="D490" s="1">
        <f>IFERROR(__xludf.DUMMYFUNCTION("""COMPUTED_VALUE"""),19.54)</f>
        <v>19.54</v>
      </c>
      <c r="E490" s="1">
        <f>IFERROR(__xludf.DUMMYFUNCTION("""COMPUTED_VALUE"""),19.57)</f>
        <v>19.57</v>
      </c>
      <c r="F490" s="1">
        <f>IFERROR(__xludf.DUMMYFUNCTION("""COMPUTED_VALUE"""),245435.0)</f>
        <v>245435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IFERROR(__xludf.DUMMYFUNCTION("""COMPUTED_VALUE"""),19.62)</f>
        <v>19.62</v>
      </c>
      <c r="C491" s="1">
        <f>IFERROR(__xludf.DUMMYFUNCTION("""COMPUTED_VALUE"""),20.02)</f>
        <v>20.02</v>
      </c>
      <c r="D491" s="1">
        <f>IFERROR(__xludf.DUMMYFUNCTION("""COMPUTED_VALUE"""),19.47)</f>
        <v>19.47</v>
      </c>
      <c r="E491" s="1">
        <f>IFERROR(__xludf.DUMMYFUNCTION("""COMPUTED_VALUE"""),19.96)</f>
        <v>19.96</v>
      </c>
      <c r="F491" s="1">
        <f>IFERROR(__xludf.DUMMYFUNCTION("""COMPUTED_VALUE"""),391359.0)</f>
        <v>391359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IFERROR(__xludf.DUMMYFUNCTION("""COMPUTED_VALUE"""),20.04)</f>
        <v>20.04</v>
      </c>
      <c r="C492" s="1">
        <f>IFERROR(__xludf.DUMMYFUNCTION("""COMPUTED_VALUE"""),20.67)</f>
        <v>20.67</v>
      </c>
      <c r="D492" s="1">
        <f>IFERROR(__xludf.DUMMYFUNCTION("""COMPUTED_VALUE"""),19.77)</f>
        <v>19.77</v>
      </c>
      <c r="E492" s="1">
        <f>IFERROR(__xludf.DUMMYFUNCTION("""COMPUTED_VALUE"""),20.65)</f>
        <v>20.65</v>
      </c>
      <c r="F492" s="1">
        <f>IFERROR(__xludf.DUMMYFUNCTION("""COMPUTED_VALUE"""),597773.0)</f>
        <v>597773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IFERROR(__xludf.DUMMYFUNCTION("""COMPUTED_VALUE"""),20.66)</f>
        <v>20.66</v>
      </c>
      <c r="C493" s="1">
        <f>IFERROR(__xludf.DUMMYFUNCTION("""COMPUTED_VALUE"""),20.88)</f>
        <v>20.88</v>
      </c>
      <c r="D493" s="1">
        <f>IFERROR(__xludf.DUMMYFUNCTION("""COMPUTED_VALUE"""),19.92)</f>
        <v>19.92</v>
      </c>
      <c r="E493" s="1">
        <f>IFERROR(__xludf.DUMMYFUNCTION("""COMPUTED_VALUE"""),20.14)</f>
        <v>20.14</v>
      </c>
      <c r="F493" s="1">
        <f>IFERROR(__xludf.DUMMYFUNCTION("""COMPUTED_VALUE"""),574934.0)</f>
        <v>574934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IFERROR(__xludf.DUMMYFUNCTION("""COMPUTED_VALUE"""),19.98)</f>
        <v>19.98</v>
      </c>
      <c r="C494" s="1">
        <f>IFERROR(__xludf.DUMMYFUNCTION("""COMPUTED_VALUE"""),20.14)</f>
        <v>20.14</v>
      </c>
      <c r="D494" s="1">
        <f>IFERROR(__xludf.DUMMYFUNCTION("""COMPUTED_VALUE"""),19.81)</f>
        <v>19.81</v>
      </c>
      <c r="E494" s="1">
        <f>IFERROR(__xludf.DUMMYFUNCTION("""COMPUTED_VALUE"""),19.9)</f>
        <v>19.9</v>
      </c>
      <c r="F494" s="1">
        <f>IFERROR(__xludf.DUMMYFUNCTION("""COMPUTED_VALUE"""),433110.0)</f>
        <v>433110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IFERROR(__xludf.DUMMYFUNCTION("""COMPUTED_VALUE"""),20.07)</f>
        <v>20.07</v>
      </c>
      <c r="C495" s="1">
        <f>IFERROR(__xludf.DUMMYFUNCTION("""COMPUTED_VALUE"""),20.07)</f>
        <v>20.07</v>
      </c>
      <c r="D495" s="1">
        <f>IFERROR(__xludf.DUMMYFUNCTION("""COMPUTED_VALUE"""),19.72)</f>
        <v>19.72</v>
      </c>
      <c r="E495" s="1">
        <f>IFERROR(__xludf.DUMMYFUNCTION("""COMPUTED_VALUE"""),19.79)</f>
        <v>19.79</v>
      </c>
      <c r="F495" s="1">
        <f>IFERROR(__xludf.DUMMYFUNCTION("""COMPUTED_VALUE"""),346532.0)</f>
        <v>346532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IFERROR(__xludf.DUMMYFUNCTION("""COMPUTED_VALUE"""),19.93)</f>
        <v>19.93</v>
      </c>
      <c r="C496" s="1">
        <f>IFERROR(__xludf.DUMMYFUNCTION("""COMPUTED_VALUE"""),20.5)</f>
        <v>20.5</v>
      </c>
      <c r="D496" s="1">
        <f>IFERROR(__xludf.DUMMYFUNCTION("""COMPUTED_VALUE"""),19.84)</f>
        <v>19.84</v>
      </c>
      <c r="E496" s="1">
        <f>IFERROR(__xludf.DUMMYFUNCTION("""COMPUTED_VALUE"""),20.06)</f>
        <v>20.06</v>
      </c>
      <c r="F496" s="1">
        <f>IFERROR(__xludf.DUMMYFUNCTION("""COMPUTED_VALUE"""),415526.0)</f>
        <v>415526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IFERROR(__xludf.DUMMYFUNCTION("""COMPUTED_VALUE"""),20.22)</f>
        <v>20.22</v>
      </c>
      <c r="C497" s="1">
        <f>IFERROR(__xludf.DUMMYFUNCTION("""COMPUTED_VALUE"""),20.57)</f>
        <v>20.57</v>
      </c>
      <c r="D497" s="1">
        <f>IFERROR(__xludf.DUMMYFUNCTION("""COMPUTED_VALUE"""),20.05)</f>
        <v>20.05</v>
      </c>
      <c r="E497" s="1">
        <f>IFERROR(__xludf.DUMMYFUNCTION("""COMPUTED_VALUE"""),20.54)</f>
        <v>20.54</v>
      </c>
      <c r="F497" s="1">
        <f>IFERROR(__xludf.DUMMYFUNCTION("""COMPUTED_VALUE"""),369248.0)</f>
        <v>369248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IFERROR(__xludf.DUMMYFUNCTION("""COMPUTED_VALUE"""),20.94)</f>
        <v>20.94</v>
      </c>
      <c r="C498" s="1">
        <f>IFERROR(__xludf.DUMMYFUNCTION("""COMPUTED_VALUE"""),22.07)</f>
        <v>22.07</v>
      </c>
      <c r="D498" s="1">
        <f>IFERROR(__xludf.DUMMYFUNCTION("""COMPUTED_VALUE"""),20.82)</f>
        <v>20.82</v>
      </c>
      <c r="E498" s="1">
        <f>IFERROR(__xludf.DUMMYFUNCTION("""COMPUTED_VALUE"""),21.79)</f>
        <v>21.79</v>
      </c>
      <c r="F498" s="1">
        <f>IFERROR(__xludf.DUMMYFUNCTION("""COMPUTED_VALUE"""),778720.0)</f>
        <v>778720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IFERROR(__xludf.DUMMYFUNCTION("""COMPUTED_VALUE"""),21.61)</f>
        <v>21.61</v>
      </c>
      <c r="C499" s="1">
        <f>IFERROR(__xludf.DUMMYFUNCTION("""COMPUTED_VALUE"""),21.77)</f>
        <v>21.77</v>
      </c>
      <c r="D499" s="1">
        <f>IFERROR(__xludf.DUMMYFUNCTION("""COMPUTED_VALUE"""),20.88)</f>
        <v>20.88</v>
      </c>
      <c r="E499" s="1">
        <f>IFERROR(__xludf.DUMMYFUNCTION("""COMPUTED_VALUE"""),21.67)</f>
        <v>21.67</v>
      </c>
      <c r="F499" s="1">
        <f>IFERROR(__xludf.DUMMYFUNCTION("""COMPUTED_VALUE"""),679484.0)</f>
        <v>679484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IFERROR(__xludf.DUMMYFUNCTION("""COMPUTED_VALUE"""),21.7)</f>
        <v>21.7</v>
      </c>
      <c r="C500" s="1">
        <f>IFERROR(__xludf.DUMMYFUNCTION("""COMPUTED_VALUE"""),22.74)</f>
        <v>22.74</v>
      </c>
      <c r="D500" s="1">
        <f>IFERROR(__xludf.DUMMYFUNCTION("""COMPUTED_VALUE"""),21.67)</f>
        <v>21.67</v>
      </c>
      <c r="E500" s="1">
        <f>IFERROR(__xludf.DUMMYFUNCTION("""COMPUTED_VALUE"""),22.44)</f>
        <v>22.44</v>
      </c>
      <c r="F500" s="1">
        <f>IFERROR(__xludf.DUMMYFUNCTION("""COMPUTED_VALUE"""),523116.0)</f>
        <v>523116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IFERROR(__xludf.DUMMYFUNCTION("""COMPUTED_VALUE"""),22.57)</f>
        <v>22.57</v>
      </c>
      <c r="C501" s="1">
        <f>IFERROR(__xludf.DUMMYFUNCTION("""COMPUTED_VALUE"""),22.73)</f>
        <v>22.73</v>
      </c>
      <c r="D501" s="1">
        <f>IFERROR(__xludf.DUMMYFUNCTION("""COMPUTED_VALUE"""),22.09)</f>
        <v>22.09</v>
      </c>
      <c r="E501" s="1">
        <f>IFERROR(__xludf.DUMMYFUNCTION("""COMPUTED_VALUE"""),22.2)</f>
        <v>22.2</v>
      </c>
      <c r="F501" s="1">
        <f>IFERROR(__xludf.DUMMYFUNCTION("""COMPUTED_VALUE"""),322961.0)</f>
        <v>322961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IFERROR(__xludf.DUMMYFUNCTION("""COMPUTED_VALUE"""),22.23)</f>
        <v>22.23</v>
      </c>
      <c r="C502" s="1">
        <f>IFERROR(__xludf.DUMMYFUNCTION("""COMPUTED_VALUE"""),22.52)</f>
        <v>22.52</v>
      </c>
      <c r="D502" s="1">
        <f>IFERROR(__xludf.DUMMYFUNCTION("""COMPUTED_VALUE"""),21.9)</f>
        <v>21.9</v>
      </c>
      <c r="E502" s="1">
        <f>IFERROR(__xludf.DUMMYFUNCTION("""COMPUTED_VALUE"""),22.37)</f>
        <v>22.37</v>
      </c>
      <c r="F502" s="1">
        <f>IFERROR(__xludf.DUMMYFUNCTION("""COMPUTED_VALUE"""),139389.0)</f>
        <v>139389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IFERROR(__xludf.DUMMYFUNCTION("""COMPUTED_VALUE"""),22.19)</f>
        <v>22.19</v>
      </c>
      <c r="C503" s="1">
        <f>IFERROR(__xludf.DUMMYFUNCTION("""COMPUTED_VALUE"""),22.31)</f>
        <v>22.31</v>
      </c>
      <c r="D503" s="1">
        <f>IFERROR(__xludf.DUMMYFUNCTION("""COMPUTED_VALUE"""),21.86)</f>
        <v>21.86</v>
      </c>
      <c r="E503" s="1">
        <f>IFERROR(__xludf.DUMMYFUNCTION("""COMPUTED_VALUE"""),21.94)</f>
        <v>21.94</v>
      </c>
      <c r="F503" s="1">
        <f>IFERROR(__xludf.DUMMYFUNCTION("""COMPUTED_VALUE"""),269172.0)</f>
        <v>269172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IFERROR(__xludf.DUMMYFUNCTION("""COMPUTED_VALUE"""),21.96)</f>
        <v>21.96</v>
      </c>
      <c r="C504" s="1">
        <f>IFERROR(__xludf.DUMMYFUNCTION("""COMPUTED_VALUE"""),22.19)</f>
        <v>22.19</v>
      </c>
      <c r="D504" s="1">
        <f>IFERROR(__xludf.DUMMYFUNCTION("""COMPUTED_VALUE"""),21.77)</f>
        <v>21.77</v>
      </c>
      <c r="E504" s="1">
        <f>IFERROR(__xludf.DUMMYFUNCTION("""COMPUTED_VALUE"""),22.01)</f>
        <v>22.01</v>
      </c>
      <c r="F504" s="1">
        <f>IFERROR(__xludf.DUMMYFUNCTION("""COMPUTED_VALUE"""),122922.0)</f>
        <v>122922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IFERROR(__xludf.DUMMYFUNCTION("""COMPUTED_VALUE"""),21.94)</f>
        <v>21.94</v>
      </c>
      <c r="C505" s="1">
        <f>IFERROR(__xludf.DUMMYFUNCTION("""COMPUTED_VALUE"""),22.24)</f>
        <v>22.24</v>
      </c>
      <c r="D505" s="1">
        <f>IFERROR(__xludf.DUMMYFUNCTION("""COMPUTED_VALUE"""),21.73)</f>
        <v>21.73</v>
      </c>
      <c r="E505" s="1">
        <f>IFERROR(__xludf.DUMMYFUNCTION("""COMPUTED_VALUE"""),22.08)</f>
        <v>22.08</v>
      </c>
      <c r="F505" s="1">
        <f>IFERROR(__xludf.DUMMYFUNCTION("""COMPUTED_VALUE"""),152823.0)</f>
        <v>152823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IFERROR(__xludf.DUMMYFUNCTION("""COMPUTED_VALUE"""),22.38)</f>
        <v>22.38</v>
      </c>
      <c r="C506" s="1">
        <f>IFERROR(__xludf.DUMMYFUNCTION("""COMPUTED_VALUE"""),22.51)</f>
        <v>22.51</v>
      </c>
      <c r="D506" s="1">
        <f>IFERROR(__xludf.DUMMYFUNCTION("""COMPUTED_VALUE"""),21.43)</f>
        <v>21.43</v>
      </c>
      <c r="E506" s="1">
        <f>IFERROR(__xludf.DUMMYFUNCTION("""COMPUTED_VALUE"""),21.85)</f>
        <v>21.85</v>
      </c>
      <c r="F506" s="1">
        <f>IFERROR(__xludf.DUMMYFUNCTION("""COMPUTED_VALUE"""),569344.0)</f>
        <v>569344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IFERROR(__xludf.DUMMYFUNCTION("""COMPUTED_VALUE"""),21.83)</f>
        <v>21.83</v>
      </c>
      <c r="C507" s="1">
        <f>IFERROR(__xludf.DUMMYFUNCTION("""COMPUTED_VALUE"""),22.31)</f>
        <v>22.31</v>
      </c>
      <c r="D507" s="1">
        <f>IFERROR(__xludf.DUMMYFUNCTION("""COMPUTED_VALUE"""),21.72)</f>
        <v>21.72</v>
      </c>
      <c r="E507" s="1">
        <f>IFERROR(__xludf.DUMMYFUNCTION("""COMPUTED_VALUE"""),22.09)</f>
        <v>22.09</v>
      </c>
      <c r="F507" s="1">
        <f>IFERROR(__xludf.DUMMYFUNCTION("""COMPUTED_VALUE"""),275940.0)</f>
        <v>275940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IFERROR(__xludf.DUMMYFUNCTION("""COMPUTED_VALUE"""),21.95)</f>
        <v>21.95</v>
      </c>
      <c r="C508" s="1">
        <f>IFERROR(__xludf.DUMMYFUNCTION("""COMPUTED_VALUE"""),21.95)</f>
        <v>21.95</v>
      </c>
      <c r="D508" s="1">
        <f>IFERROR(__xludf.DUMMYFUNCTION("""COMPUTED_VALUE"""),21.44)</f>
        <v>21.44</v>
      </c>
      <c r="E508" s="1">
        <f>IFERROR(__xludf.DUMMYFUNCTION("""COMPUTED_VALUE"""),21.56)</f>
        <v>21.56</v>
      </c>
      <c r="F508" s="1">
        <f>IFERROR(__xludf.DUMMYFUNCTION("""COMPUTED_VALUE"""),257947.0)</f>
        <v>257947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IFERROR(__xludf.DUMMYFUNCTION("""COMPUTED_VALUE"""),21.61)</f>
        <v>21.61</v>
      </c>
      <c r="C509" s="1">
        <f>IFERROR(__xludf.DUMMYFUNCTION("""COMPUTED_VALUE"""),21.61)</f>
        <v>21.61</v>
      </c>
      <c r="D509" s="1">
        <f>IFERROR(__xludf.DUMMYFUNCTION("""COMPUTED_VALUE"""),21.16)</f>
        <v>21.16</v>
      </c>
      <c r="E509" s="1">
        <f>IFERROR(__xludf.DUMMYFUNCTION("""COMPUTED_VALUE"""),21.3)</f>
        <v>21.3</v>
      </c>
      <c r="F509" s="1">
        <f>IFERROR(__xludf.DUMMYFUNCTION("""COMPUTED_VALUE"""),223323.0)</f>
        <v>223323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IFERROR(__xludf.DUMMYFUNCTION("""COMPUTED_VALUE"""),21.4)</f>
        <v>21.4</v>
      </c>
      <c r="C510" s="1">
        <f>IFERROR(__xludf.DUMMYFUNCTION("""COMPUTED_VALUE"""),21.43)</f>
        <v>21.43</v>
      </c>
      <c r="D510" s="1">
        <f>IFERROR(__xludf.DUMMYFUNCTION("""COMPUTED_VALUE"""),20.96)</f>
        <v>20.96</v>
      </c>
      <c r="E510" s="1">
        <f>IFERROR(__xludf.DUMMYFUNCTION("""COMPUTED_VALUE"""),21.2)</f>
        <v>21.2</v>
      </c>
      <c r="F510" s="1">
        <f>IFERROR(__xludf.DUMMYFUNCTION("""COMPUTED_VALUE"""),191497.0)</f>
        <v>191497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IFERROR(__xludf.DUMMYFUNCTION("""COMPUTED_VALUE"""),21.4)</f>
        <v>21.4</v>
      </c>
      <c r="C511" s="1">
        <f>IFERROR(__xludf.DUMMYFUNCTION("""COMPUTED_VALUE"""),22.0)</f>
        <v>22</v>
      </c>
      <c r="D511" s="1">
        <f>IFERROR(__xludf.DUMMYFUNCTION("""COMPUTED_VALUE"""),21.4)</f>
        <v>21.4</v>
      </c>
      <c r="E511" s="1">
        <f>IFERROR(__xludf.DUMMYFUNCTION("""COMPUTED_VALUE"""),21.68)</f>
        <v>21.68</v>
      </c>
      <c r="F511" s="1">
        <f>IFERROR(__xludf.DUMMYFUNCTION("""COMPUTED_VALUE"""),244013.0)</f>
        <v>244013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IFERROR(__xludf.DUMMYFUNCTION("""COMPUTED_VALUE"""),21.6)</f>
        <v>21.6</v>
      </c>
      <c r="C512" s="1">
        <f>IFERROR(__xludf.DUMMYFUNCTION("""COMPUTED_VALUE"""),21.81)</f>
        <v>21.81</v>
      </c>
      <c r="D512" s="1">
        <f>IFERROR(__xludf.DUMMYFUNCTION("""COMPUTED_VALUE"""),21.41)</f>
        <v>21.41</v>
      </c>
      <c r="E512" s="1">
        <f>IFERROR(__xludf.DUMMYFUNCTION("""COMPUTED_VALUE"""),21.44)</f>
        <v>21.44</v>
      </c>
      <c r="F512" s="1">
        <f>IFERROR(__xludf.DUMMYFUNCTION("""COMPUTED_VALUE"""),171881.0)</f>
        <v>171881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IFERROR(__xludf.DUMMYFUNCTION("""COMPUTED_VALUE"""),21.5)</f>
        <v>21.5</v>
      </c>
      <c r="C513" s="1">
        <f>IFERROR(__xludf.DUMMYFUNCTION("""COMPUTED_VALUE"""),21.56)</f>
        <v>21.56</v>
      </c>
      <c r="D513" s="1">
        <f>IFERROR(__xludf.DUMMYFUNCTION("""COMPUTED_VALUE"""),21.03)</f>
        <v>21.03</v>
      </c>
      <c r="E513" s="1">
        <f>IFERROR(__xludf.DUMMYFUNCTION("""COMPUTED_VALUE"""),21.42)</f>
        <v>21.42</v>
      </c>
      <c r="F513" s="1">
        <f>IFERROR(__xludf.DUMMYFUNCTION("""COMPUTED_VALUE"""),197085.0)</f>
        <v>197085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IFERROR(__xludf.DUMMYFUNCTION("""COMPUTED_VALUE"""),21.36)</f>
        <v>21.36</v>
      </c>
      <c r="C514" s="1">
        <f>IFERROR(__xludf.DUMMYFUNCTION("""COMPUTED_VALUE"""),21.54)</f>
        <v>21.54</v>
      </c>
      <c r="D514" s="1">
        <f>IFERROR(__xludf.DUMMYFUNCTION("""COMPUTED_VALUE"""),21.06)</f>
        <v>21.06</v>
      </c>
      <c r="E514" s="1">
        <f>IFERROR(__xludf.DUMMYFUNCTION("""COMPUTED_VALUE"""),21.22)</f>
        <v>21.22</v>
      </c>
      <c r="F514" s="1">
        <f>IFERROR(__xludf.DUMMYFUNCTION("""COMPUTED_VALUE"""),123449.0)</f>
        <v>123449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IFERROR(__xludf.DUMMYFUNCTION("""COMPUTED_VALUE"""),21.56)</f>
        <v>21.56</v>
      </c>
      <c r="C515" s="1">
        <f>IFERROR(__xludf.DUMMYFUNCTION("""COMPUTED_VALUE"""),21.7)</f>
        <v>21.7</v>
      </c>
      <c r="D515" s="1">
        <f>IFERROR(__xludf.DUMMYFUNCTION("""COMPUTED_VALUE"""),20.99)</f>
        <v>20.99</v>
      </c>
      <c r="E515" s="1">
        <f>IFERROR(__xludf.DUMMYFUNCTION("""COMPUTED_VALUE"""),21.14)</f>
        <v>21.14</v>
      </c>
      <c r="F515" s="1">
        <f>IFERROR(__xludf.DUMMYFUNCTION("""COMPUTED_VALUE"""),126247.0)</f>
        <v>126247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IFERROR(__xludf.DUMMYFUNCTION("""COMPUTED_VALUE"""),21.14)</f>
        <v>21.14</v>
      </c>
      <c r="C516" s="1">
        <f>IFERROR(__xludf.DUMMYFUNCTION("""COMPUTED_VALUE"""),21.62)</f>
        <v>21.62</v>
      </c>
      <c r="D516" s="1">
        <f>IFERROR(__xludf.DUMMYFUNCTION("""COMPUTED_VALUE"""),20.9)</f>
        <v>20.9</v>
      </c>
      <c r="E516" s="1">
        <f>IFERROR(__xludf.DUMMYFUNCTION("""COMPUTED_VALUE"""),21.53)</f>
        <v>21.53</v>
      </c>
      <c r="F516" s="1">
        <f>IFERROR(__xludf.DUMMYFUNCTION("""COMPUTED_VALUE"""),343736.0)</f>
        <v>343736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IFERROR(__xludf.DUMMYFUNCTION("""COMPUTED_VALUE"""),21.55)</f>
        <v>21.55</v>
      </c>
      <c r="C517" s="1">
        <f>IFERROR(__xludf.DUMMYFUNCTION("""COMPUTED_VALUE"""),22.81)</f>
        <v>22.81</v>
      </c>
      <c r="D517" s="1">
        <f>IFERROR(__xludf.DUMMYFUNCTION("""COMPUTED_VALUE"""),21.55)</f>
        <v>21.55</v>
      </c>
      <c r="E517" s="1">
        <f>IFERROR(__xludf.DUMMYFUNCTION("""COMPUTED_VALUE"""),22.49)</f>
        <v>22.49</v>
      </c>
      <c r="F517" s="1">
        <f>IFERROR(__xludf.DUMMYFUNCTION("""COMPUTED_VALUE"""),553628.0)</f>
        <v>553628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IFERROR(__xludf.DUMMYFUNCTION("""COMPUTED_VALUE"""),22.57)</f>
        <v>22.57</v>
      </c>
      <c r="C518" s="1">
        <f>IFERROR(__xludf.DUMMYFUNCTION("""COMPUTED_VALUE"""),23.23)</f>
        <v>23.23</v>
      </c>
      <c r="D518" s="1">
        <f>IFERROR(__xludf.DUMMYFUNCTION("""COMPUTED_VALUE"""),22.28)</f>
        <v>22.28</v>
      </c>
      <c r="E518" s="1">
        <f>IFERROR(__xludf.DUMMYFUNCTION("""COMPUTED_VALUE"""),23.2)</f>
        <v>23.2</v>
      </c>
      <c r="F518" s="1">
        <f>IFERROR(__xludf.DUMMYFUNCTION("""COMPUTED_VALUE"""),556061.0)</f>
        <v>556061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IFERROR(__xludf.DUMMYFUNCTION("""COMPUTED_VALUE"""),23.54)</f>
        <v>23.54</v>
      </c>
      <c r="C519" s="1">
        <f>IFERROR(__xludf.DUMMYFUNCTION("""COMPUTED_VALUE"""),24.25)</f>
        <v>24.25</v>
      </c>
      <c r="D519" s="1">
        <f>IFERROR(__xludf.DUMMYFUNCTION("""COMPUTED_VALUE"""),23.0)</f>
        <v>23</v>
      </c>
      <c r="E519" s="1">
        <f>IFERROR(__xludf.DUMMYFUNCTION("""COMPUTED_VALUE"""),23.09)</f>
        <v>23.09</v>
      </c>
      <c r="F519" s="1">
        <f>IFERROR(__xludf.DUMMYFUNCTION("""COMPUTED_VALUE"""),517759.0)</f>
        <v>517759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IFERROR(__xludf.DUMMYFUNCTION("""COMPUTED_VALUE"""),22.99)</f>
        <v>22.99</v>
      </c>
      <c r="C520" s="1">
        <f>IFERROR(__xludf.DUMMYFUNCTION("""COMPUTED_VALUE"""),23.66)</f>
        <v>23.66</v>
      </c>
      <c r="D520" s="1">
        <f>IFERROR(__xludf.DUMMYFUNCTION("""COMPUTED_VALUE"""),22.76)</f>
        <v>22.76</v>
      </c>
      <c r="E520" s="1">
        <f>IFERROR(__xludf.DUMMYFUNCTION("""COMPUTED_VALUE"""),23.49)</f>
        <v>23.49</v>
      </c>
      <c r="F520" s="1">
        <f>IFERROR(__xludf.DUMMYFUNCTION("""COMPUTED_VALUE"""),354257.0)</f>
        <v>354257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IFERROR(__xludf.DUMMYFUNCTION("""COMPUTED_VALUE"""),23.41)</f>
        <v>23.41</v>
      </c>
      <c r="C521" s="1">
        <f>IFERROR(__xludf.DUMMYFUNCTION("""COMPUTED_VALUE"""),23.76)</f>
        <v>23.76</v>
      </c>
      <c r="D521" s="1">
        <f>IFERROR(__xludf.DUMMYFUNCTION("""COMPUTED_VALUE"""),23.13)</f>
        <v>23.13</v>
      </c>
      <c r="E521" s="1">
        <f>IFERROR(__xludf.DUMMYFUNCTION("""COMPUTED_VALUE"""),23.64)</f>
        <v>23.64</v>
      </c>
      <c r="F521" s="1">
        <f>IFERROR(__xludf.DUMMYFUNCTION("""COMPUTED_VALUE"""),170759.0)</f>
        <v>170759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IFERROR(__xludf.DUMMYFUNCTION("""COMPUTED_VALUE"""),23.8)</f>
        <v>23.8</v>
      </c>
      <c r="C522" s="1">
        <f>IFERROR(__xludf.DUMMYFUNCTION("""COMPUTED_VALUE"""),23.8)</f>
        <v>23.8</v>
      </c>
      <c r="D522" s="1">
        <f>IFERROR(__xludf.DUMMYFUNCTION("""COMPUTED_VALUE"""),23.19)</f>
        <v>23.19</v>
      </c>
      <c r="E522" s="1">
        <f>IFERROR(__xludf.DUMMYFUNCTION("""COMPUTED_VALUE"""),23.51)</f>
        <v>23.51</v>
      </c>
      <c r="F522" s="1">
        <f>IFERROR(__xludf.DUMMYFUNCTION("""COMPUTED_VALUE"""),182654.0)</f>
        <v>182654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IFERROR(__xludf.DUMMYFUNCTION("""COMPUTED_VALUE"""),23.17)</f>
        <v>23.17</v>
      </c>
      <c r="C523" s="1">
        <f>IFERROR(__xludf.DUMMYFUNCTION("""COMPUTED_VALUE"""),23.61)</f>
        <v>23.61</v>
      </c>
      <c r="D523" s="1">
        <f>IFERROR(__xludf.DUMMYFUNCTION("""COMPUTED_VALUE"""),22.84)</f>
        <v>22.84</v>
      </c>
      <c r="E523" s="1">
        <f>IFERROR(__xludf.DUMMYFUNCTION("""COMPUTED_VALUE"""),23.3)</f>
        <v>23.3</v>
      </c>
      <c r="F523" s="1">
        <f>IFERROR(__xludf.DUMMYFUNCTION("""COMPUTED_VALUE"""),368947.0)</f>
        <v>368947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IFERROR(__xludf.DUMMYFUNCTION("""COMPUTED_VALUE"""),23.17)</f>
        <v>23.17</v>
      </c>
      <c r="C524" s="1">
        <f>IFERROR(__xludf.DUMMYFUNCTION("""COMPUTED_VALUE"""),23.36)</f>
        <v>23.36</v>
      </c>
      <c r="D524" s="1">
        <f>IFERROR(__xludf.DUMMYFUNCTION("""COMPUTED_VALUE"""),23.06)</f>
        <v>23.06</v>
      </c>
      <c r="E524" s="1">
        <f>IFERROR(__xludf.DUMMYFUNCTION("""COMPUTED_VALUE"""),23.24)</f>
        <v>23.24</v>
      </c>
      <c r="F524" s="1">
        <f>IFERROR(__xludf.DUMMYFUNCTION("""COMPUTED_VALUE"""),130287.0)</f>
        <v>130287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IFERROR(__xludf.DUMMYFUNCTION("""COMPUTED_VALUE"""),23.42)</f>
        <v>23.42</v>
      </c>
      <c r="C525" s="1">
        <f>IFERROR(__xludf.DUMMYFUNCTION("""COMPUTED_VALUE"""),23.61)</f>
        <v>23.61</v>
      </c>
      <c r="D525" s="1">
        <f>IFERROR(__xludf.DUMMYFUNCTION("""COMPUTED_VALUE"""),23.25)</f>
        <v>23.25</v>
      </c>
      <c r="E525" s="1">
        <f>IFERROR(__xludf.DUMMYFUNCTION("""COMPUTED_VALUE"""),23.55)</f>
        <v>23.55</v>
      </c>
      <c r="F525" s="1">
        <f>IFERROR(__xludf.DUMMYFUNCTION("""COMPUTED_VALUE"""),170462.0)</f>
        <v>170462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IFERROR(__xludf.DUMMYFUNCTION("""COMPUTED_VALUE"""),23.71)</f>
        <v>23.71</v>
      </c>
      <c r="C526" s="1">
        <f>IFERROR(__xludf.DUMMYFUNCTION("""COMPUTED_VALUE"""),23.8)</f>
        <v>23.8</v>
      </c>
      <c r="D526" s="1">
        <f>IFERROR(__xludf.DUMMYFUNCTION("""COMPUTED_VALUE"""),23.48)</f>
        <v>23.48</v>
      </c>
      <c r="E526" s="1">
        <f>IFERROR(__xludf.DUMMYFUNCTION("""COMPUTED_VALUE"""),23.59)</f>
        <v>23.59</v>
      </c>
      <c r="F526" s="1">
        <f>IFERROR(__xludf.DUMMYFUNCTION("""COMPUTED_VALUE"""),196625.0)</f>
        <v>196625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IFERROR(__xludf.DUMMYFUNCTION("""COMPUTED_VALUE"""),23.64)</f>
        <v>23.64</v>
      </c>
      <c r="C527" s="1">
        <f>IFERROR(__xludf.DUMMYFUNCTION("""COMPUTED_VALUE"""),23.95)</f>
        <v>23.95</v>
      </c>
      <c r="D527" s="1">
        <f>IFERROR(__xludf.DUMMYFUNCTION("""COMPUTED_VALUE"""),23.4)</f>
        <v>23.4</v>
      </c>
      <c r="E527" s="1">
        <f>IFERROR(__xludf.DUMMYFUNCTION("""COMPUTED_VALUE"""),23.62)</f>
        <v>23.62</v>
      </c>
      <c r="F527" s="1">
        <f>IFERROR(__xludf.DUMMYFUNCTION("""COMPUTED_VALUE"""),141821.0)</f>
        <v>141821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IFERROR(__xludf.DUMMYFUNCTION("""COMPUTED_VALUE"""),23.85)</f>
        <v>23.85</v>
      </c>
      <c r="C528" s="1">
        <f>IFERROR(__xludf.DUMMYFUNCTION("""COMPUTED_VALUE"""),24.92)</f>
        <v>24.92</v>
      </c>
      <c r="D528" s="1">
        <f>IFERROR(__xludf.DUMMYFUNCTION("""COMPUTED_VALUE"""),23.84)</f>
        <v>23.84</v>
      </c>
      <c r="E528" s="1">
        <f>IFERROR(__xludf.DUMMYFUNCTION("""COMPUTED_VALUE"""),24.69)</f>
        <v>24.69</v>
      </c>
      <c r="F528" s="1">
        <f>IFERROR(__xludf.DUMMYFUNCTION("""COMPUTED_VALUE"""),573115.0)</f>
        <v>573115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IFERROR(__xludf.DUMMYFUNCTION("""COMPUTED_VALUE"""),24.62)</f>
        <v>24.62</v>
      </c>
      <c r="C529" s="1">
        <f>IFERROR(__xludf.DUMMYFUNCTION("""COMPUTED_VALUE"""),24.75)</f>
        <v>24.75</v>
      </c>
      <c r="D529" s="1">
        <f>IFERROR(__xludf.DUMMYFUNCTION("""COMPUTED_VALUE"""),24.4)</f>
        <v>24.4</v>
      </c>
      <c r="E529" s="1">
        <f>IFERROR(__xludf.DUMMYFUNCTION("""COMPUTED_VALUE"""),24.67)</f>
        <v>24.67</v>
      </c>
      <c r="F529" s="1">
        <f>IFERROR(__xludf.DUMMYFUNCTION("""COMPUTED_VALUE"""),553157.0)</f>
        <v>553157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IFERROR(__xludf.DUMMYFUNCTION("""COMPUTED_VALUE"""),24.73)</f>
        <v>24.73</v>
      </c>
      <c r="C530" s="1">
        <f>IFERROR(__xludf.DUMMYFUNCTION("""COMPUTED_VALUE"""),24.73)</f>
        <v>24.73</v>
      </c>
      <c r="D530" s="1">
        <f>IFERROR(__xludf.DUMMYFUNCTION("""COMPUTED_VALUE"""),24.31)</f>
        <v>24.31</v>
      </c>
      <c r="E530" s="1">
        <f>IFERROR(__xludf.DUMMYFUNCTION("""COMPUTED_VALUE"""),24.38)</f>
        <v>24.38</v>
      </c>
      <c r="F530" s="1">
        <f>IFERROR(__xludf.DUMMYFUNCTION("""COMPUTED_VALUE"""),305750.0)</f>
        <v>305750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IFERROR(__xludf.DUMMYFUNCTION("""COMPUTED_VALUE"""),24.47)</f>
        <v>24.47</v>
      </c>
      <c r="C531" s="1">
        <f>IFERROR(__xludf.DUMMYFUNCTION("""COMPUTED_VALUE"""),24.54)</f>
        <v>24.54</v>
      </c>
      <c r="D531" s="1">
        <f>IFERROR(__xludf.DUMMYFUNCTION("""COMPUTED_VALUE"""),24.22)</f>
        <v>24.22</v>
      </c>
      <c r="E531" s="1">
        <f>IFERROR(__xludf.DUMMYFUNCTION("""COMPUTED_VALUE"""),24.28)</f>
        <v>24.28</v>
      </c>
      <c r="F531" s="1">
        <f>IFERROR(__xludf.DUMMYFUNCTION("""COMPUTED_VALUE"""),221404.0)</f>
        <v>221404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IFERROR(__xludf.DUMMYFUNCTION("""COMPUTED_VALUE"""),24.39)</f>
        <v>24.39</v>
      </c>
      <c r="C532" s="1">
        <f>IFERROR(__xludf.DUMMYFUNCTION("""COMPUTED_VALUE"""),24.61)</f>
        <v>24.61</v>
      </c>
      <c r="D532" s="1">
        <f>IFERROR(__xludf.DUMMYFUNCTION("""COMPUTED_VALUE"""),24.13)</f>
        <v>24.13</v>
      </c>
      <c r="E532" s="1">
        <f>IFERROR(__xludf.DUMMYFUNCTION("""COMPUTED_VALUE"""),24.21)</f>
        <v>24.21</v>
      </c>
      <c r="F532" s="1">
        <f>IFERROR(__xludf.DUMMYFUNCTION("""COMPUTED_VALUE"""),374144.0)</f>
        <v>374144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IFERROR(__xludf.DUMMYFUNCTION("""COMPUTED_VALUE"""),24.04)</f>
        <v>24.04</v>
      </c>
      <c r="C533" s="1">
        <f>IFERROR(__xludf.DUMMYFUNCTION("""COMPUTED_VALUE"""),24.21)</f>
        <v>24.21</v>
      </c>
      <c r="D533" s="1">
        <f>IFERROR(__xludf.DUMMYFUNCTION("""COMPUTED_VALUE"""),23.61)</f>
        <v>23.61</v>
      </c>
      <c r="E533" s="1">
        <f>IFERROR(__xludf.DUMMYFUNCTION("""COMPUTED_VALUE"""),24.05)</f>
        <v>24.05</v>
      </c>
      <c r="F533" s="1">
        <f>IFERROR(__xludf.DUMMYFUNCTION("""COMPUTED_VALUE"""),338566.0)</f>
        <v>338566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IFERROR(__xludf.DUMMYFUNCTION("""COMPUTED_VALUE"""),24.26)</f>
        <v>24.26</v>
      </c>
      <c r="C534" s="1">
        <f>IFERROR(__xludf.DUMMYFUNCTION("""COMPUTED_VALUE"""),24.6)</f>
        <v>24.6</v>
      </c>
      <c r="D534" s="1">
        <f>IFERROR(__xludf.DUMMYFUNCTION("""COMPUTED_VALUE"""),24.19)</f>
        <v>24.19</v>
      </c>
      <c r="E534" s="1">
        <f>IFERROR(__xludf.DUMMYFUNCTION("""COMPUTED_VALUE"""),24.48)</f>
        <v>24.48</v>
      </c>
      <c r="F534" s="1">
        <f>IFERROR(__xludf.DUMMYFUNCTION("""COMPUTED_VALUE"""),260575.0)</f>
        <v>260575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IFERROR(__xludf.DUMMYFUNCTION("""COMPUTED_VALUE"""),24.41)</f>
        <v>24.41</v>
      </c>
      <c r="C535" s="1">
        <f>IFERROR(__xludf.DUMMYFUNCTION("""COMPUTED_VALUE"""),24.61)</f>
        <v>24.61</v>
      </c>
      <c r="D535" s="1">
        <f>IFERROR(__xludf.DUMMYFUNCTION("""COMPUTED_VALUE"""),24.13)</f>
        <v>24.13</v>
      </c>
      <c r="E535" s="1">
        <f>IFERROR(__xludf.DUMMYFUNCTION("""COMPUTED_VALUE"""),24.26)</f>
        <v>24.26</v>
      </c>
      <c r="F535" s="1">
        <f>IFERROR(__xludf.DUMMYFUNCTION("""COMPUTED_VALUE"""),150858.0)</f>
        <v>150858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IFERROR(__xludf.DUMMYFUNCTION("""COMPUTED_VALUE"""),24.31)</f>
        <v>24.31</v>
      </c>
      <c r="C536" s="1">
        <f>IFERROR(__xludf.DUMMYFUNCTION("""COMPUTED_VALUE"""),24.7)</f>
        <v>24.7</v>
      </c>
      <c r="D536" s="1">
        <f>IFERROR(__xludf.DUMMYFUNCTION("""COMPUTED_VALUE"""),24.28)</f>
        <v>24.28</v>
      </c>
      <c r="E536" s="1">
        <f>IFERROR(__xludf.DUMMYFUNCTION("""COMPUTED_VALUE"""),24.62)</f>
        <v>24.62</v>
      </c>
      <c r="F536" s="1">
        <f>IFERROR(__xludf.DUMMYFUNCTION("""COMPUTED_VALUE"""),647125.0)</f>
        <v>647125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IFERROR(__xludf.DUMMYFUNCTION("""COMPUTED_VALUE"""),24.55)</f>
        <v>24.55</v>
      </c>
      <c r="C537" s="1">
        <f>IFERROR(__xludf.DUMMYFUNCTION("""COMPUTED_VALUE"""),26.0)</f>
        <v>26</v>
      </c>
      <c r="D537" s="1">
        <f>IFERROR(__xludf.DUMMYFUNCTION("""COMPUTED_VALUE"""),24.45)</f>
        <v>24.45</v>
      </c>
      <c r="E537" s="1">
        <f>IFERROR(__xludf.DUMMYFUNCTION("""COMPUTED_VALUE"""),25.33)</f>
        <v>25.33</v>
      </c>
      <c r="F537" s="1">
        <f>IFERROR(__xludf.DUMMYFUNCTION("""COMPUTED_VALUE"""),1077797.0)</f>
        <v>1077797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IFERROR(__xludf.DUMMYFUNCTION("""COMPUTED_VALUE"""),25.33)</f>
        <v>25.33</v>
      </c>
      <c r="C538" s="1">
        <f>IFERROR(__xludf.DUMMYFUNCTION("""COMPUTED_VALUE"""),25.55)</f>
        <v>25.55</v>
      </c>
      <c r="D538" s="1">
        <f>IFERROR(__xludf.DUMMYFUNCTION("""COMPUTED_VALUE"""),25.17)</f>
        <v>25.17</v>
      </c>
      <c r="E538" s="1">
        <f>IFERROR(__xludf.DUMMYFUNCTION("""COMPUTED_VALUE"""),25.32)</f>
        <v>25.32</v>
      </c>
      <c r="F538" s="1">
        <f>IFERROR(__xludf.DUMMYFUNCTION("""COMPUTED_VALUE"""),557415.0)</f>
        <v>557415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IFERROR(__xludf.DUMMYFUNCTION("""COMPUTED_VALUE"""),25.28)</f>
        <v>25.28</v>
      </c>
      <c r="C539" s="1">
        <f>IFERROR(__xludf.DUMMYFUNCTION("""COMPUTED_VALUE"""),25.77)</f>
        <v>25.77</v>
      </c>
      <c r="D539" s="1">
        <f>IFERROR(__xludf.DUMMYFUNCTION("""COMPUTED_VALUE"""),25.12)</f>
        <v>25.12</v>
      </c>
      <c r="E539" s="1">
        <f>IFERROR(__xludf.DUMMYFUNCTION("""COMPUTED_VALUE"""),25.52)</f>
        <v>25.52</v>
      </c>
      <c r="F539" s="1">
        <f>IFERROR(__xludf.DUMMYFUNCTION("""COMPUTED_VALUE"""),555980.0)</f>
        <v>555980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IFERROR(__xludf.DUMMYFUNCTION("""COMPUTED_VALUE"""),25.4)</f>
        <v>25.4</v>
      </c>
      <c r="C540" s="1">
        <f>IFERROR(__xludf.DUMMYFUNCTION("""COMPUTED_VALUE"""),25.71)</f>
        <v>25.71</v>
      </c>
      <c r="D540" s="1">
        <f>IFERROR(__xludf.DUMMYFUNCTION("""COMPUTED_VALUE"""),25.34)</f>
        <v>25.34</v>
      </c>
      <c r="E540" s="1">
        <f>IFERROR(__xludf.DUMMYFUNCTION("""COMPUTED_VALUE"""),25.53)</f>
        <v>25.53</v>
      </c>
      <c r="F540" s="1">
        <f>IFERROR(__xludf.DUMMYFUNCTION("""COMPUTED_VALUE"""),472009.0)</f>
        <v>472009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IFERROR(__xludf.DUMMYFUNCTION("""COMPUTED_VALUE"""),25.61)</f>
        <v>25.61</v>
      </c>
      <c r="C541" s="1">
        <f>IFERROR(__xludf.DUMMYFUNCTION("""COMPUTED_VALUE"""),25.93)</f>
        <v>25.93</v>
      </c>
      <c r="D541" s="1">
        <f>IFERROR(__xludf.DUMMYFUNCTION("""COMPUTED_VALUE"""),25.28)</f>
        <v>25.28</v>
      </c>
      <c r="E541" s="1">
        <f>IFERROR(__xludf.DUMMYFUNCTION("""COMPUTED_VALUE"""),25.62)</f>
        <v>25.62</v>
      </c>
      <c r="F541" s="1">
        <f>IFERROR(__xludf.DUMMYFUNCTION("""COMPUTED_VALUE"""),469472.0)</f>
        <v>469472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IFERROR(__xludf.DUMMYFUNCTION("""COMPUTED_VALUE"""),25.6)</f>
        <v>25.6</v>
      </c>
      <c r="C542" s="1">
        <f>IFERROR(__xludf.DUMMYFUNCTION("""COMPUTED_VALUE"""),25.94)</f>
        <v>25.94</v>
      </c>
      <c r="D542" s="1">
        <f>IFERROR(__xludf.DUMMYFUNCTION("""COMPUTED_VALUE"""),25.37)</f>
        <v>25.37</v>
      </c>
      <c r="E542" s="1">
        <f>IFERROR(__xludf.DUMMYFUNCTION("""COMPUTED_VALUE"""),25.8)</f>
        <v>25.8</v>
      </c>
      <c r="F542" s="1">
        <f>IFERROR(__xludf.DUMMYFUNCTION("""COMPUTED_VALUE"""),486086.0)</f>
        <v>486086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IFERROR(__xludf.DUMMYFUNCTION("""COMPUTED_VALUE"""),25.56)</f>
        <v>25.56</v>
      </c>
      <c r="C543" s="1">
        <f>IFERROR(__xludf.DUMMYFUNCTION("""COMPUTED_VALUE"""),25.71)</f>
        <v>25.71</v>
      </c>
      <c r="D543" s="1">
        <f>IFERROR(__xludf.DUMMYFUNCTION("""COMPUTED_VALUE"""),25.34)</f>
        <v>25.34</v>
      </c>
      <c r="E543" s="1">
        <f>IFERROR(__xludf.DUMMYFUNCTION("""COMPUTED_VALUE"""),25.52)</f>
        <v>25.52</v>
      </c>
      <c r="F543" s="1">
        <f>IFERROR(__xludf.DUMMYFUNCTION("""COMPUTED_VALUE"""),394139.0)</f>
        <v>394139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IFERROR(__xludf.DUMMYFUNCTION("""COMPUTED_VALUE"""),24.65)</f>
        <v>24.65</v>
      </c>
      <c r="C544" s="1">
        <f>IFERROR(__xludf.DUMMYFUNCTION("""COMPUTED_VALUE"""),25.24)</f>
        <v>25.24</v>
      </c>
      <c r="D544" s="1">
        <f>IFERROR(__xludf.DUMMYFUNCTION("""COMPUTED_VALUE"""),23.36)</f>
        <v>23.36</v>
      </c>
      <c r="E544" s="1">
        <f>IFERROR(__xludf.DUMMYFUNCTION("""COMPUTED_VALUE"""),23.9)</f>
        <v>23.9</v>
      </c>
      <c r="F544" s="1">
        <f>IFERROR(__xludf.DUMMYFUNCTION("""COMPUTED_VALUE"""),1408919.0)</f>
        <v>1408919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IFERROR(__xludf.DUMMYFUNCTION("""COMPUTED_VALUE"""),24.29)</f>
        <v>24.29</v>
      </c>
      <c r="C545" s="1">
        <f>IFERROR(__xludf.DUMMYFUNCTION("""COMPUTED_VALUE"""),24.79)</f>
        <v>24.79</v>
      </c>
      <c r="D545" s="1">
        <f>IFERROR(__xludf.DUMMYFUNCTION("""COMPUTED_VALUE"""),24.03)</f>
        <v>24.03</v>
      </c>
      <c r="E545" s="1">
        <f>IFERROR(__xludf.DUMMYFUNCTION("""COMPUTED_VALUE"""),24.42)</f>
        <v>24.42</v>
      </c>
      <c r="F545" s="1">
        <f>IFERROR(__xludf.DUMMYFUNCTION("""COMPUTED_VALUE"""),1638888.0)</f>
        <v>1638888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IFERROR(__xludf.DUMMYFUNCTION("""COMPUTED_VALUE"""),24.51)</f>
        <v>24.51</v>
      </c>
      <c r="C546" s="1">
        <f>IFERROR(__xludf.DUMMYFUNCTION("""COMPUTED_VALUE"""),24.61)</f>
        <v>24.61</v>
      </c>
      <c r="D546" s="1">
        <f>IFERROR(__xludf.DUMMYFUNCTION("""COMPUTED_VALUE"""),24.03)</f>
        <v>24.03</v>
      </c>
      <c r="E546" s="1">
        <f>IFERROR(__xludf.DUMMYFUNCTION("""COMPUTED_VALUE"""),24.35)</f>
        <v>24.35</v>
      </c>
      <c r="F546" s="1">
        <f>IFERROR(__xludf.DUMMYFUNCTION("""COMPUTED_VALUE"""),501996.0)</f>
        <v>501996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IFERROR(__xludf.DUMMYFUNCTION("""COMPUTED_VALUE"""),24.36)</f>
        <v>24.36</v>
      </c>
      <c r="C547" s="1">
        <f>IFERROR(__xludf.DUMMYFUNCTION("""COMPUTED_VALUE"""),24.58)</f>
        <v>24.58</v>
      </c>
      <c r="D547" s="1">
        <f>IFERROR(__xludf.DUMMYFUNCTION("""COMPUTED_VALUE"""),23.85)</f>
        <v>23.85</v>
      </c>
      <c r="E547" s="1">
        <f>IFERROR(__xludf.DUMMYFUNCTION("""COMPUTED_VALUE"""),23.87)</f>
        <v>23.87</v>
      </c>
      <c r="F547" s="1">
        <f>IFERROR(__xludf.DUMMYFUNCTION("""COMPUTED_VALUE"""),308964.0)</f>
        <v>308964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IFERROR(__xludf.DUMMYFUNCTION("""COMPUTED_VALUE"""),23.84)</f>
        <v>23.84</v>
      </c>
      <c r="C548" s="1">
        <f>IFERROR(__xludf.DUMMYFUNCTION("""COMPUTED_VALUE"""),24.05)</f>
        <v>24.05</v>
      </c>
      <c r="D548" s="1">
        <f>IFERROR(__xludf.DUMMYFUNCTION("""COMPUTED_VALUE"""),23.68)</f>
        <v>23.68</v>
      </c>
      <c r="E548" s="1">
        <f>IFERROR(__xludf.DUMMYFUNCTION("""COMPUTED_VALUE"""),23.8)</f>
        <v>23.8</v>
      </c>
      <c r="F548" s="1">
        <f>IFERROR(__xludf.DUMMYFUNCTION("""COMPUTED_VALUE"""),346376.0)</f>
        <v>346376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IFERROR(__xludf.DUMMYFUNCTION("""COMPUTED_VALUE"""),23.63)</f>
        <v>23.63</v>
      </c>
      <c r="C549" s="1">
        <f>IFERROR(__xludf.DUMMYFUNCTION("""COMPUTED_VALUE"""),23.67)</f>
        <v>23.67</v>
      </c>
      <c r="D549" s="1">
        <f>IFERROR(__xludf.DUMMYFUNCTION("""COMPUTED_VALUE"""),23.31)</f>
        <v>23.31</v>
      </c>
      <c r="E549" s="1">
        <f>IFERROR(__xludf.DUMMYFUNCTION("""COMPUTED_VALUE"""),23.44)</f>
        <v>23.44</v>
      </c>
      <c r="F549" s="1">
        <f>IFERROR(__xludf.DUMMYFUNCTION("""COMPUTED_VALUE"""),412428.0)</f>
        <v>412428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IFERROR(__xludf.DUMMYFUNCTION("""COMPUTED_VALUE"""),23.41)</f>
        <v>23.41</v>
      </c>
      <c r="C550" s="1">
        <f>IFERROR(__xludf.DUMMYFUNCTION("""COMPUTED_VALUE"""),23.52)</f>
        <v>23.52</v>
      </c>
      <c r="D550" s="1">
        <f>IFERROR(__xludf.DUMMYFUNCTION("""COMPUTED_VALUE"""),23.32)</f>
        <v>23.32</v>
      </c>
      <c r="E550" s="1">
        <f>IFERROR(__xludf.DUMMYFUNCTION("""COMPUTED_VALUE"""),23.36)</f>
        <v>23.36</v>
      </c>
      <c r="F550" s="1">
        <f>IFERROR(__xludf.DUMMYFUNCTION("""COMPUTED_VALUE"""),190826.0)</f>
        <v>190826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IFERROR(__xludf.DUMMYFUNCTION("""COMPUTED_VALUE"""),23.48)</f>
        <v>23.48</v>
      </c>
      <c r="C551" s="1">
        <f>IFERROR(__xludf.DUMMYFUNCTION("""COMPUTED_VALUE"""),23.75)</f>
        <v>23.75</v>
      </c>
      <c r="D551" s="1">
        <f>IFERROR(__xludf.DUMMYFUNCTION("""COMPUTED_VALUE"""),23.31)</f>
        <v>23.31</v>
      </c>
      <c r="E551" s="1">
        <f>IFERROR(__xludf.DUMMYFUNCTION("""COMPUTED_VALUE"""),23.66)</f>
        <v>23.66</v>
      </c>
      <c r="F551" s="1">
        <f>IFERROR(__xludf.DUMMYFUNCTION("""COMPUTED_VALUE"""),289183.0)</f>
        <v>289183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IFERROR(__xludf.DUMMYFUNCTION("""COMPUTED_VALUE"""),23.65)</f>
        <v>23.65</v>
      </c>
      <c r="C552" s="1">
        <f>IFERROR(__xludf.DUMMYFUNCTION("""COMPUTED_VALUE"""),23.93)</f>
        <v>23.93</v>
      </c>
      <c r="D552" s="1">
        <f>IFERROR(__xludf.DUMMYFUNCTION("""COMPUTED_VALUE"""),23.53)</f>
        <v>23.53</v>
      </c>
      <c r="E552" s="1">
        <f>IFERROR(__xludf.DUMMYFUNCTION("""COMPUTED_VALUE"""),23.61)</f>
        <v>23.61</v>
      </c>
      <c r="F552" s="1">
        <f>IFERROR(__xludf.DUMMYFUNCTION("""COMPUTED_VALUE"""),178376.0)</f>
        <v>178376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IFERROR(__xludf.DUMMYFUNCTION("""COMPUTED_VALUE"""),23.68)</f>
        <v>23.68</v>
      </c>
      <c r="C553" s="1">
        <f>IFERROR(__xludf.DUMMYFUNCTION("""COMPUTED_VALUE"""),23.93)</f>
        <v>23.93</v>
      </c>
      <c r="D553" s="1">
        <f>IFERROR(__xludf.DUMMYFUNCTION("""COMPUTED_VALUE"""),23.52)</f>
        <v>23.52</v>
      </c>
      <c r="E553" s="1">
        <f>IFERROR(__xludf.DUMMYFUNCTION("""COMPUTED_VALUE"""),23.66)</f>
        <v>23.66</v>
      </c>
      <c r="F553" s="1">
        <f>IFERROR(__xludf.DUMMYFUNCTION("""COMPUTED_VALUE"""),271715.0)</f>
        <v>271715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IFERROR(__xludf.DUMMYFUNCTION("""COMPUTED_VALUE"""),23.77)</f>
        <v>23.77</v>
      </c>
      <c r="C554" s="1">
        <f>IFERROR(__xludf.DUMMYFUNCTION("""COMPUTED_VALUE"""),23.86)</f>
        <v>23.86</v>
      </c>
      <c r="D554" s="1">
        <f>IFERROR(__xludf.DUMMYFUNCTION("""COMPUTED_VALUE"""),23.44)</f>
        <v>23.44</v>
      </c>
      <c r="E554" s="1">
        <f>IFERROR(__xludf.DUMMYFUNCTION("""COMPUTED_VALUE"""),23.65)</f>
        <v>23.65</v>
      </c>
      <c r="F554" s="1">
        <f>IFERROR(__xludf.DUMMYFUNCTION("""COMPUTED_VALUE"""),240858.0)</f>
        <v>240858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IFERROR(__xludf.DUMMYFUNCTION("""COMPUTED_VALUE"""),23.6)</f>
        <v>23.6</v>
      </c>
      <c r="C555" s="1">
        <f>IFERROR(__xludf.DUMMYFUNCTION("""COMPUTED_VALUE"""),23.68)</f>
        <v>23.68</v>
      </c>
      <c r="D555" s="1">
        <f>IFERROR(__xludf.DUMMYFUNCTION("""COMPUTED_VALUE"""),23.13)</f>
        <v>23.13</v>
      </c>
      <c r="E555" s="1">
        <f>IFERROR(__xludf.DUMMYFUNCTION("""COMPUTED_VALUE"""),23.36)</f>
        <v>23.36</v>
      </c>
      <c r="F555" s="1">
        <f>IFERROR(__xludf.DUMMYFUNCTION("""COMPUTED_VALUE"""),360397.0)</f>
        <v>360397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IFERROR(__xludf.DUMMYFUNCTION("""COMPUTED_VALUE"""),23.34)</f>
        <v>23.34</v>
      </c>
      <c r="C556" s="1">
        <f>IFERROR(__xludf.DUMMYFUNCTION("""COMPUTED_VALUE"""),23.63)</f>
        <v>23.63</v>
      </c>
      <c r="D556" s="1">
        <f>IFERROR(__xludf.DUMMYFUNCTION("""COMPUTED_VALUE"""),23.22)</f>
        <v>23.22</v>
      </c>
      <c r="E556" s="1">
        <f>IFERROR(__xludf.DUMMYFUNCTION("""COMPUTED_VALUE"""),23.58)</f>
        <v>23.58</v>
      </c>
      <c r="F556" s="1">
        <f>IFERROR(__xludf.DUMMYFUNCTION("""COMPUTED_VALUE"""),260105.0)</f>
        <v>260105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IFERROR(__xludf.DUMMYFUNCTION("""COMPUTED_VALUE"""),23.73)</f>
        <v>23.73</v>
      </c>
      <c r="C557" s="1">
        <f>IFERROR(__xludf.DUMMYFUNCTION("""COMPUTED_VALUE"""),23.96)</f>
        <v>23.96</v>
      </c>
      <c r="D557" s="1">
        <f>IFERROR(__xludf.DUMMYFUNCTION("""COMPUTED_VALUE"""),23.56)</f>
        <v>23.56</v>
      </c>
      <c r="E557" s="1">
        <f>IFERROR(__xludf.DUMMYFUNCTION("""COMPUTED_VALUE"""),23.87)</f>
        <v>23.87</v>
      </c>
      <c r="F557" s="1">
        <f>IFERROR(__xludf.DUMMYFUNCTION("""COMPUTED_VALUE"""),379902.0)</f>
        <v>379902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IFERROR(__xludf.DUMMYFUNCTION("""COMPUTED_VALUE"""),23.82)</f>
        <v>23.82</v>
      </c>
      <c r="C558" s="1">
        <f>IFERROR(__xludf.DUMMYFUNCTION("""COMPUTED_VALUE"""),24.19)</f>
        <v>24.19</v>
      </c>
      <c r="D558" s="1">
        <f>IFERROR(__xludf.DUMMYFUNCTION("""COMPUTED_VALUE"""),23.71)</f>
        <v>23.71</v>
      </c>
      <c r="E558" s="1">
        <f>IFERROR(__xludf.DUMMYFUNCTION("""COMPUTED_VALUE"""),24.17)</f>
        <v>24.17</v>
      </c>
      <c r="F558" s="1">
        <f>IFERROR(__xludf.DUMMYFUNCTION("""COMPUTED_VALUE"""),370099.0)</f>
        <v>370099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IFERROR(__xludf.DUMMYFUNCTION("""COMPUTED_VALUE"""),23.98)</f>
        <v>23.98</v>
      </c>
      <c r="C559" s="1">
        <f>IFERROR(__xludf.DUMMYFUNCTION("""COMPUTED_VALUE"""),23.98)</f>
        <v>23.98</v>
      </c>
      <c r="D559" s="1">
        <f>IFERROR(__xludf.DUMMYFUNCTION("""COMPUTED_VALUE"""),23.57)</f>
        <v>23.57</v>
      </c>
      <c r="E559" s="1">
        <f>IFERROR(__xludf.DUMMYFUNCTION("""COMPUTED_VALUE"""),23.61)</f>
        <v>23.61</v>
      </c>
      <c r="F559" s="1">
        <f>IFERROR(__xludf.DUMMYFUNCTION("""COMPUTED_VALUE"""),306057.0)</f>
        <v>306057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IFERROR(__xludf.DUMMYFUNCTION("""COMPUTED_VALUE"""),23.58)</f>
        <v>23.58</v>
      </c>
      <c r="C560" s="1">
        <f>IFERROR(__xludf.DUMMYFUNCTION("""COMPUTED_VALUE"""),23.83)</f>
        <v>23.83</v>
      </c>
      <c r="D560" s="1">
        <f>IFERROR(__xludf.DUMMYFUNCTION("""COMPUTED_VALUE"""),23.52)</f>
        <v>23.52</v>
      </c>
      <c r="E560" s="1">
        <f>IFERROR(__xludf.DUMMYFUNCTION("""COMPUTED_VALUE"""),23.55)</f>
        <v>23.55</v>
      </c>
      <c r="F560" s="1">
        <f>IFERROR(__xludf.DUMMYFUNCTION("""COMPUTED_VALUE"""),250034.0)</f>
        <v>250034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IFERROR(__xludf.DUMMYFUNCTION("""COMPUTED_VALUE"""),23.37)</f>
        <v>23.37</v>
      </c>
      <c r="C561" s="1">
        <f>IFERROR(__xludf.DUMMYFUNCTION("""COMPUTED_VALUE"""),23.5)</f>
        <v>23.5</v>
      </c>
      <c r="D561" s="1">
        <f>IFERROR(__xludf.DUMMYFUNCTION("""COMPUTED_VALUE"""),23.15)</f>
        <v>23.15</v>
      </c>
      <c r="E561" s="1">
        <f>IFERROR(__xludf.DUMMYFUNCTION("""COMPUTED_VALUE"""),23.23)</f>
        <v>23.23</v>
      </c>
      <c r="F561" s="1">
        <f>IFERROR(__xludf.DUMMYFUNCTION("""COMPUTED_VALUE"""),134903.0)</f>
        <v>134903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IFERROR(__xludf.DUMMYFUNCTION("""COMPUTED_VALUE"""),23.06)</f>
        <v>23.06</v>
      </c>
      <c r="C562" s="1">
        <f>IFERROR(__xludf.DUMMYFUNCTION("""COMPUTED_VALUE"""),23.3)</f>
        <v>23.3</v>
      </c>
      <c r="D562" s="1">
        <f>IFERROR(__xludf.DUMMYFUNCTION("""COMPUTED_VALUE"""),22.93)</f>
        <v>22.93</v>
      </c>
      <c r="E562" s="1">
        <f>IFERROR(__xludf.DUMMYFUNCTION("""COMPUTED_VALUE"""),23.3)</f>
        <v>23.3</v>
      </c>
      <c r="F562" s="1">
        <f>IFERROR(__xludf.DUMMYFUNCTION("""COMPUTED_VALUE"""),140345.0)</f>
        <v>140345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IFERROR(__xludf.DUMMYFUNCTION("""COMPUTED_VALUE"""),23.49)</f>
        <v>23.49</v>
      </c>
      <c r="C563" s="1">
        <f>IFERROR(__xludf.DUMMYFUNCTION("""COMPUTED_VALUE"""),23.72)</f>
        <v>23.72</v>
      </c>
      <c r="D563" s="1">
        <f>IFERROR(__xludf.DUMMYFUNCTION("""COMPUTED_VALUE"""),23.37)</f>
        <v>23.37</v>
      </c>
      <c r="E563" s="1">
        <f>IFERROR(__xludf.DUMMYFUNCTION("""COMPUTED_VALUE"""),23.55)</f>
        <v>23.55</v>
      </c>
      <c r="F563" s="1">
        <f>IFERROR(__xludf.DUMMYFUNCTION("""COMPUTED_VALUE"""),557826.0)</f>
        <v>557826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IFERROR(__xludf.DUMMYFUNCTION("""COMPUTED_VALUE"""),23.6)</f>
        <v>23.6</v>
      </c>
      <c r="C564" s="1">
        <f>IFERROR(__xludf.DUMMYFUNCTION("""COMPUTED_VALUE"""),24.01)</f>
        <v>24.01</v>
      </c>
      <c r="D564" s="1">
        <f>IFERROR(__xludf.DUMMYFUNCTION("""COMPUTED_VALUE"""),23.57)</f>
        <v>23.57</v>
      </c>
      <c r="E564" s="1">
        <f>IFERROR(__xludf.DUMMYFUNCTION("""COMPUTED_VALUE"""),23.84)</f>
        <v>23.84</v>
      </c>
      <c r="F564" s="1">
        <f>IFERROR(__xludf.DUMMYFUNCTION("""COMPUTED_VALUE"""),475334.0)</f>
        <v>475334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IFERROR(__xludf.DUMMYFUNCTION("""COMPUTED_VALUE"""),23.89)</f>
        <v>23.89</v>
      </c>
      <c r="C565" s="1">
        <f>IFERROR(__xludf.DUMMYFUNCTION("""COMPUTED_VALUE"""),24.22)</f>
        <v>24.22</v>
      </c>
      <c r="D565" s="1">
        <f>IFERROR(__xludf.DUMMYFUNCTION("""COMPUTED_VALUE"""),23.62)</f>
        <v>23.62</v>
      </c>
      <c r="E565" s="1">
        <f>IFERROR(__xludf.DUMMYFUNCTION("""COMPUTED_VALUE"""),23.98)</f>
        <v>23.98</v>
      </c>
      <c r="F565" s="1">
        <f>IFERROR(__xludf.DUMMYFUNCTION("""COMPUTED_VALUE"""),450562.0)</f>
        <v>450562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IFERROR(__xludf.DUMMYFUNCTION("""COMPUTED_VALUE"""),24.02)</f>
        <v>24.02</v>
      </c>
      <c r="C566" s="1">
        <f>IFERROR(__xludf.DUMMYFUNCTION("""COMPUTED_VALUE"""),24.18)</f>
        <v>24.18</v>
      </c>
      <c r="D566" s="1">
        <f>IFERROR(__xludf.DUMMYFUNCTION("""COMPUTED_VALUE"""),23.32)</f>
        <v>23.32</v>
      </c>
      <c r="E566" s="1">
        <f>IFERROR(__xludf.DUMMYFUNCTION("""COMPUTED_VALUE"""),23.74)</f>
        <v>23.74</v>
      </c>
      <c r="F566" s="1">
        <f>IFERROR(__xludf.DUMMYFUNCTION("""COMPUTED_VALUE"""),229581.0)</f>
        <v>229581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IFERROR(__xludf.DUMMYFUNCTION("""COMPUTED_VALUE"""),23.8)</f>
        <v>23.8</v>
      </c>
      <c r="C567" s="1">
        <f>IFERROR(__xludf.DUMMYFUNCTION("""COMPUTED_VALUE"""),24.02)</f>
        <v>24.02</v>
      </c>
      <c r="D567" s="1">
        <f>IFERROR(__xludf.DUMMYFUNCTION("""COMPUTED_VALUE"""),23.58)</f>
        <v>23.58</v>
      </c>
      <c r="E567" s="1">
        <f>IFERROR(__xludf.DUMMYFUNCTION("""COMPUTED_VALUE"""),23.76)</f>
        <v>23.76</v>
      </c>
      <c r="F567" s="1">
        <f>IFERROR(__xludf.DUMMYFUNCTION("""COMPUTED_VALUE"""),237060.0)</f>
        <v>237060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IFERROR(__xludf.DUMMYFUNCTION("""COMPUTED_VALUE"""),23.68)</f>
        <v>23.68</v>
      </c>
      <c r="C568" s="1">
        <f>IFERROR(__xludf.DUMMYFUNCTION("""COMPUTED_VALUE"""),23.88)</f>
        <v>23.88</v>
      </c>
      <c r="D568" s="1">
        <f>IFERROR(__xludf.DUMMYFUNCTION("""COMPUTED_VALUE"""),23.46)</f>
        <v>23.46</v>
      </c>
      <c r="E568" s="1">
        <f>IFERROR(__xludf.DUMMYFUNCTION("""COMPUTED_VALUE"""),23.62)</f>
        <v>23.62</v>
      </c>
      <c r="F568" s="1">
        <f>IFERROR(__xludf.DUMMYFUNCTION("""COMPUTED_VALUE"""),309663.0)</f>
        <v>309663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IFERROR(__xludf.DUMMYFUNCTION("""COMPUTED_VALUE"""),23.64)</f>
        <v>23.64</v>
      </c>
      <c r="C569" s="1">
        <f>IFERROR(__xludf.DUMMYFUNCTION("""COMPUTED_VALUE"""),23.7)</f>
        <v>23.7</v>
      </c>
      <c r="D569" s="1">
        <f>IFERROR(__xludf.DUMMYFUNCTION("""COMPUTED_VALUE"""),23.22)</f>
        <v>23.22</v>
      </c>
      <c r="E569" s="1">
        <f>IFERROR(__xludf.DUMMYFUNCTION("""COMPUTED_VALUE"""),23.3)</f>
        <v>23.3</v>
      </c>
      <c r="F569" s="1">
        <f>IFERROR(__xludf.DUMMYFUNCTION("""COMPUTED_VALUE"""),237010.0)</f>
        <v>237010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IFERROR(__xludf.DUMMYFUNCTION("""COMPUTED_VALUE"""),23.09)</f>
        <v>23.09</v>
      </c>
      <c r="C570" s="1">
        <f>IFERROR(__xludf.DUMMYFUNCTION("""COMPUTED_VALUE"""),23.15)</f>
        <v>23.15</v>
      </c>
      <c r="D570" s="1">
        <f>IFERROR(__xludf.DUMMYFUNCTION("""COMPUTED_VALUE"""),22.64)</f>
        <v>22.64</v>
      </c>
      <c r="E570" s="1">
        <f>IFERROR(__xludf.DUMMYFUNCTION("""COMPUTED_VALUE"""),22.72)</f>
        <v>22.72</v>
      </c>
      <c r="F570" s="1">
        <f>IFERROR(__xludf.DUMMYFUNCTION("""COMPUTED_VALUE"""),264203.0)</f>
        <v>264203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IFERROR(__xludf.DUMMYFUNCTION("""COMPUTED_VALUE"""),22.61)</f>
        <v>22.61</v>
      </c>
      <c r="C571" s="1">
        <f>IFERROR(__xludf.DUMMYFUNCTION("""COMPUTED_VALUE"""),22.76)</f>
        <v>22.76</v>
      </c>
      <c r="D571" s="1">
        <f>IFERROR(__xludf.DUMMYFUNCTION("""COMPUTED_VALUE"""),22.38)</f>
        <v>22.38</v>
      </c>
      <c r="E571" s="1">
        <f>IFERROR(__xludf.DUMMYFUNCTION("""COMPUTED_VALUE"""),22.61)</f>
        <v>22.61</v>
      </c>
      <c r="F571" s="1">
        <f>IFERROR(__xludf.DUMMYFUNCTION("""COMPUTED_VALUE"""),530999.0)</f>
        <v>530999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IFERROR(__xludf.DUMMYFUNCTION("""COMPUTED_VALUE"""),22.3)</f>
        <v>22.3</v>
      </c>
      <c r="C572" s="1">
        <f>IFERROR(__xludf.DUMMYFUNCTION("""COMPUTED_VALUE"""),22.51)</f>
        <v>22.51</v>
      </c>
      <c r="D572" s="1">
        <f>IFERROR(__xludf.DUMMYFUNCTION("""COMPUTED_VALUE"""),22.17)</f>
        <v>22.17</v>
      </c>
      <c r="E572" s="1">
        <f>IFERROR(__xludf.DUMMYFUNCTION("""COMPUTED_VALUE"""),22.33)</f>
        <v>22.33</v>
      </c>
      <c r="F572" s="1">
        <f>IFERROR(__xludf.DUMMYFUNCTION("""COMPUTED_VALUE"""),449748.0)</f>
        <v>449748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IFERROR(__xludf.DUMMYFUNCTION("""COMPUTED_VALUE"""),22.19)</f>
        <v>22.19</v>
      </c>
      <c r="C573" s="1">
        <f>IFERROR(__xludf.DUMMYFUNCTION("""COMPUTED_VALUE"""),22.22)</f>
        <v>22.22</v>
      </c>
      <c r="D573" s="1">
        <f>IFERROR(__xludf.DUMMYFUNCTION("""COMPUTED_VALUE"""),21.32)</f>
        <v>21.32</v>
      </c>
      <c r="E573" s="1">
        <f>IFERROR(__xludf.DUMMYFUNCTION("""COMPUTED_VALUE"""),21.38)</f>
        <v>21.38</v>
      </c>
      <c r="F573" s="1">
        <f>IFERROR(__xludf.DUMMYFUNCTION("""COMPUTED_VALUE"""),1035040.0)</f>
        <v>1035040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IFERROR(__xludf.DUMMYFUNCTION("""COMPUTED_VALUE"""),21.54)</f>
        <v>21.54</v>
      </c>
      <c r="C574" s="1">
        <f>IFERROR(__xludf.DUMMYFUNCTION("""COMPUTED_VALUE"""),21.67)</f>
        <v>21.67</v>
      </c>
      <c r="D574" s="1">
        <f>IFERROR(__xludf.DUMMYFUNCTION("""COMPUTED_VALUE"""),21.45)</f>
        <v>21.45</v>
      </c>
      <c r="E574" s="1">
        <f>IFERROR(__xludf.DUMMYFUNCTION("""COMPUTED_VALUE"""),21.6)</f>
        <v>21.6</v>
      </c>
      <c r="F574" s="1">
        <f>IFERROR(__xludf.DUMMYFUNCTION("""COMPUTED_VALUE"""),516277.0)</f>
        <v>516277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IFERROR(__xludf.DUMMYFUNCTION("""COMPUTED_VALUE"""),21.66)</f>
        <v>21.66</v>
      </c>
      <c r="C575" s="1">
        <f>IFERROR(__xludf.DUMMYFUNCTION("""COMPUTED_VALUE"""),21.72)</f>
        <v>21.72</v>
      </c>
      <c r="D575" s="1">
        <f>IFERROR(__xludf.DUMMYFUNCTION("""COMPUTED_VALUE"""),21.34)</f>
        <v>21.34</v>
      </c>
      <c r="E575" s="1">
        <f>IFERROR(__xludf.DUMMYFUNCTION("""COMPUTED_VALUE"""),21.39)</f>
        <v>21.39</v>
      </c>
      <c r="F575" s="1">
        <f>IFERROR(__xludf.DUMMYFUNCTION("""COMPUTED_VALUE"""),661726.0)</f>
        <v>661726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IFERROR(__xludf.DUMMYFUNCTION("""COMPUTED_VALUE"""),21.34)</f>
        <v>21.34</v>
      </c>
      <c r="C576" s="1">
        <f>IFERROR(__xludf.DUMMYFUNCTION("""COMPUTED_VALUE"""),21.34)</f>
        <v>21.34</v>
      </c>
      <c r="D576" s="1">
        <f>IFERROR(__xludf.DUMMYFUNCTION("""COMPUTED_VALUE"""),20.97)</f>
        <v>20.97</v>
      </c>
      <c r="E576" s="1">
        <f>IFERROR(__xludf.DUMMYFUNCTION("""COMPUTED_VALUE"""),21.09)</f>
        <v>21.09</v>
      </c>
      <c r="F576" s="1">
        <f>IFERROR(__xludf.DUMMYFUNCTION("""COMPUTED_VALUE"""),1354532.0)</f>
        <v>1354532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IFERROR(__xludf.DUMMYFUNCTION("""COMPUTED_VALUE"""),21.08)</f>
        <v>21.08</v>
      </c>
      <c r="C577" s="1">
        <f>IFERROR(__xludf.DUMMYFUNCTION("""COMPUTED_VALUE"""),21.32)</f>
        <v>21.32</v>
      </c>
      <c r="D577" s="1">
        <f>IFERROR(__xludf.DUMMYFUNCTION("""COMPUTED_VALUE"""),21.02)</f>
        <v>21.02</v>
      </c>
      <c r="E577" s="1">
        <f>IFERROR(__xludf.DUMMYFUNCTION("""COMPUTED_VALUE"""),21.22)</f>
        <v>21.22</v>
      </c>
      <c r="F577" s="1">
        <f>IFERROR(__xludf.DUMMYFUNCTION("""COMPUTED_VALUE"""),303803.0)</f>
        <v>303803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IFERROR(__xludf.DUMMYFUNCTION("""COMPUTED_VALUE"""),21.33)</f>
        <v>21.33</v>
      </c>
      <c r="C578" s="1">
        <f>IFERROR(__xludf.DUMMYFUNCTION("""COMPUTED_VALUE"""),21.39)</f>
        <v>21.39</v>
      </c>
      <c r="D578" s="1">
        <f>IFERROR(__xludf.DUMMYFUNCTION("""COMPUTED_VALUE"""),21.14)</f>
        <v>21.14</v>
      </c>
      <c r="E578" s="1">
        <f>IFERROR(__xludf.DUMMYFUNCTION("""COMPUTED_VALUE"""),21.2)</f>
        <v>21.2</v>
      </c>
      <c r="F578" s="1">
        <f>IFERROR(__xludf.DUMMYFUNCTION("""COMPUTED_VALUE"""),329277.0)</f>
        <v>329277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IFERROR(__xludf.DUMMYFUNCTION("""COMPUTED_VALUE"""),21.2)</f>
        <v>21.2</v>
      </c>
      <c r="C579" s="1">
        <f>IFERROR(__xludf.DUMMYFUNCTION("""COMPUTED_VALUE"""),21.21)</f>
        <v>21.21</v>
      </c>
      <c r="D579" s="1">
        <f>IFERROR(__xludf.DUMMYFUNCTION("""COMPUTED_VALUE"""),20.78)</f>
        <v>20.78</v>
      </c>
      <c r="E579" s="1">
        <f>IFERROR(__xludf.DUMMYFUNCTION("""COMPUTED_VALUE"""),20.88)</f>
        <v>20.88</v>
      </c>
      <c r="F579" s="1">
        <f>IFERROR(__xludf.DUMMYFUNCTION("""COMPUTED_VALUE"""),221743.0)</f>
        <v>221743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IFERROR(__xludf.DUMMYFUNCTION("""COMPUTED_VALUE"""),20.85)</f>
        <v>20.85</v>
      </c>
      <c r="C580" s="1">
        <f>IFERROR(__xludf.DUMMYFUNCTION("""COMPUTED_VALUE"""),21.09)</f>
        <v>21.09</v>
      </c>
      <c r="D580" s="1">
        <f>IFERROR(__xludf.DUMMYFUNCTION("""COMPUTED_VALUE"""),20.79)</f>
        <v>20.79</v>
      </c>
      <c r="E580" s="1">
        <f>IFERROR(__xludf.DUMMYFUNCTION("""COMPUTED_VALUE"""),20.93)</f>
        <v>20.93</v>
      </c>
      <c r="F580" s="1">
        <f>IFERROR(__xludf.DUMMYFUNCTION("""COMPUTED_VALUE"""),334959.0)</f>
        <v>334959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IFERROR(__xludf.DUMMYFUNCTION("""COMPUTED_VALUE"""),21.08)</f>
        <v>21.08</v>
      </c>
      <c r="C581" s="1">
        <f>IFERROR(__xludf.DUMMYFUNCTION("""COMPUTED_VALUE"""),21.18)</f>
        <v>21.18</v>
      </c>
      <c r="D581" s="1">
        <f>IFERROR(__xludf.DUMMYFUNCTION("""COMPUTED_VALUE"""),20.9)</f>
        <v>20.9</v>
      </c>
      <c r="E581" s="1">
        <f>IFERROR(__xludf.DUMMYFUNCTION("""COMPUTED_VALUE"""),20.91)</f>
        <v>20.91</v>
      </c>
      <c r="F581" s="1">
        <f>IFERROR(__xludf.DUMMYFUNCTION("""COMPUTED_VALUE"""),166546.0)</f>
        <v>166546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IFERROR(__xludf.DUMMYFUNCTION("""COMPUTED_VALUE"""),20.67)</f>
        <v>20.67</v>
      </c>
      <c r="C582" s="1">
        <f>IFERROR(__xludf.DUMMYFUNCTION("""COMPUTED_VALUE"""),20.67)</f>
        <v>20.67</v>
      </c>
      <c r="D582" s="1">
        <f>IFERROR(__xludf.DUMMYFUNCTION("""COMPUTED_VALUE"""),20.39)</f>
        <v>20.39</v>
      </c>
      <c r="E582" s="1">
        <f>IFERROR(__xludf.DUMMYFUNCTION("""COMPUTED_VALUE"""),20.48)</f>
        <v>20.48</v>
      </c>
      <c r="F582" s="1">
        <f>IFERROR(__xludf.DUMMYFUNCTION("""COMPUTED_VALUE"""),292052.0)</f>
        <v>292052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IFERROR(__xludf.DUMMYFUNCTION("""COMPUTED_VALUE"""),20.44)</f>
        <v>20.44</v>
      </c>
      <c r="C583" s="1">
        <f>IFERROR(__xludf.DUMMYFUNCTION("""COMPUTED_VALUE"""),20.67)</f>
        <v>20.67</v>
      </c>
      <c r="D583" s="1">
        <f>IFERROR(__xludf.DUMMYFUNCTION("""COMPUTED_VALUE"""),20.05)</f>
        <v>20.05</v>
      </c>
      <c r="E583" s="1">
        <f>IFERROR(__xludf.DUMMYFUNCTION("""COMPUTED_VALUE"""),20.31)</f>
        <v>20.31</v>
      </c>
      <c r="F583" s="1">
        <f>IFERROR(__xludf.DUMMYFUNCTION("""COMPUTED_VALUE"""),847317.0)</f>
        <v>847317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IFERROR(__xludf.DUMMYFUNCTION("""COMPUTED_VALUE"""),20.5)</f>
        <v>20.5</v>
      </c>
      <c r="C584" s="1">
        <f>IFERROR(__xludf.DUMMYFUNCTION("""COMPUTED_VALUE"""),20.7)</f>
        <v>20.7</v>
      </c>
      <c r="D584" s="1">
        <f>IFERROR(__xludf.DUMMYFUNCTION("""COMPUTED_VALUE"""),20.22)</f>
        <v>20.22</v>
      </c>
      <c r="E584" s="1">
        <f>IFERROR(__xludf.DUMMYFUNCTION("""COMPUTED_VALUE"""),20.62)</f>
        <v>20.62</v>
      </c>
      <c r="F584" s="1">
        <f>IFERROR(__xludf.DUMMYFUNCTION("""COMPUTED_VALUE"""),340052.0)</f>
        <v>340052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IFERROR(__xludf.DUMMYFUNCTION("""COMPUTED_VALUE"""),20.6)</f>
        <v>20.6</v>
      </c>
      <c r="C585" s="1">
        <f>IFERROR(__xludf.DUMMYFUNCTION("""COMPUTED_VALUE"""),20.74)</f>
        <v>20.74</v>
      </c>
      <c r="D585" s="1">
        <f>IFERROR(__xludf.DUMMYFUNCTION("""COMPUTED_VALUE"""),20.53)</f>
        <v>20.53</v>
      </c>
      <c r="E585" s="1">
        <f>IFERROR(__xludf.DUMMYFUNCTION("""COMPUTED_VALUE"""),20.6)</f>
        <v>20.6</v>
      </c>
      <c r="F585" s="1">
        <f>IFERROR(__xludf.DUMMYFUNCTION("""COMPUTED_VALUE"""),175559.0)</f>
        <v>175559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IFERROR(__xludf.DUMMYFUNCTION("""COMPUTED_VALUE"""),20.71)</f>
        <v>20.71</v>
      </c>
      <c r="C586" s="1">
        <f>IFERROR(__xludf.DUMMYFUNCTION("""COMPUTED_VALUE"""),21.15)</f>
        <v>21.15</v>
      </c>
      <c r="D586" s="1">
        <f>IFERROR(__xludf.DUMMYFUNCTION("""COMPUTED_VALUE"""),20.62)</f>
        <v>20.62</v>
      </c>
      <c r="E586" s="1">
        <f>IFERROR(__xludf.DUMMYFUNCTION("""COMPUTED_VALUE"""),21.12)</f>
        <v>21.12</v>
      </c>
      <c r="F586" s="1">
        <f>IFERROR(__xludf.DUMMYFUNCTION("""COMPUTED_VALUE"""),471821.0)</f>
        <v>471821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IFERROR(__xludf.DUMMYFUNCTION("""COMPUTED_VALUE"""),21.04)</f>
        <v>21.04</v>
      </c>
      <c r="C587" s="1">
        <f>IFERROR(__xludf.DUMMYFUNCTION("""COMPUTED_VALUE"""),21.14)</f>
        <v>21.14</v>
      </c>
      <c r="D587" s="1">
        <f>IFERROR(__xludf.DUMMYFUNCTION("""COMPUTED_VALUE"""),20.87)</f>
        <v>20.87</v>
      </c>
      <c r="E587" s="1">
        <f>IFERROR(__xludf.DUMMYFUNCTION("""COMPUTED_VALUE"""),21.13)</f>
        <v>21.13</v>
      </c>
      <c r="F587" s="1">
        <f>IFERROR(__xludf.DUMMYFUNCTION("""COMPUTED_VALUE"""),346957.0)</f>
        <v>346957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IFERROR(__xludf.DUMMYFUNCTION("""COMPUTED_VALUE"""),21.12)</f>
        <v>21.12</v>
      </c>
      <c r="C588" s="1">
        <f>IFERROR(__xludf.DUMMYFUNCTION("""COMPUTED_VALUE"""),21.24)</f>
        <v>21.24</v>
      </c>
      <c r="D588" s="1">
        <f>IFERROR(__xludf.DUMMYFUNCTION("""COMPUTED_VALUE"""),20.98)</f>
        <v>20.98</v>
      </c>
      <c r="E588" s="1">
        <f>IFERROR(__xludf.DUMMYFUNCTION("""COMPUTED_VALUE"""),20.99)</f>
        <v>20.99</v>
      </c>
      <c r="F588" s="1">
        <f>IFERROR(__xludf.DUMMYFUNCTION("""COMPUTED_VALUE"""),391779.0)</f>
        <v>391779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IFERROR(__xludf.DUMMYFUNCTION("""COMPUTED_VALUE"""),20.88)</f>
        <v>20.88</v>
      </c>
      <c r="C589" s="1">
        <f>IFERROR(__xludf.DUMMYFUNCTION("""COMPUTED_VALUE"""),21.14)</f>
        <v>21.14</v>
      </c>
      <c r="D589" s="1">
        <f>IFERROR(__xludf.DUMMYFUNCTION("""COMPUTED_VALUE"""),20.82)</f>
        <v>20.82</v>
      </c>
      <c r="E589" s="1">
        <f>IFERROR(__xludf.DUMMYFUNCTION("""COMPUTED_VALUE"""),21.08)</f>
        <v>21.08</v>
      </c>
      <c r="F589" s="1">
        <f>IFERROR(__xludf.DUMMYFUNCTION("""COMPUTED_VALUE"""),284871.0)</f>
        <v>284871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IFERROR(__xludf.DUMMYFUNCTION("""COMPUTED_VALUE"""),21.04)</f>
        <v>21.04</v>
      </c>
      <c r="C590" s="1">
        <f>IFERROR(__xludf.DUMMYFUNCTION("""COMPUTED_VALUE"""),21.87)</f>
        <v>21.87</v>
      </c>
      <c r="D590" s="1">
        <f>IFERROR(__xludf.DUMMYFUNCTION("""COMPUTED_VALUE"""),21.01)</f>
        <v>21.01</v>
      </c>
      <c r="E590" s="1">
        <f>IFERROR(__xludf.DUMMYFUNCTION("""COMPUTED_VALUE"""),21.76)</f>
        <v>21.76</v>
      </c>
      <c r="F590" s="1">
        <f>IFERROR(__xludf.DUMMYFUNCTION("""COMPUTED_VALUE"""),1012742.0)</f>
        <v>1012742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IFERROR(__xludf.DUMMYFUNCTION("""COMPUTED_VALUE"""),21.61)</f>
        <v>21.61</v>
      </c>
      <c r="C591" s="1">
        <f>IFERROR(__xludf.DUMMYFUNCTION("""COMPUTED_VALUE"""),21.82)</f>
        <v>21.82</v>
      </c>
      <c r="D591" s="1">
        <f>IFERROR(__xludf.DUMMYFUNCTION("""COMPUTED_VALUE"""),21.38)</f>
        <v>21.38</v>
      </c>
      <c r="E591" s="1">
        <f>IFERROR(__xludf.DUMMYFUNCTION("""COMPUTED_VALUE"""),21.61)</f>
        <v>21.61</v>
      </c>
      <c r="F591" s="1">
        <f>IFERROR(__xludf.DUMMYFUNCTION("""COMPUTED_VALUE"""),596148.0)</f>
        <v>596148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IFERROR(__xludf.DUMMYFUNCTION("""COMPUTED_VALUE"""),21.57)</f>
        <v>21.57</v>
      </c>
      <c r="C592" s="1">
        <f>IFERROR(__xludf.DUMMYFUNCTION("""COMPUTED_VALUE"""),21.65)</f>
        <v>21.65</v>
      </c>
      <c r="D592" s="1">
        <f>IFERROR(__xludf.DUMMYFUNCTION("""COMPUTED_VALUE"""),21.18)</f>
        <v>21.18</v>
      </c>
      <c r="E592" s="1">
        <f>IFERROR(__xludf.DUMMYFUNCTION("""COMPUTED_VALUE"""),21.27)</f>
        <v>21.27</v>
      </c>
      <c r="F592" s="1">
        <f>IFERROR(__xludf.DUMMYFUNCTION("""COMPUTED_VALUE"""),333873.0)</f>
        <v>333873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IFERROR(__xludf.DUMMYFUNCTION("""COMPUTED_VALUE"""),21.16)</f>
        <v>21.16</v>
      </c>
      <c r="C593" s="1">
        <f>IFERROR(__xludf.DUMMYFUNCTION("""COMPUTED_VALUE"""),21.29)</f>
        <v>21.29</v>
      </c>
      <c r="D593" s="1">
        <f>IFERROR(__xludf.DUMMYFUNCTION("""COMPUTED_VALUE"""),20.74)</f>
        <v>20.74</v>
      </c>
      <c r="E593" s="1">
        <f>IFERROR(__xludf.DUMMYFUNCTION("""COMPUTED_VALUE"""),21.25)</f>
        <v>21.25</v>
      </c>
      <c r="F593" s="1">
        <f>IFERROR(__xludf.DUMMYFUNCTION("""COMPUTED_VALUE"""),451449.0)</f>
        <v>451449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IFERROR(__xludf.DUMMYFUNCTION("""COMPUTED_VALUE"""),21.07)</f>
        <v>21.07</v>
      </c>
      <c r="C594" s="1">
        <f>IFERROR(__xludf.DUMMYFUNCTION("""COMPUTED_VALUE"""),21.13)</f>
        <v>21.13</v>
      </c>
      <c r="D594" s="1">
        <f>IFERROR(__xludf.DUMMYFUNCTION("""COMPUTED_VALUE"""),20.56)</f>
        <v>20.56</v>
      </c>
      <c r="E594" s="1">
        <f>IFERROR(__xludf.DUMMYFUNCTION("""COMPUTED_VALUE"""),20.72)</f>
        <v>20.72</v>
      </c>
      <c r="F594" s="1">
        <f>IFERROR(__xludf.DUMMYFUNCTION("""COMPUTED_VALUE"""),377392.0)</f>
        <v>377392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IFERROR(__xludf.DUMMYFUNCTION("""COMPUTED_VALUE"""),20.89)</f>
        <v>20.89</v>
      </c>
      <c r="C595" s="1">
        <f>IFERROR(__xludf.DUMMYFUNCTION("""COMPUTED_VALUE"""),21.44)</f>
        <v>21.44</v>
      </c>
      <c r="D595" s="1">
        <f>IFERROR(__xludf.DUMMYFUNCTION("""COMPUTED_VALUE"""),20.85)</f>
        <v>20.85</v>
      </c>
      <c r="E595" s="1">
        <f>IFERROR(__xludf.DUMMYFUNCTION("""COMPUTED_VALUE"""),20.88)</f>
        <v>20.88</v>
      </c>
      <c r="F595" s="1">
        <f>IFERROR(__xludf.DUMMYFUNCTION("""COMPUTED_VALUE"""),364088.0)</f>
        <v>364088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IFERROR(__xludf.DUMMYFUNCTION("""COMPUTED_VALUE"""),20.88)</f>
        <v>20.88</v>
      </c>
      <c r="C596" s="1">
        <f>IFERROR(__xludf.DUMMYFUNCTION("""COMPUTED_VALUE"""),21.04)</f>
        <v>21.04</v>
      </c>
      <c r="D596" s="1">
        <f>IFERROR(__xludf.DUMMYFUNCTION("""COMPUTED_VALUE"""),20.43)</f>
        <v>20.43</v>
      </c>
      <c r="E596" s="1">
        <f>IFERROR(__xludf.DUMMYFUNCTION("""COMPUTED_VALUE"""),20.57)</f>
        <v>20.57</v>
      </c>
      <c r="F596" s="1">
        <f>IFERROR(__xludf.DUMMYFUNCTION("""COMPUTED_VALUE"""),319587.0)</f>
        <v>319587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IFERROR(__xludf.DUMMYFUNCTION("""COMPUTED_VALUE"""),20.39)</f>
        <v>20.39</v>
      </c>
      <c r="C597" s="1">
        <f>IFERROR(__xludf.DUMMYFUNCTION("""COMPUTED_VALUE"""),20.53)</f>
        <v>20.53</v>
      </c>
      <c r="D597" s="1">
        <f>IFERROR(__xludf.DUMMYFUNCTION("""COMPUTED_VALUE"""),19.8)</f>
        <v>19.8</v>
      </c>
      <c r="E597" s="1">
        <f>IFERROR(__xludf.DUMMYFUNCTION("""COMPUTED_VALUE"""),20.38)</f>
        <v>20.38</v>
      </c>
      <c r="F597" s="1">
        <f>IFERROR(__xludf.DUMMYFUNCTION("""COMPUTED_VALUE"""),587004.0)</f>
        <v>587004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IFERROR(__xludf.DUMMYFUNCTION("""COMPUTED_VALUE"""),20.35)</f>
        <v>20.35</v>
      </c>
      <c r="C598" s="1">
        <f>IFERROR(__xludf.DUMMYFUNCTION("""COMPUTED_VALUE"""),20.83)</f>
        <v>20.83</v>
      </c>
      <c r="D598" s="1">
        <f>IFERROR(__xludf.DUMMYFUNCTION("""COMPUTED_VALUE"""),20.26)</f>
        <v>20.26</v>
      </c>
      <c r="E598" s="1">
        <f>IFERROR(__xludf.DUMMYFUNCTION("""COMPUTED_VALUE"""),20.61)</f>
        <v>20.61</v>
      </c>
      <c r="F598" s="1">
        <f>IFERROR(__xludf.DUMMYFUNCTION("""COMPUTED_VALUE"""),437609.0)</f>
        <v>437609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IFERROR(__xludf.DUMMYFUNCTION("""COMPUTED_VALUE"""),20.53)</f>
        <v>20.53</v>
      </c>
      <c r="C599" s="1">
        <f>IFERROR(__xludf.DUMMYFUNCTION("""COMPUTED_VALUE"""),21.07)</f>
        <v>21.07</v>
      </c>
      <c r="D599" s="1">
        <f>IFERROR(__xludf.DUMMYFUNCTION("""COMPUTED_VALUE"""),20.39)</f>
        <v>20.39</v>
      </c>
      <c r="E599" s="1">
        <f>IFERROR(__xludf.DUMMYFUNCTION("""COMPUTED_VALUE"""),20.45)</f>
        <v>20.45</v>
      </c>
      <c r="F599" s="1">
        <f>IFERROR(__xludf.DUMMYFUNCTION("""COMPUTED_VALUE"""),370213.0)</f>
        <v>370213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IFERROR(__xludf.DUMMYFUNCTION("""COMPUTED_VALUE"""),20.31)</f>
        <v>20.31</v>
      </c>
      <c r="C600" s="1">
        <f>IFERROR(__xludf.DUMMYFUNCTION("""COMPUTED_VALUE"""),20.45)</f>
        <v>20.45</v>
      </c>
      <c r="D600" s="1">
        <f>IFERROR(__xludf.DUMMYFUNCTION("""COMPUTED_VALUE"""),19.25)</f>
        <v>19.25</v>
      </c>
      <c r="E600" s="1">
        <f>IFERROR(__xludf.DUMMYFUNCTION("""COMPUTED_VALUE"""),19.39)</f>
        <v>19.39</v>
      </c>
      <c r="F600" s="1">
        <f>IFERROR(__xludf.DUMMYFUNCTION("""COMPUTED_VALUE"""),801749.0)</f>
        <v>801749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IFERROR(__xludf.DUMMYFUNCTION("""COMPUTED_VALUE"""),19.43)</f>
        <v>19.43</v>
      </c>
      <c r="C601" s="1">
        <f>IFERROR(__xludf.DUMMYFUNCTION("""COMPUTED_VALUE"""),20.38)</f>
        <v>20.38</v>
      </c>
      <c r="D601" s="1">
        <f>IFERROR(__xludf.DUMMYFUNCTION("""COMPUTED_VALUE"""),19.43)</f>
        <v>19.43</v>
      </c>
      <c r="E601" s="1">
        <f>IFERROR(__xludf.DUMMYFUNCTION("""COMPUTED_VALUE"""),19.95)</f>
        <v>19.95</v>
      </c>
      <c r="F601" s="1">
        <f>IFERROR(__xludf.DUMMYFUNCTION("""COMPUTED_VALUE"""),679376.0)</f>
        <v>679376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IFERROR(__xludf.DUMMYFUNCTION("""COMPUTED_VALUE"""),20.06)</f>
        <v>20.06</v>
      </c>
      <c r="C602" s="1">
        <f>IFERROR(__xludf.DUMMYFUNCTION("""COMPUTED_VALUE"""),20.21)</f>
        <v>20.21</v>
      </c>
      <c r="D602" s="1">
        <f>IFERROR(__xludf.DUMMYFUNCTION("""COMPUTED_VALUE"""),19.72)</f>
        <v>19.72</v>
      </c>
      <c r="E602" s="1">
        <f>IFERROR(__xludf.DUMMYFUNCTION("""COMPUTED_VALUE"""),19.94)</f>
        <v>19.94</v>
      </c>
      <c r="F602" s="1">
        <f>IFERROR(__xludf.DUMMYFUNCTION("""COMPUTED_VALUE"""),417549.0)</f>
        <v>417549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IFERROR(__xludf.DUMMYFUNCTION("""COMPUTED_VALUE"""),19.92)</f>
        <v>19.92</v>
      </c>
      <c r="C603" s="1">
        <f>IFERROR(__xludf.DUMMYFUNCTION("""COMPUTED_VALUE"""),20.11)</f>
        <v>20.11</v>
      </c>
      <c r="D603" s="1">
        <f>IFERROR(__xludf.DUMMYFUNCTION("""COMPUTED_VALUE"""),19.51)</f>
        <v>19.51</v>
      </c>
      <c r="E603" s="1">
        <f>IFERROR(__xludf.DUMMYFUNCTION("""COMPUTED_VALUE"""),19.6)</f>
        <v>19.6</v>
      </c>
      <c r="F603" s="1">
        <f>IFERROR(__xludf.DUMMYFUNCTION("""COMPUTED_VALUE"""),537540.0)</f>
        <v>537540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IFERROR(__xludf.DUMMYFUNCTION("""COMPUTED_VALUE"""),19.56)</f>
        <v>19.56</v>
      </c>
      <c r="C604" s="1">
        <f>IFERROR(__xludf.DUMMYFUNCTION("""COMPUTED_VALUE"""),19.92)</f>
        <v>19.92</v>
      </c>
      <c r="D604" s="1">
        <f>IFERROR(__xludf.DUMMYFUNCTION("""COMPUTED_VALUE"""),19.39)</f>
        <v>19.39</v>
      </c>
      <c r="E604" s="1">
        <f>IFERROR(__xludf.DUMMYFUNCTION("""COMPUTED_VALUE"""),19.6)</f>
        <v>19.6</v>
      </c>
      <c r="F604" s="1">
        <f>IFERROR(__xludf.DUMMYFUNCTION("""COMPUTED_VALUE"""),745281.0)</f>
        <v>745281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IFERROR(__xludf.DUMMYFUNCTION("""COMPUTED_VALUE"""),19.8)</f>
        <v>19.8</v>
      </c>
      <c r="C605" s="1">
        <f>IFERROR(__xludf.DUMMYFUNCTION("""COMPUTED_VALUE"""),19.85)</f>
        <v>19.85</v>
      </c>
      <c r="D605" s="1">
        <f>IFERROR(__xludf.DUMMYFUNCTION("""COMPUTED_VALUE"""),19.63)</f>
        <v>19.63</v>
      </c>
      <c r="E605" s="1">
        <f>IFERROR(__xludf.DUMMYFUNCTION("""COMPUTED_VALUE"""),19.75)</f>
        <v>19.75</v>
      </c>
      <c r="F605" s="1">
        <f>IFERROR(__xludf.DUMMYFUNCTION("""COMPUTED_VALUE"""),488061.0)</f>
        <v>488061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IFERROR(__xludf.DUMMYFUNCTION("""COMPUTED_VALUE"""),19.78)</f>
        <v>19.78</v>
      </c>
      <c r="C606" s="1">
        <f>IFERROR(__xludf.DUMMYFUNCTION("""COMPUTED_VALUE"""),20.07)</f>
        <v>20.07</v>
      </c>
      <c r="D606" s="1">
        <f>IFERROR(__xludf.DUMMYFUNCTION("""COMPUTED_VALUE"""),19.71)</f>
        <v>19.71</v>
      </c>
      <c r="E606" s="1">
        <f>IFERROR(__xludf.DUMMYFUNCTION("""COMPUTED_VALUE"""),19.99)</f>
        <v>19.99</v>
      </c>
      <c r="F606" s="1">
        <f>IFERROR(__xludf.DUMMYFUNCTION("""COMPUTED_VALUE"""),323352.0)</f>
        <v>323352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IFERROR(__xludf.DUMMYFUNCTION("""COMPUTED_VALUE"""),20.11)</f>
        <v>20.11</v>
      </c>
      <c r="C607" s="1">
        <f>IFERROR(__xludf.DUMMYFUNCTION("""COMPUTED_VALUE"""),20.7)</f>
        <v>20.7</v>
      </c>
      <c r="D607" s="1">
        <f>IFERROR(__xludf.DUMMYFUNCTION("""COMPUTED_VALUE"""),20.11)</f>
        <v>20.11</v>
      </c>
      <c r="E607" s="1">
        <f>IFERROR(__xludf.DUMMYFUNCTION("""COMPUTED_VALUE"""),20.4)</f>
        <v>20.4</v>
      </c>
      <c r="F607" s="1">
        <f>IFERROR(__xludf.DUMMYFUNCTION("""COMPUTED_VALUE"""),235945.0)</f>
        <v>235945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IFERROR(__xludf.DUMMYFUNCTION("""COMPUTED_VALUE"""),20.26)</f>
        <v>20.26</v>
      </c>
      <c r="C608" s="1">
        <f>IFERROR(__xludf.DUMMYFUNCTION("""COMPUTED_VALUE"""),20.5)</f>
        <v>20.5</v>
      </c>
      <c r="D608" s="1">
        <f>IFERROR(__xludf.DUMMYFUNCTION("""COMPUTED_VALUE"""),19.95)</f>
        <v>19.95</v>
      </c>
      <c r="E608" s="1">
        <f>IFERROR(__xludf.DUMMYFUNCTION("""COMPUTED_VALUE"""),20.16)</f>
        <v>20.16</v>
      </c>
      <c r="F608" s="1">
        <f>IFERROR(__xludf.DUMMYFUNCTION("""COMPUTED_VALUE"""),638525.0)</f>
        <v>638525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IFERROR(__xludf.DUMMYFUNCTION("""COMPUTED_VALUE"""),20.19)</f>
        <v>20.19</v>
      </c>
      <c r="C609" s="1">
        <f>IFERROR(__xludf.DUMMYFUNCTION("""COMPUTED_VALUE"""),20.31)</f>
        <v>20.31</v>
      </c>
      <c r="D609" s="1">
        <f>IFERROR(__xludf.DUMMYFUNCTION("""COMPUTED_VALUE"""),19.64)</f>
        <v>19.64</v>
      </c>
      <c r="E609" s="1">
        <f>IFERROR(__xludf.DUMMYFUNCTION("""COMPUTED_VALUE"""),19.82)</f>
        <v>19.82</v>
      </c>
      <c r="F609" s="1">
        <f>IFERROR(__xludf.DUMMYFUNCTION("""COMPUTED_VALUE"""),429661.0)</f>
        <v>429661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IFERROR(__xludf.DUMMYFUNCTION("""COMPUTED_VALUE"""),19.6)</f>
        <v>19.6</v>
      </c>
      <c r="C610" s="1">
        <f>IFERROR(__xludf.DUMMYFUNCTION("""COMPUTED_VALUE"""),19.6)</f>
        <v>19.6</v>
      </c>
      <c r="D610" s="1">
        <f>IFERROR(__xludf.DUMMYFUNCTION("""COMPUTED_VALUE"""),19.17)</f>
        <v>19.17</v>
      </c>
      <c r="E610" s="1">
        <f>IFERROR(__xludf.DUMMYFUNCTION("""COMPUTED_VALUE"""),19.53)</f>
        <v>19.53</v>
      </c>
      <c r="F610" s="1">
        <f>IFERROR(__xludf.DUMMYFUNCTION("""COMPUTED_VALUE"""),594237.0)</f>
        <v>594237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IFERROR(__xludf.DUMMYFUNCTION("""COMPUTED_VALUE"""),19.53)</f>
        <v>19.53</v>
      </c>
      <c r="C611" s="1">
        <f>IFERROR(__xludf.DUMMYFUNCTION("""COMPUTED_VALUE"""),19.58)</f>
        <v>19.58</v>
      </c>
      <c r="D611" s="1">
        <f>IFERROR(__xludf.DUMMYFUNCTION("""COMPUTED_VALUE"""),18.83)</f>
        <v>18.83</v>
      </c>
      <c r="E611" s="1">
        <f>IFERROR(__xludf.DUMMYFUNCTION("""COMPUTED_VALUE"""),19.02)</f>
        <v>19.02</v>
      </c>
      <c r="F611" s="1">
        <f>IFERROR(__xludf.DUMMYFUNCTION("""COMPUTED_VALUE"""),366343.0)</f>
        <v>366343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IFERROR(__xludf.DUMMYFUNCTION("""COMPUTED_VALUE"""),18.92)</f>
        <v>18.92</v>
      </c>
      <c r="C612" s="1">
        <f>IFERROR(__xludf.DUMMYFUNCTION("""COMPUTED_VALUE"""),19.47)</f>
        <v>19.47</v>
      </c>
      <c r="D612" s="1">
        <f>IFERROR(__xludf.DUMMYFUNCTION("""COMPUTED_VALUE"""),18.86)</f>
        <v>18.86</v>
      </c>
      <c r="E612" s="1">
        <f>IFERROR(__xludf.DUMMYFUNCTION("""COMPUTED_VALUE"""),19.37)</f>
        <v>19.37</v>
      </c>
      <c r="F612" s="1">
        <f>IFERROR(__xludf.DUMMYFUNCTION("""COMPUTED_VALUE"""),353535.0)</f>
        <v>353535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IFERROR(__xludf.DUMMYFUNCTION("""COMPUTED_VALUE"""),19.53)</f>
        <v>19.53</v>
      </c>
      <c r="C613" s="1">
        <f>IFERROR(__xludf.DUMMYFUNCTION("""COMPUTED_VALUE"""),20.14)</f>
        <v>20.14</v>
      </c>
      <c r="D613" s="1">
        <f>IFERROR(__xludf.DUMMYFUNCTION("""COMPUTED_VALUE"""),19.49)</f>
        <v>19.49</v>
      </c>
      <c r="E613" s="1">
        <f>IFERROR(__xludf.DUMMYFUNCTION("""COMPUTED_VALUE"""),20.03)</f>
        <v>20.03</v>
      </c>
      <c r="F613" s="1">
        <f>IFERROR(__xludf.DUMMYFUNCTION("""COMPUTED_VALUE"""),654257.0)</f>
        <v>654257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IFERROR(__xludf.DUMMYFUNCTION("""COMPUTED_VALUE"""),20.15)</f>
        <v>20.15</v>
      </c>
      <c r="C614" s="1">
        <f>IFERROR(__xludf.DUMMYFUNCTION("""COMPUTED_VALUE"""),20.22)</f>
        <v>20.22</v>
      </c>
      <c r="D614" s="1">
        <f>IFERROR(__xludf.DUMMYFUNCTION("""COMPUTED_VALUE"""),19.5)</f>
        <v>19.5</v>
      </c>
      <c r="E614" s="1">
        <f>IFERROR(__xludf.DUMMYFUNCTION("""COMPUTED_VALUE"""),19.75)</f>
        <v>19.75</v>
      </c>
      <c r="F614" s="1">
        <f>IFERROR(__xludf.DUMMYFUNCTION("""COMPUTED_VALUE"""),579473.0)</f>
        <v>579473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IFERROR(__xludf.DUMMYFUNCTION("""COMPUTED_VALUE"""),19.69)</f>
        <v>19.69</v>
      </c>
      <c r="C615" s="1">
        <f>IFERROR(__xludf.DUMMYFUNCTION("""COMPUTED_VALUE"""),20.18)</f>
        <v>20.18</v>
      </c>
      <c r="D615" s="1">
        <f>IFERROR(__xludf.DUMMYFUNCTION("""COMPUTED_VALUE"""),19.52)</f>
        <v>19.52</v>
      </c>
      <c r="E615" s="1">
        <f>IFERROR(__xludf.DUMMYFUNCTION("""COMPUTED_VALUE"""),19.85)</f>
        <v>19.85</v>
      </c>
      <c r="F615" s="1">
        <f>IFERROR(__xludf.DUMMYFUNCTION("""COMPUTED_VALUE"""),418718.0)</f>
        <v>418718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IFERROR(__xludf.DUMMYFUNCTION("""COMPUTED_VALUE"""),19.93)</f>
        <v>19.93</v>
      </c>
      <c r="C616" s="1">
        <f>IFERROR(__xludf.DUMMYFUNCTION("""COMPUTED_VALUE"""),20.01)</f>
        <v>20.01</v>
      </c>
      <c r="D616" s="1">
        <f>IFERROR(__xludf.DUMMYFUNCTION("""COMPUTED_VALUE"""),19.23)</f>
        <v>19.23</v>
      </c>
      <c r="E616" s="1">
        <f>IFERROR(__xludf.DUMMYFUNCTION("""COMPUTED_VALUE"""),19.26)</f>
        <v>19.26</v>
      </c>
      <c r="F616" s="1">
        <f>IFERROR(__xludf.DUMMYFUNCTION("""COMPUTED_VALUE"""),384152.0)</f>
        <v>384152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IFERROR(__xludf.DUMMYFUNCTION("""COMPUTED_VALUE"""),19.31)</f>
        <v>19.31</v>
      </c>
      <c r="C617" s="1">
        <f>IFERROR(__xludf.DUMMYFUNCTION("""COMPUTED_VALUE"""),19.55)</f>
        <v>19.55</v>
      </c>
      <c r="D617" s="1">
        <f>IFERROR(__xludf.DUMMYFUNCTION("""COMPUTED_VALUE"""),19.17)</f>
        <v>19.17</v>
      </c>
      <c r="E617" s="1">
        <f>IFERROR(__xludf.DUMMYFUNCTION("""COMPUTED_VALUE"""),19.52)</f>
        <v>19.52</v>
      </c>
      <c r="F617" s="1">
        <f>IFERROR(__xludf.DUMMYFUNCTION("""COMPUTED_VALUE"""),311597.0)</f>
        <v>311597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IFERROR(__xludf.DUMMYFUNCTION("""COMPUTED_VALUE"""),19.45)</f>
        <v>19.45</v>
      </c>
      <c r="C618" s="1">
        <f>IFERROR(__xludf.DUMMYFUNCTION("""COMPUTED_VALUE"""),19.96)</f>
        <v>19.96</v>
      </c>
      <c r="D618" s="1">
        <f>IFERROR(__xludf.DUMMYFUNCTION("""COMPUTED_VALUE"""),19.09)</f>
        <v>19.09</v>
      </c>
      <c r="E618" s="1">
        <f>IFERROR(__xludf.DUMMYFUNCTION("""COMPUTED_VALUE"""),19.25)</f>
        <v>19.25</v>
      </c>
      <c r="F618" s="1">
        <f>IFERROR(__xludf.DUMMYFUNCTION("""COMPUTED_VALUE"""),415675.0)</f>
        <v>415675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IFERROR(__xludf.DUMMYFUNCTION("""COMPUTED_VALUE"""),19.25)</f>
        <v>19.25</v>
      </c>
      <c r="C619" s="1">
        <f>IFERROR(__xludf.DUMMYFUNCTION("""COMPUTED_VALUE"""),19.5)</f>
        <v>19.5</v>
      </c>
      <c r="D619" s="1">
        <f>IFERROR(__xludf.DUMMYFUNCTION("""COMPUTED_VALUE"""),19.22)</f>
        <v>19.22</v>
      </c>
      <c r="E619" s="1">
        <f>IFERROR(__xludf.DUMMYFUNCTION("""COMPUTED_VALUE"""),19.38)</f>
        <v>19.38</v>
      </c>
      <c r="F619" s="1">
        <f>IFERROR(__xludf.DUMMYFUNCTION("""COMPUTED_VALUE"""),200527.0)</f>
        <v>200527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IFERROR(__xludf.DUMMYFUNCTION("""COMPUTED_VALUE"""),19.42)</f>
        <v>19.42</v>
      </c>
      <c r="C620" s="1">
        <f>IFERROR(__xludf.DUMMYFUNCTION("""COMPUTED_VALUE"""),20.11)</f>
        <v>20.11</v>
      </c>
      <c r="D620" s="1">
        <f>IFERROR(__xludf.DUMMYFUNCTION("""COMPUTED_VALUE"""),19.28)</f>
        <v>19.28</v>
      </c>
      <c r="E620" s="1">
        <f>IFERROR(__xludf.DUMMYFUNCTION("""COMPUTED_VALUE"""),20.09)</f>
        <v>20.09</v>
      </c>
      <c r="F620" s="1">
        <f>IFERROR(__xludf.DUMMYFUNCTION("""COMPUTED_VALUE"""),530435.0)</f>
        <v>530435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IFERROR(__xludf.DUMMYFUNCTION("""COMPUTED_VALUE"""),20.03)</f>
        <v>20.03</v>
      </c>
      <c r="C621" s="1">
        <f>IFERROR(__xludf.DUMMYFUNCTION("""COMPUTED_VALUE"""),20.48)</f>
        <v>20.48</v>
      </c>
      <c r="D621" s="1">
        <f>IFERROR(__xludf.DUMMYFUNCTION("""COMPUTED_VALUE"""),19.88)</f>
        <v>19.88</v>
      </c>
      <c r="E621" s="1">
        <f>IFERROR(__xludf.DUMMYFUNCTION("""COMPUTED_VALUE"""),20.31)</f>
        <v>20.31</v>
      </c>
      <c r="F621" s="1">
        <f>IFERROR(__xludf.DUMMYFUNCTION("""COMPUTED_VALUE"""),558618.0)</f>
        <v>558618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IFERROR(__xludf.DUMMYFUNCTION("""COMPUTED_VALUE"""),20.4)</f>
        <v>20.4</v>
      </c>
      <c r="C622" s="1">
        <f>IFERROR(__xludf.DUMMYFUNCTION("""COMPUTED_VALUE"""),20.81)</f>
        <v>20.81</v>
      </c>
      <c r="D622" s="1">
        <f>IFERROR(__xludf.DUMMYFUNCTION("""COMPUTED_VALUE"""),20.26)</f>
        <v>20.26</v>
      </c>
      <c r="E622" s="1">
        <f>IFERROR(__xludf.DUMMYFUNCTION("""COMPUTED_VALUE"""),20.67)</f>
        <v>20.67</v>
      </c>
      <c r="F622" s="1">
        <f>IFERROR(__xludf.DUMMYFUNCTION("""COMPUTED_VALUE"""),212441.0)</f>
        <v>212441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IFERROR(__xludf.DUMMYFUNCTION("""COMPUTED_VALUE"""),20.74)</f>
        <v>20.74</v>
      </c>
      <c r="C623" s="1">
        <f>IFERROR(__xludf.DUMMYFUNCTION("""COMPUTED_VALUE"""),20.76)</f>
        <v>20.76</v>
      </c>
      <c r="D623" s="1">
        <f>IFERROR(__xludf.DUMMYFUNCTION("""COMPUTED_VALUE"""),20.44)</f>
        <v>20.44</v>
      </c>
      <c r="E623" s="1">
        <f>IFERROR(__xludf.DUMMYFUNCTION("""COMPUTED_VALUE"""),20.49)</f>
        <v>20.49</v>
      </c>
      <c r="F623" s="1">
        <f>IFERROR(__xludf.DUMMYFUNCTION("""COMPUTED_VALUE"""),187007.0)</f>
        <v>187007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IFERROR(__xludf.DUMMYFUNCTION("""COMPUTED_VALUE"""),20.5)</f>
        <v>20.5</v>
      </c>
      <c r="C624" s="1">
        <f>IFERROR(__xludf.DUMMYFUNCTION("""COMPUTED_VALUE"""),20.5)</f>
        <v>20.5</v>
      </c>
      <c r="D624" s="1">
        <f>IFERROR(__xludf.DUMMYFUNCTION("""COMPUTED_VALUE"""),19.68)</f>
        <v>19.68</v>
      </c>
      <c r="E624" s="1">
        <f>IFERROR(__xludf.DUMMYFUNCTION("""COMPUTED_VALUE"""),19.7)</f>
        <v>19.7</v>
      </c>
      <c r="F624" s="1">
        <f>IFERROR(__xludf.DUMMYFUNCTION("""COMPUTED_VALUE"""),240617.0)</f>
        <v>240617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IFERROR(__xludf.DUMMYFUNCTION("""COMPUTED_VALUE"""),19.8)</f>
        <v>19.8</v>
      </c>
      <c r="C625" s="1">
        <f>IFERROR(__xludf.DUMMYFUNCTION("""COMPUTED_VALUE"""),19.89)</f>
        <v>19.89</v>
      </c>
      <c r="D625" s="1">
        <f>IFERROR(__xludf.DUMMYFUNCTION("""COMPUTED_VALUE"""),19.57)</f>
        <v>19.57</v>
      </c>
      <c r="E625" s="1">
        <f>IFERROR(__xludf.DUMMYFUNCTION("""COMPUTED_VALUE"""),19.64)</f>
        <v>19.64</v>
      </c>
      <c r="F625" s="1">
        <f>IFERROR(__xludf.DUMMYFUNCTION("""COMPUTED_VALUE"""),361335.0)</f>
        <v>361335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IFERROR(__xludf.DUMMYFUNCTION("""COMPUTED_VALUE"""),19.43)</f>
        <v>19.43</v>
      </c>
      <c r="C626" s="1">
        <f>IFERROR(__xludf.DUMMYFUNCTION("""COMPUTED_VALUE"""),19.8)</f>
        <v>19.8</v>
      </c>
      <c r="D626" s="1">
        <f>IFERROR(__xludf.DUMMYFUNCTION("""COMPUTED_VALUE"""),19.22)</f>
        <v>19.22</v>
      </c>
      <c r="E626" s="1">
        <f>IFERROR(__xludf.DUMMYFUNCTION("""COMPUTED_VALUE"""),19.78)</f>
        <v>19.78</v>
      </c>
      <c r="F626" s="1">
        <f>IFERROR(__xludf.DUMMYFUNCTION("""COMPUTED_VALUE"""),376099.0)</f>
        <v>376099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IFERROR(__xludf.DUMMYFUNCTION("""COMPUTED_VALUE"""),19.78)</f>
        <v>19.78</v>
      </c>
      <c r="C627" s="1">
        <f>IFERROR(__xludf.DUMMYFUNCTION("""COMPUTED_VALUE"""),20.26)</f>
        <v>20.26</v>
      </c>
      <c r="D627" s="1">
        <f>IFERROR(__xludf.DUMMYFUNCTION("""COMPUTED_VALUE"""),19.76)</f>
        <v>19.76</v>
      </c>
      <c r="E627" s="1">
        <f>IFERROR(__xludf.DUMMYFUNCTION("""COMPUTED_VALUE"""),20.05)</f>
        <v>20.05</v>
      </c>
      <c r="F627" s="1">
        <f>IFERROR(__xludf.DUMMYFUNCTION("""COMPUTED_VALUE"""),483517.0)</f>
        <v>483517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IFERROR(__xludf.DUMMYFUNCTION("""COMPUTED_VALUE"""),20.04)</f>
        <v>20.04</v>
      </c>
      <c r="C628" s="1">
        <f>IFERROR(__xludf.DUMMYFUNCTION("""COMPUTED_VALUE"""),20.58)</f>
        <v>20.58</v>
      </c>
      <c r="D628" s="1">
        <f>IFERROR(__xludf.DUMMYFUNCTION("""COMPUTED_VALUE"""),19.94)</f>
        <v>19.94</v>
      </c>
      <c r="E628" s="1">
        <f>IFERROR(__xludf.DUMMYFUNCTION("""COMPUTED_VALUE"""),20.48)</f>
        <v>20.48</v>
      </c>
      <c r="F628" s="1">
        <f>IFERROR(__xludf.DUMMYFUNCTION("""COMPUTED_VALUE"""),326819.0)</f>
        <v>326819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IFERROR(__xludf.DUMMYFUNCTION("""COMPUTED_VALUE"""),20.32)</f>
        <v>20.32</v>
      </c>
      <c r="C629" s="1">
        <f>IFERROR(__xludf.DUMMYFUNCTION("""COMPUTED_VALUE"""),20.65)</f>
        <v>20.65</v>
      </c>
      <c r="D629" s="1">
        <f>IFERROR(__xludf.DUMMYFUNCTION("""COMPUTED_VALUE"""),20.03)</f>
        <v>20.03</v>
      </c>
      <c r="E629" s="1">
        <f>IFERROR(__xludf.DUMMYFUNCTION("""COMPUTED_VALUE"""),20.5)</f>
        <v>20.5</v>
      </c>
      <c r="F629" s="1">
        <f>IFERROR(__xludf.DUMMYFUNCTION("""COMPUTED_VALUE"""),561622.0)</f>
        <v>561622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IFERROR(__xludf.DUMMYFUNCTION("""COMPUTED_VALUE"""),20.88)</f>
        <v>20.88</v>
      </c>
      <c r="C630" s="1">
        <f>IFERROR(__xludf.DUMMYFUNCTION("""COMPUTED_VALUE"""),21.42)</f>
        <v>21.42</v>
      </c>
      <c r="D630" s="1">
        <f>IFERROR(__xludf.DUMMYFUNCTION("""COMPUTED_VALUE"""),20.66)</f>
        <v>20.66</v>
      </c>
      <c r="E630" s="1">
        <f>IFERROR(__xludf.DUMMYFUNCTION("""COMPUTED_VALUE"""),21.25)</f>
        <v>21.25</v>
      </c>
      <c r="F630" s="1">
        <f>IFERROR(__xludf.DUMMYFUNCTION("""COMPUTED_VALUE"""),341230.0)</f>
        <v>341230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IFERROR(__xludf.DUMMYFUNCTION("""COMPUTED_VALUE"""),21.18)</f>
        <v>21.18</v>
      </c>
      <c r="C631" s="1">
        <f>IFERROR(__xludf.DUMMYFUNCTION("""COMPUTED_VALUE"""),22.04)</f>
        <v>22.04</v>
      </c>
      <c r="D631" s="1">
        <f>IFERROR(__xludf.DUMMYFUNCTION("""COMPUTED_VALUE"""),21.05)</f>
        <v>21.05</v>
      </c>
      <c r="E631" s="1">
        <f>IFERROR(__xludf.DUMMYFUNCTION("""COMPUTED_VALUE"""),21.8)</f>
        <v>21.8</v>
      </c>
      <c r="F631" s="1">
        <f>IFERROR(__xludf.DUMMYFUNCTION("""COMPUTED_VALUE"""),637748.0)</f>
        <v>637748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IFERROR(__xludf.DUMMYFUNCTION("""COMPUTED_VALUE"""),21.92)</f>
        <v>21.92</v>
      </c>
      <c r="C632" s="1">
        <f>IFERROR(__xludf.DUMMYFUNCTION("""COMPUTED_VALUE"""),22.42)</f>
        <v>22.42</v>
      </c>
      <c r="D632" s="1">
        <f>IFERROR(__xludf.DUMMYFUNCTION("""COMPUTED_VALUE"""),21.61)</f>
        <v>21.61</v>
      </c>
      <c r="E632" s="1">
        <f>IFERROR(__xludf.DUMMYFUNCTION("""COMPUTED_VALUE"""),21.97)</f>
        <v>21.97</v>
      </c>
      <c r="F632" s="1">
        <f>IFERROR(__xludf.DUMMYFUNCTION("""COMPUTED_VALUE"""),194198.0)</f>
        <v>194198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IFERROR(__xludf.DUMMYFUNCTION("""COMPUTED_VALUE"""),21.86)</f>
        <v>21.86</v>
      </c>
      <c r="C633" s="1">
        <f>IFERROR(__xludf.DUMMYFUNCTION("""COMPUTED_VALUE"""),21.99)</f>
        <v>21.99</v>
      </c>
      <c r="D633" s="1">
        <f>IFERROR(__xludf.DUMMYFUNCTION("""COMPUTED_VALUE"""),21.44)</f>
        <v>21.44</v>
      </c>
      <c r="E633" s="1">
        <f>IFERROR(__xludf.DUMMYFUNCTION("""COMPUTED_VALUE"""),21.9)</f>
        <v>21.9</v>
      </c>
      <c r="F633" s="1">
        <f>IFERROR(__xludf.DUMMYFUNCTION("""COMPUTED_VALUE"""),465710.0)</f>
        <v>465710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IFERROR(__xludf.DUMMYFUNCTION("""COMPUTED_VALUE"""),21.72)</f>
        <v>21.72</v>
      </c>
      <c r="C634" s="1">
        <f>IFERROR(__xludf.DUMMYFUNCTION("""COMPUTED_VALUE"""),21.88)</f>
        <v>21.88</v>
      </c>
      <c r="D634" s="1">
        <f>IFERROR(__xludf.DUMMYFUNCTION("""COMPUTED_VALUE"""),21.46)</f>
        <v>21.46</v>
      </c>
      <c r="E634" s="1">
        <f>IFERROR(__xludf.DUMMYFUNCTION("""COMPUTED_VALUE"""),21.58)</f>
        <v>21.58</v>
      </c>
      <c r="F634" s="1">
        <f>IFERROR(__xludf.DUMMYFUNCTION("""COMPUTED_VALUE"""),313981.0)</f>
        <v>313981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IFERROR(__xludf.DUMMYFUNCTION("""COMPUTED_VALUE"""),21.53)</f>
        <v>21.53</v>
      </c>
      <c r="C635" s="1">
        <f>IFERROR(__xludf.DUMMYFUNCTION("""COMPUTED_VALUE"""),21.61)</f>
        <v>21.61</v>
      </c>
      <c r="D635" s="1">
        <f>IFERROR(__xludf.DUMMYFUNCTION("""COMPUTED_VALUE"""),21.41)</f>
        <v>21.41</v>
      </c>
      <c r="E635" s="1">
        <f>IFERROR(__xludf.DUMMYFUNCTION("""COMPUTED_VALUE"""),21.54)</f>
        <v>21.54</v>
      </c>
      <c r="F635" s="1">
        <f>IFERROR(__xludf.DUMMYFUNCTION("""COMPUTED_VALUE"""),269548.0)</f>
        <v>269548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IFERROR(__xludf.DUMMYFUNCTION("""COMPUTED_VALUE"""),21.66)</f>
        <v>21.66</v>
      </c>
      <c r="C636" s="1">
        <f>IFERROR(__xludf.DUMMYFUNCTION("""COMPUTED_VALUE"""),21.87)</f>
        <v>21.87</v>
      </c>
      <c r="D636" s="1">
        <f>IFERROR(__xludf.DUMMYFUNCTION("""COMPUTED_VALUE"""),21.28)</f>
        <v>21.28</v>
      </c>
      <c r="E636" s="1">
        <f>IFERROR(__xludf.DUMMYFUNCTION("""COMPUTED_VALUE"""),21.37)</f>
        <v>21.37</v>
      </c>
      <c r="F636" s="1">
        <f>IFERROR(__xludf.DUMMYFUNCTION("""COMPUTED_VALUE"""),312060.0)</f>
        <v>312060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IFERROR(__xludf.DUMMYFUNCTION("""COMPUTED_VALUE"""),21.31)</f>
        <v>21.31</v>
      </c>
      <c r="C637" s="1">
        <f>IFERROR(__xludf.DUMMYFUNCTION("""COMPUTED_VALUE"""),21.53)</f>
        <v>21.53</v>
      </c>
      <c r="D637" s="1">
        <f>IFERROR(__xludf.DUMMYFUNCTION("""COMPUTED_VALUE"""),21.14)</f>
        <v>21.14</v>
      </c>
      <c r="E637" s="1">
        <f>IFERROR(__xludf.DUMMYFUNCTION("""COMPUTED_VALUE"""),21.46)</f>
        <v>21.46</v>
      </c>
      <c r="F637" s="1">
        <f>IFERROR(__xludf.DUMMYFUNCTION("""COMPUTED_VALUE"""),345061.0)</f>
        <v>345061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IFERROR(__xludf.DUMMYFUNCTION("""COMPUTED_VALUE"""),21.33)</f>
        <v>21.33</v>
      </c>
      <c r="C638" s="1">
        <f>IFERROR(__xludf.DUMMYFUNCTION("""COMPUTED_VALUE"""),21.67)</f>
        <v>21.67</v>
      </c>
      <c r="D638" s="1">
        <f>IFERROR(__xludf.DUMMYFUNCTION("""COMPUTED_VALUE"""),21.31)</f>
        <v>21.31</v>
      </c>
      <c r="E638" s="1">
        <f>IFERROR(__xludf.DUMMYFUNCTION("""COMPUTED_VALUE"""),21.55)</f>
        <v>21.55</v>
      </c>
      <c r="F638" s="1">
        <f>IFERROR(__xludf.DUMMYFUNCTION("""COMPUTED_VALUE"""),317065.0)</f>
        <v>317065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IFERROR(__xludf.DUMMYFUNCTION("""COMPUTED_VALUE"""),21.6)</f>
        <v>21.6</v>
      </c>
      <c r="C639" s="1">
        <f>IFERROR(__xludf.DUMMYFUNCTION("""COMPUTED_VALUE"""),21.76)</f>
        <v>21.76</v>
      </c>
      <c r="D639" s="1">
        <f>IFERROR(__xludf.DUMMYFUNCTION("""COMPUTED_VALUE"""),21.52)</f>
        <v>21.52</v>
      </c>
      <c r="E639" s="1">
        <f>IFERROR(__xludf.DUMMYFUNCTION("""COMPUTED_VALUE"""),21.56)</f>
        <v>21.56</v>
      </c>
      <c r="F639" s="1">
        <f>IFERROR(__xludf.DUMMYFUNCTION("""COMPUTED_VALUE"""),187529.0)</f>
        <v>187529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IFERROR(__xludf.DUMMYFUNCTION("""COMPUTED_VALUE"""),21.6)</f>
        <v>21.6</v>
      </c>
      <c r="C640" s="1">
        <f>IFERROR(__xludf.DUMMYFUNCTION("""COMPUTED_VALUE"""),21.63)</f>
        <v>21.63</v>
      </c>
      <c r="D640" s="1">
        <f>IFERROR(__xludf.DUMMYFUNCTION("""COMPUTED_VALUE"""),21.05)</f>
        <v>21.05</v>
      </c>
      <c r="E640" s="1">
        <f>IFERROR(__xludf.DUMMYFUNCTION("""COMPUTED_VALUE"""),21.15)</f>
        <v>21.15</v>
      </c>
      <c r="F640" s="1">
        <f>IFERROR(__xludf.DUMMYFUNCTION("""COMPUTED_VALUE"""),295738.0)</f>
        <v>295738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IFERROR(__xludf.DUMMYFUNCTION("""COMPUTED_VALUE"""),21.2)</f>
        <v>21.2</v>
      </c>
      <c r="C641" s="1">
        <f>IFERROR(__xludf.DUMMYFUNCTION("""COMPUTED_VALUE"""),21.24)</f>
        <v>21.24</v>
      </c>
      <c r="D641" s="1">
        <f>IFERROR(__xludf.DUMMYFUNCTION("""COMPUTED_VALUE"""),20.89)</f>
        <v>20.89</v>
      </c>
      <c r="E641" s="1">
        <f>IFERROR(__xludf.DUMMYFUNCTION("""COMPUTED_VALUE"""),21.0)</f>
        <v>21</v>
      </c>
      <c r="F641" s="1">
        <f>IFERROR(__xludf.DUMMYFUNCTION("""COMPUTED_VALUE"""),329864.0)</f>
        <v>329864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IFERROR(__xludf.DUMMYFUNCTION("""COMPUTED_VALUE"""),21.0)</f>
        <v>21</v>
      </c>
      <c r="C642" s="1">
        <f>IFERROR(__xludf.DUMMYFUNCTION("""COMPUTED_VALUE"""),21.23)</f>
        <v>21.23</v>
      </c>
      <c r="D642" s="1">
        <f>IFERROR(__xludf.DUMMYFUNCTION("""COMPUTED_VALUE"""),20.94)</f>
        <v>20.94</v>
      </c>
      <c r="E642" s="1">
        <f>IFERROR(__xludf.DUMMYFUNCTION("""COMPUTED_VALUE"""),21.03)</f>
        <v>21.03</v>
      </c>
      <c r="F642" s="1">
        <f>IFERROR(__xludf.DUMMYFUNCTION("""COMPUTED_VALUE"""),329503.0)</f>
        <v>329503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IFERROR(__xludf.DUMMYFUNCTION("""COMPUTED_VALUE"""),21.07)</f>
        <v>21.07</v>
      </c>
      <c r="C643" s="1">
        <f>IFERROR(__xludf.DUMMYFUNCTION("""COMPUTED_VALUE"""),21.13)</f>
        <v>21.13</v>
      </c>
      <c r="D643" s="1">
        <f>IFERROR(__xludf.DUMMYFUNCTION("""COMPUTED_VALUE"""),20.86)</f>
        <v>20.86</v>
      </c>
      <c r="E643" s="1">
        <f>IFERROR(__xludf.DUMMYFUNCTION("""COMPUTED_VALUE"""),20.96)</f>
        <v>20.96</v>
      </c>
      <c r="F643" s="1">
        <f>IFERROR(__xludf.DUMMYFUNCTION("""COMPUTED_VALUE"""),258090.0)</f>
        <v>258090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IFERROR(__xludf.DUMMYFUNCTION("""COMPUTED_VALUE"""),20.77)</f>
        <v>20.77</v>
      </c>
      <c r="C644" s="1">
        <f>IFERROR(__xludf.DUMMYFUNCTION("""COMPUTED_VALUE"""),20.99)</f>
        <v>20.99</v>
      </c>
      <c r="D644" s="1">
        <f>IFERROR(__xludf.DUMMYFUNCTION("""COMPUTED_VALUE"""),20.35)</f>
        <v>20.35</v>
      </c>
      <c r="E644" s="1">
        <f>IFERROR(__xludf.DUMMYFUNCTION("""COMPUTED_VALUE"""),20.62)</f>
        <v>20.62</v>
      </c>
      <c r="F644" s="1">
        <f>IFERROR(__xludf.DUMMYFUNCTION("""COMPUTED_VALUE"""),313696.0)</f>
        <v>313696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IFERROR(__xludf.DUMMYFUNCTION("""COMPUTED_VALUE"""),20.25)</f>
        <v>20.25</v>
      </c>
      <c r="C645" s="1">
        <f>IFERROR(__xludf.DUMMYFUNCTION("""COMPUTED_VALUE"""),20.49)</f>
        <v>20.49</v>
      </c>
      <c r="D645" s="1">
        <f>IFERROR(__xludf.DUMMYFUNCTION("""COMPUTED_VALUE"""),20.02)</f>
        <v>20.02</v>
      </c>
      <c r="E645" s="1">
        <f>IFERROR(__xludf.DUMMYFUNCTION("""COMPUTED_VALUE"""),20.49)</f>
        <v>20.49</v>
      </c>
      <c r="F645" s="1">
        <f>IFERROR(__xludf.DUMMYFUNCTION("""COMPUTED_VALUE"""),589536.0)</f>
        <v>589536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IFERROR(__xludf.DUMMYFUNCTION("""COMPUTED_VALUE"""),20.51)</f>
        <v>20.51</v>
      </c>
      <c r="C646" s="1">
        <f>IFERROR(__xludf.DUMMYFUNCTION("""COMPUTED_VALUE"""),20.64)</f>
        <v>20.64</v>
      </c>
      <c r="D646" s="1">
        <f>IFERROR(__xludf.DUMMYFUNCTION("""COMPUTED_VALUE"""),20.19)</f>
        <v>20.19</v>
      </c>
      <c r="E646" s="1">
        <f>IFERROR(__xludf.DUMMYFUNCTION("""COMPUTED_VALUE"""),20.21)</f>
        <v>20.21</v>
      </c>
      <c r="F646" s="1">
        <f>IFERROR(__xludf.DUMMYFUNCTION("""COMPUTED_VALUE"""),341745.0)</f>
        <v>341745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IFERROR(__xludf.DUMMYFUNCTION("""COMPUTED_VALUE"""),20.3)</f>
        <v>20.3</v>
      </c>
      <c r="C647" s="1">
        <f>IFERROR(__xludf.DUMMYFUNCTION("""COMPUTED_VALUE"""),20.9)</f>
        <v>20.9</v>
      </c>
      <c r="D647" s="1">
        <f>IFERROR(__xludf.DUMMYFUNCTION("""COMPUTED_VALUE"""),20.27)</f>
        <v>20.27</v>
      </c>
      <c r="E647" s="1">
        <f>IFERROR(__xludf.DUMMYFUNCTION("""COMPUTED_VALUE"""),20.72)</f>
        <v>20.72</v>
      </c>
      <c r="F647" s="1">
        <f>IFERROR(__xludf.DUMMYFUNCTION("""COMPUTED_VALUE"""),340120.0)</f>
        <v>340120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IFERROR(__xludf.DUMMYFUNCTION("""COMPUTED_VALUE"""),20.97)</f>
        <v>20.97</v>
      </c>
      <c r="C648" s="1">
        <f>IFERROR(__xludf.DUMMYFUNCTION("""COMPUTED_VALUE"""),21.2)</f>
        <v>21.2</v>
      </c>
      <c r="D648" s="1">
        <f>IFERROR(__xludf.DUMMYFUNCTION("""COMPUTED_VALUE"""),20.88)</f>
        <v>20.88</v>
      </c>
      <c r="E648" s="1">
        <f>IFERROR(__xludf.DUMMYFUNCTION("""COMPUTED_VALUE"""),21.07)</f>
        <v>21.07</v>
      </c>
      <c r="F648" s="1">
        <f>IFERROR(__xludf.DUMMYFUNCTION("""COMPUTED_VALUE"""),269212.0)</f>
        <v>269212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IFERROR(__xludf.DUMMYFUNCTION("""COMPUTED_VALUE"""),21.09)</f>
        <v>21.09</v>
      </c>
      <c r="C649" s="1">
        <f>IFERROR(__xludf.DUMMYFUNCTION("""COMPUTED_VALUE"""),21.93)</f>
        <v>21.93</v>
      </c>
      <c r="D649" s="1">
        <f>IFERROR(__xludf.DUMMYFUNCTION("""COMPUTED_VALUE"""),20.99)</f>
        <v>20.99</v>
      </c>
      <c r="E649" s="1">
        <f>IFERROR(__xludf.DUMMYFUNCTION("""COMPUTED_VALUE"""),21.65)</f>
        <v>21.65</v>
      </c>
      <c r="F649" s="1">
        <f>IFERROR(__xludf.DUMMYFUNCTION("""COMPUTED_VALUE"""),744191.0)</f>
        <v>744191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IFERROR(__xludf.DUMMYFUNCTION("""COMPUTED_VALUE"""),21.63)</f>
        <v>21.63</v>
      </c>
      <c r="C650" s="1">
        <f>IFERROR(__xludf.DUMMYFUNCTION("""COMPUTED_VALUE"""),21.8)</f>
        <v>21.8</v>
      </c>
      <c r="D650" s="1">
        <f>IFERROR(__xludf.DUMMYFUNCTION("""COMPUTED_VALUE"""),21.28)</f>
        <v>21.28</v>
      </c>
      <c r="E650" s="1">
        <f>IFERROR(__xludf.DUMMYFUNCTION("""COMPUTED_VALUE"""),21.36)</f>
        <v>21.36</v>
      </c>
      <c r="F650" s="1">
        <f>IFERROR(__xludf.DUMMYFUNCTION("""COMPUTED_VALUE"""),339065.0)</f>
        <v>339065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IFERROR(__xludf.DUMMYFUNCTION("""COMPUTED_VALUE"""),21.32)</f>
        <v>21.32</v>
      </c>
      <c r="C651" s="1">
        <f>IFERROR(__xludf.DUMMYFUNCTION("""COMPUTED_VALUE"""),21.5)</f>
        <v>21.5</v>
      </c>
      <c r="D651" s="1">
        <f>IFERROR(__xludf.DUMMYFUNCTION("""COMPUTED_VALUE"""),20.98)</f>
        <v>20.98</v>
      </c>
      <c r="E651" s="1">
        <f>IFERROR(__xludf.DUMMYFUNCTION("""COMPUTED_VALUE"""),21.07)</f>
        <v>21.07</v>
      </c>
      <c r="F651" s="1">
        <f>IFERROR(__xludf.DUMMYFUNCTION("""COMPUTED_VALUE"""),547190.0)</f>
        <v>547190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IFERROR(__xludf.DUMMYFUNCTION("""COMPUTED_VALUE"""),21.16)</f>
        <v>21.16</v>
      </c>
      <c r="C652" s="1">
        <f>IFERROR(__xludf.DUMMYFUNCTION("""COMPUTED_VALUE"""),21.3)</f>
        <v>21.3</v>
      </c>
      <c r="D652" s="1">
        <f>IFERROR(__xludf.DUMMYFUNCTION("""COMPUTED_VALUE"""),20.33)</f>
        <v>20.33</v>
      </c>
      <c r="E652" s="1">
        <f>IFERROR(__xludf.DUMMYFUNCTION("""COMPUTED_VALUE"""),20.37)</f>
        <v>20.37</v>
      </c>
      <c r="F652" s="1">
        <f>IFERROR(__xludf.DUMMYFUNCTION("""COMPUTED_VALUE"""),637970.0)</f>
        <v>637970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IFERROR(__xludf.DUMMYFUNCTION("""COMPUTED_VALUE"""),19.9)</f>
        <v>19.9</v>
      </c>
      <c r="C653" s="1">
        <f>IFERROR(__xludf.DUMMYFUNCTION("""COMPUTED_VALUE"""),20.05)</f>
        <v>20.05</v>
      </c>
      <c r="D653" s="1">
        <f>IFERROR(__xludf.DUMMYFUNCTION("""COMPUTED_VALUE"""),17.81)</f>
        <v>17.81</v>
      </c>
      <c r="E653" s="1">
        <f>IFERROR(__xludf.DUMMYFUNCTION("""COMPUTED_VALUE"""),19.01)</f>
        <v>19.01</v>
      </c>
      <c r="F653" s="1">
        <f>IFERROR(__xludf.DUMMYFUNCTION("""COMPUTED_VALUE"""),3804598.0)</f>
        <v>3804598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IFERROR(__xludf.DUMMYFUNCTION("""COMPUTED_VALUE"""),19.0)</f>
        <v>19</v>
      </c>
      <c r="C654" s="1">
        <f>IFERROR(__xludf.DUMMYFUNCTION("""COMPUTED_VALUE"""),19.19)</f>
        <v>19.19</v>
      </c>
      <c r="D654" s="1">
        <f>IFERROR(__xludf.DUMMYFUNCTION("""COMPUTED_VALUE"""),18.67)</f>
        <v>18.67</v>
      </c>
      <c r="E654" s="1">
        <f>IFERROR(__xludf.DUMMYFUNCTION("""COMPUTED_VALUE"""),19.02)</f>
        <v>19.02</v>
      </c>
      <c r="F654" s="1">
        <f>IFERROR(__xludf.DUMMYFUNCTION("""COMPUTED_VALUE"""),2339872.0)</f>
        <v>2339872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IFERROR(__xludf.DUMMYFUNCTION("""COMPUTED_VALUE"""),18.98)</f>
        <v>18.98</v>
      </c>
      <c r="C655" s="1">
        <f>IFERROR(__xludf.DUMMYFUNCTION("""COMPUTED_VALUE"""),19.18)</f>
        <v>19.18</v>
      </c>
      <c r="D655" s="1">
        <f>IFERROR(__xludf.DUMMYFUNCTION("""COMPUTED_VALUE"""),18.9)</f>
        <v>18.9</v>
      </c>
      <c r="E655" s="1">
        <f>IFERROR(__xludf.DUMMYFUNCTION("""COMPUTED_VALUE"""),19.0)</f>
        <v>19</v>
      </c>
      <c r="F655" s="1">
        <f>IFERROR(__xludf.DUMMYFUNCTION("""COMPUTED_VALUE"""),1010591.0)</f>
        <v>1010591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IFERROR(__xludf.DUMMYFUNCTION("""COMPUTED_VALUE"""),19.04)</f>
        <v>19.04</v>
      </c>
      <c r="C656" s="1">
        <f>IFERROR(__xludf.DUMMYFUNCTION("""COMPUTED_VALUE"""),19.21)</f>
        <v>19.21</v>
      </c>
      <c r="D656" s="1">
        <f>IFERROR(__xludf.DUMMYFUNCTION("""COMPUTED_VALUE"""),18.8)</f>
        <v>18.8</v>
      </c>
      <c r="E656" s="1">
        <f>IFERROR(__xludf.DUMMYFUNCTION("""COMPUTED_VALUE"""),18.96)</f>
        <v>18.96</v>
      </c>
      <c r="F656" s="1">
        <f>IFERROR(__xludf.DUMMYFUNCTION("""COMPUTED_VALUE"""),1007946.0)</f>
        <v>1007946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IFERROR(__xludf.DUMMYFUNCTION("""COMPUTED_VALUE"""),18.87)</f>
        <v>18.87</v>
      </c>
      <c r="C657" s="1">
        <f>IFERROR(__xludf.DUMMYFUNCTION("""COMPUTED_VALUE"""),19.03)</f>
        <v>19.03</v>
      </c>
      <c r="D657" s="1">
        <f>IFERROR(__xludf.DUMMYFUNCTION("""COMPUTED_VALUE"""),18.69)</f>
        <v>18.69</v>
      </c>
      <c r="E657" s="1">
        <f>IFERROR(__xludf.DUMMYFUNCTION("""COMPUTED_VALUE"""),18.86)</f>
        <v>18.86</v>
      </c>
      <c r="F657" s="1">
        <f>IFERROR(__xludf.DUMMYFUNCTION("""COMPUTED_VALUE"""),928437.0)</f>
        <v>928437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IFERROR(__xludf.DUMMYFUNCTION("""COMPUTED_VALUE"""),18.92)</f>
        <v>18.92</v>
      </c>
      <c r="C658" s="1">
        <f>IFERROR(__xludf.DUMMYFUNCTION("""COMPUTED_VALUE"""),19.19)</f>
        <v>19.19</v>
      </c>
      <c r="D658" s="1">
        <f>IFERROR(__xludf.DUMMYFUNCTION("""COMPUTED_VALUE"""),18.78)</f>
        <v>18.78</v>
      </c>
      <c r="E658" s="1">
        <f>IFERROR(__xludf.DUMMYFUNCTION("""COMPUTED_VALUE"""),18.98)</f>
        <v>18.98</v>
      </c>
      <c r="F658" s="1">
        <f>IFERROR(__xludf.DUMMYFUNCTION("""COMPUTED_VALUE"""),347464.0)</f>
        <v>347464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IFERROR(__xludf.DUMMYFUNCTION("""COMPUTED_VALUE"""),18.91)</f>
        <v>18.91</v>
      </c>
      <c r="C659" s="1">
        <f>IFERROR(__xludf.DUMMYFUNCTION("""COMPUTED_VALUE"""),19.3)</f>
        <v>19.3</v>
      </c>
      <c r="D659" s="1">
        <f>IFERROR(__xludf.DUMMYFUNCTION("""COMPUTED_VALUE"""),18.91)</f>
        <v>18.91</v>
      </c>
      <c r="E659" s="1">
        <f>IFERROR(__xludf.DUMMYFUNCTION("""COMPUTED_VALUE"""),19.16)</f>
        <v>19.16</v>
      </c>
      <c r="F659" s="1">
        <f>IFERROR(__xludf.DUMMYFUNCTION("""COMPUTED_VALUE"""),584626.0)</f>
        <v>584626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IFERROR(__xludf.DUMMYFUNCTION("""COMPUTED_VALUE"""),19.1)</f>
        <v>19.1</v>
      </c>
      <c r="C660" s="1">
        <f>IFERROR(__xludf.DUMMYFUNCTION("""COMPUTED_VALUE"""),19.27)</f>
        <v>19.27</v>
      </c>
      <c r="D660" s="1">
        <f>IFERROR(__xludf.DUMMYFUNCTION("""COMPUTED_VALUE"""),18.98)</f>
        <v>18.98</v>
      </c>
      <c r="E660" s="1">
        <f>IFERROR(__xludf.DUMMYFUNCTION("""COMPUTED_VALUE"""),19.21)</f>
        <v>19.21</v>
      </c>
      <c r="F660" s="1">
        <f>IFERROR(__xludf.DUMMYFUNCTION("""COMPUTED_VALUE"""),342515.0)</f>
        <v>342515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IFERROR(__xludf.DUMMYFUNCTION("""COMPUTED_VALUE"""),19.37)</f>
        <v>19.37</v>
      </c>
      <c r="C661" s="1">
        <f>IFERROR(__xludf.DUMMYFUNCTION("""COMPUTED_VALUE"""),19.48)</f>
        <v>19.48</v>
      </c>
      <c r="D661" s="1">
        <f>IFERROR(__xludf.DUMMYFUNCTION("""COMPUTED_VALUE"""),18.96)</f>
        <v>18.96</v>
      </c>
      <c r="E661" s="1">
        <f>IFERROR(__xludf.DUMMYFUNCTION("""COMPUTED_VALUE"""),19.18)</f>
        <v>19.18</v>
      </c>
      <c r="F661" s="1">
        <f>IFERROR(__xludf.DUMMYFUNCTION("""COMPUTED_VALUE"""),673387.0)</f>
        <v>673387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IFERROR(__xludf.DUMMYFUNCTION("""COMPUTED_VALUE"""),19.3)</f>
        <v>19.3</v>
      </c>
      <c r="C662" s="1">
        <f>IFERROR(__xludf.DUMMYFUNCTION("""COMPUTED_VALUE"""),19.44)</f>
        <v>19.44</v>
      </c>
      <c r="D662" s="1">
        <f>IFERROR(__xludf.DUMMYFUNCTION("""COMPUTED_VALUE"""),19.0)</f>
        <v>19</v>
      </c>
      <c r="E662" s="1">
        <f>IFERROR(__xludf.DUMMYFUNCTION("""COMPUTED_VALUE"""),19.25)</f>
        <v>19.25</v>
      </c>
      <c r="F662" s="1">
        <f>IFERROR(__xludf.DUMMYFUNCTION("""COMPUTED_VALUE"""),479183.0)</f>
        <v>479183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IFERROR(__xludf.DUMMYFUNCTION("""COMPUTED_VALUE"""),19.29)</f>
        <v>19.29</v>
      </c>
      <c r="C663" s="1">
        <f>IFERROR(__xludf.DUMMYFUNCTION("""COMPUTED_VALUE"""),19.62)</f>
        <v>19.62</v>
      </c>
      <c r="D663" s="1">
        <f>IFERROR(__xludf.DUMMYFUNCTION("""COMPUTED_VALUE"""),19.15)</f>
        <v>19.15</v>
      </c>
      <c r="E663" s="1">
        <f>IFERROR(__xludf.DUMMYFUNCTION("""COMPUTED_VALUE"""),19.51)</f>
        <v>19.51</v>
      </c>
      <c r="F663" s="1">
        <f>IFERROR(__xludf.DUMMYFUNCTION("""COMPUTED_VALUE"""),267407.0)</f>
        <v>267407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IFERROR(__xludf.DUMMYFUNCTION("""COMPUTED_VALUE"""),19.53)</f>
        <v>19.53</v>
      </c>
      <c r="C664" s="1">
        <f>IFERROR(__xludf.DUMMYFUNCTION("""COMPUTED_VALUE"""),19.55)</f>
        <v>19.55</v>
      </c>
      <c r="D664" s="1">
        <f>IFERROR(__xludf.DUMMYFUNCTION("""COMPUTED_VALUE"""),19.39)</f>
        <v>19.39</v>
      </c>
      <c r="E664" s="1">
        <f>IFERROR(__xludf.DUMMYFUNCTION("""COMPUTED_VALUE"""),19.4)</f>
        <v>19.4</v>
      </c>
      <c r="F664" s="1">
        <f>IFERROR(__xludf.DUMMYFUNCTION("""COMPUTED_VALUE"""),152307.0)</f>
        <v>152307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IFERROR(__xludf.DUMMYFUNCTION("""COMPUTED_VALUE"""),19.38)</f>
        <v>19.38</v>
      </c>
      <c r="C665" s="1">
        <f>IFERROR(__xludf.DUMMYFUNCTION("""COMPUTED_VALUE"""),19.78)</f>
        <v>19.78</v>
      </c>
      <c r="D665" s="1">
        <f>IFERROR(__xludf.DUMMYFUNCTION("""COMPUTED_VALUE"""),19.2)</f>
        <v>19.2</v>
      </c>
      <c r="E665" s="1">
        <f>IFERROR(__xludf.DUMMYFUNCTION("""COMPUTED_VALUE"""),19.62)</f>
        <v>19.62</v>
      </c>
      <c r="F665" s="1">
        <f>IFERROR(__xludf.DUMMYFUNCTION("""COMPUTED_VALUE"""),345205.0)</f>
        <v>345205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IFERROR(__xludf.DUMMYFUNCTION("""COMPUTED_VALUE"""),19.66)</f>
        <v>19.66</v>
      </c>
      <c r="C666" s="1">
        <f>IFERROR(__xludf.DUMMYFUNCTION("""COMPUTED_VALUE"""),19.92)</f>
        <v>19.92</v>
      </c>
      <c r="D666" s="1">
        <f>IFERROR(__xludf.DUMMYFUNCTION("""COMPUTED_VALUE"""),19.62)</f>
        <v>19.62</v>
      </c>
      <c r="E666" s="1">
        <f>IFERROR(__xludf.DUMMYFUNCTION("""COMPUTED_VALUE"""),19.8)</f>
        <v>19.8</v>
      </c>
      <c r="F666" s="1">
        <f>IFERROR(__xludf.DUMMYFUNCTION("""COMPUTED_VALUE"""),434558.0)</f>
        <v>434558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IFERROR(__xludf.DUMMYFUNCTION("""COMPUTED_VALUE"""),19.67)</f>
        <v>19.67</v>
      </c>
      <c r="C667" s="1">
        <f>IFERROR(__xludf.DUMMYFUNCTION("""COMPUTED_VALUE"""),19.83)</f>
        <v>19.83</v>
      </c>
      <c r="D667" s="1">
        <f>IFERROR(__xludf.DUMMYFUNCTION("""COMPUTED_VALUE"""),19.61)</f>
        <v>19.61</v>
      </c>
      <c r="E667" s="1">
        <f>IFERROR(__xludf.DUMMYFUNCTION("""COMPUTED_VALUE"""),19.63)</f>
        <v>19.63</v>
      </c>
      <c r="F667" s="1">
        <f>IFERROR(__xludf.DUMMYFUNCTION("""COMPUTED_VALUE"""),525756.0)</f>
        <v>525756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IFERROR(__xludf.DUMMYFUNCTION("""COMPUTED_VALUE"""),19.62)</f>
        <v>19.62</v>
      </c>
      <c r="C668" s="1">
        <f>IFERROR(__xludf.DUMMYFUNCTION("""COMPUTED_VALUE"""),19.64)</f>
        <v>19.64</v>
      </c>
      <c r="D668" s="1">
        <f>IFERROR(__xludf.DUMMYFUNCTION("""COMPUTED_VALUE"""),19.38)</f>
        <v>19.38</v>
      </c>
      <c r="E668" s="1">
        <f>IFERROR(__xludf.DUMMYFUNCTION("""COMPUTED_VALUE"""),19.48)</f>
        <v>19.48</v>
      </c>
      <c r="F668" s="1">
        <f>IFERROR(__xludf.DUMMYFUNCTION("""COMPUTED_VALUE"""),233353.0)</f>
        <v>233353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IFERROR(__xludf.DUMMYFUNCTION("""COMPUTED_VALUE"""),19.45)</f>
        <v>19.45</v>
      </c>
      <c r="C669" s="1">
        <f>IFERROR(__xludf.DUMMYFUNCTION("""COMPUTED_VALUE"""),19.69)</f>
        <v>19.69</v>
      </c>
      <c r="D669" s="1">
        <f>IFERROR(__xludf.DUMMYFUNCTION("""COMPUTED_VALUE"""),19.41)</f>
        <v>19.41</v>
      </c>
      <c r="E669" s="1">
        <f>IFERROR(__xludf.DUMMYFUNCTION("""COMPUTED_VALUE"""),19.57)</f>
        <v>19.57</v>
      </c>
      <c r="F669" s="1">
        <f>IFERROR(__xludf.DUMMYFUNCTION("""COMPUTED_VALUE"""),410004.0)</f>
        <v>410004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IFERROR(__xludf.DUMMYFUNCTION("""COMPUTED_VALUE"""),19.61)</f>
        <v>19.61</v>
      </c>
      <c r="C670" s="1">
        <f>IFERROR(__xludf.DUMMYFUNCTION("""COMPUTED_VALUE"""),19.69)</f>
        <v>19.69</v>
      </c>
      <c r="D670" s="1">
        <f>IFERROR(__xludf.DUMMYFUNCTION("""COMPUTED_VALUE"""),19.15)</f>
        <v>19.15</v>
      </c>
      <c r="E670" s="1">
        <f>IFERROR(__xludf.DUMMYFUNCTION("""COMPUTED_VALUE"""),19.21)</f>
        <v>19.21</v>
      </c>
      <c r="F670" s="1">
        <f>IFERROR(__xludf.DUMMYFUNCTION("""COMPUTED_VALUE"""),492975.0)</f>
        <v>492975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IFERROR(__xludf.DUMMYFUNCTION("""COMPUTED_VALUE"""),19.23)</f>
        <v>19.23</v>
      </c>
      <c r="C671" s="1">
        <f>IFERROR(__xludf.DUMMYFUNCTION("""COMPUTED_VALUE"""),19.42)</f>
        <v>19.42</v>
      </c>
      <c r="D671" s="1">
        <f>IFERROR(__xludf.DUMMYFUNCTION("""COMPUTED_VALUE"""),19.02)</f>
        <v>19.02</v>
      </c>
      <c r="E671" s="1">
        <f>IFERROR(__xludf.DUMMYFUNCTION("""COMPUTED_VALUE"""),19.3)</f>
        <v>19.3</v>
      </c>
      <c r="F671" s="1">
        <f>IFERROR(__xludf.DUMMYFUNCTION("""COMPUTED_VALUE"""),195730.0)</f>
        <v>195730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IFERROR(__xludf.DUMMYFUNCTION("""COMPUTED_VALUE"""),19.34)</f>
        <v>19.34</v>
      </c>
      <c r="C672" s="1">
        <f>IFERROR(__xludf.DUMMYFUNCTION("""COMPUTED_VALUE"""),19.38)</f>
        <v>19.38</v>
      </c>
      <c r="D672" s="1">
        <f>IFERROR(__xludf.DUMMYFUNCTION("""COMPUTED_VALUE"""),19.22)</f>
        <v>19.22</v>
      </c>
      <c r="E672" s="1">
        <f>IFERROR(__xludf.DUMMYFUNCTION("""COMPUTED_VALUE"""),19.31)</f>
        <v>19.31</v>
      </c>
      <c r="F672" s="1">
        <f>IFERROR(__xludf.DUMMYFUNCTION("""COMPUTED_VALUE"""),171985.0)</f>
        <v>171985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IFERROR(__xludf.DUMMYFUNCTION("""COMPUTED_VALUE"""),18.42)</f>
        <v>18.42</v>
      </c>
      <c r="C673" s="1">
        <f>IFERROR(__xludf.DUMMYFUNCTION("""COMPUTED_VALUE"""),18.68)</f>
        <v>18.68</v>
      </c>
      <c r="D673" s="1">
        <f>IFERROR(__xludf.DUMMYFUNCTION("""COMPUTED_VALUE"""),17.99)</f>
        <v>17.99</v>
      </c>
      <c r="E673" s="1">
        <f>IFERROR(__xludf.DUMMYFUNCTION("""COMPUTED_VALUE"""),18.4)</f>
        <v>18.4</v>
      </c>
      <c r="F673" s="1">
        <f>IFERROR(__xludf.DUMMYFUNCTION("""COMPUTED_VALUE"""),3116384.0)</f>
        <v>3116384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IFERROR(__xludf.DUMMYFUNCTION("""COMPUTED_VALUE"""),18.57)</f>
        <v>18.57</v>
      </c>
      <c r="C674" s="1">
        <f>IFERROR(__xludf.DUMMYFUNCTION("""COMPUTED_VALUE"""),18.77)</f>
        <v>18.77</v>
      </c>
      <c r="D674" s="1">
        <f>IFERROR(__xludf.DUMMYFUNCTION("""COMPUTED_VALUE"""),18.21)</f>
        <v>18.21</v>
      </c>
      <c r="E674" s="1">
        <f>IFERROR(__xludf.DUMMYFUNCTION("""COMPUTED_VALUE"""),18.66)</f>
        <v>18.66</v>
      </c>
      <c r="F674" s="1">
        <f>IFERROR(__xludf.DUMMYFUNCTION("""COMPUTED_VALUE"""),857881.0)</f>
        <v>857881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IFERROR(__xludf.DUMMYFUNCTION("""COMPUTED_VALUE"""),18.67)</f>
        <v>18.67</v>
      </c>
      <c r="C675" s="1">
        <f>IFERROR(__xludf.DUMMYFUNCTION("""COMPUTED_VALUE"""),18.76)</f>
        <v>18.76</v>
      </c>
      <c r="D675" s="1">
        <f>IFERROR(__xludf.DUMMYFUNCTION("""COMPUTED_VALUE"""),18.31)</f>
        <v>18.31</v>
      </c>
      <c r="E675" s="1">
        <f>IFERROR(__xludf.DUMMYFUNCTION("""COMPUTED_VALUE"""),18.47)</f>
        <v>18.47</v>
      </c>
      <c r="F675" s="1">
        <f>IFERROR(__xludf.DUMMYFUNCTION("""COMPUTED_VALUE"""),860279.0)</f>
        <v>860279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IFERROR(__xludf.DUMMYFUNCTION("""COMPUTED_VALUE"""),18.43)</f>
        <v>18.43</v>
      </c>
      <c r="C676" s="1">
        <f>IFERROR(__xludf.DUMMYFUNCTION("""COMPUTED_VALUE"""),18.72)</f>
        <v>18.72</v>
      </c>
      <c r="D676" s="1">
        <f>IFERROR(__xludf.DUMMYFUNCTION("""COMPUTED_VALUE"""),18.2)</f>
        <v>18.2</v>
      </c>
      <c r="E676" s="1">
        <f>IFERROR(__xludf.DUMMYFUNCTION("""COMPUTED_VALUE"""),18.62)</f>
        <v>18.62</v>
      </c>
      <c r="F676" s="1">
        <f>IFERROR(__xludf.DUMMYFUNCTION("""COMPUTED_VALUE"""),336164.0)</f>
        <v>336164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IFERROR(__xludf.DUMMYFUNCTION("""COMPUTED_VALUE"""),18.71)</f>
        <v>18.71</v>
      </c>
      <c r="C677" s="1">
        <f>IFERROR(__xludf.DUMMYFUNCTION("""COMPUTED_VALUE"""),18.95)</f>
        <v>18.95</v>
      </c>
      <c r="D677" s="1">
        <f>IFERROR(__xludf.DUMMYFUNCTION("""COMPUTED_VALUE"""),18.6)</f>
        <v>18.6</v>
      </c>
      <c r="E677" s="1">
        <f>IFERROR(__xludf.DUMMYFUNCTION("""COMPUTED_VALUE"""),18.72)</f>
        <v>18.72</v>
      </c>
      <c r="F677" s="1">
        <f>IFERROR(__xludf.DUMMYFUNCTION("""COMPUTED_VALUE"""),452680.0)</f>
        <v>452680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IFERROR(__xludf.DUMMYFUNCTION("""COMPUTED_VALUE"""),18.81)</f>
        <v>18.81</v>
      </c>
      <c r="C678" s="1">
        <f>IFERROR(__xludf.DUMMYFUNCTION("""COMPUTED_VALUE"""),18.81)</f>
        <v>18.81</v>
      </c>
      <c r="D678" s="1">
        <f>IFERROR(__xludf.DUMMYFUNCTION("""COMPUTED_VALUE"""),18.57)</f>
        <v>18.57</v>
      </c>
      <c r="E678" s="1">
        <f>IFERROR(__xludf.DUMMYFUNCTION("""COMPUTED_VALUE"""),18.74)</f>
        <v>18.74</v>
      </c>
      <c r="F678" s="1">
        <f>IFERROR(__xludf.DUMMYFUNCTION("""COMPUTED_VALUE"""),547039.0)</f>
        <v>547039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IFERROR(__xludf.DUMMYFUNCTION("""COMPUTED_VALUE"""),18.74)</f>
        <v>18.74</v>
      </c>
      <c r="C679" s="1">
        <f>IFERROR(__xludf.DUMMYFUNCTION("""COMPUTED_VALUE"""),18.79)</f>
        <v>18.79</v>
      </c>
      <c r="D679" s="1">
        <f>IFERROR(__xludf.DUMMYFUNCTION("""COMPUTED_VALUE"""),18.58)</f>
        <v>18.58</v>
      </c>
      <c r="E679" s="1">
        <f>IFERROR(__xludf.DUMMYFUNCTION("""COMPUTED_VALUE"""),18.75)</f>
        <v>18.75</v>
      </c>
      <c r="F679" s="1">
        <f>IFERROR(__xludf.DUMMYFUNCTION("""COMPUTED_VALUE"""),563380.0)</f>
        <v>563380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IFERROR(__xludf.DUMMYFUNCTION("""COMPUTED_VALUE"""),18.82)</f>
        <v>18.82</v>
      </c>
      <c r="C680" s="1">
        <f>IFERROR(__xludf.DUMMYFUNCTION("""COMPUTED_VALUE"""),19.15)</f>
        <v>19.15</v>
      </c>
      <c r="D680" s="1">
        <f>IFERROR(__xludf.DUMMYFUNCTION("""COMPUTED_VALUE"""),18.7)</f>
        <v>18.7</v>
      </c>
      <c r="E680" s="1">
        <f>IFERROR(__xludf.DUMMYFUNCTION("""COMPUTED_VALUE"""),19.05)</f>
        <v>19.05</v>
      </c>
      <c r="F680" s="1">
        <f>IFERROR(__xludf.DUMMYFUNCTION("""COMPUTED_VALUE"""),547145.0)</f>
        <v>547145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IFERROR(__xludf.DUMMYFUNCTION("""COMPUTED_VALUE"""),19.12)</f>
        <v>19.12</v>
      </c>
      <c r="C681" s="1">
        <f>IFERROR(__xludf.DUMMYFUNCTION("""COMPUTED_VALUE"""),19.46)</f>
        <v>19.46</v>
      </c>
      <c r="D681" s="1">
        <f>IFERROR(__xludf.DUMMYFUNCTION("""COMPUTED_VALUE"""),19.1)</f>
        <v>19.1</v>
      </c>
      <c r="E681" s="1">
        <f>IFERROR(__xludf.DUMMYFUNCTION("""COMPUTED_VALUE"""),19.41)</f>
        <v>19.41</v>
      </c>
      <c r="F681" s="1">
        <f>IFERROR(__xludf.DUMMYFUNCTION("""COMPUTED_VALUE"""),424692.0)</f>
        <v>424692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IFERROR(__xludf.DUMMYFUNCTION("""COMPUTED_VALUE"""),19.35)</f>
        <v>19.35</v>
      </c>
      <c r="C682" s="1">
        <f>IFERROR(__xludf.DUMMYFUNCTION("""COMPUTED_VALUE"""),19.55)</f>
        <v>19.55</v>
      </c>
      <c r="D682" s="1">
        <f>IFERROR(__xludf.DUMMYFUNCTION("""COMPUTED_VALUE"""),19.23)</f>
        <v>19.23</v>
      </c>
      <c r="E682" s="1">
        <f>IFERROR(__xludf.DUMMYFUNCTION("""COMPUTED_VALUE"""),19.49)</f>
        <v>19.49</v>
      </c>
      <c r="F682" s="1">
        <f>IFERROR(__xludf.DUMMYFUNCTION("""COMPUTED_VALUE"""),435479.0)</f>
        <v>435479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IFERROR(__xludf.DUMMYFUNCTION("""COMPUTED_VALUE"""),19.58)</f>
        <v>19.58</v>
      </c>
      <c r="C683" s="1">
        <f>IFERROR(__xludf.DUMMYFUNCTION("""COMPUTED_VALUE"""),20.13)</f>
        <v>20.13</v>
      </c>
      <c r="D683" s="1">
        <f>IFERROR(__xludf.DUMMYFUNCTION("""COMPUTED_VALUE"""),19.52)</f>
        <v>19.52</v>
      </c>
      <c r="E683" s="1">
        <f>IFERROR(__xludf.DUMMYFUNCTION("""COMPUTED_VALUE"""),19.7)</f>
        <v>19.7</v>
      </c>
      <c r="F683" s="1">
        <f>IFERROR(__xludf.DUMMYFUNCTION("""COMPUTED_VALUE"""),680350.0)</f>
        <v>680350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IFERROR(__xludf.DUMMYFUNCTION("""COMPUTED_VALUE"""),19.68)</f>
        <v>19.68</v>
      </c>
      <c r="C684" s="1">
        <f>IFERROR(__xludf.DUMMYFUNCTION("""COMPUTED_VALUE"""),19.68)</f>
        <v>19.68</v>
      </c>
      <c r="D684" s="1">
        <f>IFERROR(__xludf.DUMMYFUNCTION("""COMPUTED_VALUE"""),19.29)</f>
        <v>19.29</v>
      </c>
      <c r="E684" s="1">
        <f>IFERROR(__xludf.DUMMYFUNCTION("""COMPUTED_VALUE"""),19.34)</f>
        <v>19.34</v>
      </c>
      <c r="F684" s="1">
        <f>IFERROR(__xludf.DUMMYFUNCTION("""COMPUTED_VALUE"""),273599.0)</f>
        <v>273599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IFERROR(__xludf.DUMMYFUNCTION("""COMPUTED_VALUE"""),19.27)</f>
        <v>19.27</v>
      </c>
      <c r="C685" s="1">
        <f>IFERROR(__xludf.DUMMYFUNCTION("""COMPUTED_VALUE"""),19.91)</f>
        <v>19.91</v>
      </c>
      <c r="D685" s="1">
        <f>IFERROR(__xludf.DUMMYFUNCTION("""COMPUTED_VALUE"""),19.27)</f>
        <v>19.27</v>
      </c>
      <c r="E685" s="1">
        <f>IFERROR(__xludf.DUMMYFUNCTION("""COMPUTED_VALUE"""),19.56)</f>
        <v>19.56</v>
      </c>
      <c r="F685" s="1">
        <f>IFERROR(__xludf.DUMMYFUNCTION("""COMPUTED_VALUE"""),420417.0)</f>
        <v>420417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IFERROR(__xludf.DUMMYFUNCTION("""COMPUTED_VALUE"""),19.61)</f>
        <v>19.61</v>
      </c>
      <c r="C686" s="1">
        <f>IFERROR(__xludf.DUMMYFUNCTION("""COMPUTED_VALUE"""),19.61)</f>
        <v>19.61</v>
      </c>
      <c r="D686" s="1">
        <f>IFERROR(__xludf.DUMMYFUNCTION("""COMPUTED_VALUE"""),19.27)</f>
        <v>19.27</v>
      </c>
      <c r="E686" s="1">
        <f>IFERROR(__xludf.DUMMYFUNCTION("""COMPUTED_VALUE"""),19.29)</f>
        <v>19.29</v>
      </c>
      <c r="F686" s="1">
        <f>IFERROR(__xludf.DUMMYFUNCTION("""COMPUTED_VALUE"""),373845.0)</f>
        <v>373845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IFERROR(__xludf.DUMMYFUNCTION("""COMPUTED_VALUE"""),19.09)</f>
        <v>19.09</v>
      </c>
      <c r="C687" s="1">
        <f>IFERROR(__xludf.DUMMYFUNCTION("""COMPUTED_VALUE"""),19.27)</f>
        <v>19.27</v>
      </c>
      <c r="D687" s="1">
        <f>IFERROR(__xludf.DUMMYFUNCTION("""COMPUTED_VALUE"""),19.0)</f>
        <v>19</v>
      </c>
      <c r="E687" s="1">
        <f>IFERROR(__xludf.DUMMYFUNCTION("""COMPUTED_VALUE"""),19.22)</f>
        <v>19.22</v>
      </c>
      <c r="F687" s="1">
        <f>IFERROR(__xludf.DUMMYFUNCTION("""COMPUTED_VALUE"""),635555.0)</f>
        <v>635555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IFERROR(__xludf.DUMMYFUNCTION("""COMPUTED_VALUE"""),19.24)</f>
        <v>19.24</v>
      </c>
      <c r="C688" s="1">
        <f>IFERROR(__xludf.DUMMYFUNCTION("""COMPUTED_VALUE"""),19.45)</f>
        <v>19.45</v>
      </c>
      <c r="D688" s="1">
        <f>IFERROR(__xludf.DUMMYFUNCTION("""COMPUTED_VALUE"""),19.16)</f>
        <v>19.16</v>
      </c>
      <c r="E688" s="1">
        <f>IFERROR(__xludf.DUMMYFUNCTION("""COMPUTED_VALUE"""),19.3)</f>
        <v>19.3</v>
      </c>
      <c r="F688" s="1">
        <f>IFERROR(__xludf.DUMMYFUNCTION("""COMPUTED_VALUE"""),664335.0)</f>
        <v>664335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IFERROR(__xludf.DUMMYFUNCTION("""COMPUTED_VALUE"""),19.37)</f>
        <v>19.37</v>
      </c>
      <c r="C689" s="1">
        <f>IFERROR(__xludf.DUMMYFUNCTION("""COMPUTED_VALUE"""),19.79)</f>
        <v>19.79</v>
      </c>
      <c r="D689" s="1">
        <f>IFERROR(__xludf.DUMMYFUNCTION("""COMPUTED_VALUE"""),19.12)</f>
        <v>19.12</v>
      </c>
      <c r="E689" s="1">
        <f>IFERROR(__xludf.DUMMYFUNCTION("""COMPUTED_VALUE"""),19.58)</f>
        <v>19.58</v>
      </c>
      <c r="F689" s="1">
        <f>IFERROR(__xludf.DUMMYFUNCTION("""COMPUTED_VALUE"""),605007.0)</f>
        <v>605007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IFERROR(__xludf.DUMMYFUNCTION("""COMPUTED_VALUE"""),19.76)</f>
        <v>19.76</v>
      </c>
      <c r="C690" s="1">
        <f>IFERROR(__xludf.DUMMYFUNCTION("""COMPUTED_VALUE"""),20.41)</f>
        <v>20.41</v>
      </c>
      <c r="D690" s="1">
        <f>IFERROR(__xludf.DUMMYFUNCTION("""COMPUTED_VALUE"""),19.68)</f>
        <v>19.68</v>
      </c>
      <c r="E690" s="1">
        <f>IFERROR(__xludf.DUMMYFUNCTION("""COMPUTED_VALUE"""),20.33)</f>
        <v>20.33</v>
      </c>
      <c r="F690" s="1">
        <f>IFERROR(__xludf.DUMMYFUNCTION("""COMPUTED_VALUE"""),1998744.0)</f>
        <v>1998744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IFERROR(__xludf.DUMMYFUNCTION("""COMPUTED_VALUE"""),20.29)</f>
        <v>20.29</v>
      </c>
      <c r="C691" s="1">
        <f>IFERROR(__xludf.DUMMYFUNCTION("""COMPUTED_VALUE"""),20.39)</f>
        <v>20.39</v>
      </c>
      <c r="D691" s="1">
        <f>IFERROR(__xludf.DUMMYFUNCTION("""COMPUTED_VALUE"""),19.86)</f>
        <v>19.86</v>
      </c>
      <c r="E691" s="1">
        <f>IFERROR(__xludf.DUMMYFUNCTION("""COMPUTED_VALUE"""),20.08)</f>
        <v>20.08</v>
      </c>
      <c r="F691" s="1">
        <f>IFERROR(__xludf.DUMMYFUNCTION("""COMPUTED_VALUE"""),1131166.0)</f>
        <v>1131166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IFERROR(__xludf.DUMMYFUNCTION("""COMPUTED_VALUE"""),20.22)</f>
        <v>20.22</v>
      </c>
      <c r="C692" s="1">
        <f>IFERROR(__xludf.DUMMYFUNCTION("""COMPUTED_VALUE"""),20.31)</f>
        <v>20.31</v>
      </c>
      <c r="D692" s="1">
        <f>IFERROR(__xludf.DUMMYFUNCTION("""COMPUTED_VALUE"""),19.83)</f>
        <v>19.83</v>
      </c>
      <c r="E692" s="1">
        <f>IFERROR(__xludf.DUMMYFUNCTION("""COMPUTED_VALUE"""),19.85)</f>
        <v>19.85</v>
      </c>
      <c r="F692" s="1">
        <f>IFERROR(__xludf.DUMMYFUNCTION("""COMPUTED_VALUE"""),533408.0)</f>
        <v>533408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IFERROR(__xludf.DUMMYFUNCTION("""COMPUTED_VALUE"""),19.88)</f>
        <v>19.88</v>
      </c>
      <c r="C693" s="1">
        <f>IFERROR(__xludf.DUMMYFUNCTION("""COMPUTED_VALUE"""),20.1)</f>
        <v>20.1</v>
      </c>
      <c r="D693" s="1">
        <f>IFERROR(__xludf.DUMMYFUNCTION("""COMPUTED_VALUE"""),19.05)</f>
        <v>19.05</v>
      </c>
      <c r="E693" s="1">
        <f>IFERROR(__xludf.DUMMYFUNCTION("""COMPUTED_VALUE"""),19.23)</f>
        <v>19.23</v>
      </c>
      <c r="F693" s="1">
        <f>IFERROR(__xludf.DUMMYFUNCTION("""COMPUTED_VALUE"""),1673549.0)</f>
        <v>1673549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IFERROR(__xludf.DUMMYFUNCTION("""COMPUTED_VALUE"""),19.32)</f>
        <v>19.32</v>
      </c>
      <c r="C694" s="1">
        <f>IFERROR(__xludf.DUMMYFUNCTION("""COMPUTED_VALUE"""),19.51)</f>
        <v>19.51</v>
      </c>
      <c r="D694" s="1">
        <f>IFERROR(__xludf.DUMMYFUNCTION("""COMPUTED_VALUE"""),19.16)</f>
        <v>19.16</v>
      </c>
      <c r="E694" s="1">
        <f>IFERROR(__xludf.DUMMYFUNCTION("""COMPUTED_VALUE"""),19.38)</f>
        <v>19.38</v>
      </c>
      <c r="F694" s="1">
        <f>IFERROR(__xludf.DUMMYFUNCTION("""COMPUTED_VALUE"""),1835927.0)</f>
        <v>1835927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IFERROR(__xludf.DUMMYFUNCTION("""COMPUTED_VALUE"""),19.38)</f>
        <v>19.38</v>
      </c>
      <c r="C695" s="1">
        <f>IFERROR(__xludf.DUMMYFUNCTION("""COMPUTED_VALUE"""),19.49)</f>
        <v>19.49</v>
      </c>
      <c r="D695" s="1">
        <f>IFERROR(__xludf.DUMMYFUNCTION("""COMPUTED_VALUE"""),19.16)</f>
        <v>19.16</v>
      </c>
      <c r="E695" s="1">
        <f>IFERROR(__xludf.DUMMYFUNCTION("""COMPUTED_VALUE"""),19.3)</f>
        <v>19.3</v>
      </c>
      <c r="F695" s="1">
        <f>IFERROR(__xludf.DUMMYFUNCTION("""COMPUTED_VALUE"""),643038.0)</f>
        <v>643038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IFERROR(__xludf.DUMMYFUNCTION("""COMPUTED_VALUE"""),19.38)</f>
        <v>19.38</v>
      </c>
      <c r="C696" s="1">
        <f>IFERROR(__xludf.DUMMYFUNCTION("""COMPUTED_VALUE"""),19.88)</f>
        <v>19.88</v>
      </c>
      <c r="D696" s="1">
        <f>IFERROR(__xludf.DUMMYFUNCTION("""COMPUTED_VALUE"""),19.01)</f>
        <v>19.01</v>
      </c>
      <c r="E696" s="1">
        <f>IFERROR(__xludf.DUMMYFUNCTION("""COMPUTED_VALUE"""),19.87)</f>
        <v>19.87</v>
      </c>
      <c r="F696" s="1">
        <f>IFERROR(__xludf.DUMMYFUNCTION("""COMPUTED_VALUE"""),685105.0)</f>
        <v>685105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IFERROR(__xludf.DUMMYFUNCTION("""COMPUTED_VALUE"""),20.11)</f>
        <v>20.11</v>
      </c>
      <c r="C697" s="1">
        <f>IFERROR(__xludf.DUMMYFUNCTION("""COMPUTED_VALUE"""),20.31)</f>
        <v>20.31</v>
      </c>
      <c r="D697" s="1">
        <f>IFERROR(__xludf.DUMMYFUNCTION("""COMPUTED_VALUE"""),19.9)</f>
        <v>19.9</v>
      </c>
      <c r="E697" s="1">
        <f>IFERROR(__xludf.DUMMYFUNCTION("""COMPUTED_VALUE"""),20.08)</f>
        <v>20.08</v>
      </c>
      <c r="F697" s="1">
        <f>IFERROR(__xludf.DUMMYFUNCTION("""COMPUTED_VALUE"""),315821.0)</f>
        <v>315821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IFERROR(__xludf.DUMMYFUNCTION("""COMPUTED_VALUE"""),20.25)</f>
        <v>20.25</v>
      </c>
      <c r="C698" s="1">
        <f>IFERROR(__xludf.DUMMYFUNCTION("""COMPUTED_VALUE"""),20.32)</f>
        <v>20.32</v>
      </c>
      <c r="D698" s="1">
        <f>IFERROR(__xludf.DUMMYFUNCTION("""COMPUTED_VALUE"""),20.05)</f>
        <v>20.05</v>
      </c>
      <c r="E698" s="1">
        <f>IFERROR(__xludf.DUMMYFUNCTION("""COMPUTED_VALUE"""),20.24)</f>
        <v>20.24</v>
      </c>
      <c r="F698" s="1">
        <f>IFERROR(__xludf.DUMMYFUNCTION("""COMPUTED_VALUE"""),441333.0)</f>
        <v>441333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IFERROR(__xludf.DUMMYFUNCTION("""COMPUTED_VALUE"""),20.25)</f>
        <v>20.25</v>
      </c>
      <c r="C699" s="1">
        <f>IFERROR(__xludf.DUMMYFUNCTION("""COMPUTED_VALUE"""),20.64)</f>
        <v>20.64</v>
      </c>
      <c r="D699" s="1">
        <f>IFERROR(__xludf.DUMMYFUNCTION("""COMPUTED_VALUE"""),20.15)</f>
        <v>20.15</v>
      </c>
      <c r="E699" s="1">
        <f>IFERROR(__xludf.DUMMYFUNCTION("""COMPUTED_VALUE"""),20.52)</f>
        <v>20.52</v>
      </c>
      <c r="F699" s="1">
        <f>IFERROR(__xludf.DUMMYFUNCTION("""COMPUTED_VALUE"""),306264.0)</f>
        <v>306264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IFERROR(__xludf.DUMMYFUNCTION("""COMPUTED_VALUE"""),20.55)</f>
        <v>20.55</v>
      </c>
      <c r="C700" s="1">
        <f>IFERROR(__xludf.DUMMYFUNCTION("""COMPUTED_VALUE"""),20.55)</f>
        <v>20.55</v>
      </c>
      <c r="D700" s="1">
        <f>IFERROR(__xludf.DUMMYFUNCTION("""COMPUTED_VALUE"""),20.09)</f>
        <v>20.09</v>
      </c>
      <c r="E700" s="1">
        <f>IFERROR(__xludf.DUMMYFUNCTION("""COMPUTED_VALUE"""),20.2)</f>
        <v>20.2</v>
      </c>
      <c r="F700" s="1">
        <f>IFERROR(__xludf.DUMMYFUNCTION("""COMPUTED_VALUE"""),301094.0)</f>
        <v>301094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IFERROR(__xludf.DUMMYFUNCTION("""COMPUTED_VALUE"""),20.2)</f>
        <v>20.2</v>
      </c>
      <c r="C701" s="1">
        <f>IFERROR(__xludf.DUMMYFUNCTION("""COMPUTED_VALUE"""),20.31)</f>
        <v>20.31</v>
      </c>
      <c r="D701" s="1">
        <f>IFERROR(__xludf.DUMMYFUNCTION("""COMPUTED_VALUE"""),19.91)</f>
        <v>19.91</v>
      </c>
      <c r="E701" s="1">
        <f>IFERROR(__xludf.DUMMYFUNCTION("""COMPUTED_VALUE"""),20.3)</f>
        <v>20.3</v>
      </c>
      <c r="F701" s="1">
        <f>IFERROR(__xludf.DUMMYFUNCTION("""COMPUTED_VALUE"""),493338.0)</f>
        <v>493338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IFERROR(__xludf.DUMMYFUNCTION("""COMPUTED_VALUE"""),20.41)</f>
        <v>20.41</v>
      </c>
      <c r="C702" s="1">
        <f>IFERROR(__xludf.DUMMYFUNCTION("""COMPUTED_VALUE"""),21.0)</f>
        <v>21</v>
      </c>
      <c r="D702" s="1">
        <f>IFERROR(__xludf.DUMMYFUNCTION("""COMPUTED_VALUE"""),20.35)</f>
        <v>20.35</v>
      </c>
      <c r="E702" s="1">
        <f>IFERROR(__xludf.DUMMYFUNCTION("""COMPUTED_VALUE"""),20.9)</f>
        <v>20.9</v>
      </c>
      <c r="F702" s="1">
        <f>IFERROR(__xludf.DUMMYFUNCTION("""COMPUTED_VALUE"""),648158.0)</f>
        <v>648158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IFERROR(__xludf.DUMMYFUNCTION("""COMPUTED_VALUE"""),20.89)</f>
        <v>20.89</v>
      </c>
      <c r="C703" s="1">
        <f>IFERROR(__xludf.DUMMYFUNCTION("""COMPUTED_VALUE"""),21.23)</f>
        <v>21.23</v>
      </c>
      <c r="D703" s="1">
        <f>IFERROR(__xludf.DUMMYFUNCTION("""COMPUTED_VALUE"""),20.66)</f>
        <v>20.66</v>
      </c>
      <c r="E703" s="1">
        <f>IFERROR(__xludf.DUMMYFUNCTION("""COMPUTED_VALUE"""),20.74)</f>
        <v>20.74</v>
      </c>
      <c r="F703" s="1">
        <f>IFERROR(__xludf.DUMMYFUNCTION("""COMPUTED_VALUE"""),327355.0)</f>
        <v>327355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IFERROR(__xludf.DUMMYFUNCTION("""COMPUTED_VALUE"""),20.84)</f>
        <v>20.84</v>
      </c>
      <c r="C704" s="1">
        <f>IFERROR(__xludf.DUMMYFUNCTION("""COMPUTED_VALUE"""),21.1)</f>
        <v>21.1</v>
      </c>
      <c r="D704" s="1">
        <f>IFERROR(__xludf.DUMMYFUNCTION("""COMPUTED_VALUE"""),20.43)</f>
        <v>20.43</v>
      </c>
      <c r="E704" s="1">
        <f>IFERROR(__xludf.DUMMYFUNCTION("""COMPUTED_VALUE"""),20.63)</f>
        <v>20.63</v>
      </c>
      <c r="F704" s="1">
        <f>IFERROR(__xludf.DUMMYFUNCTION("""COMPUTED_VALUE"""),454329.0)</f>
        <v>454329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IFERROR(__xludf.DUMMYFUNCTION("""COMPUTED_VALUE"""),20.76)</f>
        <v>20.76</v>
      </c>
      <c r="C705" s="1">
        <f>IFERROR(__xludf.DUMMYFUNCTION("""COMPUTED_VALUE"""),21.0)</f>
        <v>21</v>
      </c>
      <c r="D705" s="1">
        <f>IFERROR(__xludf.DUMMYFUNCTION("""COMPUTED_VALUE"""),20.49)</f>
        <v>20.49</v>
      </c>
      <c r="E705" s="1">
        <f>IFERROR(__xludf.DUMMYFUNCTION("""COMPUTED_VALUE"""),20.59)</f>
        <v>20.59</v>
      </c>
      <c r="F705" s="1">
        <f>IFERROR(__xludf.DUMMYFUNCTION("""COMPUTED_VALUE"""),421388.0)</f>
        <v>421388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IFERROR(__xludf.DUMMYFUNCTION("""COMPUTED_VALUE"""),20.71)</f>
        <v>20.71</v>
      </c>
      <c r="C706" s="1">
        <f>IFERROR(__xludf.DUMMYFUNCTION("""COMPUTED_VALUE"""),20.8)</f>
        <v>20.8</v>
      </c>
      <c r="D706" s="1">
        <f>IFERROR(__xludf.DUMMYFUNCTION("""COMPUTED_VALUE"""),20.56)</f>
        <v>20.56</v>
      </c>
      <c r="E706" s="1">
        <f>IFERROR(__xludf.DUMMYFUNCTION("""COMPUTED_VALUE"""),20.76)</f>
        <v>20.76</v>
      </c>
      <c r="F706" s="1">
        <f>IFERROR(__xludf.DUMMYFUNCTION("""COMPUTED_VALUE"""),293041.0)</f>
        <v>293041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IFERROR(__xludf.DUMMYFUNCTION("""COMPUTED_VALUE"""),20.72)</f>
        <v>20.72</v>
      </c>
      <c r="C707" s="1">
        <f>IFERROR(__xludf.DUMMYFUNCTION("""COMPUTED_VALUE"""),20.87)</f>
        <v>20.87</v>
      </c>
      <c r="D707" s="1">
        <f>IFERROR(__xludf.DUMMYFUNCTION("""COMPUTED_VALUE"""),20.62)</f>
        <v>20.62</v>
      </c>
      <c r="E707" s="1">
        <f>IFERROR(__xludf.DUMMYFUNCTION("""COMPUTED_VALUE"""),20.8)</f>
        <v>20.8</v>
      </c>
      <c r="F707" s="1">
        <f>IFERROR(__xludf.DUMMYFUNCTION("""COMPUTED_VALUE"""),280718.0)</f>
        <v>280718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IFERROR(__xludf.DUMMYFUNCTION("""COMPUTED_VALUE"""),20.6)</f>
        <v>20.6</v>
      </c>
      <c r="C708" s="1">
        <f>IFERROR(__xludf.DUMMYFUNCTION("""COMPUTED_VALUE"""),21.16)</f>
        <v>21.16</v>
      </c>
      <c r="D708" s="1">
        <f>IFERROR(__xludf.DUMMYFUNCTION("""COMPUTED_VALUE"""),20.6)</f>
        <v>20.6</v>
      </c>
      <c r="E708" s="1">
        <f>IFERROR(__xludf.DUMMYFUNCTION("""COMPUTED_VALUE"""),20.78)</f>
        <v>20.78</v>
      </c>
      <c r="F708" s="1">
        <f>IFERROR(__xludf.DUMMYFUNCTION("""COMPUTED_VALUE"""),608139.0)</f>
        <v>608139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IFERROR(__xludf.DUMMYFUNCTION("""COMPUTED_VALUE"""),20.74)</f>
        <v>20.74</v>
      </c>
      <c r="C709" s="1">
        <f>IFERROR(__xludf.DUMMYFUNCTION("""COMPUTED_VALUE"""),21.2)</f>
        <v>21.2</v>
      </c>
      <c r="D709" s="1">
        <f>IFERROR(__xludf.DUMMYFUNCTION("""COMPUTED_VALUE"""),20.59)</f>
        <v>20.59</v>
      </c>
      <c r="E709" s="1">
        <f>IFERROR(__xludf.DUMMYFUNCTION("""COMPUTED_VALUE"""),21.2)</f>
        <v>21.2</v>
      </c>
      <c r="F709" s="1">
        <f>IFERROR(__xludf.DUMMYFUNCTION("""COMPUTED_VALUE"""),605021.0)</f>
        <v>605021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IFERROR(__xludf.DUMMYFUNCTION("""COMPUTED_VALUE"""),20.99)</f>
        <v>20.99</v>
      </c>
      <c r="C710" s="1">
        <f>IFERROR(__xludf.DUMMYFUNCTION("""COMPUTED_VALUE"""),21.22)</f>
        <v>21.22</v>
      </c>
      <c r="D710" s="1">
        <f>IFERROR(__xludf.DUMMYFUNCTION("""COMPUTED_VALUE"""),20.56)</f>
        <v>20.56</v>
      </c>
      <c r="E710" s="1">
        <f>IFERROR(__xludf.DUMMYFUNCTION("""COMPUTED_VALUE"""),21.21)</f>
        <v>21.21</v>
      </c>
      <c r="F710" s="1">
        <f>IFERROR(__xludf.DUMMYFUNCTION("""COMPUTED_VALUE"""),554565.0)</f>
        <v>554565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IFERROR(__xludf.DUMMYFUNCTION("""COMPUTED_VALUE"""),21.27)</f>
        <v>21.27</v>
      </c>
      <c r="C711" s="1">
        <f>IFERROR(__xludf.DUMMYFUNCTION("""COMPUTED_VALUE"""),21.3)</f>
        <v>21.3</v>
      </c>
      <c r="D711" s="1">
        <f>IFERROR(__xludf.DUMMYFUNCTION("""COMPUTED_VALUE"""),20.86)</f>
        <v>20.86</v>
      </c>
      <c r="E711" s="1">
        <f>IFERROR(__xludf.DUMMYFUNCTION("""COMPUTED_VALUE"""),21.08)</f>
        <v>21.08</v>
      </c>
      <c r="F711" s="1">
        <f>IFERROR(__xludf.DUMMYFUNCTION("""COMPUTED_VALUE"""),519381.0)</f>
        <v>519381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IFERROR(__xludf.DUMMYFUNCTION("""COMPUTED_VALUE"""),21.27)</f>
        <v>21.27</v>
      </c>
      <c r="C712" s="1">
        <f>IFERROR(__xludf.DUMMYFUNCTION("""COMPUTED_VALUE"""),21.45)</f>
        <v>21.45</v>
      </c>
      <c r="D712" s="1">
        <f>IFERROR(__xludf.DUMMYFUNCTION("""COMPUTED_VALUE"""),20.94)</f>
        <v>20.94</v>
      </c>
      <c r="E712" s="1">
        <f>IFERROR(__xludf.DUMMYFUNCTION("""COMPUTED_VALUE"""),21.09)</f>
        <v>21.09</v>
      </c>
      <c r="F712" s="1">
        <f>IFERROR(__xludf.DUMMYFUNCTION("""COMPUTED_VALUE"""),539952.0)</f>
        <v>539952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IFERROR(__xludf.DUMMYFUNCTION("""COMPUTED_VALUE"""),21.07)</f>
        <v>21.07</v>
      </c>
      <c r="C713" s="1">
        <f>IFERROR(__xludf.DUMMYFUNCTION("""COMPUTED_VALUE"""),21.21)</f>
        <v>21.21</v>
      </c>
      <c r="D713" s="1">
        <f>IFERROR(__xludf.DUMMYFUNCTION("""COMPUTED_VALUE"""),20.58)</f>
        <v>20.58</v>
      </c>
      <c r="E713" s="1">
        <f>IFERROR(__xludf.DUMMYFUNCTION("""COMPUTED_VALUE"""),20.86)</f>
        <v>20.86</v>
      </c>
      <c r="F713" s="1">
        <f>IFERROR(__xludf.DUMMYFUNCTION("""COMPUTED_VALUE"""),707278.0)</f>
        <v>707278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IFERROR(__xludf.DUMMYFUNCTION("""COMPUTED_VALUE"""),21.12)</f>
        <v>21.12</v>
      </c>
      <c r="C714" s="1">
        <f>IFERROR(__xludf.DUMMYFUNCTION("""COMPUTED_VALUE"""),23.57)</f>
        <v>23.57</v>
      </c>
      <c r="D714" s="1">
        <f>IFERROR(__xludf.DUMMYFUNCTION("""COMPUTED_VALUE"""),20.83)</f>
        <v>20.83</v>
      </c>
      <c r="E714" s="1">
        <f>IFERROR(__xludf.DUMMYFUNCTION("""COMPUTED_VALUE"""),22.49)</f>
        <v>22.49</v>
      </c>
      <c r="F714" s="1">
        <f>IFERROR(__xludf.DUMMYFUNCTION("""COMPUTED_VALUE"""),1857424.0)</f>
        <v>1857424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IFERROR(__xludf.DUMMYFUNCTION("""COMPUTED_VALUE"""),22.57)</f>
        <v>22.57</v>
      </c>
      <c r="C715" s="1">
        <f>IFERROR(__xludf.DUMMYFUNCTION("""COMPUTED_VALUE"""),22.83)</f>
        <v>22.83</v>
      </c>
      <c r="D715" s="1">
        <f>IFERROR(__xludf.DUMMYFUNCTION("""COMPUTED_VALUE"""),22.02)</f>
        <v>22.02</v>
      </c>
      <c r="E715" s="1">
        <f>IFERROR(__xludf.DUMMYFUNCTION("""COMPUTED_VALUE"""),22.17)</f>
        <v>22.17</v>
      </c>
      <c r="F715" s="1">
        <f>IFERROR(__xludf.DUMMYFUNCTION("""COMPUTED_VALUE"""),1059587.0)</f>
        <v>1059587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IFERROR(__xludf.DUMMYFUNCTION("""COMPUTED_VALUE"""),22.27)</f>
        <v>22.27</v>
      </c>
      <c r="C716" s="1">
        <f>IFERROR(__xludf.DUMMYFUNCTION("""COMPUTED_VALUE"""),22.38)</f>
        <v>22.38</v>
      </c>
      <c r="D716" s="1">
        <f>IFERROR(__xludf.DUMMYFUNCTION("""COMPUTED_VALUE"""),21.52)</f>
        <v>21.52</v>
      </c>
      <c r="E716" s="1">
        <f>IFERROR(__xludf.DUMMYFUNCTION("""COMPUTED_VALUE"""),21.69)</f>
        <v>21.69</v>
      </c>
      <c r="F716" s="1">
        <f>IFERROR(__xludf.DUMMYFUNCTION("""COMPUTED_VALUE"""),689573.0)</f>
        <v>689573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IFERROR(__xludf.DUMMYFUNCTION("""COMPUTED_VALUE"""),21.66)</f>
        <v>21.66</v>
      </c>
      <c r="C717" s="1">
        <f>IFERROR(__xludf.DUMMYFUNCTION("""COMPUTED_VALUE"""),21.82)</f>
        <v>21.82</v>
      </c>
      <c r="D717" s="1">
        <f>IFERROR(__xludf.DUMMYFUNCTION("""COMPUTED_VALUE"""),21.12)</f>
        <v>21.12</v>
      </c>
      <c r="E717" s="1">
        <f>IFERROR(__xludf.DUMMYFUNCTION("""COMPUTED_VALUE"""),21.8)</f>
        <v>21.8</v>
      </c>
      <c r="F717" s="1">
        <f>IFERROR(__xludf.DUMMYFUNCTION("""COMPUTED_VALUE"""),580008.0)</f>
        <v>580008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IFERROR(__xludf.DUMMYFUNCTION("""COMPUTED_VALUE"""),21.86)</f>
        <v>21.86</v>
      </c>
      <c r="C718" s="1">
        <f>IFERROR(__xludf.DUMMYFUNCTION("""COMPUTED_VALUE"""),22.15)</f>
        <v>22.15</v>
      </c>
      <c r="D718" s="1">
        <f>IFERROR(__xludf.DUMMYFUNCTION("""COMPUTED_VALUE"""),21.52)</f>
        <v>21.52</v>
      </c>
      <c r="E718" s="1">
        <f>IFERROR(__xludf.DUMMYFUNCTION("""COMPUTED_VALUE"""),22.05)</f>
        <v>22.05</v>
      </c>
      <c r="F718" s="1">
        <f>IFERROR(__xludf.DUMMYFUNCTION("""COMPUTED_VALUE"""),401249.0)</f>
        <v>401249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IFERROR(__xludf.DUMMYFUNCTION("""COMPUTED_VALUE"""),21.79)</f>
        <v>21.79</v>
      </c>
      <c r="C719" s="1">
        <f>IFERROR(__xludf.DUMMYFUNCTION("""COMPUTED_VALUE"""),22.48)</f>
        <v>22.48</v>
      </c>
      <c r="D719" s="1">
        <f>IFERROR(__xludf.DUMMYFUNCTION("""COMPUTED_VALUE"""),21.65)</f>
        <v>21.65</v>
      </c>
      <c r="E719" s="1">
        <f>IFERROR(__xludf.DUMMYFUNCTION("""COMPUTED_VALUE"""),22.23)</f>
        <v>22.23</v>
      </c>
      <c r="F719" s="1">
        <f>IFERROR(__xludf.DUMMYFUNCTION("""COMPUTED_VALUE"""),828708.0)</f>
        <v>828708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IFERROR(__xludf.DUMMYFUNCTION("""COMPUTED_VALUE"""),22.15)</f>
        <v>22.15</v>
      </c>
      <c r="C720" s="1">
        <f>IFERROR(__xludf.DUMMYFUNCTION("""COMPUTED_VALUE"""),22.34)</f>
        <v>22.34</v>
      </c>
      <c r="D720" s="1">
        <f>IFERROR(__xludf.DUMMYFUNCTION("""COMPUTED_VALUE"""),21.22)</f>
        <v>21.22</v>
      </c>
      <c r="E720" s="1">
        <f>IFERROR(__xludf.DUMMYFUNCTION("""COMPUTED_VALUE"""),21.31)</f>
        <v>21.31</v>
      </c>
      <c r="F720" s="1">
        <f>IFERROR(__xludf.DUMMYFUNCTION("""COMPUTED_VALUE"""),662047.0)</f>
        <v>662047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IFERROR(__xludf.DUMMYFUNCTION("""COMPUTED_VALUE"""),21.3)</f>
        <v>21.3</v>
      </c>
      <c r="C721" s="1">
        <f>IFERROR(__xludf.DUMMYFUNCTION("""COMPUTED_VALUE"""),21.51)</f>
        <v>21.51</v>
      </c>
      <c r="D721" s="1">
        <f>IFERROR(__xludf.DUMMYFUNCTION("""COMPUTED_VALUE"""),21.21)</f>
        <v>21.21</v>
      </c>
      <c r="E721" s="1">
        <f>IFERROR(__xludf.DUMMYFUNCTION("""COMPUTED_VALUE"""),21.36)</f>
        <v>21.36</v>
      </c>
      <c r="F721" s="1">
        <f>IFERROR(__xludf.DUMMYFUNCTION("""COMPUTED_VALUE"""),531134.0)</f>
        <v>531134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IFERROR(__xludf.DUMMYFUNCTION("""COMPUTED_VALUE"""),21.41)</f>
        <v>21.41</v>
      </c>
      <c r="C722" s="1">
        <f>IFERROR(__xludf.DUMMYFUNCTION("""COMPUTED_VALUE"""),21.57)</f>
        <v>21.57</v>
      </c>
      <c r="D722" s="1">
        <f>IFERROR(__xludf.DUMMYFUNCTION("""COMPUTED_VALUE"""),20.94)</f>
        <v>20.94</v>
      </c>
      <c r="E722" s="1">
        <f>IFERROR(__xludf.DUMMYFUNCTION("""COMPUTED_VALUE"""),21.0)</f>
        <v>21</v>
      </c>
      <c r="F722" s="1">
        <f>IFERROR(__xludf.DUMMYFUNCTION("""COMPUTED_VALUE"""),572456.0)</f>
        <v>572456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IFERROR(__xludf.DUMMYFUNCTION("""COMPUTED_VALUE"""),20.9)</f>
        <v>20.9</v>
      </c>
      <c r="C723" s="1">
        <f>IFERROR(__xludf.DUMMYFUNCTION("""COMPUTED_VALUE"""),21.13)</f>
        <v>21.13</v>
      </c>
      <c r="D723" s="1">
        <f>IFERROR(__xludf.DUMMYFUNCTION("""COMPUTED_VALUE"""),20.74)</f>
        <v>20.74</v>
      </c>
      <c r="E723" s="1">
        <f>IFERROR(__xludf.DUMMYFUNCTION("""COMPUTED_VALUE"""),20.8)</f>
        <v>20.8</v>
      </c>
      <c r="F723" s="1">
        <f>IFERROR(__xludf.DUMMYFUNCTION("""COMPUTED_VALUE"""),295436.0)</f>
        <v>295436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IFERROR(__xludf.DUMMYFUNCTION("""COMPUTED_VALUE"""),20.78)</f>
        <v>20.78</v>
      </c>
      <c r="C724" s="1">
        <f>IFERROR(__xludf.DUMMYFUNCTION("""COMPUTED_VALUE"""),21.14)</f>
        <v>21.14</v>
      </c>
      <c r="D724" s="1">
        <f>IFERROR(__xludf.DUMMYFUNCTION("""COMPUTED_VALUE"""),20.5)</f>
        <v>20.5</v>
      </c>
      <c r="E724" s="1">
        <f>IFERROR(__xludf.DUMMYFUNCTION("""COMPUTED_VALUE"""),20.51)</f>
        <v>20.51</v>
      </c>
      <c r="F724" s="1">
        <f>IFERROR(__xludf.DUMMYFUNCTION("""COMPUTED_VALUE"""),723732.0)</f>
        <v>723732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IFERROR(__xludf.DUMMYFUNCTION("""COMPUTED_VALUE"""),20.55)</f>
        <v>20.55</v>
      </c>
      <c r="C725" s="1">
        <f>IFERROR(__xludf.DUMMYFUNCTION("""COMPUTED_VALUE"""),21.01)</f>
        <v>21.01</v>
      </c>
      <c r="D725" s="1">
        <f>IFERROR(__xludf.DUMMYFUNCTION("""COMPUTED_VALUE"""),20.55)</f>
        <v>20.55</v>
      </c>
      <c r="E725" s="1">
        <f>IFERROR(__xludf.DUMMYFUNCTION("""COMPUTED_VALUE"""),20.76)</f>
        <v>20.76</v>
      </c>
      <c r="F725" s="1">
        <f>IFERROR(__xludf.DUMMYFUNCTION("""COMPUTED_VALUE"""),415236.0)</f>
        <v>415236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IFERROR(__xludf.DUMMYFUNCTION("""COMPUTED_VALUE"""),20.83)</f>
        <v>20.83</v>
      </c>
      <c r="C726" s="1">
        <f>IFERROR(__xludf.DUMMYFUNCTION("""COMPUTED_VALUE"""),21.46)</f>
        <v>21.46</v>
      </c>
      <c r="D726" s="1">
        <f>IFERROR(__xludf.DUMMYFUNCTION("""COMPUTED_VALUE"""),20.77)</f>
        <v>20.77</v>
      </c>
      <c r="E726" s="1">
        <f>IFERROR(__xludf.DUMMYFUNCTION("""COMPUTED_VALUE"""),21.17)</f>
        <v>21.17</v>
      </c>
      <c r="F726" s="1">
        <f>IFERROR(__xludf.DUMMYFUNCTION("""COMPUTED_VALUE"""),609878.0)</f>
        <v>609878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IFERROR(__xludf.DUMMYFUNCTION("""COMPUTED_VALUE"""),21.35)</f>
        <v>21.35</v>
      </c>
      <c r="C727" s="1">
        <f>IFERROR(__xludf.DUMMYFUNCTION("""COMPUTED_VALUE"""),21.41)</f>
        <v>21.41</v>
      </c>
      <c r="D727" s="1">
        <f>IFERROR(__xludf.DUMMYFUNCTION("""COMPUTED_VALUE"""),21.07)</f>
        <v>21.07</v>
      </c>
      <c r="E727" s="1">
        <f>IFERROR(__xludf.DUMMYFUNCTION("""COMPUTED_VALUE"""),21.17)</f>
        <v>21.17</v>
      </c>
      <c r="F727" s="1">
        <f>IFERROR(__xludf.DUMMYFUNCTION("""COMPUTED_VALUE"""),310287.0)</f>
        <v>310287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IFERROR(__xludf.DUMMYFUNCTION("""COMPUTED_VALUE"""),21.16)</f>
        <v>21.16</v>
      </c>
      <c r="C728" s="1">
        <f>IFERROR(__xludf.DUMMYFUNCTION("""COMPUTED_VALUE"""),21.44)</f>
        <v>21.44</v>
      </c>
      <c r="D728" s="1">
        <f>IFERROR(__xludf.DUMMYFUNCTION("""COMPUTED_VALUE"""),21.16)</f>
        <v>21.16</v>
      </c>
      <c r="E728" s="1">
        <f>IFERROR(__xludf.DUMMYFUNCTION("""COMPUTED_VALUE"""),21.24)</f>
        <v>21.24</v>
      </c>
      <c r="F728" s="1">
        <f>IFERROR(__xludf.DUMMYFUNCTION("""COMPUTED_VALUE"""),300827.0)</f>
        <v>300827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IFERROR(__xludf.DUMMYFUNCTION("""COMPUTED_VALUE"""),21.2)</f>
        <v>21.2</v>
      </c>
      <c r="C729" s="1">
        <f>IFERROR(__xludf.DUMMYFUNCTION("""COMPUTED_VALUE"""),21.43)</f>
        <v>21.43</v>
      </c>
      <c r="D729" s="1">
        <f>IFERROR(__xludf.DUMMYFUNCTION("""COMPUTED_VALUE"""),20.83)</f>
        <v>20.83</v>
      </c>
      <c r="E729" s="1">
        <f>IFERROR(__xludf.DUMMYFUNCTION("""COMPUTED_VALUE"""),21.37)</f>
        <v>21.37</v>
      </c>
      <c r="F729" s="1">
        <f>IFERROR(__xludf.DUMMYFUNCTION("""COMPUTED_VALUE"""),490233.0)</f>
        <v>490233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IFERROR(__xludf.DUMMYFUNCTION("""COMPUTED_VALUE"""),21.45)</f>
        <v>21.45</v>
      </c>
      <c r="C730" s="1">
        <f>IFERROR(__xludf.DUMMYFUNCTION("""COMPUTED_VALUE"""),21.66)</f>
        <v>21.66</v>
      </c>
      <c r="D730" s="1">
        <f>IFERROR(__xludf.DUMMYFUNCTION("""COMPUTED_VALUE"""),21.11)</f>
        <v>21.11</v>
      </c>
      <c r="E730" s="1">
        <f>IFERROR(__xludf.DUMMYFUNCTION("""COMPUTED_VALUE"""),21.65)</f>
        <v>21.65</v>
      </c>
      <c r="F730" s="1">
        <f>IFERROR(__xludf.DUMMYFUNCTION("""COMPUTED_VALUE"""),226660.0)</f>
        <v>226660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IFERROR(__xludf.DUMMYFUNCTION("""COMPUTED_VALUE"""),21.61)</f>
        <v>21.61</v>
      </c>
      <c r="C731" s="1">
        <f>IFERROR(__xludf.DUMMYFUNCTION("""COMPUTED_VALUE"""),21.95)</f>
        <v>21.95</v>
      </c>
      <c r="D731" s="1">
        <f>IFERROR(__xludf.DUMMYFUNCTION("""COMPUTED_VALUE"""),21.58)</f>
        <v>21.58</v>
      </c>
      <c r="E731" s="1">
        <f>IFERROR(__xludf.DUMMYFUNCTION("""COMPUTED_VALUE"""),21.9)</f>
        <v>21.9</v>
      </c>
      <c r="F731" s="1">
        <f>IFERROR(__xludf.DUMMYFUNCTION("""COMPUTED_VALUE"""),287443.0)</f>
        <v>287443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IFERROR(__xludf.DUMMYFUNCTION("""COMPUTED_VALUE"""),21.93)</f>
        <v>21.93</v>
      </c>
      <c r="C732" s="1">
        <f>IFERROR(__xludf.DUMMYFUNCTION("""COMPUTED_VALUE"""),22.11)</f>
        <v>22.11</v>
      </c>
      <c r="D732" s="1">
        <f>IFERROR(__xludf.DUMMYFUNCTION("""COMPUTED_VALUE"""),21.71)</f>
        <v>21.71</v>
      </c>
      <c r="E732" s="1">
        <f>IFERROR(__xludf.DUMMYFUNCTION("""COMPUTED_VALUE"""),22.0)</f>
        <v>22</v>
      </c>
      <c r="F732" s="1">
        <f>IFERROR(__xludf.DUMMYFUNCTION("""COMPUTED_VALUE"""),349989.0)</f>
        <v>349989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IFERROR(__xludf.DUMMYFUNCTION("""COMPUTED_VALUE"""),21.93)</f>
        <v>21.93</v>
      </c>
      <c r="C733" s="1">
        <f>IFERROR(__xludf.DUMMYFUNCTION("""COMPUTED_VALUE"""),22.41)</f>
        <v>22.41</v>
      </c>
      <c r="D733" s="1">
        <f>IFERROR(__xludf.DUMMYFUNCTION("""COMPUTED_VALUE"""),21.83)</f>
        <v>21.83</v>
      </c>
      <c r="E733" s="1">
        <f>IFERROR(__xludf.DUMMYFUNCTION("""COMPUTED_VALUE"""),22.4)</f>
        <v>22.4</v>
      </c>
      <c r="F733" s="1">
        <f>IFERROR(__xludf.DUMMYFUNCTION("""COMPUTED_VALUE"""),449391.0)</f>
        <v>449391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IFERROR(__xludf.DUMMYFUNCTION("""COMPUTED_VALUE"""),22.44)</f>
        <v>22.44</v>
      </c>
      <c r="C734" s="1">
        <f>IFERROR(__xludf.DUMMYFUNCTION("""COMPUTED_VALUE"""),22.72)</f>
        <v>22.72</v>
      </c>
      <c r="D734" s="1">
        <f>IFERROR(__xludf.DUMMYFUNCTION("""COMPUTED_VALUE"""),22.27)</f>
        <v>22.27</v>
      </c>
      <c r="E734" s="1">
        <f>IFERROR(__xludf.DUMMYFUNCTION("""COMPUTED_VALUE"""),22.6)</f>
        <v>22.6</v>
      </c>
      <c r="F734" s="1">
        <f>IFERROR(__xludf.DUMMYFUNCTION("""COMPUTED_VALUE"""),319191.0)</f>
        <v>319191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IFERROR(__xludf.DUMMYFUNCTION("""COMPUTED_VALUE"""),22.71)</f>
        <v>22.71</v>
      </c>
      <c r="C735" s="1">
        <f>IFERROR(__xludf.DUMMYFUNCTION("""COMPUTED_VALUE"""),22.92)</f>
        <v>22.92</v>
      </c>
      <c r="D735" s="1">
        <f>IFERROR(__xludf.DUMMYFUNCTION("""COMPUTED_VALUE"""),22.54)</f>
        <v>22.54</v>
      </c>
      <c r="E735" s="1">
        <f>IFERROR(__xludf.DUMMYFUNCTION("""COMPUTED_VALUE"""),22.91)</f>
        <v>22.91</v>
      </c>
      <c r="F735" s="1">
        <f>IFERROR(__xludf.DUMMYFUNCTION("""COMPUTED_VALUE"""),579027.0)</f>
        <v>579027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IFERROR(__xludf.DUMMYFUNCTION("""COMPUTED_VALUE"""),22.86)</f>
        <v>22.86</v>
      </c>
      <c r="C736" s="1">
        <f>IFERROR(__xludf.DUMMYFUNCTION("""COMPUTED_VALUE"""),22.95)</f>
        <v>22.95</v>
      </c>
      <c r="D736" s="1">
        <f>IFERROR(__xludf.DUMMYFUNCTION("""COMPUTED_VALUE"""),22.32)</f>
        <v>22.32</v>
      </c>
      <c r="E736" s="1">
        <f>IFERROR(__xludf.DUMMYFUNCTION("""COMPUTED_VALUE"""),22.54)</f>
        <v>22.54</v>
      </c>
      <c r="F736" s="1">
        <f>IFERROR(__xludf.DUMMYFUNCTION("""COMPUTED_VALUE"""),369224.0)</f>
        <v>369224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IFERROR(__xludf.DUMMYFUNCTION("""COMPUTED_VALUE"""),22.45)</f>
        <v>22.45</v>
      </c>
      <c r="C737" s="1">
        <f>IFERROR(__xludf.DUMMYFUNCTION("""COMPUTED_VALUE"""),22.6)</f>
        <v>22.6</v>
      </c>
      <c r="D737" s="1">
        <f>IFERROR(__xludf.DUMMYFUNCTION("""COMPUTED_VALUE"""),21.92)</f>
        <v>21.92</v>
      </c>
      <c r="E737" s="1">
        <f>IFERROR(__xludf.DUMMYFUNCTION("""COMPUTED_VALUE"""),22.04)</f>
        <v>22.04</v>
      </c>
      <c r="F737" s="1">
        <f>IFERROR(__xludf.DUMMYFUNCTION("""COMPUTED_VALUE"""),624168.0)</f>
        <v>624168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IFERROR(__xludf.DUMMYFUNCTION("""COMPUTED_VALUE"""),22.09)</f>
        <v>22.09</v>
      </c>
      <c r="C738" s="1">
        <f>IFERROR(__xludf.DUMMYFUNCTION("""COMPUTED_VALUE"""),22.3)</f>
        <v>22.3</v>
      </c>
      <c r="D738" s="1">
        <f>IFERROR(__xludf.DUMMYFUNCTION("""COMPUTED_VALUE"""),22.0)</f>
        <v>22</v>
      </c>
      <c r="E738" s="1">
        <f>IFERROR(__xludf.DUMMYFUNCTION("""COMPUTED_VALUE"""),22.18)</f>
        <v>22.18</v>
      </c>
      <c r="F738" s="1">
        <f>IFERROR(__xludf.DUMMYFUNCTION("""COMPUTED_VALUE"""),589482.0)</f>
        <v>589482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IFERROR(__xludf.DUMMYFUNCTION("""COMPUTED_VALUE"""),22.27)</f>
        <v>22.27</v>
      </c>
      <c r="C739" s="1">
        <f>IFERROR(__xludf.DUMMYFUNCTION("""COMPUTED_VALUE"""),22.28)</f>
        <v>22.28</v>
      </c>
      <c r="D739" s="1">
        <f>IFERROR(__xludf.DUMMYFUNCTION("""COMPUTED_VALUE"""),21.87)</f>
        <v>21.87</v>
      </c>
      <c r="E739" s="1">
        <f>IFERROR(__xludf.DUMMYFUNCTION("""COMPUTED_VALUE"""),22.12)</f>
        <v>22.12</v>
      </c>
      <c r="F739" s="1">
        <f>IFERROR(__xludf.DUMMYFUNCTION("""COMPUTED_VALUE"""),358214.0)</f>
        <v>358214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IFERROR(__xludf.DUMMYFUNCTION("""COMPUTED_VALUE"""),22.25)</f>
        <v>22.25</v>
      </c>
      <c r="C740" s="1">
        <f>IFERROR(__xludf.DUMMYFUNCTION("""COMPUTED_VALUE"""),22.3)</f>
        <v>22.3</v>
      </c>
      <c r="D740" s="1">
        <f>IFERROR(__xludf.DUMMYFUNCTION("""COMPUTED_VALUE"""),20.77)</f>
        <v>20.77</v>
      </c>
      <c r="E740" s="1">
        <f>IFERROR(__xludf.DUMMYFUNCTION("""COMPUTED_VALUE"""),21.18)</f>
        <v>21.18</v>
      </c>
      <c r="F740" s="1">
        <f>IFERROR(__xludf.DUMMYFUNCTION("""COMPUTED_VALUE"""),1630116.0)</f>
        <v>1630116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IFERROR(__xludf.DUMMYFUNCTION("""COMPUTED_VALUE"""),21.19)</f>
        <v>21.19</v>
      </c>
      <c r="C741" s="1">
        <f>IFERROR(__xludf.DUMMYFUNCTION("""COMPUTED_VALUE"""),21.39)</f>
        <v>21.39</v>
      </c>
      <c r="D741" s="1">
        <f>IFERROR(__xludf.DUMMYFUNCTION("""COMPUTED_VALUE"""),20.71)</f>
        <v>20.71</v>
      </c>
      <c r="E741" s="1">
        <f>IFERROR(__xludf.DUMMYFUNCTION("""COMPUTED_VALUE"""),21.09)</f>
        <v>21.09</v>
      </c>
      <c r="F741" s="1">
        <f>IFERROR(__xludf.DUMMYFUNCTION("""COMPUTED_VALUE"""),1168406.0)</f>
        <v>1168406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IFERROR(__xludf.DUMMYFUNCTION("""COMPUTED_VALUE"""),21.19)</f>
        <v>21.19</v>
      </c>
      <c r="C742" s="1">
        <f>IFERROR(__xludf.DUMMYFUNCTION("""COMPUTED_VALUE"""),21.46)</f>
        <v>21.46</v>
      </c>
      <c r="D742" s="1">
        <f>IFERROR(__xludf.DUMMYFUNCTION("""COMPUTED_VALUE"""),21.09)</f>
        <v>21.09</v>
      </c>
      <c r="E742" s="1">
        <f>IFERROR(__xludf.DUMMYFUNCTION("""COMPUTED_VALUE"""),21.15)</f>
        <v>21.15</v>
      </c>
      <c r="F742" s="1">
        <f>IFERROR(__xludf.DUMMYFUNCTION("""COMPUTED_VALUE"""),230190.0)</f>
        <v>230190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IFERROR(__xludf.DUMMYFUNCTION("""COMPUTED_VALUE"""),21.17)</f>
        <v>21.17</v>
      </c>
      <c r="C743" s="1">
        <f>IFERROR(__xludf.DUMMYFUNCTION("""COMPUTED_VALUE"""),21.36)</f>
        <v>21.36</v>
      </c>
      <c r="D743" s="1">
        <f>IFERROR(__xludf.DUMMYFUNCTION("""COMPUTED_VALUE"""),20.97)</f>
        <v>20.97</v>
      </c>
      <c r="E743" s="1">
        <f>IFERROR(__xludf.DUMMYFUNCTION("""COMPUTED_VALUE"""),21.29)</f>
        <v>21.29</v>
      </c>
      <c r="F743" s="1">
        <f>IFERROR(__xludf.DUMMYFUNCTION("""COMPUTED_VALUE"""),362721.0)</f>
        <v>362721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IFERROR(__xludf.DUMMYFUNCTION("""COMPUTED_VALUE"""),21.25)</f>
        <v>21.25</v>
      </c>
      <c r="C744" s="1">
        <f>IFERROR(__xludf.DUMMYFUNCTION("""COMPUTED_VALUE"""),21.32)</f>
        <v>21.32</v>
      </c>
      <c r="D744" s="1">
        <f>IFERROR(__xludf.DUMMYFUNCTION("""COMPUTED_VALUE"""),20.93)</f>
        <v>20.93</v>
      </c>
      <c r="E744" s="1">
        <f>IFERROR(__xludf.DUMMYFUNCTION("""COMPUTED_VALUE"""),21.13)</f>
        <v>21.13</v>
      </c>
      <c r="F744" s="1">
        <f>IFERROR(__xludf.DUMMYFUNCTION("""COMPUTED_VALUE"""),393178.0)</f>
        <v>393178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IFERROR(__xludf.DUMMYFUNCTION("""COMPUTED_VALUE"""),21.07)</f>
        <v>21.07</v>
      </c>
      <c r="C745" s="1">
        <f>IFERROR(__xludf.DUMMYFUNCTION("""COMPUTED_VALUE"""),21.32)</f>
        <v>21.32</v>
      </c>
      <c r="D745" s="1">
        <f>IFERROR(__xludf.DUMMYFUNCTION("""COMPUTED_VALUE"""),21.04)</f>
        <v>21.04</v>
      </c>
      <c r="E745" s="1">
        <f>IFERROR(__xludf.DUMMYFUNCTION("""COMPUTED_VALUE"""),21.23)</f>
        <v>21.23</v>
      </c>
      <c r="F745" s="1">
        <f>IFERROR(__xludf.DUMMYFUNCTION("""COMPUTED_VALUE"""),277410.0)</f>
        <v>277410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IFERROR(__xludf.DUMMYFUNCTION("""COMPUTED_VALUE"""),21.25)</f>
        <v>21.25</v>
      </c>
      <c r="C746" s="1">
        <f>IFERROR(__xludf.DUMMYFUNCTION("""COMPUTED_VALUE"""),21.61)</f>
        <v>21.61</v>
      </c>
      <c r="D746" s="1">
        <f>IFERROR(__xludf.DUMMYFUNCTION("""COMPUTED_VALUE"""),21.12)</f>
        <v>21.12</v>
      </c>
      <c r="E746" s="1">
        <f>IFERROR(__xludf.DUMMYFUNCTION("""COMPUTED_VALUE"""),21.58)</f>
        <v>21.58</v>
      </c>
      <c r="F746" s="1">
        <f>IFERROR(__xludf.DUMMYFUNCTION("""COMPUTED_VALUE"""),197533.0)</f>
        <v>197533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IFERROR(__xludf.DUMMYFUNCTION("""COMPUTED_VALUE"""),21.62)</f>
        <v>21.62</v>
      </c>
      <c r="C747" s="1">
        <f>IFERROR(__xludf.DUMMYFUNCTION("""COMPUTED_VALUE"""),21.89)</f>
        <v>21.89</v>
      </c>
      <c r="D747" s="1">
        <f>IFERROR(__xludf.DUMMYFUNCTION("""COMPUTED_VALUE"""),21.51)</f>
        <v>21.51</v>
      </c>
      <c r="E747" s="1">
        <f>IFERROR(__xludf.DUMMYFUNCTION("""COMPUTED_VALUE"""),21.67)</f>
        <v>21.67</v>
      </c>
      <c r="F747" s="1">
        <f>IFERROR(__xludf.DUMMYFUNCTION("""COMPUTED_VALUE"""),296946.0)</f>
        <v>296946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IFERROR(__xludf.DUMMYFUNCTION("""COMPUTED_VALUE"""),21.58)</f>
        <v>21.58</v>
      </c>
      <c r="C748" s="1">
        <f>IFERROR(__xludf.DUMMYFUNCTION("""COMPUTED_VALUE"""),21.8)</f>
        <v>21.8</v>
      </c>
      <c r="D748" s="1">
        <f>IFERROR(__xludf.DUMMYFUNCTION("""COMPUTED_VALUE"""),21.42)</f>
        <v>21.42</v>
      </c>
      <c r="E748" s="1">
        <f>IFERROR(__xludf.DUMMYFUNCTION("""COMPUTED_VALUE"""),21.61)</f>
        <v>21.61</v>
      </c>
      <c r="F748" s="1">
        <f>IFERROR(__xludf.DUMMYFUNCTION("""COMPUTED_VALUE"""),187357.0)</f>
        <v>187357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IFERROR(__xludf.DUMMYFUNCTION("""COMPUTED_VALUE"""),21.54)</f>
        <v>21.54</v>
      </c>
      <c r="C749" s="1">
        <f>IFERROR(__xludf.DUMMYFUNCTION("""COMPUTED_VALUE"""),21.62)</f>
        <v>21.62</v>
      </c>
      <c r="D749" s="1">
        <f>IFERROR(__xludf.DUMMYFUNCTION("""COMPUTED_VALUE"""),21.26)</f>
        <v>21.26</v>
      </c>
      <c r="E749" s="1">
        <f>IFERROR(__xludf.DUMMYFUNCTION("""COMPUTED_VALUE"""),21.26)</f>
        <v>21.26</v>
      </c>
      <c r="F749" s="1">
        <f>IFERROR(__xludf.DUMMYFUNCTION("""COMPUTED_VALUE"""),257318.0)</f>
        <v>257318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IFERROR(__xludf.DUMMYFUNCTION("""COMPUTED_VALUE"""),21.06)</f>
        <v>21.06</v>
      </c>
      <c r="C750" s="1">
        <f>IFERROR(__xludf.DUMMYFUNCTION("""COMPUTED_VALUE"""),21.38)</f>
        <v>21.38</v>
      </c>
      <c r="D750" s="1">
        <f>IFERROR(__xludf.DUMMYFUNCTION("""COMPUTED_VALUE"""),20.82)</f>
        <v>20.82</v>
      </c>
      <c r="E750" s="1">
        <f>IFERROR(__xludf.DUMMYFUNCTION("""COMPUTED_VALUE"""),21.14)</f>
        <v>21.14</v>
      </c>
      <c r="F750" s="1">
        <f>IFERROR(__xludf.DUMMYFUNCTION("""COMPUTED_VALUE"""),497025.0)</f>
        <v>497025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IFERROR(__xludf.DUMMYFUNCTION("""COMPUTED_VALUE"""),21.12)</f>
        <v>21.12</v>
      </c>
      <c r="C751" s="1">
        <f>IFERROR(__xludf.DUMMYFUNCTION("""COMPUTED_VALUE"""),21.19)</f>
        <v>21.19</v>
      </c>
      <c r="D751" s="1">
        <f>IFERROR(__xludf.DUMMYFUNCTION("""COMPUTED_VALUE"""),20.73)</f>
        <v>20.73</v>
      </c>
      <c r="E751" s="1">
        <f>IFERROR(__xludf.DUMMYFUNCTION("""COMPUTED_VALUE"""),21.18)</f>
        <v>21.18</v>
      </c>
      <c r="F751" s="1">
        <f>IFERROR(__xludf.DUMMYFUNCTION("""COMPUTED_VALUE"""),251904.0)</f>
        <v>251904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IFERROR(__xludf.DUMMYFUNCTION("""COMPUTED_VALUE"""),21.26)</f>
        <v>21.26</v>
      </c>
      <c r="C752" s="1">
        <f>IFERROR(__xludf.DUMMYFUNCTION("""COMPUTED_VALUE"""),21.44)</f>
        <v>21.44</v>
      </c>
      <c r="D752" s="1">
        <f>IFERROR(__xludf.DUMMYFUNCTION("""COMPUTED_VALUE"""),20.97)</f>
        <v>20.97</v>
      </c>
      <c r="E752" s="1">
        <f>IFERROR(__xludf.DUMMYFUNCTION("""COMPUTED_VALUE"""),21.0)</f>
        <v>21</v>
      </c>
      <c r="F752" s="1">
        <f>IFERROR(__xludf.DUMMYFUNCTION("""COMPUTED_VALUE"""),445767.0)</f>
        <v>445767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IFERROR(__xludf.DUMMYFUNCTION("""COMPUTED_VALUE"""),21.11)</f>
        <v>21.11</v>
      </c>
      <c r="C753" s="1">
        <f>IFERROR(__xludf.DUMMYFUNCTION("""COMPUTED_VALUE"""),21.14)</f>
        <v>21.14</v>
      </c>
      <c r="D753" s="1">
        <f>IFERROR(__xludf.DUMMYFUNCTION("""COMPUTED_VALUE"""),20.55)</f>
        <v>20.55</v>
      </c>
      <c r="E753" s="1">
        <f>IFERROR(__xludf.DUMMYFUNCTION("""COMPUTED_VALUE"""),20.82)</f>
        <v>20.82</v>
      </c>
      <c r="F753" s="1">
        <f>IFERROR(__xludf.DUMMYFUNCTION("""COMPUTED_VALUE"""),405577.0)</f>
        <v>405577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IFERROR(__xludf.DUMMYFUNCTION("""COMPUTED_VALUE"""),20.7)</f>
        <v>20.7</v>
      </c>
      <c r="C754" s="1">
        <f>IFERROR(__xludf.DUMMYFUNCTION("""COMPUTED_VALUE"""),21.05)</f>
        <v>21.05</v>
      </c>
      <c r="D754" s="1">
        <f>IFERROR(__xludf.DUMMYFUNCTION("""COMPUTED_VALUE"""),20.54)</f>
        <v>20.54</v>
      </c>
      <c r="E754" s="1">
        <f>IFERROR(__xludf.DUMMYFUNCTION("""COMPUTED_VALUE"""),20.65)</f>
        <v>20.65</v>
      </c>
      <c r="F754" s="1">
        <f>IFERROR(__xludf.DUMMYFUNCTION("""COMPUTED_VALUE"""),620836.0)</f>
        <v>620836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IFERROR(__xludf.DUMMYFUNCTION("""COMPUTED_VALUE"""),20.7)</f>
        <v>20.7</v>
      </c>
      <c r="C755" s="1">
        <f>IFERROR(__xludf.DUMMYFUNCTION("""COMPUTED_VALUE"""),20.9)</f>
        <v>20.9</v>
      </c>
      <c r="D755" s="1">
        <f>IFERROR(__xludf.DUMMYFUNCTION("""COMPUTED_VALUE"""),20.52)</f>
        <v>20.52</v>
      </c>
      <c r="E755" s="1">
        <f>IFERROR(__xludf.DUMMYFUNCTION("""COMPUTED_VALUE"""),20.89)</f>
        <v>20.89</v>
      </c>
      <c r="F755" s="1">
        <f>IFERROR(__xludf.DUMMYFUNCTION("""COMPUTED_VALUE"""),226769.0)</f>
        <v>226769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IFERROR(__xludf.DUMMYFUNCTION("""COMPUTED_VALUE"""),21.2)</f>
        <v>21.2</v>
      </c>
      <c r="C756" s="1">
        <f>IFERROR(__xludf.DUMMYFUNCTION("""COMPUTED_VALUE"""),21.2)</f>
        <v>21.2</v>
      </c>
      <c r="D756" s="1">
        <f>IFERROR(__xludf.DUMMYFUNCTION("""COMPUTED_VALUE"""),20.86)</f>
        <v>20.86</v>
      </c>
      <c r="E756" s="1">
        <f>IFERROR(__xludf.DUMMYFUNCTION("""COMPUTED_VALUE"""),21.0)</f>
        <v>21</v>
      </c>
      <c r="F756" s="1">
        <f>IFERROR(__xludf.DUMMYFUNCTION("""COMPUTED_VALUE"""),441129.0)</f>
        <v>441129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IFERROR(__xludf.DUMMYFUNCTION("""COMPUTED_VALUE"""),20.97)</f>
        <v>20.97</v>
      </c>
      <c r="C757" s="1">
        <f>IFERROR(__xludf.DUMMYFUNCTION("""COMPUTED_VALUE"""),21.12)</f>
        <v>21.12</v>
      </c>
      <c r="D757" s="1">
        <f>IFERROR(__xludf.DUMMYFUNCTION("""COMPUTED_VALUE"""),20.87)</f>
        <v>20.87</v>
      </c>
      <c r="E757" s="1">
        <f>IFERROR(__xludf.DUMMYFUNCTION("""COMPUTED_VALUE"""),21.0)</f>
        <v>21</v>
      </c>
      <c r="F757" s="1">
        <f>IFERROR(__xludf.DUMMYFUNCTION("""COMPUTED_VALUE"""),303115.0)</f>
        <v>303115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IFERROR(__xludf.DUMMYFUNCTION("""COMPUTED_VALUE"""),21.01)</f>
        <v>21.01</v>
      </c>
      <c r="C758" s="1">
        <f>IFERROR(__xludf.DUMMYFUNCTION("""COMPUTED_VALUE"""),21.27)</f>
        <v>21.27</v>
      </c>
      <c r="D758" s="1">
        <f>IFERROR(__xludf.DUMMYFUNCTION("""COMPUTED_VALUE"""),20.96)</f>
        <v>20.96</v>
      </c>
      <c r="E758" s="1">
        <f>IFERROR(__xludf.DUMMYFUNCTION("""COMPUTED_VALUE"""),21.17)</f>
        <v>21.17</v>
      </c>
      <c r="F758" s="1">
        <f>IFERROR(__xludf.DUMMYFUNCTION("""COMPUTED_VALUE"""),363386.0)</f>
        <v>363386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IFERROR(__xludf.DUMMYFUNCTION("""COMPUTED_VALUE"""),21.12)</f>
        <v>21.12</v>
      </c>
      <c r="C759" s="1">
        <f>IFERROR(__xludf.DUMMYFUNCTION("""COMPUTED_VALUE"""),21.46)</f>
        <v>21.46</v>
      </c>
      <c r="D759" s="1">
        <f>IFERROR(__xludf.DUMMYFUNCTION("""COMPUTED_VALUE"""),20.93)</f>
        <v>20.93</v>
      </c>
      <c r="E759" s="1">
        <f>IFERROR(__xludf.DUMMYFUNCTION("""COMPUTED_VALUE"""),20.99)</f>
        <v>20.99</v>
      </c>
      <c r="F759" s="1">
        <f>IFERROR(__xludf.DUMMYFUNCTION("""COMPUTED_VALUE"""),410543.0)</f>
        <v>410543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IFERROR(__xludf.DUMMYFUNCTION("""COMPUTED_VALUE"""),21.02)</f>
        <v>21.02</v>
      </c>
      <c r="C760" s="1">
        <f>IFERROR(__xludf.DUMMYFUNCTION("""COMPUTED_VALUE"""),21.2)</f>
        <v>21.2</v>
      </c>
      <c r="D760" s="1">
        <f>IFERROR(__xludf.DUMMYFUNCTION("""COMPUTED_VALUE"""),20.86)</f>
        <v>20.86</v>
      </c>
      <c r="E760" s="1">
        <f>IFERROR(__xludf.DUMMYFUNCTION("""COMPUTED_VALUE"""),20.99)</f>
        <v>20.99</v>
      </c>
      <c r="F760" s="1">
        <f>IFERROR(__xludf.DUMMYFUNCTION("""COMPUTED_VALUE"""),272794.0)</f>
        <v>272794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IFERROR(__xludf.DUMMYFUNCTION("""COMPUTED_VALUE"""),21.04)</f>
        <v>21.04</v>
      </c>
      <c r="C761" s="1">
        <f>IFERROR(__xludf.DUMMYFUNCTION("""COMPUTED_VALUE"""),21.17)</f>
        <v>21.17</v>
      </c>
      <c r="D761" s="1">
        <f>IFERROR(__xludf.DUMMYFUNCTION("""COMPUTED_VALUE"""),20.84)</f>
        <v>20.84</v>
      </c>
      <c r="E761" s="1">
        <f>IFERROR(__xludf.DUMMYFUNCTION("""COMPUTED_VALUE"""),21.08)</f>
        <v>21.08</v>
      </c>
      <c r="F761" s="1">
        <f>IFERROR(__xludf.DUMMYFUNCTION("""COMPUTED_VALUE"""),257797.0)</f>
        <v>257797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IFERROR(__xludf.DUMMYFUNCTION("""COMPUTED_VALUE"""),21.22)</f>
        <v>21.22</v>
      </c>
      <c r="C762" s="1">
        <f>IFERROR(__xludf.DUMMYFUNCTION("""COMPUTED_VALUE"""),21.22)</f>
        <v>21.22</v>
      </c>
      <c r="D762" s="1">
        <f>IFERROR(__xludf.DUMMYFUNCTION("""COMPUTED_VALUE"""),20.93)</f>
        <v>20.93</v>
      </c>
      <c r="E762" s="1">
        <f>IFERROR(__xludf.DUMMYFUNCTION("""COMPUTED_VALUE"""),21.12)</f>
        <v>21.12</v>
      </c>
      <c r="F762" s="1">
        <f>IFERROR(__xludf.DUMMYFUNCTION("""COMPUTED_VALUE"""),241854.0)</f>
        <v>241854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IFERROR(__xludf.DUMMYFUNCTION("""COMPUTED_VALUE"""),21.17)</f>
        <v>21.17</v>
      </c>
      <c r="C763" s="1">
        <f>IFERROR(__xludf.DUMMYFUNCTION("""COMPUTED_VALUE"""),21.24)</f>
        <v>21.24</v>
      </c>
      <c r="D763" s="1">
        <f>IFERROR(__xludf.DUMMYFUNCTION("""COMPUTED_VALUE"""),20.98)</f>
        <v>20.98</v>
      </c>
      <c r="E763" s="1">
        <f>IFERROR(__xludf.DUMMYFUNCTION("""COMPUTED_VALUE"""),21.17)</f>
        <v>21.17</v>
      </c>
      <c r="F763" s="1">
        <f>IFERROR(__xludf.DUMMYFUNCTION("""COMPUTED_VALUE"""),153577.0)</f>
        <v>153577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IFERROR(__xludf.DUMMYFUNCTION("""COMPUTED_VALUE"""),21.21)</f>
        <v>21.21</v>
      </c>
      <c r="C764" s="1">
        <f>IFERROR(__xludf.DUMMYFUNCTION("""COMPUTED_VALUE"""),21.34)</f>
        <v>21.34</v>
      </c>
      <c r="D764" s="1">
        <f>IFERROR(__xludf.DUMMYFUNCTION("""COMPUTED_VALUE"""),20.91)</f>
        <v>20.91</v>
      </c>
      <c r="E764" s="1">
        <f>IFERROR(__xludf.DUMMYFUNCTION("""COMPUTED_VALUE"""),21.07)</f>
        <v>21.07</v>
      </c>
      <c r="F764" s="1">
        <f>IFERROR(__xludf.DUMMYFUNCTION("""COMPUTED_VALUE"""),194576.0)</f>
        <v>194576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IFERROR(__xludf.DUMMYFUNCTION("""COMPUTED_VALUE"""),21.05)</f>
        <v>21.05</v>
      </c>
      <c r="C765" s="1">
        <f>IFERROR(__xludf.DUMMYFUNCTION("""COMPUTED_VALUE"""),21.23)</f>
        <v>21.23</v>
      </c>
      <c r="D765" s="1">
        <f>IFERROR(__xludf.DUMMYFUNCTION("""COMPUTED_VALUE"""),20.97)</f>
        <v>20.97</v>
      </c>
      <c r="E765" s="1">
        <f>IFERROR(__xludf.DUMMYFUNCTION("""COMPUTED_VALUE"""),21.18)</f>
        <v>21.18</v>
      </c>
      <c r="F765" s="1">
        <f>IFERROR(__xludf.DUMMYFUNCTION("""COMPUTED_VALUE"""),206356.0)</f>
        <v>206356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IFERROR(__xludf.DUMMYFUNCTION("""COMPUTED_VALUE"""),21.16)</f>
        <v>21.16</v>
      </c>
      <c r="C766" s="1">
        <f>IFERROR(__xludf.DUMMYFUNCTION("""COMPUTED_VALUE"""),21.33)</f>
        <v>21.33</v>
      </c>
      <c r="D766" s="1">
        <f>IFERROR(__xludf.DUMMYFUNCTION("""COMPUTED_VALUE"""),21.04)</f>
        <v>21.04</v>
      </c>
      <c r="E766" s="1">
        <f>IFERROR(__xludf.DUMMYFUNCTION("""COMPUTED_VALUE"""),21.12)</f>
        <v>21.12</v>
      </c>
      <c r="F766" s="1">
        <f>IFERROR(__xludf.DUMMYFUNCTION("""COMPUTED_VALUE"""),271445.0)</f>
        <v>271445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IFERROR(__xludf.DUMMYFUNCTION("""COMPUTED_VALUE"""),21.15)</f>
        <v>21.15</v>
      </c>
      <c r="C767" s="1">
        <f>IFERROR(__xludf.DUMMYFUNCTION("""COMPUTED_VALUE"""),21.26)</f>
        <v>21.26</v>
      </c>
      <c r="D767" s="1">
        <f>IFERROR(__xludf.DUMMYFUNCTION("""COMPUTED_VALUE"""),20.85)</f>
        <v>20.85</v>
      </c>
      <c r="E767" s="1">
        <f>IFERROR(__xludf.DUMMYFUNCTION("""COMPUTED_VALUE"""),21.22)</f>
        <v>21.22</v>
      </c>
      <c r="F767" s="1">
        <f>IFERROR(__xludf.DUMMYFUNCTION("""COMPUTED_VALUE"""),292764.0)</f>
        <v>292764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IFERROR(__xludf.DUMMYFUNCTION("""COMPUTED_VALUE"""),21.18)</f>
        <v>21.18</v>
      </c>
      <c r="C768" s="1">
        <f>IFERROR(__xludf.DUMMYFUNCTION("""COMPUTED_VALUE"""),21.48)</f>
        <v>21.48</v>
      </c>
      <c r="D768" s="1">
        <f>IFERROR(__xludf.DUMMYFUNCTION("""COMPUTED_VALUE"""),21.14)</f>
        <v>21.14</v>
      </c>
      <c r="E768" s="1">
        <f>IFERROR(__xludf.DUMMYFUNCTION("""COMPUTED_VALUE"""),21.48)</f>
        <v>21.48</v>
      </c>
      <c r="F768" s="1">
        <f>IFERROR(__xludf.DUMMYFUNCTION("""COMPUTED_VALUE"""),396145.0)</f>
        <v>396145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IFERROR(__xludf.DUMMYFUNCTION("""COMPUTED_VALUE"""),21.46)</f>
        <v>21.46</v>
      </c>
      <c r="C769" s="1">
        <f>IFERROR(__xludf.DUMMYFUNCTION("""COMPUTED_VALUE"""),21.95)</f>
        <v>21.95</v>
      </c>
      <c r="D769" s="1">
        <f>IFERROR(__xludf.DUMMYFUNCTION("""COMPUTED_VALUE"""),21.36)</f>
        <v>21.36</v>
      </c>
      <c r="E769" s="1">
        <f>IFERROR(__xludf.DUMMYFUNCTION("""COMPUTED_VALUE"""),21.66)</f>
        <v>21.66</v>
      </c>
      <c r="F769" s="1">
        <f>IFERROR(__xludf.DUMMYFUNCTION("""COMPUTED_VALUE"""),408726.0)</f>
        <v>408726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IFERROR(__xludf.DUMMYFUNCTION("""COMPUTED_VALUE"""),21.7)</f>
        <v>21.7</v>
      </c>
      <c r="C770" s="1">
        <f>IFERROR(__xludf.DUMMYFUNCTION("""COMPUTED_VALUE"""),21.7)</f>
        <v>21.7</v>
      </c>
      <c r="D770" s="1">
        <f>IFERROR(__xludf.DUMMYFUNCTION("""COMPUTED_VALUE"""),21.35)</f>
        <v>21.35</v>
      </c>
      <c r="E770" s="1">
        <f>IFERROR(__xludf.DUMMYFUNCTION("""COMPUTED_VALUE"""),21.41)</f>
        <v>21.41</v>
      </c>
      <c r="F770" s="1">
        <f>IFERROR(__xludf.DUMMYFUNCTION("""COMPUTED_VALUE"""),220237.0)</f>
        <v>220237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IFERROR(__xludf.DUMMYFUNCTION("""COMPUTED_VALUE"""),21.43)</f>
        <v>21.43</v>
      </c>
      <c r="C771" s="1">
        <f>IFERROR(__xludf.DUMMYFUNCTION("""COMPUTED_VALUE"""),21.56)</f>
        <v>21.56</v>
      </c>
      <c r="D771" s="1">
        <f>IFERROR(__xludf.DUMMYFUNCTION("""COMPUTED_VALUE"""),21.23)</f>
        <v>21.23</v>
      </c>
      <c r="E771" s="1">
        <f>IFERROR(__xludf.DUMMYFUNCTION("""COMPUTED_VALUE"""),21.47)</f>
        <v>21.47</v>
      </c>
      <c r="F771" s="1">
        <f>IFERROR(__xludf.DUMMYFUNCTION("""COMPUTED_VALUE"""),230519.0)</f>
        <v>230519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IFERROR(__xludf.DUMMYFUNCTION("""COMPUTED_VALUE"""),21.45)</f>
        <v>21.45</v>
      </c>
      <c r="C772" s="1">
        <f>IFERROR(__xludf.DUMMYFUNCTION("""COMPUTED_VALUE"""),21.84)</f>
        <v>21.84</v>
      </c>
      <c r="D772" s="1">
        <f>IFERROR(__xludf.DUMMYFUNCTION("""COMPUTED_VALUE"""),21.31)</f>
        <v>21.31</v>
      </c>
      <c r="E772" s="1">
        <f>IFERROR(__xludf.DUMMYFUNCTION("""COMPUTED_VALUE"""),21.77)</f>
        <v>21.77</v>
      </c>
      <c r="F772" s="1">
        <f>IFERROR(__xludf.DUMMYFUNCTION("""COMPUTED_VALUE"""),380311.0)</f>
        <v>380311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IFERROR(__xludf.DUMMYFUNCTION("""COMPUTED_VALUE"""),21.74)</f>
        <v>21.74</v>
      </c>
      <c r="C773" s="1">
        <f>IFERROR(__xludf.DUMMYFUNCTION("""COMPUTED_VALUE"""),21.77)</f>
        <v>21.77</v>
      </c>
      <c r="D773" s="1">
        <f>IFERROR(__xludf.DUMMYFUNCTION("""COMPUTED_VALUE"""),21.35)</f>
        <v>21.35</v>
      </c>
      <c r="E773" s="1">
        <f>IFERROR(__xludf.DUMMYFUNCTION("""COMPUTED_VALUE"""),21.56)</f>
        <v>21.56</v>
      </c>
      <c r="F773" s="1">
        <f>IFERROR(__xludf.DUMMYFUNCTION("""COMPUTED_VALUE"""),544906.0)</f>
        <v>544906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IFERROR(__xludf.DUMMYFUNCTION("""COMPUTED_VALUE"""),21.59)</f>
        <v>21.59</v>
      </c>
      <c r="C774" s="1">
        <f>IFERROR(__xludf.DUMMYFUNCTION("""COMPUTED_VALUE"""),21.79)</f>
        <v>21.79</v>
      </c>
      <c r="D774" s="1">
        <f>IFERROR(__xludf.DUMMYFUNCTION("""COMPUTED_VALUE"""),21.52)</f>
        <v>21.52</v>
      </c>
      <c r="E774" s="1">
        <f>IFERROR(__xludf.DUMMYFUNCTION("""COMPUTED_VALUE"""),21.73)</f>
        <v>21.73</v>
      </c>
      <c r="F774" s="1">
        <f>IFERROR(__xludf.DUMMYFUNCTION("""COMPUTED_VALUE"""),257768.0)</f>
        <v>257768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IFERROR(__xludf.DUMMYFUNCTION("""COMPUTED_VALUE"""),21.77)</f>
        <v>21.77</v>
      </c>
      <c r="C775" s="1">
        <f>IFERROR(__xludf.DUMMYFUNCTION("""COMPUTED_VALUE"""),21.94)</f>
        <v>21.94</v>
      </c>
      <c r="D775" s="1">
        <f>IFERROR(__xludf.DUMMYFUNCTION("""COMPUTED_VALUE"""),21.63)</f>
        <v>21.63</v>
      </c>
      <c r="E775" s="1">
        <f>IFERROR(__xludf.DUMMYFUNCTION("""COMPUTED_VALUE"""),21.67)</f>
        <v>21.67</v>
      </c>
      <c r="F775" s="1">
        <f>IFERROR(__xludf.DUMMYFUNCTION("""COMPUTED_VALUE"""),446356.0)</f>
        <v>446356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IFERROR(__xludf.DUMMYFUNCTION("""COMPUTED_VALUE"""),21.65)</f>
        <v>21.65</v>
      </c>
      <c r="C776" s="1">
        <f>IFERROR(__xludf.DUMMYFUNCTION("""COMPUTED_VALUE"""),22.0)</f>
        <v>22</v>
      </c>
      <c r="D776" s="1">
        <f>IFERROR(__xludf.DUMMYFUNCTION("""COMPUTED_VALUE"""),21.62)</f>
        <v>21.62</v>
      </c>
      <c r="E776" s="1">
        <f>IFERROR(__xludf.DUMMYFUNCTION("""COMPUTED_VALUE"""),21.91)</f>
        <v>21.91</v>
      </c>
      <c r="F776" s="1">
        <f>IFERROR(__xludf.DUMMYFUNCTION("""COMPUTED_VALUE"""),393946.0)</f>
        <v>393946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IFERROR(__xludf.DUMMYFUNCTION("""COMPUTED_VALUE"""),21.94)</f>
        <v>21.94</v>
      </c>
      <c r="C777" s="1">
        <f>IFERROR(__xludf.DUMMYFUNCTION("""COMPUTED_VALUE"""),22.0)</f>
        <v>22</v>
      </c>
      <c r="D777" s="1">
        <f>IFERROR(__xludf.DUMMYFUNCTION("""COMPUTED_VALUE"""),21.67)</f>
        <v>21.67</v>
      </c>
      <c r="E777" s="1">
        <f>IFERROR(__xludf.DUMMYFUNCTION("""COMPUTED_VALUE"""),21.85)</f>
        <v>21.85</v>
      </c>
      <c r="F777" s="1">
        <f>IFERROR(__xludf.DUMMYFUNCTION("""COMPUTED_VALUE"""),429705.0)</f>
        <v>429705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IFERROR(__xludf.DUMMYFUNCTION("""COMPUTED_VALUE"""),21.66)</f>
        <v>21.66</v>
      </c>
      <c r="C778" s="1">
        <f>IFERROR(__xludf.DUMMYFUNCTION("""COMPUTED_VALUE"""),21.94)</f>
        <v>21.94</v>
      </c>
      <c r="D778" s="1">
        <f>IFERROR(__xludf.DUMMYFUNCTION("""COMPUTED_VALUE"""),21.62)</f>
        <v>21.62</v>
      </c>
      <c r="E778" s="1">
        <f>IFERROR(__xludf.DUMMYFUNCTION("""COMPUTED_VALUE"""),21.88)</f>
        <v>21.88</v>
      </c>
      <c r="F778" s="1">
        <f>IFERROR(__xludf.DUMMYFUNCTION("""COMPUTED_VALUE"""),275846.0)</f>
        <v>275846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IFERROR(__xludf.DUMMYFUNCTION("""COMPUTED_VALUE"""),21.76)</f>
        <v>21.76</v>
      </c>
      <c r="C779" s="1">
        <f>IFERROR(__xludf.DUMMYFUNCTION("""COMPUTED_VALUE"""),21.76)</f>
        <v>21.76</v>
      </c>
      <c r="D779" s="1">
        <f>IFERROR(__xludf.DUMMYFUNCTION("""COMPUTED_VALUE"""),21.12)</f>
        <v>21.12</v>
      </c>
      <c r="E779" s="1">
        <f>IFERROR(__xludf.DUMMYFUNCTION("""COMPUTED_VALUE"""),21.32)</f>
        <v>21.32</v>
      </c>
      <c r="F779" s="1">
        <f>IFERROR(__xludf.DUMMYFUNCTION("""COMPUTED_VALUE"""),465049.0)</f>
        <v>465049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IFERROR(__xludf.DUMMYFUNCTION("""COMPUTED_VALUE"""),21.24)</f>
        <v>21.24</v>
      </c>
      <c r="C780" s="1">
        <f>IFERROR(__xludf.DUMMYFUNCTION("""COMPUTED_VALUE"""),21.36)</f>
        <v>21.36</v>
      </c>
      <c r="D780" s="1">
        <f>IFERROR(__xludf.DUMMYFUNCTION("""COMPUTED_VALUE"""),21.17)</f>
        <v>21.17</v>
      </c>
      <c r="E780" s="1">
        <f>IFERROR(__xludf.DUMMYFUNCTION("""COMPUTED_VALUE"""),21.32)</f>
        <v>21.32</v>
      </c>
      <c r="F780" s="1">
        <f>IFERROR(__xludf.DUMMYFUNCTION("""COMPUTED_VALUE"""),119592.0)</f>
        <v>119592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IFERROR(__xludf.DUMMYFUNCTION("""COMPUTED_VALUE"""),21.29)</f>
        <v>21.29</v>
      </c>
      <c r="C781" s="1">
        <f>IFERROR(__xludf.DUMMYFUNCTION("""COMPUTED_VALUE"""),21.42)</f>
        <v>21.42</v>
      </c>
      <c r="D781" s="1">
        <f>IFERROR(__xludf.DUMMYFUNCTION("""COMPUTED_VALUE"""),21.13)</f>
        <v>21.13</v>
      </c>
      <c r="E781" s="1">
        <f>IFERROR(__xludf.DUMMYFUNCTION("""COMPUTED_VALUE"""),21.34)</f>
        <v>21.34</v>
      </c>
      <c r="F781" s="1">
        <f>IFERROR(__xludf.DUMMYFUNCTION("""COMPUTED_VALUE"""),167903.0)</f>
        <v>167903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IFERROR(__xludf.DUMMYFUNCTION("""COMPUTED_VALUE"""),21.31)</f>
        <v>21.31</v>
      </c>
      <c r="C782" s="1">
        <f>IFERROR(__xludf.DUMMYFUNCTION("""COMPUTED_VALUE"""),21.47)</f>
        <v>21.47</v>
      </c>
      <c r="D782" s="1">
        <f>IFERROR(__xludf.DUMMYFUNCTION("""COMPUTED_VALUE"""),21.14)</f>
        <v>21.14</v>
      </c>
      <c r="E782" s="1">
        <f>IFERROR(__xludf.DUMMYFUNCTION("""COMPUTED_VALUE"""),21.28)</f>
        <v>21.28</v>
      </c>
      <c r="F782" s="1">
        <f>IFERROR(__xludf.DUMMYFUNCTION("""COMPUTED_VALUE"""),102940.0)</f>
        <v>102940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IFERROR(__xludf.DUMMYFUNCTION("""COMPUTED_VALUE"""),21.27)</f>
        <v>21.27</v>
      </c>
      <c r="C783" s="1">
        <f>IFERROR(__xludf.DUMMYFUNCTION("""COMPUTED_VALUE"""),21.6)</f>
        <v>21.6</v>
      </c>
      <c r="D783" s="1">
        <f>IFERROR(__xludf.DUMMYFUNCTION("""COMPUTED_VALUE"""),21.02)</f>
        <v>21.02</v>
      </c>
      <c r="E783" s="1">
        <f>IFERROR(__xludf.DUMMYFUNCTION("""COMPUTED_VALUE"""),21.57)</f>
        <v>21.57</v>
      </c>
      <c r="F783" s="1">
        <f>IFERROR(__xludf.DUMMYFUNCTION("""COMPUTED_VALUE"""),236285.0)</f>
        <v>236285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IFERROR(__xludf.DUMMYFUNCTION("""COMPUTED_VALUE"""),21.27)</f>
        <v>21.27</v>
      </c>
      <c r="C784" s="1">
        <f>IFERROR(__xludf.DUMMYFUNCTION("""COMPUTED_VALUE"""),22.15)</f>
        <v>22.15</v>
      </c>
      <c r="D784" s="1">
        <f>IFERROR(__xludf.DUMMYFUNCTION("""COMPUTED_VALUE"""),21.07)</f>
        <v>21.07</v>
      </c>
      <c r="E784" s="1">
        <f>IFERROR(__xludf.DUMMYFUNCTION("""COMPUTED_VALUE"""),21.93)</f>
        <v>21.93</v>
      </c>
      <c r="F784" s="1">
        <f>IFERROR(__xludf.DUMMYFUNCTION("""COMPUTED_VALUE"""),505870.0)</f>
        <v>505870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IFERROR(__xludf.DUMMYFUNCTION("""COMPUTED_VALUE"""),21.85)</f>
        <v>21.85</v>
      </c>
      <c r="C785" s="1">
        <f>IFERROR(__xludf.DUMMYFUNCTION("""COMPUTED_VALUE"""),22.41)</f>
        <v>22.41</v>
      </c>
      <c r="D785" s="1">
        <f>IFERROR(__xludf.DUMMYFUNCTION("""COMPUTED_VALUE"""),21.79)</f>
        <v>21.79</v>
      </c>
      <c r="E785" s="1">
        <f>IFERROR(__xludf.DUMMYFUNCTION("""COMPUTED_VALUE"""),22.37)</f>
        <v>22.37</v>
      </c>
      <c r="F785" s="1">
        <f>IFERROR(__xludf.DUMMYFUNCTION("""COMPUTED_VALUE"""),542289.0)</f>
        <v>542289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IFERROR(__xludf.DUMMYFUNCTION("""COMPUTED_VALUE"""),22.3)</f>
        <v>22.3</v>
      </c>
      <c r="C786" s="1">
        <f>IFERROR(__xludf.DUMMYFUNCTION("""COMPUTED_VALUE"""),22.44)</f>
        <v>22.44</v>
      </c>
      <c r="D786" s="1">
        <f>IFERROR(__xludf.DUMMYFUNCTION("""COMPUTED_VALUE"""),22.06)</f>
        <v>22.06</v>
      </c>
      <c r="E786" s="1">
        <f>IFERROR(__xludf.DUMMYFUNCTION("""COMPUTED_VALUE"""),22.44)</f>
        <v>22.44</v>
      </c>
      <c r="F786" s="1">
        <f>IFERROR(__xludf.DUMMYFUNCTION("""COMPUTED_VALUE"""),180949.0)</f>
        <v>180949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IFERROR(__xludf.DUMMYFUNCTION("""COMPUTED_VALUE"""),22.38)</f>
        <v>22.38</v>
      </c>
      <c r="C787" s="1">
        <f>IFERROR(__xludf.DUMMYFUNCTION("""COMPUTED_VALUE"""),22.47)</f>
        <v>22.47</v>
      </c>
      <c r="D787" s="1">
        <f>IFERROR(__xludf.DUMMYFUNCTION("""COMPUTED_VALUE"""),22.1)</f>
        <v>22.1</v>
      </c>
      <c r="E787" s="1">
        <f>IFERROR(__xludf.DUMMYFUNCTION("""COMPUTED_VALUE"""),22.42)</f>
        <v>22.42</v>
      </c>
      <c r="F787" s="1">
        <f>IFERROR(__xludf.DUMMYFUNCTION("""COMPUTED_VALUE"""),435599.0)</f>
        <v>435599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IFERROR(__xludf.DUMMYFUNCTION("""COMPUTED_VALUE"""),22.38)</f>
        <v>22.38</v>
      </c>
      <c r="C788" s="1">
        <f>IFERROR(__xludf.DUMMYFUNCTION("""COMPUTED_VALUE"""),22.81)</f>
        <v>22.81</v>
      </c>
      <c r="D788" s="1">
        <f>IFERROR(__xludf.DUMMYFUNCTION("""COMPUTED_VALUE"""),22.35)</f>
        <v>22.35</v>
      </c>
      <c r="E788" s="1">
        <f>IFERROR(__xludf.DUMMYFUNCTION("""COMPUTED_VALUE"""),22.58)</f>
        <v>22.58</v>
      </c>
      <c r="F788" s="1">
        <f>IFERROR(__xludf.DUMMYFUNCTION("""COMPUTED_VALUE"""),384372.0)</f>
        <v>384372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IFERROR(__xludf.DUMMYFUNCTION("""COMPUTED_VALUE"""),22.58)</f>
        <v>22.58</v>
      </c>
      <c r="C789" s="1">
        <f>IFERROR(__xludf.DUMMYFUNCTION("""COMPUTED_VALUE"""),22.73)</f>
        <v>22.73</v>
      </c>
      <c r="D789" s="1">
        <f>IFERROR(__xludf.DUMMYFUNCTION("""COMPUTED_VALUE"""),22.42)</f>
        <v>22.42</v>
      </c>
      <c r="E789" s="1">
        <f>IFERROR(__xludf.DUMMYFUNCTION("""COMPUTED_VALUE"""),22.71)</f>
        <v>22.71</v>
      </c>
      <c r="F789" s="1">
        <f>IFERROR(__xludf.DUMMYFUNCTION("""COMPUTED_VALUE"""),435765.0)</f>
        <v>435765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IFERROR(__xludf.DUMMYFUNCTION("""COMPUTED_VALUE"""),22.67)</f>
        <v>22.67</v>
      </c>
      <c r="C790" s="1">
        <f>IFERROR(__xludf.DUMMYFUNCTION("""COMPUTED_VALUE"""),22.68)</f>
        <v>22.68</v>
      </c>
      <c r="D790" s="1">
        <f>IFERROR(__xludf.DUMMYFUNCTION("""COMPUTED_VALUE"""),22.23)</f>
        <v>22.23</v>
      </c>
      <c r="E790" s="1">
        <f>IFERROR(__xludf.DUMMYFUNCTION("""COMPUTED_VALUE"""),22.59)</f>
        <v>22.59</v>
      </c>
      <c r="F790" s="1">
        <f>IFERROR(__xludf.DUMMYFUNCTION("""COMPUTED_VALUE"""),962659.0)</f>
        <v>962659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IFERROR(__xludf.DUMMYFUNCTION("""COMPUTED_VALUE"""),22.51)</f>
        <v>22.51</v>
      </c>
      <c r="C791" s="1">
        <f>IFERROR(__xludf.DUMMYFUNCTION("""COMPUTED_VALUE"""),22.63)</f>
        <v>22.63</v>
      </c>
      <c r="D791" s="1">
        <f>IFERROR(__xludf.DUMMYFUNCTION("""COMPUTED_VALUE"""),22.16)</f>
        <v>22.16</v>
      </c>
      <c r="E791" s="1">
        <f>IFERROR(__xludf.DUMMYFUNCTION("""COMPUTED_VALUE"""),22.5)</f>
        <v>22.5</v>
      </c>
      <c r="F791" s="1">
        <f>IFERROR(__xludf.DUMMYFUNCTION("""COMPUTED_VALUE"""),595063.0)</f>
        <v>595063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IFERROR(__xludf.DUMMYFUNCTION("""COMPUTED_VALUE"""),22.48)</f>
        <v>22.48</v>
      </c>
      <c r="C792" s="1">
        <f>IFERROR(__xludf.DUMMYFUNCTION("""COMPUTED_VALUE"""),22.53)</f>
        <v>22.53</v>
      </c>
      <c r="D792" s="1">
        <f>IFERROR(__xludf.DUMMYFUNCTION("""COMPUTED_VALUE"""),21.13)</f>
        <v>21.13</v>
      </c>
      <c r="E792" s="1">
        <f>IFERROR(__xludf.DUMMYFUNCTION("""COMPUTED_VALUE"""),21.26)</f>
        <v>21.26</v>
      </c>
      <c r="F792" s="1">
        <f>IFERROR(__xludf.DUMMYFUNCTION("""COMPUTED_VALUE"""),1152783.0)</f>
        <v>1152783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IFERROR(__xludf.DUMMYFUNCTION("""COMPUTED_VALUE"""),21.27)</f>
        <v>21.27</v>
      </c>
      <c r="C793" s="1">
        <f>IFERROR(__xludf.DUMMYFUNCTION("""COMPUTED_VALUE"""),22.95)</f>
        <v>22.95</v>
      </c>
      <c r="D793" s="1">
        <f>IFERROR(__xludf.DUMMYFUNCTION("""COMPUTED_VALUE"""),20.7)</f>
        <v>20.7</v>
      </c>
      <c r="E793" s="1">
        <f>IFERROR(__xludf.DUMMYFUNCTION("""COMPUTED_VALUE"""),22.15)</f>
        <v>22.15</v>
      </c>
      <c r="F793" s="1">
        <f>IFERROR(__xludf.DUMMYFUNCTION("""COMPUTED_VALUE"""),1658367.0)</f>
        <v>1658367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IFERROR(__xludf.DUMMYFUNCTION("""COMPUTED_VALUE"""),22.17)</f>
        <v>22.17</v>
      </c>
      <c r="C794" s="1">
        <f>IFERROR(__xludf.DUMMYFUNCTION("""COMPUTED_VALUE"""),22.68)</f>
        <v>22.68</v>
      </c>
      <c r="D794" s="1">
        <f>IFERROR(__xludf.DUMMYFUNCTION("""COMPUTED_VALUE"""),22.15)</f>
        <v>22.15</v>
      </c>
      <c r="E794" s="1">
        <f>IFERROR(__xludf.DUMMYFUNCTION("""COMPUTED_VALUE"""),22.54)</f>
        <v>22.54</v>
      </c>
      <c r="F794" s="1">
        <f>IFERROR(__xludf.DUMMYFUNCTION("""COMPUTED_VALUE"""),911903.0)</f>
        <v>911903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IFERROR(__xludf.DUMMYFUNCTION("""COMPUTED_VALUE"""),22.57)</f>
        <v>22.57</v>
      </c>
      <c r="C795" s="1">
        <f>IFERROR(__xludf.DUMMYFUNCTION("""COMPUTED_VALUE"""),22.79)</f>
        <v>22.79</v>
      </c>
      <c r="D795" s="1">
        <f>IFERROR(__xludf.DUMMYFUNCTION("""COMPUTED_VALUE"""),22.31)</f>
        <v>22.31</v>
      </c>
      <c r="E795" s="1">
        <f>IFERROR(__xludf.DUMMYFUNCTION("""COMPUTED_VALUE"""),22.78)</f>
        <v>22.78</v>
      </c>
      <c r="F795" s="1">
        <f>IFERROR(__xludf.DUMMYFUNCTION("""COMPUTED_VALUE"""),658909.0)</f>
        <v>658909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IFERROR(__xludf.DUMMYFUNCTION("""COMPUTED_VALUE"""),22.71)</f>
        <v>22.71</v>
      </c>
      <c r="C796" s="1">
        <f>IFERROR(__xludf.DUMMYFUNCTION("""COMPUTED_VALUE"""),22.91)</f>
        <v>22.91</v>
      </c>
      <c r="D796" s="1">
        <f>IFERROR(__xludf.DUMMYFUNCTION("""COMPUTED_VALUE"""),22.55)</f>
        <v>22.55</v>
      </c>
      <c r="E796" s="1">
        <f>IFERROR(__xludf.DUMMYFUNCTION("""COMPUTED_VALUE"""),22.88)</f>
        <v>22.88</v>
      </c>
      <c r="F796" s="1">
        <f>IFERROR(__xludf.DUMMYFUNCTION("""COMPUTED_VALUE"""),770273.0)</f>
        <v>770273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IFERROR(__xludf.DUMMYFUNCTION("""COMPUTED_VALUE"""),22.8)</f>
        <v>22.8</v>
      </c>
      <c r="C797" s="1">
        <f>IFERROR(__xludf.DUMMYFUNCTION("""COMPUTED_VALUE"""),22.8)</f>
        <v>22.8</v>
      </c>
      <c r="D797" s="1">
        <f>IFERROR(__xludf.DUMMYFUNCTION("""COMPUTED_VALUE"""),21.07)</f>
        <v>21.07</v>
      </c>
      <c r="E797" s="1">
        <f>IFERROR(__xludf.DUMMYFUNCTION("""COMPUTED_VALUE"""),21.2)</f>
        <v>21.2</v>
      </c>
      <c r="F797" s="1">
        <f>IFERROR(__xludf.DUMMYFUNCTION("""COMPUTED_VALUE"""),2383282.0)</f>
        <v>2383282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IFERROR(__xludf.DUMMYFUNCTION("""COMPUTED_VALUE"""),21.34)</f>
        <v>21.34</v>
      </c>
      <c r="C798" s="1">
        <f>IFERROR(__xludf.DUMMYFUNCTION("""COMPUTED_VALUE"""),21.5)</f>
        <v>21.5</v>
      </c>
      <c r="D798" s="1">
        <f>IFERROR(__xludf.DUMMYFUNCTION("""COMPUTED_VALUE"""),21.1)</f>
        <v>21.1</v>
      </c>
      <c r="E798" s="1">
        <f>IFERROR(__xludf.DUMMYFUNCTION("""COMPUTED_VALUE"""),21.34)</f>
        <v>21.34</v>
      </c>
      <c r="F798" s="1">
        <f>IFERROR(__xludf.DUMMYFUNCTION("""COMPUTED_VALUE"""),577691.0)</f>
        <v>577691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IFERROR(__xludf.DUMMYFUNCTION("""COMPUTED_VALUE"""),21.34)</f>
        <v>21.34</v>
      </c>
      <c r="C799" s="1">
        <f>IFERROR(__xludf.DUMMYFUNCTION("""COMPUTED_VALUE"""),21.39)</f>
        <v>21.39</v>
      </c>
      <c r="D799" s="1">
        <f>IFERROR(__xludf.DUMMYFUNCTION("""COMPUTED_VALUE"""),20.75)</f>
        <v>20.75</v>
      </c>
      <c r="E799" s="1">
        <f>IFERROR(__xludf.DUMMYFUNCTION("""COMPUTED_VALUE"""),20.92)</f>
        <v>20.92</v>
      </c>
      <c r="F799" s="1">
        <f>IFERROR(__xludf.DUMMYFUNCTION("""COMPUTED_VALUE"""),660457.0)</f>
        <v>660457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IFERROR(__xludf.DUMMYFUNCTION("""COMPUTED_VALUE"""),20.94)</f>
        <v>20.94</v>
      </c>
      <c r="C800" s="1">
        <f>IFERROR(__xludf.DUMMYFUNCTION("""COMPUTED_VALUE"""),21.05)</f>
        <v>21.05</v>
      </c>
      <c r="D800" s="1">
        <f>IFERROR(__xludf.DUMMYFUNCTION("""COMPUTED_VALUE"""),20.73)</f>
        <v>20.73</v>
      </c>
      <c r="E800" s="1">
        <f>IFERROR(__xludf.DUMMYFUNCTION("""COMPUTED_VALUE"""),20.76)</f>
        <v>20.76</v>
      </c>
      <c r="F800" s="1">
        <f>IFERROR(__xludf.DUMMYFUNCTION("""COMPUTED_VALUE"""),472387.0)</f>
        <v>472387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IFERROR(__xludf.DUMMYFUNCTION("""COMPUTED_VALUE"""),20.92)</f>
        <v>20.92</v>
      </c>
      <c r="C801" s="1">
        <f>IFERROR(__xludf.DUMMYFUNCTION("""COMPUTED_VALUE"""),20.96)</f>
        <v>20.96</v>
      </c>
      <c r="D801" s="1">
        <f>IFERROR(__xludf.DUMMYFUNCTION("""COMPUTED_VALUE"""),20.82)</f>
        <v>20.82</v>
      </c>
      <c r="E801" s="1">
        <f>IFERROR(__xludf.DUMMYFUNCTION("""COMPUTED_VALUE"""),20.96)</f>
        <v>20.96</v>
      </c>
      <c r="F801" s="1">
        <f>IFERROR(__xludf.DUMMYFUNCTION("""COMPUTED_VALUE"""),353871.0)</f>
        <v>353871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IFERROR(__xludf.DUMMYFUNCTION("""COMPUTED_VALUE"""),20.93)</f>
        <v>20.93</v>
      </c>
      <c r="C802" s="1">
        <f>IFERROR(__xludf.DUMMYFUNCTION("""COMPUTED_VALUE"""),21.19)</f>
        <v>21.19</v>
      </c>
      <c r="D802" s="1">
        <f>IFERROR(__xludf.DUMMYFUNCTION("""COMPUTED_VALUE"""),20.84)</f>
        <v>20.84</v>
      </c>
      <c r="E802" s="1">
        <f>IFERROR(__xludf.DUMMYFUNCTION("""COMPUTED_VALUE"""),21.07)</f>
        <v>21.07</v>
      </c>
      <c r="F802" s="1">
        <f>IFERROR(__xludf.DUMMYFUNCTION("""COMPUTED_VALUE"""),432252.0)</f>
        <v>432252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IFERROR(__xludf.DUMMYFUNCTION("""COMPUTED_VALUE"""),21.04)</f>
        <v>21.04</v>
      </c>
      <c r="C803" s="1">
        <f>IFERROR(__xludf.DUMMYFUNCTION("""COMPUTED_VALUE"""),21.25)</f>
        <v>21.25</v>
      </c>
      <c r="D803" s="1">
        <f>IFERROR(__xludf.DUMMYFUNCTION("""COMPUTED_VALUE"""),21.03)</f>
        <v>21.03</v>
      </c>
      <c r="E803" s="1">
        <f>IFERROR(__xludf.DUMMYFUNCTION("""COMPUTED_VALUE"""),21.17)</f>
        <v>21.17</v>
      </c>
      <c r="F803" s="1">
        <f>IFERROR(__xludf.DUMMYFUNCTION("""COMPUTED_VALUE"""),380804.0)</f>
        <v>380804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IFERROR(__xludf.DUMMYFUNCTION("""COMPUTED_VALUE"""),21.17)</f>
        <v>21.17</v>
      </c>
      <c r="C804" s="1">
        <f>IFERROR(__xludf.DUMMYFUNCTION("""COMPUTED_VALUE"""),21.29)</f>
        <v>21.29</v>
      </c>
      <c r="D804" s="1">
        <f>IFERROR(__xludf.DUMMYFUNCTION("""COMPUTED_VALUE"""),21.07)</f>
        <v>21.07</v>
      </c>
      <c r="E804" s="1">
        <f>IFERROR(__xludf.DUMMYFUNCTION("""COMPUTED_VALUE"""),21.22)</f>
        <v>21.22</v>
      </c>
      <c r="F804" s="1">
        <f>IFERROR(__xludf.DUMMYFUNCTION("""COMPUTED_VALUE"""),245940.0)</f>
        <v>245940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IFERROR(__xludf.DUMMYFUNCTION("""COMPUTED_VALUE"""),21.2)</f>
        <v>21.2</v>
      </c>
      <c r="C805" s="1">
        <f>IFERROR(__xludf.DUMMYFUNCTION("""COMPUTED_VALUE"""),21.27)</f>
        <v>21.27</v>
      </c>
      <c r="D805" s="1">
        <f>IFERROR(__xludf.DUMMYFUNCTION("""COMPUTED_VALUE"""),21.18)</f>
        <v>21.18</v>
      </c>
      <c r="E805" s="1">
        <f>IFERROR(__xludf.DUMMYFUNCTION("""COMPUTED_VALUE"""),21.2)</f>
        <v>21.2</v>
      </c>
      <c r="F805" s="1">
        <f>IFERROR(__xludf.DUMMYFUNCTION("""COMPUTED_VALUE"""),259500.0)</f>
        <v>259500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IFERROR(__xludf.DUMMYFUNCTION("""COMPUTED_VALUE"""),21.18)</f>
        <v>21.18</v>
      </c>
      <c r="C806" s="1">
        <f>IFERROR(__xludf.DUMMYFUNCTION("""COMPUTED_VALUE"""),21.55)</f>
        <v>21.55</v>
      </c>
      <c r="D806" s="1">
        <f>IFERROR(__xludf.DUMMYFUNCTION("""COMPUTED_VALUE"""),21.15)</f>
        <v>21.15</v>
      </c>
      <c r="E806" s="1">
        <f>IFERROR(__xludf.DUMMYFUNCTION("""COMPUTED_VALUE"""),21.54)</f>
        <v>21.54</v>
      </c>
      <c r="F806" s="1">
        <f>IFERROR(__xludf.DUMMYFUNCTION("""COMPUTED_VALUE"""),443418.0)</f>
        <v>443418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IFERROR(__xludf.DUMMYFUNCTION("""COMPUTED_VALUE"""),21.34)</f>
        <v>21.34</v>
      </c>
      <c r="C807" s="1">
        <f>IFERROR(__xludf.DUMMYFUNCTION("""COMPUTED_VALUE"""),21.65)</f>
        <v>21.65</v>
      </c>
      <c r="D807" s="1">
        <f>IFERROR(__xludf.DUMMYFUNCTION("""COMPUTED_VALUE"""),21.28)</f>
        <v>21.28</v>
      </c>
      <c r="E807" s="1">
        <f>IFERROR(__xludf.DUMMYFUNCTION("""COMPUTED_VALUE"""),21.5)</f>
        <v>21.5</v>
      </c>
      <c r="F807" s="1">
        <f>IFERROR(__xludf.DUMMYFUNCTION("""COMPUTED_VALUE"""),249384.0)</f>
        <v>249384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IFERROR(__xludf.DUMMYFUNCTION("""COMPUTED_VALUE"""),21.51)</f>
        <v>21.51</v>
      </c>
      <c r="C808" s="1">
        <f>IFERROR(__xludf.DUMMYFUNCTION("""COMPUTED_VALUE"""),21.6)</f>
        <v>21.6</v>
      </c>
      <c r="D808" s="1">
        <f>IFERROR(__xludf.DUMMYFUNCTION("""COMPUTED_VALUE"""),20.91)</f>
        <v>20.91</v>
      </c>
      <c r="E808" s="1">
        <f>IFERROR(__xludf.DUMMYFUNCTION("""COMPUTED_VALUE"""),21.05)</f>
        <v>21.05</v>
      </c>
      <c r="F808" s="1">
        <f>IFERROR(__xludf.DUMMYFUNCTION("""COMPUTED_VALUE"""),399312.0)</f>
        <v>399312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IFERROR(__xludf.DUMMYFUNCTION("""COMPUTED_VALUE"""),21.06)</f>
        <v>21.06</v>
      </c>
      <c r="C809" s="1">
        <f>IFERROR(__xludf.DUMMYFUNCTION("""COMPUTED_VALUE"""),21.19)</f>
        <v>21.19</v>
      </c>
      <c r="D809" s="1">
        <f>IFERROR(__xludf.DUMMYFUNCTION("""COMPUTED_VALUE"""),21.0)</f>
        <v>21</v>
      </c>
      <c r="E809" s="1">
        <f>IFERROR(__xludf.DUMMYFUNCTION("""COMPUTED_VALUE"""),21.15)</f>
        <v>21.15</v>
      </c>
      <c r="F809" s="1">
        <f>IFERROR(__xludf.DUMMYFUNCTION("""COMPUTED_VALUE"""),468709.0)</f>
        <v>468709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IFERROR(__xludf.DUMMYFUNCTION("""COMPUTED_VALUE"""),21.12)</f>
        <v>21.12</v>
      </c>
      <c r="C810" s="1">
        <f>IFERROR(__xludf.DUMMYFUNCTION("""COMPUTED_VALUE"""),21.13)</f>
        <v>21.13</v>
      </c>
      <c r="D810" s="1">
        <f>IFERROR(__xludf.DUMMYFUNCTION("""COMPUTED_VALUE"""),21.03)</f>
        <v>21.03</v>
      </c>
      <c r="E810" s="1">
        <f>IFERROR(__xludf.DUMMYFUNCTION("""COMPUTED_VALUE"""),21.06)</f>
        <v>21.06</v>
      </c>
      <c r="F810" s="1">
        <f>IFERROR(__xludf.DUMMYFUNCTION("""COMPUTED_VALUE"""),275267.0)</f>
        <v>275267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IFERROR(__xludf.DUMMYFUNCTION("""COMPUTED_VALUE"""),21.06)</f>
        <v>21.06</v>
      </c>
      <c r="C811" s="1">
        <f>IFERROR(__xludf.DUMMYFUNCTION("""COMPUTED_VALUE"""),21.19)</f>
        <v>21.19</v>
      </c>
      <c r="D811" s="1">
        <f>IFERROR(__xludf.DUMMYFUNCTION("""COMPUTED_VALUE"""),21.01)</f>
        <v>21.01</v>
      </c>
      <c r="E811" s="1">
        <f>IFERROR(__xludf.DUMMYFUNCTION("""COMPUTED_VALUE"""),21.12)</f>
        <v>21.12</v>
      </c>
      <c r="F811" s="1">
        <f>IFERROR(__xludf.DUMMYFUNCTION("""COMPUTED_VALUE"""),299651.0)</f>
        <v>299651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IFERROR(__xludf.DUMMYFUNCTION("""COMPUTED_VALUE"""),21.19)</f>
        <v>21.19</v>
      </c>
      <c r="C812" s="1">
        <f>IFERROR(__xludf.DUMMYFUNCTION("""COMPUTED_VALUE"""),21.3)</f>
        <v>21.3</v>
      </c>
      <c r="D812" s="1">
        <f>IFERROR(__xludf.DUMMYFUNCTION("""COMPUTED_VALUE"""),21.14)</f>
        <v>21.14</v>
      </c>
      <c r="E812" s="1">
        <f>IFERROR(__xludf.DUMMYFUNCTION("""COMPUTED_VALUE"""),21.2)</f>
        <v>21.2</v>
      </c>
      <c r="F812" s="1">
        <f>IFERROR(__xludf.DUMMYFUNCTION("""COMPUTED_VALUE"""),283657.0)</f>
        <v>283657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IFERROR(__xludf.DUMMYFUNCTION("""COMPUTED_VALUE"""),21.25)</f>
        <v>21.25</v>
      </c>
      <c r="C813" s="1">
        <f>IFERROR(__xludf.DUMMYFUNCTION("""COMPUTED_VALUE"""),21.28)</f>
        <v>21.28</v>
      </c>
      <c r="D813" s="1">
        <f>IFERROR(__xludf.DUMMYFUNCTION("""COMPUTED_VALUE"""),21.06)</f>
        <v>21.06</v>
      </c>
      <c r="E813" s="1">
        <f>IFERROR(__xludf.DUMMYFUNCTION("""COMPUTED_VALUE"""),21.23)</f>
        <v>21.23</v>
      </c>
      <c r="F813" s="1">
        <f>IFERROR(__xludf.DUMMYFUNCTION("""COMPUTED_VALUE"""),288918.0)</f>
        <v>288918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IFERROR(__xludf.DUMMYFUNCTION("""COMPUTED_VALUE"""),21.25)</f>
        <v>21.25</v>
      </c>
      <c r="C814" s="1">
        <f>IFERROR(__xludf.DUMMYFUNCTION("""COMPUTED_VALUE"""),21.35)</f>
        <v>21.35</v>
      </c>
      <c r="D814" s="1">
        <f>IFERROR(__xludf.DUMMYFUNCTION("""COMPUTED_VALUE"""),21.03)</f>
        <v>21.03</v>
      </c>
      <c r="E814" s="1">
        <f>IFERROR(__xludf.DUMMYFUNCTION("""COMPUTED_VALUE"""),21.32)</f>
        <v>21.32</v>
      </c>
      <c r="F814" s="1">
        <f>IFERROR(__xludf.DUMMYFUNCTION("""COMPUTED_VALUE"""),217116.0)</f>
        <v>217116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IFERROR(__xludf.DUMMYFUNCTION("""COMPUTED_VALUE"""),21.37)</f>
        <v>21.37</v>
      </c>
      <c r="C815" s="1">
        <f>IFERROR(__xludf.DUMMYFUNCTION("""COMPUTED_VALUE"""),21.87)</f>
        <v>21.87</v>
      </c>
      <c r="D815" s="1">
        <f>IFERROR(__xludf.DUMMYFUNCTION("""COMPUTED_VALUE"""),21.26)</f>
        <v>21.26</v>
      </c>
      <c r="E815" s="1">
        <f>IFERROR(__xludf.DUMMYFUNCTION("""COMPUTED_VALUE"""),21.7)</f>
        <v>21.7</v>
      </c>
      <c r="F815" s="1">
        <f>IFERROR(__xludf.DUMMYFUNCTION("""COMPUTED_VALUE"""),391533.0)</f>
        <v>391533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IFERROR(__xludf.DUMMYFUNCTION("""COMPUTED_VALUE"""),21.67)</f>
        <v>21.67</v>
      </c>
      <c r="C816" s="1">
        <f>IFERROR(__xludf.DUMMYFUNCTION("""COMPUTED_VALUE"""),21.75)</f>
        <v>21.75</v>
      </c>
      <c r="D816" s="1">
        <f>IFERROR(__xludf.DUMMYFUNCTION("""COMPUTED_VALUE"""),21.27)</f>
        <v>21.27</v>
      </c>
      <c r="E816" s="1">
        <f>IFERROR(__xludf.DUMMYFUNCTION("""COMPUTED_VALUE"""),21.37)</f>
        <v>21.37</v>
      </c>
      <c r="F816" s="1">
        <f>IFERROR(__xludf.DUMMYFUNCTION("""COMPUTED_VALUE"""),405292.0)</f>
        <v>405292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IFERROR(__xludf.DUMMYFUNCTION("""COMPUTED_VALUE"""),21.47)</f>
        <v>21.47</v>
      </c>
      <c r="C817" s="1">
        <f>IFERROR(__xludf.DUMMYFUNCTION("""COMPUTED_VALUE"""),21.54)</f>
        <v>21.54</v>
      </c>
      <c r="D817" s="1">
        <f>IFERROR(__xludf.DUMMYFUNCTION("""COMPUTED_VALUE"""),20.97)</f>
        <v>20.97</v>
      </c>
      <c r="E817" s="1">
        <f>IFERROR(__xludf.DUMMYFUNCTION("""COMPUTED_VALUE"""),21.06)</f>
        <v>21.06</v>
      </c>
      <c r="F817" s="1">
        <f>IFERROR(__xludf.DUMMYFUNCTION("""COMPUTED_VALUE"""),196110.0)</f>
        <v>196110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IFERROR(__xludf.DUMMYFUNCTION("""COMPUTED_VALUE"""),21.07)</f>
        <v>21.07</v>
      </c>
      <c r="C818" s="1">
        <f>IFERROR(__xludf.DUMMYFUNCTION("""COMPUTED_VALUE"""),21.2)</f>
        <v>21.2</v>
      </c>
      <c r="D818" s="1">
        <f>IFERROR(__xludf.DUMMYFUNCTION("""COMPUTED_VALUE"""),20.69)</f>
        <v>20.69</v>
      </c>
      <c r="E818" s="1">
        <f>IFERROR(__xludf.DUMMYFUNCTION("""COMPUTED_VALUE"""),20.81)</f>
        <v>20.81</v>
      </c>
      <c r="F818" s="1">
        <f>IFERROR(__xludf.DUMMYFUNCTION("""COMPUTED_VALUE"""),406252.0)</f>
        <v>406252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IFERROR(__xludf.DUMMYFUNCTION("""COMPUTED_VALUE"""),20.82)</f>
        <v>20.82</v>
      </c>
      <c r="C819" s="1">
        <f>IFERROR(__xludf.DUMMYFUNCTION("""COMPUTED_VALUE"""),20.82)</f>
        <v>20.82</v>
      </c>
      <c r="D819" s="1">
        <f>IFERROR(__xludf.DUMMYFUNCTION("""COMPUTED_VALUE"""),20.25)</f>
        <v>20.25</v>
      </c>
      <c r="E819" s="1">
        <f>IFERROR(__xludf.DUMMYFUNCTION("""COMPUTED_VALUE"""),20.32)</f>
        <v>20.32</v>
      </c>
      <c r="F819" s="1">
        <f>IFERROR(__xludf.DUMMYFUNCTION("""COMPUTED_VALUE"""),611226.0)</f>
        <v>611226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IFERROR(__xludf.DUMMYFUNCTION("""COMPUTED_VALUE"""),20.12)</f>
        <v>20.12</v>
      </c>
      <c r="C820" s="1">
        <f>IFERROR(__xludf.DUMMYFUNCTION("""COMPUTED_VALUE"""),20.2)</f>
        <v>20.2</v>
      </c>
      <c r="D820" s="1">
        <f>IFERROR(__xludf.DUMMYFUNCTION("""COMPUTED_VALUE"""),19.56)</f>
        <v>19.56</v>
      </c>
      <c r="E820" s="1">
        <f>IFERROR(__xludf.DUMMYFUNCTION("""COMPUTED_VALUE"""),19.75)</f>
        <v>19.75</v>
      </c>
      <c r="F820" s="1">
        <f>IFERROR(__xludf.DUMMYFUNCTION("""COMPUTED_VALUE"""),982515.0)</f>
        <v>982515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IFERROR(__xludf.DUMMYFUNCTION("""COMPUTED_VALUE"""),19.76)</f>
        <v>19.76</v>
      </c>
      <c r="C821" s="1">
        <f>IFERROR(__xludf.DUMMYFUNCTION("""COMPUTED_VALUE"""),19.93)</f>
        <v>19.93</v>
      </c>
      <c r="D821" s="1">
        <f>IFERROR(__xludf.DUMMYFUNCTION("""COMPUTED_VALUE"""),19.63)</f>
        <v>19.63</v>
      </c>
      <c r="E821" s="1">
        <f>IFERROR(__xludf.DUMMYFUNCTION("""COMPUTED_VALUE"""),19.88)</f>
        <v>19.88</v>
      </c>
      <c r="F821" s="1">
        <f>IFERROR(__xludf.DUMMYFUNCTION("""COMPUTED_VALUE"""),592387.0)</f>
        <v>592387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IFERROR(__xludf.DUMMYFUNCTION("""COMPUTED_VALUE"""),19.88)</f>
        <v>19.88</v>
      </c>
      <c r="C822" s="1">
        <f>IFERROR(__xludf.DUMMYFUNCTION("""COMPUTED_VALUE"""),19.98)</f>
        <v>19.98</v>
      </c>
      <c r="D822" s="1">
        <f>IFERROR(__xludf.DUMMYFUNCTION("""COMPUTED_VALUE"""),19.8)</f>
        <v>19.8</v>
      </c>
      <c r="E822" s="1">
        <f>IFERROR(__xludf.DUMMYFUNCTION("""COMPUTED_VALUE"""),19.9)</f>
        <v>19.9</v>
      </c>
      <c r="F822" s="1">
        <f>IFERROR(__xludf.DUMMYFUNCTION("""COMPUTED_VALUE"""),336939.0)</f>
        <v>336939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IFERROR(__xludf.DUMMYFUNCTION("""COMPUTED_VALUE"""),19.93)</f>
        <v>19.93</v>
      </c>
      <c r="C823" s="1">
        <f>IFERROR(__xludf.DUMMYFUNCTION("""COMPUTED_VALUE"""),20.18)</f>
        <v>20.18</v>
      </c>
      <c r="D823" s="1">
        <f>IFERROR(__xludf.DUMMYFUNCTION("""COMPUTED_VALUE"""),19.79)</f>
        <v>19.79</v>
      </c>
      <c r="E823" s="1">
        <f>IFERROR(__xludf.DUMMYFUNCTION("""COMPUTED_VALUE"""),20.1)</f>
        <v>20.1</v>
      </c>
      <c r="F823" s="1">
        <f>IFERROR(__xludf.DUMMYFUNCTION("""COMPUTED_VALUE"""),330314.0)</f>
        <v>330314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IFERROR(__xludf.DUMMYFUNCTION("""COMPUTED_VALUE"""),20.14)</f>
        <v>20.14</v>
      </c>
      <c r="C824" s="1">
        <f>IFERROR(__xludf.DUMMYFUNCTION("""COMPUTED_VALUE"""),20.35)</f>
        <v>20.35</v>
      </c>
      <c r="D824" s="1">
        <f>IFERROR(__xludf.DUMMYFUNCTION("""COMPUTED_VALUE"""),19.97)</f>
        <v>19.97</v>
      </c>
      <c r="E824" s="1">
        <f>IFERROR(__xludf.DUMMYFUNCTION("""COMPUTED_VALUE"""),20.15)</f>
        <v>20.15</v>
      </c>
      <c r="F824" s="1">
        <f>IFERROR(__xludf.DUMMYFUNCTION("""COMPUTED_VALUE"""),157552.0)</f>
        <v>157552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IFERROR(__xludf.DUMMYFUNCTION("""COMPUTED_VALUE"""),20.03)</f>
        <v>20.03</v>
      </c>
      <c r="C825" s="1">
        <f>IFERROR(__xludf.DUMMYFUNCTION("""COMPUTED_VALUE"""),20.14)</f>
        <v>20.14</v>
      </c>
      <c r="D825" s="1">
        <f>IFERROR(__xludf.DUMMYFUNCTION("""COMPUTED_VALUE"""),19.87)</f>
        <v>19.87</v>
      </c>
      <c r="E825" s="1">
        <f>IFERROR(__xludf.DUMMYFUNCTION("""COMPUTED_VALUE"""),19.87)</f>
        <v>19.87</v>
      </c>
      <c r="F825" s="1">
        <f>IFERROR(__xludf.DUMMYFUNCTION("""COMPUTED_VALUE"""),365631.0)</f>
        <v>365631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IFERROR(__xludf.DUMMYFUNCTION("""COMPUTED_VALUE"""),19.71)</f>
        <v>19.71</v>
      </c>
      <c r="C826" s="1">
        <f>IFERROR(__xludf.DUMMYFUNCTION("""COMPUTED_VALUE"""),19.76)</f>
        <v>19.76</v>
      </c>
      <c r="D826" s="1">
        <f>IFERROR(__xludf.DUMMYFUNCTION("""COMPUTED_VALUE"""),19.44)</f>
        <v>19.44</v>
      </c>
      <c r="E826" s="1">
        <f>IFERROR(__xludf.DUMMYFUNCTION("""COMPUTED_VALUE"""),19.51)</f>
        <v>19.51</v>
      </c>
      <c r="F826" s="1">
        <f>IFERROR(__xludf.DUMMYFUNCTION("""COMPUTED_VALUE"""),535608.0)</f>
        <v>535608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IFERROR(__xludf.DUMMYFUNCTION("""COMPUTED_VALUE"""),19.67)</f>
        <v>19.67</v>
      </c>
      <c r="C827" s="1">
        <f>IFERROR(__xludf.DUMMYFUNCTION("""COMPUTED_VALUE"""),19.92)</f>
        <v>19.92</v>
      </c>
      <c r="D827" s="1">
        <f>IFERROR(__xludf.DUMMYFUNCTION("""COMPUTED_VALUE"""),19.61)</f>
        <v>19.61</v>
      </c>
      <c r="E827" s="1">
        <f>IFERROR(__xludf.DUMMYFUNCTION("""COMPUTED_VALUE"""),19.74)</f>
        <v>19.74</v>
      </c>
      <c r="F827" s="1">
        <f>IFERROR(__xludf.DUMMYFUNCTION("""COMPUTED_VALUE"""),245482.0)</f>
        <v>245482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IFERROR(__xludf.DUMMYFUNCTION("""COMPUTED_VALUE"""),19.67)</f>
        <v>19.67</v>
      </c>
      <c r="C828" s="1">
        <f>IFERROR(__xludf.DUMMYFUNCTION("""COMPUTED_VALUE"""),19.67)</f>
        <v>19.67</v>
      </c>
      <c r="D828" s="1">
        <f>IFERROR(__xludf.DUMMYFUNCTION("""COMPUTED_VALUE"""),19.08)</f>
        <v>19.08</v>
      </c>
      <c r="E828" s="1">
        <f>IFERROR(__xludf.DUMMYFUNCTION("""COMPUTED_VALUE"""),19.1)</f>
        <v>19.1</v>
      </c>
      <c r="F828" s="1">
        <f>IFERROR(__xludf.DUMMYFUNCTION("""COMPUTED_VALUE"""),678849.0)</f>
        <v>678849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IFERROR(__xludf.DUMMYFUNCTION("""COMPUTED_VALUE"""),19.16)</f>
        <v>19.16</v>
      </c>
      <c r="C829" s="1">
        <f>IFERROR(__xludf.DUMMYFUNCTION("""COMPUTED_VALUE"""),19.33)</f>
        <v>19.33</v>
      </c>
      <c r="D829" s="1">
        <f>IFERROR(__xludf.DUMMYFUNCTION("""COMPUTED_VALUE"""),19.05)</f>
        <v>19.05</v>
      </c>
      <c r="E829" s="1">
        <f>IFERROR(__xludf.DUMMYFUNCTION("""COMPUTED_VALUE"""),19.07)</f>
        <v>19.07</v>
      </c>
      <c r="F829" s="1">
        <f>IFERROR(__xludf.DUMMYFUNCTION("""COMPUTED_VALUE"""),375572.0)</f>
        <v>375572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IFERROR(__xludf.DUMMYFUNCTION("""COMPUTED_VALUE"""),19.07)</f>
        <v>19.07</v>
      </c>
      <c r="C830" s="1">
        <f>IFERROR(__xludf.DUMMYFUNCTION("""COMPUTED_VALUE"""),19.43)</f>
        <v>19.43</v>
      </c>
      <c r="D830" s="1">
        <f>IFERROR(__xludf.DUMMYFUNCTION("""COMPUTED_VALUE"""),18.99)</f>
        <v>18.99</v>
      </c>
      <c r="E830" s="1">
        <f>IFERROR(__xludf.DUMMYFUNCTION("""COMPUTED_VALUE"""),19.11)</f>
        <v>19.11</v>
      </c>
      <c r="F830" s="1">
        <f>IFERROR(__xludf.DUMMYFUNCTION("""COMPUTED_VALUE"""),339889.0)</f>
        <v>339889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IFERROR(__xludf.DUMMYFUNCTION("""COMPUTED_VALUE"""),19.18)</f>
        <v>19.18</v>
      </c>
      <c r="C831" s="1">
        <f>IFERROR(__xludf.DUMMYFUNCTION("""COMPUTED_VALUE"""),19.2)</f>
        <v>19.2</v>
      </c>
      <c r="D831" s="1">
        <f>IFERROR(__xludf.DUMMYFUNCTION("""COMPUTED_VALUE"""),18.98)</f>
        <v>18.98</v>
      </c>
      <c r="E831" s="1">
        <f>IFERROR(__xludf.DUMMYFUNCTION("""COMPUTED_VALUE"""),19.1)</f>
        <v>19.1</v>
      </c>
      <c r="F831" s="1">
        <f>IFERROR(__xludf.DUMMYFUNCTION("""COMPUTED_VALUE"""),279220.0)</f>
        <v>279220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IFERROR(__xludf.DUMMYFUNCTION("""COMPUTED_VALUE"""),19.22)</f>
        <v>19.22</v>
      </c>
      <c r="C832" s="1">
        <f>IFERROR(__xludf.DUMMYFUNCTION("""COMPUTED_VALUE"""),19.47)</f>
        <v>19.47</v>
      </c>
      <c r="D832" s="1">
        <f>IFERROR(__xludf.DUMMYFUNCTION("""COMPUTED_VALUE"""),19.14)</f>
        <v>19.14</v>
      </c>
      <c r="E832" s="1">
        <f>IFERROR(__xludf.DUMMYFUNCTION("""COMPUTED_VALUE"""),19.44)</f>
        <v>19.44</v>
      </c>
      <c r="F832" s="1">
        <f>IFERROR(__xludf.DUMMYFUNCTION("""COMPUTED_VALUE"""),422344.0)</f>
        <v>422344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IFERROR(__xludf.DUMMYFUNCTION("""COMPUTED_VALUE"""),19.49)</f>
        <v>19.49</v>
      </c>
      <c r="C833" s="1">
        <f>IFERROR(__xludf.DUMMYFUNCTION("""COMPUTED_VALUE"""),20.24)</f>
        <v>20.24</v>
      </c>
      <c r="D833" s="1">
        <f>IFERROR(__xludf.DUMMYFUNCTION("""COMPUTED_VALUE"""),19.48)</f>
        <v>19.48</v>
      </c>
      <c r="E833" s="1">
        <f>IFERROR(__xludf.DUMMYFUNCTION("""COMPUTED_VALUE"""),20.05)</f>
        <v>20.05</v>
      </c>
      <c r="F833" s="1">
        <f>IFERROR(__xludf.DUMMYFUNCTION("""COMPUTED_VALUE"""),450912.0)</f>
        <v>450912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IFERROR(__xludf.DUMMYFUNCTION("""COMPUTED_VALUE"""),20.2)</f>
        <v>20.2</v>
      </c>
      <c r="C834" s="1">
        <f>IFERROR(__xludf.DUMMYFUNCTION("""COMPUTED_VALUE"""),20.38)</f>
        <v>20.38</v>
      </c>
      <c r="D834" s="1">
        <f>IFERROR(__xludf.DUMMYFUNCTION("""COMPUTED_VALUE"""),20.04)</f>
        <v>20.04</v>
      </c>
      <c r="E834" s="1">
        <f>IFERROR(__xludf.DUMMYFUNCTION("""COMPUTED_VALUE"""),20.07)</f>
        <v>20.07</v>
      </c>
      <c r="F834" s="1">
        <f>IFERROR(__xludf.DUMMYFUNCTION("""COMPUTED_VALUE"""),203787.0)</f>
        <v>203787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IFERROR(__xludf.DUMMYFUNCTION("""COMPUTED_VALUE"""),20.01)</f>
        <v>20.01</v>
      </c>
      <c r="C835" s="1">
        <f>IFERROR(__xludf.DUMMYFUNCTION("""COMPUTED_VALUE"""),20.18)</f>
        <v>20.18</v>
      </c>
      <c r="D835" s="1">
        <f>IFERROR(__xludf.DUMMYFUNCTION("""COMPUTED_VALUE"""),19.44)</f>
        <v>19.44</v>
      </c>
      <c r="E835" s="1">
        <f>IFERROR(__xludf.DUMMYFUNCTION("""COMPUTED_VALUE"""),19.44)</f>
        <v>19.44</v>
      </c>
      <c r="F835" s="1">
        <f>IFERROR(__xludf.DUMMYFUNCTION("""COMPUTED_VALUE"""),457359.0)</f>
        <v>457359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IFERROR(__xludf.DUMMYFUNCTION("""COMPUTED_VALUE"""),19.55)</f>
        <v>19.55</v>
      </c>
      <c r="C836" s="1">
        <f>IFERROR(__xludf.DUMMYFUNCTION("""COMPUTED_VALUE"""),20.02)</f>
        <v>20.02</v>
      </c>
      <c r="D836" s="1">
        <f>IFERROR(__xludf.DUMMYFUNCTION("""COMPUTED_VALUE"""),19.42)</f>
        <v>19.42</v>
      </c>
      <c r="E836" s="1">
        <f>IFERROR(__xludf.DUMMYFUNCTION("""COMPUTED_VALUE"""),19.56)</f>
        <v>19.56</v>
      </c>
      <c r="F836" s="1">
        <f>IFERROR(__xludf.DUMMYFUNCTION("""COMPUTED_VALUE"""),641479.0)</f>
        <v>641479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IFERROR(__xludf.DUMMYFUNCTION("""COMPUTED_VALUE"""),19.67)</f>
        <v>19.67</v>
      </c>
      <c r="C837" s="1">
        <f>IFERROR(__xludf.DUMMYFUNCTION("""COMPUTED_VALUE"""),20.5)</f>
        <v>20.5</v>
      </c>
      <c r="D837" s="1">
        <f>IFERROR(__xludf.DUMMYFUNCTION("""COMPUTED_VALUE"""),19.4)</f>
        <v>19.4</v>
      </c>
      <c r="E837" s="1">
        <f>IFERROR(__xludf.DUMMYFUNCTION("""COMPUTED_VALUE"""),20.17)</f>
        <v>20.17</v>
      </c>
      <c r="F837" s="1">
        <f>IFERROR(__xludf.DUMMYFUNCTION("""COMPUTED_VALUE"""),1031246.0)</f>
        <v>1031246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IFERROR(__xludf.DUMMYFUNCTION("""COMPUTED_VALUE"""),19.97)</f>
        <v>19.97</v>
      </c>
      <c r="C838" s="1">
        <f>IFERROR(__xludf.DUMMYFUNCTION("""COMPUTED_VALUE"""),19.99)</f>
        <v>19.99</v>
      </c>
      <c r="D838" s="1">
        <f>IFERROR(__xludf.DUMMYFUNCTION("""COMPUTED_VALUE"""),19.24)</f>
        <v>19.24</v>
      </c>
      <c r="E838" s="1">
        <f>IFERROR(__xludf.DUMMYFUNCTION("""COMPUTED_VALUE"""),19.6)</f>
        <v>19.6</v>
      </c>
      <c r="F838" s="1">
        <f>IFERROR(__xludf.DUMMYFUNCTION("""COMPUTED_VALUE"""),791885.0)</f>
        <v>791885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IFERROR(__xludf.DUMMYFUNCTION("""COMPUTED_VALUE"""),19.44)</f>
        <v>19.44</v>
      </c>
      <c r="C839" s="1">
        <f>IFERROR(__xludf.DUMMYFUNCTION("""COMPUTED_VALUE"""),19.68)</f>
        <v>19.68</v>
      </c>
      <c r="D839" s="1">
        <f>IFERROR(__xludf.DUMMYFUNCTION("""COMPUTED_VALUE"""),19.09)</f>
        <v>19.09</v>
      </c>
      <c r="E839" s="1">
        <f>IFERROR(__xludf.DUMMYFUNCTION("""COMPUTED_VALUE"""),19.43)</f>
        <v>19.43</v>
      </c>
      <c r="F839" s="1">
        <f>IFERROR(__xludf.DUMMYFUNCTION("""COMPUTED_VALUE"""),959911.0)</f>
        <v>959911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IFERROR(__xludf.DUMMYFUNCTION("""COMPUTED_VALUE"""),19.58)</f>
        <v>19.58</v>
      </c>
      <c r="C840" s="1">
        <f>IFERROR(__xludf.DUMMYFUNCTION("""COMPUTED_VALUE"""),20.48)</f>
        <v>20.48</v>
      </c>
      <c r="D840" s="1">
        <f>IFERROR(__xludf.DUMMYFUNCTION("""COMPUTED_VALUE"""),19.49)</f>
        <v>19.49</v>
      </c>
      <c r="E840" s="1">
        <f>IFERROR(__xludf.DUMMYFUNCTION("""COMPUTED_VALUE"""),19.66)</f>
        <v>19.66</v>
      </c>
      <c r="F840" s="1">
        <f>IFERROR(__xludf.DUMMYFUNCTION("""COMPUTED_VALUE"""),718592.0)</f>
        <v>718592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IFERROR(__xludf.DUMMYFUNCTION("""COMPUTED_VALUE"""),19.7)</f>
        <v>19.7</v>
      </c>
      <c r="C841" s="1">
        <f>IFERROR(__xludf.DUMMYFUNCTION("""COMPUTED_VALUE"""),20.08)</f>
        <v>20.08</v>
      </c>
      <c r="D841" s="1">
        <f>IFERROR(__xludf.DUMMYFUNCTION("""COMPUTED_VALUE"""),19.52)</f>
        <v>19.52</v>
      </c>
      <c r="E841" s="1">
        <f>IFERROR(__xludf.DUMMYFUNCTION("""COMPUTED_VALUE"""),19.93)</f>
        <v>19.93</v>
      </c>
      <c r="F841" s="1">
        <f>IFERROR(__xludf.DUMMYFUNCTION("""COMPUTED_VALUE"""),369114.0)</f>
        <v>369114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IFERROR(__xludf.DUMMYFUNCTION("""COMPUTED_VALUE"""),19.98)</f>
        <v>19.98</v>
      </c>
      <c r="C842" s="1">
        <f>IFERROR(__xludf.DUMMYFUNCTION("""COMPUTED_VALUE"""),20.44)</f>
        <v>20.44</v>
      </c>
      <c r="D842" s="1">
        <f>IFERROR(__xludf.DUMMYFUNCTION("""COMPUTED_VALUE"""),19.93)</f>
        <v>19.93</v>
      </c>
      <c r="E842" s="1">
        <f>IFERROR(__xludf.DUMMYFUNCTION("""COMPUTED_VALUE"""),20.41)</f>
        <v>20.41</v>
      </c>
      <c r="F842" s="1">
        <f>IFERROR(__xludf.DUMMYFUNCTION("""COMPUTED_VALUE"""),429001.0)</f>
        <v>429001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IFERROR(__xludf.DUMMYFUNCTION("""COMPUTED_VALUE"""),20.38)</f>
        <v>20.38</v>
      </c>
      <c r="C843" s="1">
        <f>IFERROR(__xludf.DUMMYFUNCTION("""COMPUTED_VALUE"""),20.56)</f>
        <v>20.56</v>
      </c>
      <c r="D843" s="1">
        <f>IFERROR(__xludf.DUMMYFUNCTION("""COMPUTED_VALUE"""),20.34)</f>
        <v>20.34</v>
      </c>
      <c r="E843" s="1">
        <f>IFERROR(__xludf.DUMMYFUNCTION("""COMPUTED_VALUE"""),20.51)</f>
        <v>20.51</v>
      </c>
      <c r="F843" s="1">
        <f>IFERROR(__xludf.DUMMYFUNCTION("""COMPUTED_VALUE"""),658963.0)</f>
        <v>658963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IFERROR(__xludf.DUMMYFUNCTION("""COMPUTED_VALUE"""),20.52)</f>
        <v>20.52</v>
      </c>
      <c r="C844" s="1">
        <f>IFERROR(__xludf.DUMMYFUNCTION("""COMPUTED_VALUE"""),20.67)</f>
        <v>20.67</v>
      </c>
      <c r="D844" s="1">
        <f>IFERROR(__xludf.DUMMYFUNCTION("""COMPUTED_VALUE"""),20.31)</f>
        <v>20.31</v>
      </c>
      <c r="E844" s="1">
        <f>IFERROR(__xludf.DUMMYFUNCTION("""COMPUTED_VALUE"""),20.4)</f>
        <v>20.4</v>
      </c>
      <c r="F844" s="1">
        <f>IFERROR(__xludf.DUMMYFUNCTION("""COMPUTED_VALUE"""),690472.0)</f>
        <v>690472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IFERROR(__xludf.DUMMYFUNCTION("""COMPUTED_VALUE"""),20.28)</f>
        <v>20.28</v>
      </c>
      <c r="C845" s="1">
        <f>IFERROR(__xludf.DUMMYFUNCTION("""COMPUTED_VALUE"""),20.63)</f>
        <v>20.63</v>
      </c>
      <c r="D845" s="1">
        <f>IFERROR(__xludf.DUMMYFUNCTION("""COMPUTED_VALUE"""),20.28)</f>
        <v>20.28</v>
      </c>
      <c r="E845" s="1">
        <f>IFERROR(__xludf.DUMMYFUNCTION("""COMPUTED_VALUE"""),20.45)</f>
        <v>20.45</v>
      </c>
      <c r="F845" s="1">
        <f>IFERROR(__xludf.DUMMYFUNCTION("""COMPUTED_VALUE"""),582635.0)</f>
        <v>582635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IFERROR(__xludf.DUMMYFUNCTION("""COMPUTED_VALUE"""),20.45)</f>
        <v>20.45</v>
      </c>
      <c r="C846" s="1">
        <f>IFERROR(__xludf.DUMMYFUNCTION("""COMPUTED_VALUE"""),20.46)</f>
        <v>20.46</v>
      </c>
      <c r="D846" s="1">
        <f>IFERROR(__xludf.DUMMYFUNCTION("""COMPUTED_VALUE"""),20.23)</f>
        <v>20.23</v>
      </c>
      <c r="E846" s="1">
        <f>IFERROR(__xludf.DUMMYFUNCTION("""COMPUTED_VALUE"""),20.28)</f>
        <v>20.28</v>
      </c>
      <c r="F846" s="1">
        <f>IFERROR(__xludf.DUMMYFUNCTION("""COMPUTED_VALUE"""),552310.0)</f>
        <v>552310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IFERROR(__xludf.DUMMYFUNCTION("""COMPUTED_VALUE"""),20.26)</f>
        <v>20.26</v>
      </c>
      <c r="C847" s="1">
        <f>IFERROR(__xludf.DUMMYFUNCTION("""COMPUTED_VALUE"""),20.51)</f>
        <v>20.51</v>
      </c>
      <c r="D847" s="1">
        <f>IFERROR(__xludf.DUMMYFUNCTION("""COMPUTED_VALUE"""),20.22)</f>
        <v>20.22</v>
      </c>
      <c r="E847" s="1">
        <f>IFERROR(__xludf.DUMMYFUNCTION("""COMPUTED_VALUE"""),20.37)</f>
        <v>20.37</v>
      </c>
      <c r="F847" s="1">
        <f>IFERROR(__xludf.DUMMYFUNCTION("""COMPUTED_VALUE"""),318769.0)</f>
        <v>318769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IFERROR(__xludf.DUMMYFUNCTION("""COMPUTED_VALUE"""),20.18)</f>
        <v>20.18</v>
      </c>
      <c r="C848" s="1">
        <f>IFERROR(__xludf.DUMMYFUNCTION("""COMPUTED_VALUE"""),20.69)</f>
        <v>20.69</v>
      </c>
      <c r="D848" s="1">
        <f>IFERROR(__xludf.DUMMYFUNCTION("""COMPUTED_VALUE"""),20.11)</f>
        <v>20.11</v>
      </c>
      <c r="E848" s="1">
        <f>IFERROR(__xludf.DUMMYFUNCTION("""COMPUTED_VALUE"""),20.51)</f>
        <v>20.51</v>
      </c>
      <c r="F848" s="1">
        <f>IFERROR(__xludf.DUMMYFUNCTION("""COMPUTED_VALUE"""),463089.0)</f>
        <v>463089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IFERROR(__xludf.DUMMYFUNCTION("""COMPUTED_VALUE"""),20.36)</f>
        <v>20.36</v>
      </c>
      <c r="C849" s="1">
        <f>IFERROR(__xludf.DUMMYFUNCTION("""COMPUTED_VALUE"""),20.65)</f>
        <v>20.65</v>
      </c>
      <c r="D849" s="1">
        <f>IFERROR(__xludf.DUMMYFUNCTION("""COMPUTED_VALUE"""),19.95)</f>
        <v>19.95</v>
      </c>
      <c r="E849" s="1">
        <f>IFERROR(__xludf.DUMMYFUNCTION("""COMPUTED_VALUE"""),20.62)</f>
        <v>20.62</v>
      </c>
      <c r="F849" s="1">
        <f>IFERROR(__xludf.DUMMYFUNCTION("""COMPUTED_VALUE"""),1073555.0)</f>
        <v>1073555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IFERROR(__xludf.DUMMYFUNCTION("""COMPUTED_VALUE"""),20.57)</f>
        <v>20.57</v>
      </c>
      <c r="C850" s="1">
        <f>IFERROR(__xludf.DUMMYFUNCTION("""COMPUTED_VALUE"""),20.9)</f>
        <v>20.9</v>
      </c>
      <c r="D850" s="1">
        <f>IFERROR(__xludf.DUMMYFUNCTION("""COMPUTED_VALUE"""),20.47)</f>
        <v>20.47</v>
      </c>
      <c r="E850" s="1">
        <f>IFERROR(__xludf.DUMMYFUNCTION("""COMPUTED_VALUE"""),20.52)</f>
        <v>20.52</v>
      </c>
      <c r="F850" s="1">
        <f>IFERROR(__xludf.DUMMYFUNCTION("""COMPUTED_VALUE"""),540772.0)</f>
        <v>540772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IFERROR(__xludf.DUMMYFUNCTION("""COMPUTED_VALUE"""),20.54)</f>
        <v>20.54</v>
      </c>
      <c r="C851" s="1">
        <f>IFERROR(__xludf.DUMMYFUNCTION("""COMPUTED_VALUE"""),20.77)</f>
        <v>20.77</v>
      </c>
      <c r="D851" s="1">
        <f>IFERROR(__xludf.DUMMYFUNCTION("""COMPUTED_VALUE"""),20.52)</f>
        <v>20.52</v>
      </c>
      <c r="E851" s="1">
        <f>IFERROR(__xludf.DUMMYFUNCTION("""COMPUTED_VALUE"""),20.57)</f>
        <v>20.57</v>
      </c>
      <c r="F851" s="1">
        <f>IFERROR(__xludf.DUMMYFUNCTION("""COMPUTED_VALUE"""),386625.0)</f>
        <v>386625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IFERROR(__xludf.DUMMYFUNCTION("""COMPUTED_VALUE"""),20.64)</f>
        <v>20.64</v>
      </c>
      <c r="C852" s="1">
        <f>IFERROR(__xludf.DUMMYFUNCTION("""COMPUTED_VALUE"""),20.88)</f>
        <v>20.88</v>
      </c>
      <c r="D852" s="1">
        <f>IFERROR(__xludf.DUMMYFUNCTION("""COMPUTED_VALUE"""),20.62)</f>
        <v>20.62</v>
      </c>
      <c r="E852" s="1">
        <f>IFERROR(__xludf.DUMMYFUNCTION("""COMPUTED_VALUE"""),20.67)</f>
        <v>20.67</v>
      </c>
      <c r="F852" s="1">
        <f>IFERROR(__xludf.DUMMYFUNCTION("""COMPUTED_VALUE"""),498606.0)</f>
        <v>498606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IFERROR(__xludf.DUMMYFUNCTION("""COMPUTED_VALUE"""),20.62)</f>
        <v>20.62</v>
      </c>
      <c r="C853" s="1">
        <f>IFERROR(__xludf.DUMMYFUNCTION("""COMPUTED_VALUE"""),20.77)</f>
        <v>20.77</v>
      </c>
      <c r="D853" s="1">
        <f>IFERROR(__xludf.DUMMYFUNCTION("""COMPUTED_VALUE"""),20.2)</f>
        <v>20.2</v>
      </c>
      <c r="E853" s="1">
        <f>IFERROR(__xludf.DUMMYFUNCTION("""COMPUTED_VALUE"""),20.35)</f>
        <v>20.35</v>
      </c>
      <c r="F853" s="1">
        <f>IFERROR(__xludf.DUMMYFUNCTION("""COMPUTED_VALUE"""),932527.0)</f>
        <v>932527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IFERROR(__xludf.DUMMYFUNCTION("""COMPUTED_VALUE"""),20.25)</f>
        <v>20.25</v>
      </c>
      <c r="C854" s="1">
        <f>IFERROR(__xludf.DUMMYFUNCTION("""COMPUTED_VALUE"""),20.68)</f>
        <v>20.68</v>
      </c>
      <c r="D854" s="1">
        <f>IFERROR(__xludf.DUMMYFUNCTION("""COMPUTED_VALUE"""),20.22)</f>
        <v>20.22</v>
      </c>
      <c r="E854" s="1">
        <f>IFERROR(__xludf.DUMMYFUNCTION("""COMPUTED_VALUE"""),20.61)</f>
        <v>20.61</v>
      </c>
      <c r="F854" s="1">
        <f>IFERROR(__xludf.DUMMYFUNCTION("""COMPUTED_VALUE"""),439218.0)</f>
        <v>439218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IFERROR(__xludf.DUMMYFUNCTION("""COMPUTED_VALUE"""),20.56)</f>
        <v>20.56</v>
      </c>
      <c r="C855" s="1">
        <f>IFERROR(__xludf.DUMMYFUNCTION("""COMPUTED_VALUE"""),20.78)</f>
        <v>20.78</v>
      </c>
      <c r="D855" s="1">
        <f>IFERROR(__xludf.DUMMYFUNCTION("""COMPUTED_VALUE"""),20.34)</f>
        <v>20.34</v>
      </c>
      <c r="E855" s="1">
        <f>IFERROR(__xludf.DUMMYFUNCTION("""COMPUTED_VALUE"""),20.5)</f>
        <v>20.5</v>
      </c>
      <c r="F855" s="1">
        <f>IFERROR(__xludf.DUMMYFUNCTION("""COMPUTED_VALUE"""),404943.0)</f>
        <v>404943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IFERROR(__xludf.DUMMYFUNCTION("""COMPUTED_VALUE"""),20.37)</f>
        <v>20.37</v>
      </c>
      <c r="C856" s="1">
        <f>IFERROR(__xludf.DUMMYFUNCTION("""COMPUTED_VALUE"""),20.88)</f>
        <v>20.88</v>
      </c>
      <c r="D856" s="1">
        <f>IFERROR(__xludf.DUMMYFUNCTION("""COMPUTED_VALUE"""),20.37)</f>
        <v>20.37</v>
      </c>
      <c r="E856" s="1">
        <f>IFERROR(__xludf.DUMMYFUNCTION("""COMPUTED_VALUE"""),20.59)</f>
        <v>20.59</v>
      </c>
      <c r="F856" s="1">
        <f>IFERROR(__xludf.DUMMYFUNCTION("""COMPUTED_VALUE"""),606302.0)</f>
        <v>606302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IFERROR(__xludf.DUMMYFUNCTION("""COMPUTED_VALUE"""),20.46)</f>
        <v>20.46</v>
      </c>
      <c r="C857" s="1">
        <f>IFERROR(__xludf.DUMMYFUNCTION("""COMPUTED_VALUE"""),20.86)</f>
        <v>20.86</v>
      </c>
      <c r="D857" s="1">
        <f>IFERROR(__xludf.DUMMYFUNCTION("""COMPUTED_VALUE"""),20.41)</f>
        <v>20.41</v>
      </c>
      <c r="E857" s="1">
        <f>IFERROR(__xludf.DUMMYFUNCTION("""COMPUTED_VALUE"""),20.74)</f>
        <v>20.74</v>
      </c>
      <c r="F857" s="1">
        <f>IFERROR(__xludf.DUMMYFUNCTION("""COMPUTED_VALUE"""),535859.0)</f>
        <v>535859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IFERROR(__xludf.DUMMYFUNCTION("""COMPUTED_VALUE"""),20.75)</f>
        <v>20.75</v>
      </c>
      <c r="C858" s="1">
        <f>IFERROR(__xludf.DUMMYFUNCTION("""COMPUTED_VALUE"""),21.3)</f>
        <v>21.3</v>
      </c>
      <c r="D858" s="1">
        <f>IFERROR(__xludf.DUMMYFUNCTION("""COMPUTED_VALUE"""),20.72)</f>
        <v>20.72</v>
      </c>
      <c r="E858" s="1">
        <f>IFERROR(__xludf.DUMMYFUNCTION("""COMPUTED_VALUE"""),21.03)</f>
        <v>21.03</v>
      </c>
      <c r="F858" s="1">
        <f>IFERROR(__xludf.DUMMYFUNCTION("""COMPUTED_VALUE"""),1037844.0)</f>
        <v>1037844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IFERROR(__xludf.DUMMYFUNCTION("""COMPUTED_VALUE"""),20.94)</f>
        <v>20.94</v>
      </c>
      <c r="C859" s="1">
        <f>IFERROR(__xludf.DUMMYFUNCTION("""COMPUTED_VALUE"""),21.01)</f>
        <v>21.01</v>
      </c>
      <c r="D859" s="1">
        <f>IFERROR(__xludf.DUMMYFUNCTION("""COMPUTED_VALUE"""),20.51)</f>
        <v>20.51</v>
      </c>
      <c r="E859" s="1">
        <f>IFERROR(__xludf.DUMMYFUNCTION("""COMPUTED_VALUE"""),20.7)</f>
        <v>20.7</v>
      </c>
      <c r="F859" s="1">
        <f>IFERROR(__xludf.DUMMYFUNCTION("""COMPUTED_VALUE"""),2849814.0)</f>
        <v>2849814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IFERROR(__xludf.DUMMYFUNCTION("""COMPUTED_VALUE"""),20.69)</f>
        <v>20.69</v>
      </c>
      <c r="C860" s="1">
        <f>IFERROR(__xludf.DUMMYFUNCTION("""COMPUTED_VALUE"""),21.5)</f>
        <v>21.5</v>
      </c>
      <c r="D860" s="1">
        <f>IFERROR(__xludf.DUMMYFUNCTION("""COMPUTED_VALUE"""),20.68)</f>
        <v>20.68</v>
      </c>
      <c r="E860" s="1">
        <f>IFERROR(__xludf.DUMMYFUNCTION("""COMPUTED_VALUE"""),21.47)</f>
        <v>21.47</v>
      </c>
      <c r="F860" s="1">
        <f>IFERROR(__xludf.DUMMYFUNCTION("""COMPUTED_VALUE"""),1106008.0)</f>
        <v>1106008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IFERROR(__xludf.DUMMYFUNCTION("""COMPUTED_VALUE"""),21.37)</f>
        <v>21.37</v>
      </c>
      <c r="C861" s="1">
        <f>IFERROR(__xludf.DUMMYFUNCTION("""COMPUTED_VALUE"""),21.53)</f>
        <v>21.53</v>
      </c>
      <c r="D861" s="1">
        <f>IFERROR(__xludf.DUMMYFUNCTION("""COMPUTED_VALUE"""),21.27)</f>
        <v>21.27</v>
      </c>
      <c r="E861" s="1">
        <f>IFERROR(__xludf.DUMMYFUNCTION("""COMPUTED_VALUE"""),21.29)</f>
        <v>21.29</v>
      </c>
      <c r="F861" s="1">
        <f>IFERROR(__xludf.DUMMYFUNCTION("""COMPUTED_VALUE"""),533808.0)</f>
        <v>533808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IFERROR(__xludf.DUMMYFUNCTION("""COMPUTED_VALUE"""),21.23)</f>
        <v>21.23</v>
      </c>
      <c r="C862" s="1">
        <f>IFERROR(__xludf.DUMMYFUNCTION("""COMPUTED_VALUE"""),21.34)</f>
        <v>21.34</v>
      </c>
      <c r="D862" s="1">
        <f>IFERROR(__xludf.DUMMYFUNCTION("""COMPUTED_VALUE"""),20.89)</f>
        <v>20.89</v>
      </c>
      <c r="E862" s="1">
        <f>IFERROR(__xludf.DUMMYFUNCTION("""COMPUTED_VALUE"""),21.08)</f>
        <v>21.08</v>
      </c>
      <c r="F862" s="1">
        <f>IFERROR(__xludf.DUMMYFUNCTION("""COMPUTED_VALUE"""),498534.0)</f>
        <v>498534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IFERROR(__xludf.DUMMYFUNCTION("""COMPUTED_VALUE"""),21.04)</f>
        <v>21.04</v>
      </c>
      <c r="C863" s="1">
        <f>IFERROR(__xludf.DUMMYFUNCTION("""COMPUTED_VALUE"""),21.13)</f>
        <v>21.13</v>
      </c>
      <c r="D863" s="1">
        <f>IFERROR(__xludf.DUMMYFUNCTION("""COMPUTED_VALUE"""),20.83)</f>
        <v>20.83</v>
      </c>
      <c r="E863" s="1">
        <f>IFERROR(__xludf.DUMMYFUNCTION("""COMPUTED_VALUE"""),21.08)</f>
        <v>21.08</v>
      </c>
      <c r="F863" s="1">
        <f>IFERROR(__xludf.DUMMYFUNCTION("""COMPUTED_VALUE"""),498027.0)</f>
        <v>498027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IFERROR(__xludf.DUMMYFUNCTION("""COMPUTED_VALUE"""),21.15)</f>
        <v>21.15</v>
      </c>
      <c r="C864" s="1">
        <f>IFERROR(__xludf.DUMMYFUNCTION("""COMPUTED_VALUE"""),21.35)</f>
        <v>21.35</v>
      </c>
      <c r="D864" s="1">
        <f>IFERROR(__xludf.DUMMYFUNCTION("""COMPUTED_VALUE"""),20.87)</f>
        <v>20.87</v>
      </c>
      <c r="E864" s="1">
        <f>IFERROR(__xludf.DUMMYFUNCTION("""COMPUTED_VALUE"""),21.31)</f>
        <v>21.31</v>
      </c>
      <c r="F864" s="1">
        <f>IFERROR(__xludf.DUMMYFUNCTION("""COMPUTED_VALUE"""),444647.0)</f>
        <v>444647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IFERROR(__xludf.DUMMYFUNCTION("""COMPUTED_VALUE"""),20.72)</f>
        <v>20.72</v>
      </c>
      <c r="C865" s="1">
        <f>IFERROR(__xludf.DUMMYFUNCTION("""COMPUTED_VALUE"""),21.27)</f>
        <v>21.27</v>
      </c>
      <c r="D865" s="1">
        <f>IFERROR(__xludf.DUMMYFUNCTION("""COMPUTED_VALUE"""),20.4)</f>
        <v>20.4</v>
      </c>
      <c r="E865" s="1">
        <f>IFERROR(__xludf.DUMMYFUNCTION("""COMPUTED_VALUE"""),20.86)</f>
        <v>20.86</v>
      </c>
      <c r="F865" s="1">
        <f>IFERROR(__xludf.DUMMYFUNCTION("""COMPUTED_VALUE"""),1001816.0)</f>
        <v>1001816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IFERROR(__xludf.DUMMYFUNCTION("""COMPUTED_VALUE"""),20.63)</f>
        <v>20.63</v>
      </c>
      <c r="C866" s="1">
        <f>IFERROR(__xludf.DUMMYFUNCTION("""COMPUTED_VALUE"""),20.8)</f>
        <v>20.8</v>
      </c>
      <c r="D866" s="1">
        <f>IFERROR(__xludf.DUMMYFUNCTION("""COMPUTED_VALUE"""),20.43)</f>
        <v>20.43</v>
      </c>
      <c r="E866" s="1">
        <f>IFERROR(__xludf.DUMMYFUNCTION("""COMPUTED_VALUE"""),20.64)</f>
        <v>20.64</v>
      </c>
      <c r="F866" s="1">
        <f>IFERROR(__xludf.DUMMYFUNCTION("""COMPUTED_VALUE"""),384285.0)</f>
        <v>384285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IFERROR(__xludf.DUMMYFUNCTION("""COMPUTED_VALUE"""),20.7)</f>
        <v>20.7</v>
      </c>
      <c r="C867" s="1">
        <f>IFERROR(__xludf.DUMMYFUNCTION("""COMPUTED_VALUE"""),21.0)</f>
        <v>21</v>
      </c>
      <c r="D867" s="1">
        <f>IFERROR(__xludf.DUMMYFUNCTION("""COMPUTED_VALUE"""),20.53)</f>
        <v>20.53</v>
      </c>
      <c r="E867" s="1">
        <f>IFERROR(__xludf.DUMMYFUNCTION("""COMPUTED_VALUE"""),20.59)</f>
        <v>20.59</v>
      </c>
      <c r="F867" s="1">
        <f>IFERROR(__xludf.DUMMYFUNCTION("""COMPUTED_VALUE"""),522531.0)</f>
        <v>522531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IFERROR(__xludf.DUMMYFUNCTION("""COMPUTED_VALUE"""),20.66)</f>
        <v>20.66</v>
      </c>
      <c r="C868" s="1">
        <f>IFERROR(__xludf.DUMMYFUNCTION("""COMPUTED_VALUE"""),20.93)</f>
        <v>20.93</v>
      </c>
      <c r="D868" s="1">
        <f>IFERROR(__xludf.DUMMYFUNCTION("""COMPUTED_VALUE"""),20.46)</f>
        <v>20.46</v>
      </c>
      <c r="E868" s="1">
        <f>IFERROR(__xludf.DUMMYFUNCTION("""COMPUTED_VALUE"""),20.8)</f>
        <v>20.8</v>
      </c>
      <c r="F868" s="1">
        <f>IFERROR(__xludf.DUMMYFUNCTION("""COMPUTED_VALUE"""),774599.0)</f>
        <v>774599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IFERROR(__xludf.DUMMYFUNCTION("""COMPUTED_VALUE"""),20.82)</f>
        <v>20.82</v>
      </c>
      <c r="C869" s="1">
        <f>IFERROR(__xludf.DUMMYFUNCTION("""COMPUTED_VALUE"""),20.84)</f>
        <v>20.84</v>
      </c>
      <c r="D869" s="1">
        <f>IFERROR(__xludf.DUMMYFUNCTION("""COMPUTED_VALUE"""),20.58)</f>
        <v>20.58</v>
      </c>
      <c r="E869" s="1">
        <f>IFERROR(__xludf.DUMMYFUNCTION("""COMPUTED_VALUE"""),20.73)</f>
        <v>20.73</v>
      </c>
      <c r="F869" s="1">
        <f>IFERROR(__xludf.DUMMYFUNCTION("""COMPUTED_VALUE"""),879702.0)</f>
        <v>879702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IFERROR(__xludf.DUMMYFUNCTION("""COMPUTED_VALUE"""),20.86)</f>
        <v>20.86</v>
      </c>
      <c r="C870" s="1">
        <f>IFERROR(__xludf.DUMMYFUNCTION("""COMPUTED_VALUE"""),21.32)</f>
        <v>21.32</v>
      </c>
      <c r="D870" s="1">
        <f>IFERROR(__xludf.DUMMYFUNCTION("""COMPUTED_VALUE"""),20.84)</f>
        <v>20.84</v>
      </c>
      <c r="E870" s="1">
        <f>IFERROR(__xludf.DUMMYFUNCTION("""COMPUTED_VALUE"""),20.9)</f>
        <v>20.9</v>
      </c>
      <c r="F870" s="1">
        <f>IFERROR(__xludf.DUMMYFUNCTION("""COMPUTED_VALUE"""),1016338.0)</f>
        <v>1016338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IFERROR(__xludf.DUMMYFUNCTION("""COMPUTED_VALUE"""),20.9)</f>
        <v>20.9</v>
      </c>
      <c r="C871" s="1">
        <f>IFERROR(__xludf.DUMMYFUNCTION("""COMPUTED_VALUE"""),21.2)</f>
        <v>21.2</v>
      </c>
      <c r="D871" s="1">
        <f>IFERROR(__xludf.DUMMYFUNCTION("""COMPUTED_VALUE"""),20.81)</f>
        <v>20.81</v>
      </c>
      <c r="E871" s="1">
        <f>IFERROR(__xludf.DUMMYFUNCTION("""COMPUTED_VALUE"""),21.0)</f>
        <v>21</v>
      </c>
      <c r="F871" s="1">
        <f>IFERROR(__xludf.DUMMYFUNCTION("""COMPUTED_VALUE"""),1316675.0)</f>
        <v>1316675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IFERROR(__xludf.DUMMYFUNCTION("""COMPUTED_VALUE"""),21.01)</f>
        <v>21.01</v>
      </c>
      <c r="C872" s="1">
        <f>IFERROR(__xludf.DUMMYFUNCTION("""COMPUTED_VALUE"""),21.06)</f>
        <v>21.06</v>
      </c>
      <c r="D872" s="1">
        <f>IFERROR(__xludf.DUMMYFUNCTION("""COMPUTED_VALUE"""),20.76)</f>
        <v>20.76</v>
      </c>
      <c r="E872" s="1">
        <f>IFERROR(__xludf.DUMMYFUNCTION("""COMPUTED_VALUE"""),20.82)</f>
        <v>20.82</v>
      </c>
      <c r="F872" s="1">
        <f>IFERROR(__xludf.DUMMYFUNCTION("""COMPUTED_VALUE"""),538887.0)</f>
        <v>538887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IFERROR(__xludf.DUMMYFUNCTION("""COMPUTED_VALUE"""),20.59)</f>
        <v>20.59</v>
      </c>
      <c r="C873" s="1">
        <f>IFERROR(__xludf.DUMMYFUNCTION("""COMPUTED_VALUE"""),20.64)</f>
        <v>20.64</v>
      </c>
      <c r="D873" s="1">
        <f>IFERROR(__xludf.DUMMYFUNCTION("""COMPUTED_VALUE"""),19.8)</f>
        <v>19.8</v>
      </c>
      <c r="E873" s="1">
        <f>IFERROR(__xludf.DUMMYFUNCTION("""COMPUTED_VALUE"""),20.07)</f>
        <v>20.07</v>
      </c>
      <c r="F873" s="1">
        <f>IFERROR(__xludf.DUMMYFUNCTION("""COMPUTED_VALUE"""),1565751.0)</f>
        <v>1565751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IFERROR(__xludf.DUMMYFUNCTION("""COMPUTED_VALUE"""),20.01)</f>
        <v>20.01</v>
      </c>
      <c r="C874" s="1">
        <f>IFERROR(__xludf.DUMMYFUNCTION("""COMPUTED_VALUE"""),20.2)</f>
        <v>20.2</v>
      </c>
      <c r="D874" s="1">
        <f>IFERROR(__xludf.DUMMYFUNCTION("""COMPUTED_VALUE"""),19.68)</f>
        <v>19.68</v>
      </c>
      <c r="E874" s="1">
        <f>IFERROR(__xludf.DUMMYFUNCTION("""COMPUTED_VALUE"""),19.74)</f>
        <v>19.74</v>
      </c>
      <c r="F874" s="1">
        <f>IFERROR(__xludf.DUMMYFUNCTION("""COMPUTED_VALUE"""),642261.0)</f>
        <v>642261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IFERROR(__xludf.DUMMYFUNCTION("""COMPUTED_VALUE"""),19.62)</f>
        <v>19.62</v>
      </c>
      <c r="C875" s="1">
        <f>IFERROR(__xludf.DUMMYFUNCTION("""COMPUTED_VALUE"""),19.71)</f>
        <v>19.71</v>
      </c>
      <c r="D875" s="1">
        <f>IFERROR(__xludf.DUMMYFUNCTION("""COMPUTED_VALUE"""),19.1)</f>
        <v>19.1</v>
      </c>
      <c r="E875" s="1">
        <f>IFERROR(__xludf.DUMMYFUNCTION("""COMPUTED_VALUE"""),19.35)</f>
        <v>19.35</v>
      </c>
      <c r="F875" s="1">
        <f>IFERROR(__xludf.DUMMYFUNCTION("""COMPUTED_VALUE"""),658194.0)</f>
        <v>658194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IFERROR(__xludf.DUMMYFUNCTION("""COMPUTED_VALUE"""),19.59)</f>
        <v>19.59</v>
      </c>
      <c r="C876" s="1">
        <f>IFERROR(__xludf.DUMMYFUNCTION("""COMPUTED_VALUE"""),19.59)</f>
        <v>19.59</v>
      </c>
      <c r="D876" s="1">
        <f>IFERROR(__xludf.DUMMYFUNCTION("""COMPUTED_VALUE"""),19.28)</f>
        <v>19.28</v>
      </c>
      <c r="E876" s="1">
        <f>IFERROR(__xludf.DUMMYFUNCTION("""COMPUTED_VALUE"""),19.33)</f>
        <v>19.33</v>
      </c>
      <c r="F876" s="1">
        <f>IFERROR(__xludf.DUMMYFUNCTION("""COMPUTED_VALUE"""),554522.0)</f>
        <v>554522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IFERROR(__xludf.DUMMYFUNCTION("""COMPUTED_VALUE"""),19.47)</f>
        <v>19.47</v>
      </c>
      <c r="C877" s="1">
        <f>IFERROR(__xludf.DUMMYFUNCTION("""COMPUTED_VALUE"""),19.5)</f>
        <v>19.5</v>
      </c>
      <c r="D877" s="1">
        <f>IFERROR(__xludf.DUMMYFUNCTION("""COMPUTED_VALUE"""),19.23)</f>
        <v>19.23</v>
      </c>
      <c r="E877" s="1">
        <f>IFERROR(__xludf.DUMMYFUNCTION("""COMPUTED_VALUE"""),19.24)</f>
        <v>19.24</v>
      </c>
      <c r="F877" s="1">
        <f>IFERROR(__xludf.DUMMYFUNCTION("""COMPUTED_VALUE"""),1174713.0)</f>
        <v>1174713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IFERROR(__xludf.DUMMYFUNCTION("""COMPUTED_VALUE"""),19.38)</f>
        <v>19.38</v>
      </c>
      <c r="C878" s="1">
        <f>IFERROR(__xludf.DUMMYFUNCTION("""COMPUTED_VALUE"""),19.38)</f>
        <v>19.38</v>
      </c>
      <c r="D878" s="1">
        <f>IFERROR(__xludf.DUMMYFUNCTION("""COMPUTED_VALUE"""),19.18)</f>
        <v>19.18</v>
      </c>
      <c r="E878" s="1">
        <f>IFERROR(__xludf.DUMMYFUNCTION("""COMPUTED_VALUE"""),19.3)</f>
        <v>19.3</v>
      </c>
      <c r="F878" s="1">
        <f>IFERROR(__xludf.DUMMYFUNCTION("""COMPUTED_VALUE"""),951462.0)</f>
        <v>951462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IFERROR(__xludf.DUMMYFUNCTION("""COMPUTED_VALUE"""),19.17)</f>
        <v>19.17</v>
      </c>
      <c r="C879" s="1">
        <f>IFERROR(__xludf.DUMMYFUNCTION("""COMPUTED_VALUE"""),19.37)</f>
        <v>19.37</v>
      </c>
      <c r="D879" s="1">
        <f>IFERROR(__xludf.DUMMYFUNCTION("""COMPUTED_VALUE"""),19.17)</f>
        <v>19.17</v>
      </c>
      <c r="E879" s="1">
        <f>IFERROR(__xludf.DUMMYFUNCTION("""COMPUTED_VALUE"""),19.22)</f>
        <v>19.22</v>
      </c>
      <c r="F879" s="1">
        <f>IFERROR(__xludf.DUMMYFUNCTION("""COMPUTED_VALUE"""),866899.0)</f>
        <v>866899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IFERROR(__xludf.DUMMYFUNCTION("""COMPUTED_VALUE"""),19.34)</f>
        <v>19.34</v>
      </c>
      <c r="C880" s="1">
        <f>IFERROR(__xludf.DUMMYFUNCTION("""COMPUTED_VALUE"""),19.62)</f>
        <v>19.62</v>
      </c>
      <c r="D880" s="1">
        <f>IFERROR(__xludf.DUMMYFUNCTION("""COMPUTED_VALUE"""),19.0)</f>
        <v>19</v>
      </c>
      <c r="E880" s="1">
        <f>IFERROR(__xludf.DUMMYFUNCTION("""COMPUTED_VALUE"""),19.05)</f>
        <v>19.05</v>
      </c>
      <c r="F880" s="1">
        <f>IFERROR(__xludf.DUMMYFUNCTION("""COMPUTED_VALUE"""),685354.0)</f>
        <v>685354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IFERROR(__xludf.DUMMYFUNCTION("""COMPUTED_VALUE"""),18.98)</f>
        <v>18.98</v>
      </c>
      <c r="C881" s="1">
        <f>IFERROR(__xludf.DUMMYFUNCTION("""COMPUTED_VALUE"""),19.46)</f>
        <v>19.46</v>
      </c>
      <c r="D881" s="1">
        <f>IFERROR(__xludf.DUMMYFUNCTION("""COMPUTED_VALUE"""),18.98)</f>
        <v>18.98</v>
      </c>
      <c r="E881" s="1">
        <f>IFERROR(__xludf.DUMMYFUNCTION("""COMPUTED_VALUE"""),19.44)</f>
        <v>19.44</v>
      </c>
      <c r="F881" s="1">
        <f>IFERROR(__xludf.DUMMYFUNCTION("""COMPUTED_VALUE"""),532484.0)</f>
        <v>532484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IFERROR(__xludf.DUMMYFUNCTION("""COMPUTED_VALUE"""),19.49)</f>
        <v>19.49</v>
      </c>
      <c r="C882" s="1">
        <f>IFERROR(__xludf.DUMMYFUNCTION("""COMPUTED_VALUE"""),19.58)</f>
        <v>19.58</v>
      </c>
      <c r="D882" s="1">
        <f>IFERROR(__xludf.DUMMYFUNCTION("""COMPUTED_VALUE"""),19.3)</f>
        <v>19.3</v>
      </c>
      <c r="E882" s="1">
        <f>IFERROR(__xludf.DUMMYFUNCTION("""COMPUTED_VALUE"""),19.43)</f>
        <v>19.43</v>
      </c>
      <c r="F882" s="1">
        <f>IFERROR(__xludf.DUMMYFUNCTION("""COMPUTED_VALUE"""),123787.0)</f>
        <v>123787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IFERROR(__xludf.DUMMYFUNCTION("""COMPUTED_VALUE"""),19.33)</f>
        <v>19.33</v>
      </c>
      <c r="C883" s="1">
        <f>IFERROR(__xludf.DUMMYFUNCTION("""COMPUTED_VALUE"""),19.56)</f>
        <v>19.56</v>
      </c>
      <c r="D883" s="1">
        <f>IFERROR(__xludf.DUMMYFUNCTION("""COMPUTED_VALUE"""),19.24)</f>
        <v>19.24</v>
      </c>
      <c r="E883" s="1">
        <f>IFERROR(__xludf.DUMMYFUNCTION("""COMPUTED_VALUE"""),19.56)</f>
        <v>19.56</v>
      </c>
      <c r="F883" s="1">
        <f>IFERROR(__xludf.DUMMYFUNCTION("""COMPUTED_VALUE"""),164329.0)</f>
        <v>164329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IFERROR(__xludf.DUMMYFUNCTION("""COMPUTED_VALUE"""),19.64)</f>
        <v>19.64</v>
      </c>
      <c r="C884" s="1">
        <f>IFERROR(__xludf.DUMMYFUNCTION("""COMPUTED_VALUE"""),19.7)</f>
        <v>19.7</v>
      </c>
      <c r="D884" s="1">
        <f>IFERROR(__xludf.DUMMYFUNCTION("""COMPUTED_VALUE"""),19.5)</f>
        <v>19.5</v>
      </c>
      <c r="E884" s="1">
        <f>IFERROR(__xludf.DUMMYFUNCTION("""COMPUTED_VALUE"""),19.59)</f>
        <v>19.59</v>
      </c>
      <c r="F884" s="1">
        <f>IFERROR(__xludf.DUMMYFUNCTION("""COMPUTED_VALUE"""),234428.0)</f>
        <v>234428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IFERROR(__xludf.DUMMYFUNCTION("""COMPUTED_VALUE"""),19.49)</f>
        <v>19.49</v>
      </c>
      <c r="C885" s="1">
        <f>IFERROR(__xludf.DUMMYFUNCTION("""COMPUTED_VALUE"""),19.49)</f>
        <v>19.49</v>
      </c>
      <c r="D885" s="1">
        <f>IFERROR(__xludf.DUMMYFUNCTION("""COMPUTED_VALUE"""),18.76)</f>
        <v>18.76</v>
      </c>
      <c r="E885" s="1">
        <f>IFERROR(__xludf.DUMMYFUNCTION("""COMPUTED_VALUE"""),19.0)</f>
        <v>19</v>
      </c>
      <c r="F885" s="1">
        <f>IFERROR(__xludf.DUMMYFUNCTION("""COMPUTED_VALUE"""),948320.0)</f>
        <v>948320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IFERROR(__xludf.DUMMYFUNCTION("""COMPUTED_VALUE"""),18.85)</f>
        <v>18.85</v>
      </c>
      <c r="C886" s="1">
        <f>IFERROR(__xludf.DUMMYFUNCTION("""COMPUTED_VALUE"""),19.07)</f>
        <v>19.07</v>
      </c>
      <c r="D886" s="1">
        <f>IFERROR(__xludf.DUMMYFUNCTION("""COMPUTED_VALUE"""),18.76)</f>
        <v>18.76</v>
      </c>
      <c r="E886" s="1">
        <f>IFERROR(__xludf.DUMMYFUNCTION("""COMPUTED_VALUE"""),19.0)</f>
        <v>19</v>
      </c>
      <c r="F886" s="1">
        <f>IFERROR(__xludf.DUMMYFUNCTION("""COMPUTED_VALUE"""),659053.0)</f>
        <v>659053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IFERROR(__xludf.DUMMYFUNCTION("""COMPUTED_VALUE"""),19.2)</f>
        <v>19.2</v>
      </c>
      <c r="C887" s="1">
        <f>IFERROR(__xludf.DUMMYFUNCTION("""COMPUTED_VALUE"""),19.24)</f>
        <v>19.24</v>
      </c>
      <c r="D887" s="1">
        <f>IFERROR(__xludf.DUMMYFUNCTION("""COMPUTED_VALUE"""),18.93)</f>
        <v>18.93</v>
      </c>
      <c r="E887" s="1">
        <f>IFERROR(__xludf.DUMMYFUNCTION("""COMPUTED_VALUE"""),19.03)</f>
        <v>19.03</v>
      </c>
      <c r="F887" s="1">
        <f>IFERROR(__xludf.DUMMYFUNCTION("""COMPUTED_VALUE"""),644157.0)</f>
        <v>644157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IFERROR(__xludf.DUMMYFUNCTION("""COMPUTED_VALUE"""),18.96)</f>
        <v>18.96</v>
      </c>
      <c r="C888" s="1">
        <f>IFERROR(__xludf.DUMMYFUNCTION("""COMPUTED_VALUE"""),19.13)</f>
        <v>19.13</v>
      </c>
      <c r="D888" s="1">
        <f>IFERROR(__xludf.DUMMYFUNCTION("""COMPUTED_VALUE"""),18.78)</f>
        <v>18.78</v>
      </c>
      <c r="E888" s="1">
        <f>IFERROR(__xludf.DUMMYFUNCTION("""COMPUTED_VALUE"""),19.06)</f>
        <v>19.06</v>
      </c>
      <c r="F888" s="1">
        <f>IFERROR(__xludf.DUMMYFUNCTION("""COMPUTED_VALUE"""),651651.0)</f>
        <v>651651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IFERROR(__xludf.DUMMYFUNCTION("""COMPUTED_VALUE"""),18.94)</f>
        <v>18.94</v>
      </c>
      <c r="C889" s="1">
        <f>IFERROR(__xludf.DUMMYFUNCTION("""COMPUTED_VALUE"""),19.03)</f>
        <v>19.03</v>
      </c>
      <c r="D889" s="1">
        <f>IFERROR(__xludf.DUMMYFUNCTION("""COMPUTED_VALUE"""),18.8)</f>
        <v>18.8</v>
      </c>
      <c r="E889" s="1">
        <f>IFERROR(__xludf.DUMMYFUNCTION("""COMPUTED_VALUE"""),18.95)</f>
        <v>18.95</v>
      </c>
      <c r="F889" s="1">
        <f>IFERROR(__xludf.DUMMYFUNCTION("""COMPUTED_VALUE"""),1070798.0)</f>
        <v>1070798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IFERROR(__xludf.DUMMYFUNCTION("""COMPUTED_VALUE"""),18.96)</f>
        <v>18.96</v>
      </c>
      <c r="C890" s="1">
        <f>IFERROR(__xludf.DUMMYFUNCTION("""COMPUTED_VALUE"""),19.01)</f>
        <v>19.01</v>
      </c>
      <c r="D890" s="1">
        <f>IFERROR(__xludf.DUMMYFUNCTION("""COMPUTED_VALUE"""),18.84)</f>
        <v>18.84</v>
      </c>
      <c r="E890" s="1">
        <f>IFERROR(__xludf.DUMMYFUNCTION("""COMPUTED_VALUE"""),18.94)</f>
        <v>18.94</v>
      </c>
      <c r="F890" s="1">
        <f>IFERROR(__xludf.DUMMYFUNCTION("""COMPUTED_VALUE"""),317676.0)</f>
        <v>317676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IFERROR(__xludf.DUMMYFUNCTION("""COMPUTED_VALUE"""),18.97)</f>
        <v>18.97</v>
      </c>
      <c r="C891" s="1">
        <f>IFERROR(__xludf.DUMMYFUNCTION("""COMPUTED_VALUE"""),19.13)</f>
        <v>19.13</v>
      </c>
      <c r="D891" s="1">
        <f>IFERROR(__xludf.DUMMYFUNCTION("""COMPUTED_VALUE"""),18.9)</f>
        <v>18.9</v>
      </c>
      <c r="E891" s="1">
        <f>IFERROR(__xludf.DUMMYFUNCTION("""COMPUTED_VALUE"""),18.94)</f>
        <v>18.94</v>
      </c>
      <c r="F891" s="1">
        <f>IFERROR(__xludf.DUMMYFUNCTION("""COMPUTED_VALUE"""),357887.0)</f>
        <v>357887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IFERROR(__xludf.DUMMYFUNCTION("""COMPUTED_VALUE"""),18.97)</f>
        <v>18.97</v>
      </c>
      <c r="C892" s="1">
        <f>IFERROR(__xludf.DUMMYFUNCTION("""COMPUTED_VALUE"""),19.06)</f>
        <v>19.06</v>
      </c>
      <c r="D892" s="1">
        <f>IFERROR(__xludf.DUMMYFUNCTION("""COMPUTED_VALUE"""),18.87)</f>
        <v>18.87</v>
      </c>
      <c r="E892" s="1">
        <f>IFERROR(__xludf.DUMMYFUNCTION("""COMPUTED_VALUE"""),19.01)</f>
        <v>19.01</v>
      </c>
      <c r="F892" s="1">
        <f>IFERROR(__xludf.DUMMYFUNCTION("""COMPUTED_VALUE"""),713572.0)</f>
        <v>713572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IFERROR(__xludf.DUMMYFUNCTION("""COMPUTED_VALUE"""),19.0)</f>
        <v>19</v>
      </c>
      <c r="C893" s="1">
        <f>IFERROR(__xludf.DUMMYFUNCTION("""COMPUTED_VALUE"""),19.28)</f>
        <v>19.28</v>
      </c>
      <c r="D893" s="1">
        <f>IFERROR(__xludf.DUMMYFUNCTION("""COMPUTED_VALUE"""),18.93)</f>
        <v>18.93</v>
      </c>
      <c r="E893" s="1">
        <f>IFERROR(__xludf.DUMMYFUNCTION("""COMPUTED_VALUE"""),19.21)</f>
        <v>19.21</v>
      </c>
      <c r="F893" s="1">
        <f>IFERROR(__xludf.DUMMYFUNCTION("""COMPUTED_VALUE"""),449489.0)</f>
        <v>449489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IFERROR(__xludf.DUMMYFUNCTION("""COMPUTED_VALUE"""),19.21)</f>
        <v>19.21</v>
      </c>
      <c r="C894" s="1">
        <f>IFERROR(__xludf.DUMMYFUNCTION("""COMPUTED_VALUE"""),19.36)</f>
        <v>19.36</v>
      </c>
      <c r="D894" s="1">
        <f>IFERROR(__xludf.DUMMYFUNCTION("""COMPUTED_VALUE"""),19.13)</f>
        <v>19.13</v>
      </c>
      <c r="E894" s="1">
        <f>IFERROR(__xludf.DUMMYFUNCTION("""COMPUTED_VALUE"""),19.23)</f>
        <v>19.23</v>
      </c>
      <c r="F894" s="1">
        <f>IFERROR(__xludf.DUMMYFUNCTION("""COMPUTED_VALUE"""),374849.0)</f>
        <v>374849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IFERROR(__xludf.DUMMYFUNCTION("""COMPUTED_VALUE"""),19.26)</f>
        <v>19.26</v>
      </c>
      <c r="C895" s="1">
        <f>IFERROR(__xludf.DUMMYFUNCTION("""COMPUTED_VALUE"""),19.32)</f>
        <v>19.32</v>
      </c>
      <c r="D895" s="1">
        <f>IFERROR(__xludf.DUMMYFUNCTION("""COMPUTED_VALUE"""),19.17)</f>
        <v>19.17</v>
      </c>
      <c r="E895" s="1">
        <f>IFERROR(__xludf.DUMMYFUNCTION("""COMPUTED_VALUE"""),19.29)</f>
        <v>19.29</v>
      </c>
      <c r="F895" s="1">
        <f>IFERROR(__xludf.DUMMYFUNCTION("""COMPUTED_VALUE"""),437070.0)</f>
        <v>437070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IFERROR(__xludf.DUMMYFUNCTION("""COMPUTED_VALUE"""),19.32)</f>
        <v>19.32</v>
      </c>
      <c r="C896" s="1">
        <f>IFERROR(__xludf.DUMMYFUNCTION("""COMPUTED_VALUE"""),19.32)</f>
        <v>19.32</v>
      </c>
      <c r="D896" s="1">
        <f>IFERROR(__xludf.DUMMYFUNCTION("""COMPUTED_VALUE"""),18.99)</f>
        <v>18.99</v>
      </c>
      <c r="E896" s="1">
        <f>IFERROR(__xludf.DUMMYFUNCTION("""COMPUTED_VALUE"""),19.02)</f>
        <v>19.02</v>
      </c>
      <c r="F896" s="1">
        <f>IFERROR(__xludf.DUMMYFUNCTION("""COMPUTED_VALUE"""),533854.0)</f>
        <v>533854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IFERROR(__xludf.DUMMYFUNCTION("""COMPUTED_VALUE"""),18.96)</f>
        <v>18.96</v>
      </c>
      <c r="C897" s="1">
        <f>IFERROR(__xludf.DUMMYFUNCTION("""COMPUTED_VALUE"""),19.06)</f>
        <v>19.06</v>
      </c>
      <c r="D897" s="1">
        <f>IFERROR(__xludf.DUMMYFUNCTION("""COMPUTED_VALUE"""),18.84)</f>
        <v>18.84</v>
      </c>
      <c r="E897" s="1">
        <f>IFERROR(__xludf.DUMMYFUNCTION("""COMPUTED_VALUE"""),18.9)</f>
        <v>18.9</v>
      </c>
      <c r="F897" s="1">
        <f>IFERROR(__xludf.DUMMYFUNCTION("""COMPUTED_VALUE"""),271285.0)</f>
        <v>271285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IFERROR(__xludf.DUMMYFUNCTION("""COMPUTED_VALUE"""),18.95)</f>
        <v>18.95</v>
      </c>
      <c r="C898" s="1">
        <f>IFERROR(__xludf.DUMMYFUNCTION("""COMPUTED_VALUE"""),18.95)</f>
        <v>18.95</v>
      </c>
      <c r="D898" s="1">
        <f>IFERROR(__xludf.DUMMYFUNCTION("""COMPUTED_VALUE"""),18.74)</f>
        <v>18.74</v>
      </c>
      <c r="E898" s="1">
        <f>IFERROR(__xludf.DUMMYFUNCTION("""COMPUTED_VALUE"""),18.8)</f>
        <v>18.8</v>
      </c>
      <c r="F898" s="1">
        <f>IFERROR(__xludf.DUMMYFUNCTION("""COMPUTED_VALUE"""),412654.0)</f>
        <v>412654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IFERROR(__xludf.DUMMYFUNCTION("""COMPUTED_VALUE"""),18.81)</f>
        <v>18.81</v>
      </c>
      <c r="C899" s="1">
        <f>IFERROR(__xludf.DUMMYFUNCTION("""COMPUTED_VALUE"""),19.13)</f>
        <v>19.13</v>
      </c>
      <c r="D899" s="1">
        <f>IFERROR(__xludf.DUMMYFUNCTION("""COMPUTED_VALUE"""),18.76)</f>
        <v>18.76</v>
      </c>
      <c r="E899" s="1">
        <f>IFERROR(__xludf.DUMMYFUNCTION("""COMPUTED_VALUE"""),18.99)</f>
        <v>18.99</v>
      </c>
      <c r="F899" s="1">
        <f>IFERROR(__xludf.DUMMYFUNCTION("""COMPUTED_VALUE"""),581545.0)</f>
        <v>581545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IFERROR(__xludf.DUMMYFUNCTION("""COMPUTED_VALUE"""),19.02)</f>
        <v>19.02</v>
      </c>
      <c r="C900" s="1">
        <f>IFERROR(__xludf.DUMMYFUNCTION("""COMPUTED_VALUE"""),19.35)</f>
        <v>19.35</v>
      </c>
      <c r="D900" s="1">
        <f>IFERROR(__xludf.DUMMYFUNCTION("""COMPUTED_VALUE"""),18.94)</f>
        <v>18.94</v>
      </c>
      <c r="E900" s="1">
        <f>IFERROR(__xludf.DUMMYFUNCTION("""COMPUTED_VALUE"""),19.27)</f>
        <v>19.27</v>
      </c>
      <c r="F900" s="1">
        <f>IFERROR(__xludf.DUMMYFUNCTION("""COMPUTED_VALUE"""),285650.0)</f>
        <v>285650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IFERROR(__xludf.DUMMYFUNCTION("""COMPUTED_VALUE"""),19.35)</f>
        <v>19.35</v>
      </c>
      <c r="C901" s="1">
        <f>IFERROR(__xludf.DUMMYFUNCTION("""COMPUTED_VALUE"""),19.54)</f>
        <v>19.54</v>
      </c>
      <c r="D901" s="1">
        <f>IFERROR(__xludf.DUMMYFUNCTION("""COMPUTED_VALUE"""),19.14)</f>
        <v>19.14</v>
      </c>
      <c r="E901" s="1">
        <f>IFERROR(__xludf.DUMMYFUNCTION("""COMPUTED_VALUE"""),19.25)</f>
        <v>19.25</v>
      </c>
      <c r="F901" s="1">
        <f>IFERROR(__xludf.DUMMYFUNCTION("""COMPUTED_VALUE"""),600633.0)</f>
        <v>600633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IFERROR(__xludf.DUMMYFUNCTION("""COMPUTED_VALUE"""),19.33)</f>
        <v>19.33</v>
      </c>
      <c r="C902" s="1">
        <f>IFERROR(__xludf.DUMMYFUNCTION("""COMPUTED_VALUE"""),19.35)</f>
        <v>19.35</v>
      </c>
      <c r="D902" s="1">
        <f>IFERROR(__xludf.DUMMYFUNCTION("""COMPUTED_VALUE"""),18.6)</f>
        <v>18.6</v>
      </c>
      <c r="E902" s="1">
        <f>IFERROR(__xludf.DUMMYFUNCTION("""COMPUTED_VALUE"""),18.61)</f>
        <v>18.61</v>
      </c>
      <c r="F902" s="1">
        <f>IFERROR(__xludf.DUMMYFUNCTION("""COMPUTED_VALUE"""),636299.0)</f>
        <v>636299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IFERROR(__xludf.DUMMYFUNCTION("""COMPUTED_VALUE"""),18.56)</f>
        <v>18.56</v>
      </c>
      <c r="C903" s="1">
        <f>IFERROR(__xludf.DUMMYFUNCTION("""COMPUTED_VALUE"""),18.81)</f>
        <v>18.81</v>
      </c>
      <c r="D903" s="1">
        <f>IFERROR(__xludf.DUMMYFUNCTION("""COMPUTED_VALUE"""),18.48)</f>
        <v>18.48</v>
      </c>
      <c r="E903" s="1">
        <f>IFERROR(__xludf.DUMMYFUNCTION("""COMPUTED_VALUE"""),18.57)</f>
        <v>18.57</v>
      </c>
      <c r="F903" s="1">
        <f>IFERROR(__xludf.DUMMYFUNCTION("""COMPUTED_VALUE"""),303931.0)</f>
        <v>303931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IFERROR(__xludf.DUMMYFUNCTION("""COMPUTED_VALUE"""),18.57)</f>
        <v>18.57</v>
      </c>
      <c r="C904" s="1">
        <f>IFERROR(__xludf.DUMMYFUNCTION("""COMPUTED_VALUE"""),18.86)</f>
        <v>18.86</v>
      </c>
      <c r="D904" s="1">
        <f>IFERROR(__xludf.DUMMYFUNCTION("""COMPUTED_VALUE"""),18.53)</f>
        <v>18.53</v>
      </c>
      <c r="E904" s="1">
        <f>IFERROR(__xludf.DUMMYFUNCTION("""COMPUTED_VALUE"""),18.58)</f>
        <v>18.58</v>
      </c>
      <c r="F904" s="1">
        <f>IFERROR(__xludf.DUMMYFUNCTION("""COMPUTED_VALUE"""),281513.0)</f>
        <v>281513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IFERROR(__xludf.DUMMYFUNCTION("""COMPUTED_VALUE"""),19.01)</f>
        <v>19.01</v>
      </c>
      <c r="C905" s="1">
        <f>IFERROR(__xludf.DUMMYFUNCTION("""COMPUTED_VALUE"""),20.04)</f>
        <v>20.04</v>
      </c>
      <c r="D905" s="1">
        <f>IFERROR(__xludf.DUMMYFUNCTION("""COMPUTED_VALUE"""),18.86)</f>
        <v>18.86</v>
      </c>
      <c r="E905" s="1">
        <f>IFERROR(__xludf.DUMMYFUNCTION("""COMPUTED_VALUE"""),19.96)</f>
        <v>19.96</v>
      </c>
      <c r="F905" s="1">
        <f>IFERROR(__xludf.DUMMYFUNCTION("""COMPUTED_VALUE"""),1370507.0)</f>
        <v>1370507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IFERROR(__xludf.DUMMYFUNCTION("""COMPUTED_VALUE"""),19.91)</f>
        <v>19.91</v>
      </c>
      <c r="C906" s="1">
        <f>IFERROR(__xludf.DUMMYFUNCTION("""COMPUTED_VALUE"""),20.28)</f>
        <v>20.28</v>
      </c>
      <c r="D906" s="1">
        <f>IFERROR(__xludf.DUMMYFUNCTION("""COMPUTED_VALUE"""),19.72)</f>
        <v>19.72</v>
      </c>
      <c r="E906" s="1">
        <f>IFERROR(__xludf.DUMMYFUNCTION("""COMPUTED_VALUE"""),19.74)</f>
        <v>19.74</v>
      </c>
      <c r="F906" s="1">
        <f>IFERROR(__xludf.DUMMYFUNCTION("""COMPUTED_VALUE"""),937569.0)</f>
        <v>937569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IFERROR(__xludf.DUMMYFUNCTION("""COMPUTED_VALUE"""),19.81)</f>
        <v>19.81</v>
      </c>
      <c r="C907" s="1">
        <f>IFERROR(__xludf.DUMMYFUNCTION("""COMPUTED_VALUE"""),19.91)</f>
        <v>19.91</v>
      </c>
      <c r="D907" s="1">
        <f>IFERROR(__xludf.DUMMYFUNCTION("""COMPUTED_VALUE"""),19.43)</f>
        <v>19.43</v>
      </c>
      <c r="E907" s="1">
        <f>IFERROR(__xludf.DUMMYFUNCTION("""COMPUTED_VALUE"""),19.5)</f>
        <v>19.5</v>
      </c>
      <c r="F907" s="1">
        <f>IFERROR(__xludf.DUMMYFUNCTION("""COMPUTED_VALUE"""),493498.0)</f>
        <v>493498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IFERROR(__xludf.DUMMYFUNCTION("""COMPUTED_VALUE"""),19.41)</f>
        <v>19.41</v>
      </c>
      <c r="C908" s="1">
        <f>IFERROR(__xludf.DUMMYFUNCTION("""COMPUTED_VALUE"""),19.57)</f>
        <v>19.57</v>
      </c>
      <c r="D908" s="1">
        <f>IFERROR(__xludf.DUMMYFUNCTION("""COMPUTED_VALUE"""),19.12)</f>
        <v>19.12</v>
      </c>
      <c r="E908" s="1">
        <f>IFERROR(__xludf.DUMMYFUNCTION("""COMPUTED_VALUE"""),19.51)</f>
        <v>19.51</v>
      </c>
      <c r="F908" s="1">
        <f>IFERROR(__xludf.DUMMYFUNCTION("""COMPUTED_VALUE"""),363807.0)</f>
        <v>363807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IFERROR(__xludf.DUMMYFUNCTION("""COMPUTED_VALUE"""),19.42)</f>
        <v>19.42</v>
      </c>
      <c r="C909" s="1">
        <f>IFERROR(__xludf.DUMMYFUNCTION("""COMPUTED_VALUE"""),19.42)</f>
        <v>19.42</v>
      </c>
      <c r="D909" s="1">
        <f>IFERROR(__xludf.DUMMYFUNCTION("""COMPUTED_VALUE"""),19.17)</f>
        <v>19.17</v>
      </c>
      <c r="E909" s="1">
        <f>IFERROR(__xludf.DUMMYFUNCTION("""COMPUTED_VALUE"""),19.38)</f>
        <v>19.38</v>
      </c>
      <c r="F909" s="1">
        <f>IFERROR(__xludf.DUMMYFUNCTION("""COMPUTED_VALUE"""),355805.0)</f>
        <v>355805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IFERROR(__xludf.DUMMYFUNCTION("""COMPUTED_VALUE"""),19.36)</f>
        <v>19.36</v>
      </c>
      <c r="C910" s="1">
        <f>IFERROR(__xludf.DUMMYFUNCTION("""COMPUTED_VALUE"""),19.48)</f>
        <v>19.48</v>
      </c>
      <c r="D910" s="1">
        <f>IFERROR(__xludf.DUMMYFUNCTION("""COMPUTED_VALUE"""),19.14)</f>
        <v>19.14</v>
      </c>
      <c r="E910" s="1">
        <f>IFERROR(__xludf.DUMMYFUNCTION("""COMPUTED_VALUE"""),19.48)</f>
        <v>19.48</v>
      </c>
      <c r="F910" s="1">
        <f>IFERROR(__xludf.DUMMYFUNCTION("""COMPUTED_VALUE"""),408879.0)</f>
        <v>408879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IFERROR(__xludf.DUMMYFUNCTION("""COMPUTED_VALUE"""),19.46)</f>
        <v>19.46</v>
      </c>
      <c r="C911" s="1">
        <f>IFERROR(__xludf.DUMMYFUNCTION("""COMPUTED_VALUE"""),19.6)</f>
        <v>19.6</v>
      </c>
      <c r="D911" s="1">
        <f>IFERROR(__xludf.DUMMYFUNCTION("""COMPUTED_VALUE"""),19.31)</f>
        <v>19.31</v>
      </c>
      <c r="E911" s="1">
        <f>IFERROR(__xludf.DUMMYFUNCTION("""COMPUTED_VALUE"""),19.58)</f>
        <v>19.58</v>
      </c>
      <c r="F911" s="1">
        <f>IFERROR(__xludf.DUMMYFUNCTION("""COMPUTED_VALUE"""),203559.0)</f>
        <v>203559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IFERROR(__xludf.DUMMYFUNCTION("""COMPUTED_VALUE"""),19.45)</f>
        <v>19.45</v>
      </c>
      <c r="C912" s="1">
        <f>IFERROR(__xludf.DUMMYFUNCTION("""COMPUTED_VALUE"""),19.45)</f>
        <v>19.45</v>
      </c>
      <c r="D912" s="1">
        <f>IFERROR(__xludf.DUMMYFUNCTION("""COMPUTED_VALUE"""),19.03)</f>
        <v>19.03</v>
      </c>
      <c r="E912" s="1">
        <f>IFERROR(__xludf.DUMMYFUNCTION("""COMPUTED_VALUE"""),19.3)</f>
        <v>19.3</v>
      </c>
      <c r="F912" s="1">
        <f>IFERROR(__xludf.DUMMYFUNCTION("""COMPUTED_VALUE"""),390986.0)</f>
        <v>390986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IFERROR(__xludf.DUMMYFUNCTION("""COMPUTED_VALUE"""),19.23)</f>
        <v>19.23</v>
      </c>
      <c r="C913" s="1">
        <f>IFERROR(__xludf.DUMMYFUNCTION("""COMPUTED_VALUE"""),19.27)</f>
        <v>19.27</v>
      </c>
      <c r="D913" s="1">
        <f>IFERROR(__xludf.DUMMYFUNCTION("""COMPUTED_VALUE"""),18.81)</f>
        <v>18.81</v>
      </c>
      <c r="E913" s="1">
        <f>IFERROR(__xludf.DUMMYFUNCTION("""COMPUTED_VALUE"""),18.94)</f>
        <v>18.94</v>
      </c>
      <c r="F913" s="1">
        <f>IFERROR(__xludf.DUMMYFUNCTION("""COMPUTED_VALUE"""),849863.0)</f>
        <v>849863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IFERROR(__xludf.DUMMYFUNCTION("""COMPUTED_VALUE"""),18.9)</f>
        <v>18.9</v>
      </c>
      <c r="C914" s="1">
        <f>IFERROR(__xludf.DUMMYFUNCTION("""COMPUTED_VALUE"""),19.16)</f>
        <v>19.16</v>
      </c>
      <c r="D914" s="1">
        <f>IFERROR(__xludf.DUMMYFUNCTION("""COMPUTED_VALUE"""),18.76)</f>
        <v>18.76</v>
      </c>
      <c r="E914" s="1">
        <f>IFERROR(__xludf.DUMMYFUNCTION("""COMPUTED_VALUE"""),19.11)</f>
        <v>19.11</v>
      </c>
      <c r="F914" s="1">
        <f>IFERROR(__xludf.DUMMYFUNCTION("""COMPUTED_VALUE"""),376114.0)</f>
        <v>376114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IFERROR(__xludf.DUMMYFUNCTION("""COMPUTED_VALUE"""),19.09)</f>
        <v>19.09</v>
      </c>
      <c r="C915" s="1">
        <f>IFERROR(__xludf.DUMMYFUNCTION("""COMPUTED_VALUE"""),19.09)</f>
        <v>19.09</v>
      </c>
      <c r="D915" s="1">
        <f>IFERROR(__xludf.DUMMYFUNCTION("""COMPUTED_VALUE"""),18.76)</f>
        <v>18.76</v>
      </c>
      <c r="E915" s="1">
        <f>IFERROR(__xludf.DUMMYFUNCTION("""COMPUTED_VALUE"""),18.8)</f>
        <v>18.8</v>
      </c>
      <c r="F915" s="1">
        <f>IFERROR(__xludf.DUMMYFUNCTION("""COMPUTED_VALUE"""),388324.0)</f>
        <v>388324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IFERROR(__xludf.DUMMYFUNCTION("""COMPUTED_VALUE"""),18.57)</f>
        <v>18.57</v>
      </c>
      <c r="C916" s="1">
        <f>IFERROR(__xludf.DUMMYFUNCTION("""COMPUTED_VALUE"""),18.74)</f>
        <v>18.74</v>
      </c>
      <c r="D916" s="1">
        <f>IFERROR(__xludf.DUMMYFUNCTION("""COMPUTED_VALUE"""),18.4)</f>
        <v>18.4</v>
      </c>
      <c r="E916" s="1">
        <f>IFERROR(__xludf.DUMMYFUNCTION("""COMPUTED_VALUE"""),18.52)</f>
        <v>18.52</v>
      </c>
      <c r="F916" s="1">
        <f>IFERROR(__xludf.DUMMYFUNCTION("""COMPUTED_VALUE"""),394652.0)</f>
        <v>394652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IFERROR(__xludf.DUMMYFUNCTION("""COMPUTED_VALUE"""),18.5)</f>
        <v>18.5</v>
      </c>
      <c r="C917" s="1">
        <f>IFERROR(__xludf.DUMMYFUNCTION("""COMPUTED_VALUE"""),18.78)</f>
        <v>18.78</v>
      </c>
      <c r="D917" s="1">
        <f>IFERROR(__xludf.DUMMYFUNCTION("""COMPUTED_VALUE"""),18.46)</f>
        <v>18.46</v>
      </c>
      <c r="E917" s="1">
        <f>IFERROR(__xludf.DUMMYFUNCTION("""COMPUTED_VALUE"""),18.72)</f>
        <v>18.72</v>
      </c>
      <c r="F917" s="1">
        <f>IFERROR(__xludf.DUMMYFUNCTION("""COMPUTED_VALUE"""),323839.0)</f>
        <v>323839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IFERROR(__xludf.DUMMYFUNCTION("""COMPUTED_VALUE"""),18.68)</f>
        <v>18.68</v>
      </c>
      <c r="C918" s="1">
        <f>IFERROR(__xludf.DUMMYFUNCTION("""COMPUTED_VALUE"""),18.88)</f>
        <v>18.88</v>
      </c>
      <c r="D918" s="1">
        <f>IFERROR(__xludf.DUMMYFUNCTION("""COMPUTED_VALUE"""),18.55)</f>
        <v>18.55</v>
      </c>
      <c r="E918" s="1">
        <f>IFERROR(__xludf.DUMMYFUNCTION("""COMPUTED_VALUE"""),18.79)</f>
        <v>18.79</v>
      </c>
      <c r="F918" s="1">
        <f>IFERROR(__xludf.DUMMYFUNCTION("""COMPUTED_VALUE"""),385414.0)</f>
        <v>385414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IFERROR(__xludf.DUMMYFUNCTION("""COMPUTED_VALUE"""),18.78)</f>
        <v>18.78</v>
      </c>
      <c r="C919" s="1">
        <f>IFERROR(__xludf.DUMMYFUNCTION("""COMPUTED_VALUE"""),19.2)</f>
        <v>19.2</v>
      </c>
      <c r="D919" s="1">
        <f>IFERROR(__xludf.DUMMYFUNCTION("""COMPUTED_VALUE"""),18.78)</f>
        <v>18.78</v>
      </c>
      <c r="E919" s="1">
        <f>IFERROR(__xludf.DUMMYFUNCTION("""COMPUTED_VALUE"""),18.99)</f>
        <v>18.99</v>
      </c>
      <c r="F919" s="1">
        <f>IFERROR(__xludf.DUMMYFUNCTION("""COMPUTED_VALUE"""),364938.0)</f>
        <v>364938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IFERROR(__xludf.DUMMYFUNCTION("""COMPUTED_VALUE"""),18.87)</f>
        <v>18.87</v>
      </c>
      <c r="C920" s="1">
        <f>IFERROR(__xludf.DUMMYFUNCTION("""COMPUTED_VALUE"""),19.21)</f>
        <v>19.21</v>
      </c>
      <c r="D920" s="1">
        <f>IFERROR(__xludf.DUMMYFUNCTION("""COMPUTED_VALUE"""),18.71)</f>
        <v>18.71</v>
      </c>
      <c r="E920" s="1">
        <f>IFERROR(__xludf.DUMMYFUNCTION("""COMPUTED_VALUE"""),18.9)</f>
        <v>18.9</v>
      </c>
      <c r="F920" s="1">
        <f>IFERROR(__xludf.DUMMYFUNCTION("""COMPUTED_VALUE"""),513024.0)</f>
        <v>513024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IFERROR(__xludf.DUMMYFUNCTION("""COMPUTED_VALUE"""),18.9)</f>
        <v>18.9</v>
      </c>
      <c r="C921" s="1">
        <f>IFERROR(__xludf.DUMMYFUNCTION("""COMPUTED_VALUE"""),18.96)</f>
        <v>18.96</v>
      </c>
      <c r="D921" s="1">
        <f>IFERROR(__xludf.DUMMYFUNCTION("""COMPUTED_VALUE"""),18.6)</f>
        <v>18.6</v>
      </c>
      <c r="E921" s="1">
        <f>IFERROR(__xludf.DUMMYFUNCTION("""COMPUTED_VALUE"""),18.66)</f>
        <v>18.66</v>
      </c>
      <c r="F921" s="1">
        <f>IFERROR(__xludf.DUMMYFUNCTION("""COMPUTED_VALUE"""),405872.0)</f>
        <v>405872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IFERROR(__xludf.DUMMYFUNCTION("""COMPUTED_VALUE"""),18.58)</f>
        <v>18.58</v>
      </c>
      <c r="C922" s="1">
        <f>IFERROR(__xludf.DUMMYFUNCTION("""COMPUTED_VALUE"""),18.73)</f>
        <v>18.73</v>
      </c>
      <c r="D922" s="1">
        <f>IFERROR(__xludf.DUMMYFUNCTION("""COMPUTED_VALUE"""),18.52)</f>
        <v>18.52</v>
      </c>
      <c r="E922" s="1">
        <f>IFERROR(__xludf.DUMMYFUNCTION("""COMPUTED_VALUE"""),18.55)</f>
        <v>18.55</v>
      </c>
      <c r="F922" s="1">
        <f>IFERROR(__xludf.DUMMYFUNCTION("""COMPUTED_VALUE"""),316794.0)</f>
        <v>316794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IFERROR(__xludf.DUMMYFUNCTION("""COMPUTED_VALUE"""),18.62)</f>
        <v>18.62</v>
      </c>
      <c r="C923" s="1">
        <f>IFERROR(__xludf.DUMMYFUNCTION("""COMPUTED_VALUE"""),18.68)</f>
        <v>18.68</v>
      </c>
      <c r="D923" s="1">
        <f>IFERROR(__xludf.DUMMYFUNCTION("""COMPUTED_VALUE"""),18.39)</f>
        <v>18.39</v>
      </c>
      <c r="E923" s="1">
        <f>IFERROR(__xludf.DUMMYFUNCTION("""COMPUTED_VALUE"""),18.53)</f>
        <v>18.53</v>
      </c>
      <c r="F923" s="1">
        <f>IFERROR(__xludf.DUMMYFUNCTION("""COMPUTED_VALUE"""),354796.0)</f>
        <v>354796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IFERROR(__xludf.DUMMYFUNCTION("""COMPUTED_VALUE"""),18.74)</f>
        <v>18.74</v>
      </c>
      <c r="C924" s="1">
        <f>IFERROR(__xludf.DUMMYFUNCTION("""COMPUTED_VALUE"""),18.76)</f>
        <v>18.76</v>
      </c>
      <c r="D924" s="1">
        <f>IFERROR(__xludf.DUMMYFUNCTION("""COMPUTED_VALUE"""),18.35)</f>
        <v>18.35</v>
      </c>
      <c r="E924" s="1">
        <f>IFERROR(__xludf.DUMMYFUNCTION("""COMPUTED_VALUE"""),18.45)</f>
        <v>18.45</v>
      </c>
      <c r="F924" s="1">
        <f>IFERROR(__xludf.DUMMYFUNCTION("""COMPUTED_VALUE"""),470255.0)</f>
        <v>470255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IFERROR(__xludf.DUMMYFUNCTION("""COMPUTED_VALUE"""),18.4)</f>
        <v>18.4</v>
      </c>
      <c r="C925" s="1">
        <f>IFERROR(__xludf.DUMMYFUNCTION("""COMPUTED_VALUE"""),18.67)</f>
        <v>18.67</v>
      </c>
      <c r="D925" s="1">
        <f>IFERROR(__xludf.DUMMYFUNCTION("""COMPUTED_VALUE"""),18.36)</f>
        <v>18.36</v>
      </c>
      <c r="E925" s="1">
        <f>IFERROR(__xludf.DUMMYFUNCTION("""COMPUTED_VALUE"""),18.5)</f>
        <v>18.5</v>
      </c>
      <c r="F925" s="1">
        <f>IFERROR(__xludf.DUMMYFUNCTION("""COMPUTED_VALUE"""),448615.0)</f>
        <v>448615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IFERROR(__xludf.DUMMYFUNCTION("""COMPUTED_VALUE"""),18.5)</f>
        <v>18.5</v>
      </c>
      <c r="C926" s="1">
        <f>IFERROR(__xludf.DUMMYFUNCTION("""COMPUTED_VALUE"""),18.63)</f>
        <v>18.63</v>
      </c>
      <c r="D926" s="1">
        <f>IFERROR(__xludf.DUMMYFUNCTION("""COMPUTED_VALUE"""),18.44)</f>
        <v>18.44</v>
      </c>
      <c r="E926" s="1">
        <f>IFERROR(__xludf.DUMMYFUNCTION("""COMPUTED_VALUE"""),18.55)</f>
        <v>18.55</v>
      </c>
      <c r="F926" s="1">
        <f>IFERROR(__xludf.DUMMYFUNCTION("""COMPUTED_VALUE"""),383505.0)</f>
        <v>383505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IFERROR(__xludf.DUMMYFUNCTION("""COMPUTED_VALUE"""),18.56)</f>
        <v>18.56</v>
      </c>
      <c r="C927" s="1">
        <f>IFERROR(__xludf.DUMMYFUNCTION("""COMPUTED_VALUE"""),18.9)</f>
        <v>18.9</v>
      </c>
      <c r="D927" s="1">
        <f>IFERROR(__xludf.DUMMYFUNCTION("""COMPUTED_VALUE"""),18.49)</f>
        <v>18.49</v>
      </c>
      <c r="E927" s="1">
        <f>IFERROR(__xludf.DUMMYFUNCTION("""COMPUTED_VALUE"""),18.82)</f>
        <v>18.82</v>
      </c>
      <c r="F927" s="1">
        <f>IFERROR(__xludf.DUMMYFUNCTION("""COMPUTED_VALUE"""),478909.0)</f>
        <v>478909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IFERROR(__xludf.DUMMYFUNCTION("""COMPUTED_VALUE"""),18.85)</f>
        <v>18.85</v>
      </c>
      <c r="C928" s="1">
        <f>IFERROR(__xludf.DUMMYFUNCTION("""COMPUTED_VALUE"""),19.32)</f>
        <v>19.32</v>
      </c>
      <c r="D928" s="1">
        <f>IFERROR(__xludf.DUMMYFUNCTION("""COMPUTED_VALUE"""),18.81)</f>
        <v>18.81</v>
      </c>
      <c r="E928" s="1">
        <f>IFERROR(__xludf.DUMMYFUNCTION("""COMPUTED_VALUE"""),19.18)</f>
        <v>19.18</v>
      </c>
      <c r="F928" s="1">
        <f>IFERROR(__xludf.DUMMYFUNCTION("""COMPUTED_VALUE"""),745806.0)</f>
        <v>745806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IFERROR(__xludf.DUMMYFUNCTION("""COMPUTED_VALUE"""),19.37)</f>
        <v>19.37</v>
      </c>
      <c r="C929" s="1">
        <f>IFERROR(__xludf.DUMMYFUNCTION("""COMPUTED_VALUE"""),19.88)</f>
        <v>19.88</v>
      </c>
      <c r="D929" s="1">
        <f>IFERROR(__xludf.DUMMYFUNCTION("""COMPUTED_VALUE"""),19.34)</f>
        <v>19.34</v>
      </c>
      <c r="E929" s="1">
        <f>IFERROR(__xludf.DUMMYFUNCTION("""COMPUTED_VALUE"""),19.88)</f>
        <v>19.88</v>
      </c>
      <c r="F929" s="1">
        <f>IFERROR(__xludf.DUMMYFUNCTION("""COMPUTED_VALUE"""),984008.0)</f>
        <v>984008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IFERROR(__xludf.DUMMYFUNCTION("""COMPUTED_VALUE"""),19.83)</f>
        <v>19.83</v>
      </c>
      <c r="C930" s="1">
        <f>IFERROR(__xludf.DUMMYFUNCTION("""COMPUTED_VALUE"""),19.92)</f>
        <v>19.92</v>
      </c>
      <c r="D930" s="1">
        <f>IFERROR(__xludf.DUMMYFUNCTION("""COMPUTED_VALUE"""),19.63)</f>
        <v>19.63</v>
      </c>
      <c r="E930" s="1">
        <f>IFERROR(__xludf.DUMMYFUNCTION("""COMPUTED_VALUE"""),19.75)</f>
        <v>19.75</v>
      </c>
      <c r="F930" s="1">
        <f>IFERROR(__xludf.DUMMYFUNCTION("""COMPUTED_VALUE"""),526827.0)</f>
        <v>526827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IFERROR(__xludf.DUMMYFUNCTION("""COMPUTED_VALUE"""),19.7)</f>
        <v>19.7</v>
      </c>
      <c r="C931" s="1">
        <f>IFERROR(__xludf.DUMMYFUNCTION("""COMPUTED_VALUE"""),20.2)</f>
        <v>20.2</v>
      </c>
      <c r="D931" s="1">
        <f>IFERROR(__xludf.DUMMYFUNCTION("""COMPUTED_VALUE"""),19.65)</f>
        <v>19.65</v>
      </c>
      <c r="E931" s="1">
        <f>IFERROR(__xludf.DUMMYFUNCTION("""COMPUTED_VALUE"""),19.99)</f>
        <v>19.99</v>
      </c>
      <c r="F931" s="1">
        <f>IFERROR(__xludf.DUMMYFUNCTION("""COMPUTED_VALUE"""),572645.0)</f>
        <v>572645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IFERROR(__xludf.DUMMYFUNCTION("""COMPUTED_VALUE"""),19.97)</f>
        <v>19.97</v>
      </c>
      <c r="C932" s="1">
        <f>IFERROR(__xludf.DUMMYFUNCTION("""COMPUTED_VALUE"""),20.0)</f>
        <v>20</v>
      </c>
      <c r="D932" s="1">
        <f>IFERROR(__xludf.DUMMYFUNCTION("""COMPUTED_VALUE"""),19.7)</f>
        <v>19.7</v>
      </c>
      <c r="E932" s="1">
        <f>IFERROR(__xludf.DUMMYFUNCTION("""COMPUTED_VALUE"""),19.91)</f>
        <v>19.91</v>
      </c>
      <c r="F932" s="1">
        <f>IFERROR(__xludf.DUMMYFUNCTION("""COMPUTED_VALUE"""),563020.0)</f>
        <v>563020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IFERROR(__xludf.DUMMYFUNCTION("""COMPUTED_VALUE"""),20.06)</f>
        <v>20.06</v>
      </c>
      <c r="C933" s="1">
        <f>IFERROR(__xludf.DUMMYFUNCTION("""COMPUTED_VALUE"""),20.07)</f>
        <v>20.07</v>
      </c>
      <c r="D933" s="1">
        <f>IFERROR(__xludf.DUMMYFUNCTION("""COMPUTED_VALUE"""),19.69)</f>
        <v>19.69</v>
      </c>
      <c r="E933" s="1">
        <f>IFERROR(__xludf.DUMMYFUNCTION("""COMPUTED_VALUE"""),20.0)</f>
        <v>20</v>
      </c>
      <c r="F933" s="1">
        <f>IFERROR(__xludf.DUMMYFUNCTION("""COMPUTED_VALUE"""),618346.0)</f>
        <v>618346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IFERROR(__xludf.DUMMYFUNCTION("""COMPUTED_VALUE"""),20.07)</f>
        <v>20.07</v>
      </c>
      <c r="C934" s="1">
        <f>IFERROR(__xludf.DUMMYFUNCTION("""COMPUTED_VALUE"""),20.41)</f>
        <v>20.41</v>
      </c>
      <c r="D934" s="1">
        <f>IFERROR(__xludf.DUMMYFUNCTION("""COMPUTED_VALUE"""),20.0)</f>
        <v>20</v>
      </c>
      <c r="E934" s="1">
        <f>IFERROR(__xludf.DUMMYFUNCTION("""COMPUTED_VALUE"""),20.2)</f>
        <v>20.2</v>
      </c>
      <c r="F934" s="1">
        <f>IFERROR(__xludf.DUMMYFUNCTION("""COMPUTED_VALUE"""),485345.0)</f>
        <v>485345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IFERROR(__xludf.DUMMYFUNCTION("""COMPUTED_VALUE"""),20.15)</f>
        <v>20.15</v>
      </c>
      <c r="C935" s="1">
        <f>IFERROR(__xludf.DUMMYFUNCTION("""COMPUTED_VALUE"""),20.51)</f>
        <v>20.51</v>
      </c>
      <c r="D935" s="1">
        <f>IFERROR(__xludf.DUMMYFUNCTION("""COMPUTED_VALUE"""),20.04)</f>
        <v>20.04</v>
      </c>
      <c r="E935" s="1">
        <f>IFERROR(__xludf.DUMMYFUNCTION("""COMPUTED_VALUE"""),20.48)</f>
        <v>20.48</v>
      </c>
      <c r="F935" s="1">
        <f>IFERROR(__xludf.DUMMYFUNCTION("""COMPUTED_VALUE"""),415841.0)</f>
        <v>415841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IFERROR(__xludf.DUMMYFUNCTION("""COMPUTED_VALUE"""),20.6)</f>
        <v>20.6</v>
      </c>
      <c r="C936" s="1">
        <f>IFERROR(__xludf.DUMMYFUNCTION("""COMPUTED_VALUE"""),21.0)</f>
        <v>21</v>
      </c>
      <c r="D936" s="1">
        <f>IFERROR(__xludf.DUMMYFUNCTION("""COMPUTED_VALUE"""),20.55)</f>
        <v>20.55</v>
      </c>
      <c r="E936" s="1">
        <f>IFERROR(__xludf.DUMMYFUNCTION("""COMPUTED_VALUE"""),20.95)</f>
        <v>20.95</v>
      </c>
      <c r="F936" s="1">
        <f>IFERROR(__xludf.DUMMYFUNCTION("""COMPUTED_VALUE"""),434102.0)</f>
        <v>434102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IFERROR(__xludf.DUMMYFUNCTION("""COMPUTED_VALUE"""),20.96)</f>
        <v>20.96</v>
      </c>
      <c r="C937" s="1">
        <f>IFERROR(__xludf.DUMMYFUNCTION("""COMPUTED_VALUE"""),20.99)</f>
        <v>20.99</v>
      </c>
      <c r="D937" s="1">
        <f>IFERROR(__xludf.DUMMYFUNCTION("""COMPUTED_VALUE"""),20.39)</f>
        <v>20.39</v>
      </c>
      <c r="E937" s="1">
        <f>IFERROR(__xludf.DUMMYFUNCTION("""COMPUTED_VALUE"""),20.45)</f>
        <v>20.45</v>
      </c>
      <c r="F937" s="1">
        <f>IFERROR(__xludf.DUMMYFUNCTION("""COMPUTED_VALUE"""),723273.0)</f>
        <v>723273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IFERROR(__xludf.DUMMYFUNCTION("""COMPUTED_VALUE"""),20.48)</f>
        <v>20.48</v>
      </c>
      <c r="C938" s="1">
        <f>IFERROR(__xludf.DUMMYFUNCTION("""COMPUTED_VALUE"""),20.58)</f>
        <v>20.58</v>
      </c>
      <c r="D938" s="1">
        <f>IFERROR(__xludf.DUMMYFUNCTION("""COMPUTED_VALUE"""),20.23)</f>
        <v>20.23</v>
      </c>
      <c r="E938" s="1">
        <f>IFERROR(__xludf.DUMMYFUNCTION("""COMPUTED_VALUE"""),20.48)</f>
        <v>20.48</v>
      </c>
      <c r="F938" s="1">
        <f>IFERROR(__xludf.DUMMYFUNCTION("""COMPUTED_VALUE"""),681673.0)</f>
        <v>681673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IFERROR(__xludf.DUMMYFUNCTION("""COMPUTED_VALUE"""),20.42)</f>
        <v>20.42</v>
      </c>
      <c r="C939" s="1">
        <f>IFERROR(__xludf.DUMMYFUNCTION("""COMPUTED_VALUE"""),20.6)</f>
        <v>20.6</v>
      </c>
      <c r="D939" s="1">
        <f>IFERROR(__xludf.DUMMYFUNCTION("""COMPUTED_VALUE"""),20.25)</f>
        <v>20.25</v>
      </c>
      <c r="E939" s="1">
        <f>IFERROR(__xludf.DUMMYFUNCTION("""COMPUTED_VALUE"""),20.25)</f>
        <v>20.25</v>
      </c>
      <c r="F939" s="1">
        <f>IFERROR(__xludf.DUMMYFUNCTION("""COMPUTED_VALUE"""),818829.0)</f>
        <v>818829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IFERROR(__xludf.DUMMYFUNCTION("""COMPUTED_VALUE"""),20.19)</f>
        <v>20.19</v>
      </c>
      <c r="C940" s="1">
        <f>IFERROR(__xludf.DUMMYFUNCTION("""COMPUTED_VALUE"""),20.53)</f>
        <v>20.53</v>
      </c>
      <c r="D940" s="1">
        <f>IFERROR(__xludf.DUMMYFUNCTION("""COMPUTED_VALUE"""),20.19)</f>
        <v>20.19</v>
      </c>
      <c r="E940" s="1">
        <f>IFERROR(__xludf.DUMMYFUNCTION("""COMPUTED_VALUE"""),20.34)</f>
        <v>20.34</v>
      </c>
      <c r="F940" s="1">
        <f>IFERROR(__xludf.DUMMYFUNCTION("""COMPUTED_VALUE"""),494698.0)</f>
        <v>494698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IFERROR(__xludf.DUMMYFUNCTION("""COMPUTED_VALUE"""),20.35)</f>
        <v>20.35</v>
      </c>
      <c r="C941" s="1">
        <f>IFERROR(__xludf.DUMMYFUNCTION("""COMPUTED_VALUE"""),20.55)</f>
        <v>20.55</v>
      </c>
      <c r="D941" s="1">
        <f>IFERROR(__xludf.DUMMYFUNCTION("""COMPUTED_VALUE"""),20.33)</f>
        <v>20.33</v>
      </c>
      <c r="E941" s="1">
        <f>IFERROR(__xludf.DUMMYFUNCTION("""COMPUTED_VALUE"""),20.5)</f>
        <v>20.5</v>
      </c>
      <c r="F941" s="1">
        <f>IFERROR(__xludf.DUMMYFUNCTION("""COMPUTED_VALUE"""),402336.0)</f>
        <v>402336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IFERROR(__xludf.DUMMYFUNCTION("""COMPUTED_VALUE"""),20.44)</f>
        <v>20.44</v>
      </c>
      <c r="C942" s="1">
        <f>IFERROR(__xludf.DUMMYFUNCTION("""COMPUTED_VALUE"""),20.56)</f>
        <v>20.56</v>
      </c>
      <c r="D942" s="1">
        <f>IFERROR(__xludf.DUMMYFUNCTION("""COMPUTED_VALUE"""),20.25)</f>
        <v>20.25</v>
      </c>
      <c r="E942" s="1">
        <f>IFERROR(__xludf.DUMMYFUNCTION("""COMPUTED_VALUE"""),20.25)</f>
        <v>20.25</v>
      </c>
      <c r="F942" s="1">
        <f>IFERROR(__xludf.DUMMYFUNCTION("""COMPUTED_VALUE"""),438743.0)</f>
        <v>438743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IFERROR(__xludf.DUMMYFUNCTION("""COMPUTED_VALUE"""),20.24)</f>
        <v>20.24</v>
      </c>
      <c r="C943" s="1">
        <f>IFERROR(__xludf.DUMMYFUNCTION("""COMPUTED_VALUE"""),20.43)</f>
        <v>20.43</v>
      </c>
      <c r="D943" s="1">
        <f>IFERROR(__xludf.DUMMYFUNCTION("""COMPUTED_VALUE"""),20.05)</f>
        <v>20.05</v>
      </c>
      <c r="E943" s="1">
        <f>IFERROR(__xludf.DUMMYFUNCTION("""COMPUTED_VALUE"""),20.18)</f>
        <v>20.18</v>
      </c>
      <c r="F943" s="1">
        <f>IFERROR(__xludf.DUMMYFUNCTION("""COMPUTED_VALUE"""),560106.0)</f>
        <v>560106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IFERROR(__xludf.DUMMYFUNCTION("""COMPUTED_VALUE"""),20.27)</f>
        <v>20.27</v>
      </c>
      <c r="C944" s="1">
        <f>IFERROR(__xludf.DUMMYFUNCTION("""COMPUTED_VALUE"""),20.52)</f>
        <v>20.52</v>
      </c>
      <c r="D944" s="1">
        <f>IFERROR(__xludf.DUMMYFUNCTION("""COMPUTED_VALUE"""),20.23)</f>
        <v>20.23</v>
      </c>
      <c r="E944" s="1">
        <f>IFERROR(__xludf.DUMMYFUNCTION("""COMPUTED_VALUE"""),20.46)</f>
        <v>20.46</v>
      </c>
      <c r="F944" s="1">
        <f>IFERROR(__xludf.DUMMYFUNCTION("""COMPUTED_VALUE"""),362184.0)</f>
        <v>362184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IFERROR(__xludf.DUMMYFUNCTION("""COMPUTED_VALUE"""),20.42)</f>
        <v>20.42</v>
      </c>
      <c r="C945" s="1">
        <f>IFERROR(__xludf.DUMMYFUNCTION("""COMPUTED_VALUE"""),20.5)</f>
        <v>20.5</v>
      </c>
      <c r="D945" s="1">
        <f>IFERROR(__xludf.DUMMYFUNCTION("""COMPUTED_VALUE"""),20.29)</f>
        <v>20.29</v>
      </c>
      <c r="E945" s="1">
        <f>IFERROR(__xludf.DUMMYFUNCTION("""COMPUTED_VALUE"""),20.33)</f>
        <v>20.33</v>
      </c>
      <c r="F945" s="1">
        <f>IFERROR(__xludf.DUMMYFUNCTION("""COMPUTED_VALUE"""),292788.0)</f>
        <v>292788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IFERROR(__xludf.DUMMYFUNCTION("""COMPUTED_VALUE"""),20.3)</f>
        <v>20.3</v>
      </c>
      <c r="C946" s="1">
        <f>IFERROR(__xludf.DUMMYFUNCTION("""COMPUTED_VALUE"""),20.33)</f>
        <v>20.33</v>
      </c>
      <c r="D946" s="1">
        <f>IFERROR(__xludf.DUMMYFUNCTION("""COMPUTED_VALUE"""),19.59)</f>
        <v>19.59</v>
      </c>
      <c r="E946" s="1">
        <f>IFERROR(__xludf.DUMMYFUNCTION("""COMPUTED_VALUE"""),19.78)</f>
        <v>19.78</v>
      </c>
      <c r="F946" s="1">
        <f>IFERROR(__xludf.DUMMYFUNCTION("""COMPUTED_VALUE"""),571051.0)</f>
        <v>571051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IFERROR(__xludf.DUMMYFUNCTION("""COMPUTED_VALUE"""),19.76)</f>
        <v>19.76</v>
      </c>
      <c r="C947" s="1">
        <f>IFERROR(__xludf.DUMMYFUNCTION("""COMPUTED_VALUE"""),20.17)</f>
        <v>20.17</v>
      </c>
      <c r="D947" s="1">
        <f>IFERROR(__xludf.DUMMYFUNCTION("""COMPUTED_VALUE"""),19.72)</f>
        <v>19.72</v>
      </c>
      <c r="E947" s="1">
        <f>IFERROR(__xludf.DUMMYFUNCTION("""COMPUTED_VALUE"""),20.13)</f>
        <v>20.13</v>
      </c>
      <c r="F947" s="1">
        <f>IFERROR(__xludf.DUMMYFUNCTION("""COMPUTED_VALUE"""),385875.0)</f>
        <v>385875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IFERROR(__xludf.DUMMYFUNCTION("""COMPUTED_VALUE"""),19.94)</f>
        <v>19.94</v>
      </c>
      <c r="C948" s="1">
        <f>IFERROR(__xludf.DUMMYFUNCTION("""COMPUTED_VALUE"""),20.08)</f>
        <v>20.08</v>
      </c>
      <c r="D948" s="1">
        <f>IFERROR(__xludf.DUMMYFUNCTION("""COMPUTED_VALUE"""),19.88)</f>
        <v>19.88</v>
      </c>
      <c r="E948" s="1">
        <f>IFERROR(__xludf.DUMMYFUNCTION("""COMPUTED_VALUE"""),20.0)</f>
        <v>20</v>
      </c>
      <c r="F948" s="1">
        <f>IFERROR(__xludf.DUMMYFUNCTION("""COMPUTED_VALUE"""),456710.0)</f>
        <v>456710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IFERROR(__xludf.DUMMYFUNCTION("""COMPUTED_VALUE"""),19.71)</f>
        <v>19.71</v>
      </c>
      <c r="C949" s="1">
        <f>IFERROR(__xludf.DUMMYFUNCTION("""COMPUTED_VALUE"""),19.71)</f>
        <v>19.71</v>
      </c>
      <c r="D949" s="1">
        <f>IFERROR(__xludf.DUMMYFUNCTION("""COMPUTED_VALUE"""),18.99)</f>
        <v>18.99</v>
      </c>
      <c r="E949" s="1">
        <f>IFERROR(__xludf.DUMMYFUNCTION("""COMPUTED_VALUE"""),19.23)</f>
        <v>19.23</v>
      </c>
      <c r="F949" s="1">
        <f>IFERROR(__xludf.DUMMYFUNCTION("""COMPUTED_VALUE"""),1369489.0)</f>
        <v>1369489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IFERROR(__xludf.DUMMYFUNCTION("""COMPUTED_VALUE"""),19.17)</f>
        <v>19.17</v>
      </c>
      <c r="C950" s="1">
        <f>IFERROR(__xludf.DUMMYFUNCTION("""COMPUTED_VALUE"""),19.17)</f>
        <v>19.17</v>
      </c>
      <c r="D950" s="1">
        <f>IFERROR(__xludf.DUMMYFUNCTION("""COMPUTED_VALUE"""),18.15)</f>
        <v>18.15</v>
      </c>
      <c r="E950" s="1">
        <f>IFERROR(__xludf.DUMMYFUNCTION("""COMPUTED_VALUE"""),18.18)</f>
        <v>18.18</v>
      </c>
      <c r="F950" s="1">
        <f>IFERROR(__xludf.DUMMYFUNCTION("""COMPUTED_VALUE"""),2065158.0)</f>
        <v>2065158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IFERROR(__xludf.DUMMYFUNCTION("""COMPUTED_VALUE"""),18.35)</f>
        <v>18.35</v>
      </c>
      <c r="C951" s="1">
        <f>IFERROR(__xludf.DUMMYFUNCTION("""COMPUTED_VALUE"""),18.92)</f>
        <v>18.92</v>
      </c>
      <c r="D951" s="1">
        <f>IFERROR(__xludf.DUMMYFUNCTION("""COMPUTED_VALUE"""),18.33)</f>
        <v>18.33</v>
      </c>
      <c r="E951" s="1">
        <f>IFERROR(__xludf.DUMMYFUNCTION("""COMPUTED_VALUE"""),18.5)</f>
        <v>18.5</v>
      </c>
      <c r="F951" s="1">
        <f>IFERROR(__xludf.DUMMYFUNCTION("""COMPUTED_VALUE"""),1868666.0)</f>
        <v>1868666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IFERROR(__xludf.DUMMYFUNCTION("""COMPUTED_VALUE"""),18.51)</f>
        <v>18.51</v>
      </c>
      <c r="C952" s="1">
        <f>IFERROR(__xludf.DUMMYFUNCTION("""COMPUTED_VALUE"""),18.66)</f>
        <v>18.66</v>
      </c>
      <c r="D952" s="1">
        <f>IFERROR(__xludf.DUMMYFUNCTION("""COMPUTED_VALUE"""),18.4)</f>
        <v>18.4</v>
      </c>
      <c r="E952" s="1">
        <f>IFERROR(__xludf.DUMMYFUNCTION("""COMPUTED_VALUE"""),18.5)</f>
        <v>18.5</v>
      </c>
      <c r="F952" s="1">
        <f>IFERROR(__xludf.DUMMYFUNCTION("""COMPUTED_VALUE"""),784516.0)</f>
        <v>784516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IFERROR(__xludf.DUMMYFUNCTION("""COMPUTED_VALUE"""),18.48)</f>
        <v>18.48</v>
      </c>
      <c r="C953" s="1">
        <f>IFERROR(__xludf.DUMMYFUNCTION("""COMPUTED_VALUE"""),18.48)</f>
        <v>18.48</v>
      </c>
      <c r="D953" s="1">
        <f>IFERROR(__xludf.DUMMYFUNCTION("""COMPUTED_VALUE"""),18.29)</f>
        <v>18.29</v>
      </c>
      <c r="E953" s="1">
        <f>IFERROR(__xludf.DUMMYFUNCTION("""COMPUTED_VALUE"""),18.32)</f>
        <v>18.32</v>
      </c>
      <c r="F953" s="1">
        <f>IFERROR(__xludf.DUMMYFUNCTION("""COMPUTED_VALUE"""),551052.0)</f>
        <v>551052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IFERROR(__xludf.DUMMYFUNCTION("""COMPUTED_VALUE"""),18.33)</f>
        <v>18.33</v>
      </c>
      <c r="C954" s="1">
        <f>IFERROR(__xludf.DUMMYFUNCTION("""COMPUTED_VALUE"""),18.52)</f>
        <v>18.52</v>
      </c>
      <c r="D954" s="1">
        <f>IFERROR(__xludf.DUMMYFUNCTION("""COMPUTED_VALUE"""),18.08)</f>
        <v>18.08</v>
      </c>
      <c r="E954" s="1">
        <f>IFERROR(__xludf.DUMMYFUNCTION("""COMPUTED_VALUE"""),18.35)</f>
        <v>18.35</v>
      </c>
      <c r="F954" s="1">
        <f>IFERROR(__xludf.DUMMYFUNCTION("""COMPUTED_VALUE"""),2607800.0)</f>
        <v>2607800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IFERROR(__xludf.DUMMYFUNCTION("""COMPUTED_VALUE"""),18.47)</f>
        <v>18.47</v>
      </c>
      <c r="C955" s="1">
        <f>IFERROR(__xludf.DUMMYFUNCTION("""COMPUTED_VALUE"""),18.48)</f>
        <v>18.48</v>
      </c>
      <c r="D955" s="1">
        <f>IFERROR(__xludf.DUMMYFUNCTION("""COMPUTED_VALUE"""),18.2)</f>
        <v>18.2</v>
      </c>
      <c r="E955" s="1">
        <f>IFERROR(__xludf.DUMMYFUNCTION("""COMPUTED_VALUE"""),18.45)</f>
        <v>18.45</v>
      </c>
      <c r="F955" s="1">
        <f>IFERROR(__xludf.DUMMYFUNCTION("""COMPUTED_VALUE"""),471486.0)</f>
        <v>471486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IFERROR(__xludf.DUMMYFUNCTION("""COMPUTED_VALUE"""),18.45)</f>
        <v>18.45</v>
      </c>
      <c r="C956" s="1">
        <f>IFERROR(__xludf.DUMMYFUNCTION("""COMPUTED_VALUE"""),19.01)</f>
        <v>19.01</v>
      </c>
      <c r="D956" s="1">
        <f>IFERROR(__xludf.DUMMYFUNCTION("""COMPUTED_VALUE"""),18.39)</f>
        <v>18.39</v>
      </c>
      <c r="E956" s="1">
        <f>IFERROR(__xludf.DUMMYFUNCTION("""COMPUTED_VALUE"""),18.89)</f>
        <v>18.89</v>
      </c>
      <c r="F956" s="1">
        <f>IFERROR(__xludf.DUMMYFUNCTION("""COMPUTED_VALUE"""),550663.0)</f>
        <v>550663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IFERROR(__xludf.DUMMYFUNCTION("""COMPUTED_VALUE"""),18.89)</f>
        <v>18.89</v>
      </c>
      <c r="C957" s="1">
        <f>IFERROR(__xludf.DUMMYFUNCTION("""COMPUTED_VALUE"""),19.18)</f>
        <v>19.18</v>
      </c>
      <c r="D957" s="1">
        <f>IFERROR(__xludf.DUMMYFUNCTION("""COMPUTED_VALUE"""),18.85)</f>
        <v>18.85</v>
      </c>
      <c r="E957" s="1">
        <f>IFERROR(__xludf.DUMMYFUNCTION("""COMPUTED_VALUE"""),19.13)</f>
        <v>19.13</v>
      </c>
      <c r="F957" s="1">
        <f>IFERROR(__xludf.DUMMYFUNCTION("""COMPUTED_VALUE"""),886961.0)</f>
        <v>886961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IFERROR(__xludf.DUMMYFUNCTION("""COMPUTED_VALUE"""),19.17)</f>
        <v>19.17</v>
      </c>
      <c r="C958" s="1">
        <f>IFERROR(__xludf.DUMMYFUNCTION("""COMPUTED_VALUE"""),19.56)</f>
        <v>19.56</v>
      </c>
      <c r="D958" s="1">
        <f>IFERROR(__xludf.DUMMYFUNCTION("""COMPUTED_VALUE"""),19.07)</f>
        <v>19.07</v>
      </c>
      <c r="E958" s="1">
        <f>IFERROR(__xludf.DUMMYFUNCTION("""COMPUTED_VALUE"""),19.21)</f>
        <v>19.21</v>
      </c>
      <c r="F958" s="1">
        <f>IFERROR(__xludf.DUMMYFUNCTION("""COMPUTED_VALUE"""),1041458.0)</f>
        <v>1041458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IFERROR(__xludf.DUMMYFUNCTION("""COMPUTED_VALUE"""),19.25)</f>
        <v>19.25</v>
      </c>
      <c r="C959" s="1">
        <f>IFERROR(__xludf.DUMMYFUNCTION("""COMPUTED_VALUE"""),19.27)</f>
        <v>19.27</v>
      </c>
      <c r="D959" s="1">
        <f>IFERROR(__xludf.DUMMYFUNCTION("""COMPUTED_VALUE"""),18.76)</f>
        <v>18.76</v>
      </c>
      <c r="E959" s="1">
        <f>IFERROR(__xludf.DUMMYFUNCTION("""COMPUTED_VALUE"""),18.81)</f>
        <v>18.81</v>
      </c>
      <c r="F959" s="1">
        <f>IFERROR(__xludf.DUMMYFUNCTION("""COMPUTED_VALUE"""),641115.0)</f>
        <v>641115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IFERROR(__xludf.DUMMYFUNCTION("""COMPUTED_VALUE"""),18.66)</f>
        <v>18.66</v>
      </c>
      <c r="C960" s="1">
        <f>IFERROR(__xludf.DUMMYFUNCTION("""COMPUTED_VALUE"""),18.74)</f>
        <v>18.74</v>
      </c>
      <c r="D960" s="1">
        <f>IFERROR(__xludf.DUMMYFUNCTION("""COMPUTED_VALUE"""),18.16)</f>
        <v>18.16</v>
      </c>
      <c r="E960" s="1">
        <f>IFERROR(__xludf.DUMMYFUNCTION("""COMPUTED_VALUE"""),18.55)</f>
        <v>18.55</v>
      </c>
      <c r="F960" s="1">
        <f>IFERROR(__xludf.DUMMYFUNCTION("""COMPUTED_VALUE"""),828664.0)</f>
        <v>828664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IFERROR(__xludf.DUMMYFUNCTION("""COMPUTED_VALUE"""),19.09)</f>
        <v>19.09</v>
      </c>
      <c r="C961" s="1">
        <f>IFERROR(__xludf.DUMMYFUNCTION("""COMPUTED_VALUE"""),19.52)</f>
        <v>19.52</v>
      </c>
      <c r="D961" s="1">
        <f>IFERROR(__xludf.DUMMYFUNCTION("""COMPUTED_VALUE"""),18.67)</f>
        <v>18.67</v>
      </c>
      <c r="E961" s="1">
        <f>IFERROR(__xludf.DUMMYFUNCTION("""COMPUTED_VALUE"""),19.39)</f>
        <v>19.39</v>
      </c>
      <c r="F961" s="1">
        <f>IFERROR(__xludf.DUMMYFUNCTION("""COMPUTED_VALUE"""),1457814.0)</f>
        <v>1457814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IFERROR(__xludf.DUMMYFUNCTION("""COMPUTED_VALUE"""),19.44)</f>
        <v>19.44</v>
      </c>
      <c r="C962" s="1">
        <f>IFERROR(__xludf.DUMMYFUNCTION("""COMPUTED_VALUE"""),19.65)</f>
        <v>19.65</v>
      </c>
      <c r="D962" s="1">
        <f>IFERROR(__xludf.DUMMYFUNCTION("""COMPUTED_VALUE"""),19.34)</f>
        <v>19.34</v>
      </c>
      <c r="E962" s="1">
        <f>IFERROR(__xludf.DUMMYFUNCTION("""COMPUTED_VALUE"""),19.64)</f>
        <v>19.64</v>
      </c>
      <c r="F962" s="1">
        <f>IFERROR(__xludf.DUMMYFUNCTION("""COMPUTED_VALUE"""),486041.0)</f>
        <v>486041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IFERROR(__xludf.DUMMYFUNCTION("""COMPUTED_VALUE"""),19.67)</f>
        <v>19.67</v>
      </c>
      <c r="C963" s="1">
        <f>IFERROR(__xludf.DUMMYFUNCTION("""COMPUTED_VALUE"""),19.89)</f>
        <v>19.89</v>
      </c>
      <c r="D963" s="1">
        <f>IFERROR(__xludf.DUMMYFUNCTION("""COMPUTED_VALUE"""),19.64)</f>
        <v>19.64</v>
      </c>
      <c r="E963" s="1">
        <f>IFERROR(__xludf.DUMMYFUNCTION("""COMPUTED_VALUE"""),19.72)</f>
        <v>19.72</v>
      </c>
      <c r="F963" s="1">
        <f>IFERROR(__xludf.DUMMYFUNCTION("""COMPUTED_VALUE"""),508847.0)</f>
        <v>508847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IFERROR(__xludf.DUMMYFUNCTION("""COMPUTED_VALUE"""),19.74)</f>
        <v>19.74</v>
      </c>
      <c r="C964" s="1">
        <f>IFERROR(__xludf.DUMMYFUNCTION("""COMPUTED_VALUE"""),20.05)</f>
        <v>20.05</v>
      </c>
      <c r="D964" s="1">
        <f>IFERROR(__xludf.DUMMYFUNCTION("""COMPUTED_VALUE"""),19.73)</f>
        <v>19.73</v>
      </c>
      <c r="E964" s="1">
        <f>IFERROR(__xludf.DUMMYFUNCTION("""COMPUTED_VALUE"""),20.01)</f>
        <v>20.01</v>
      </c>
      <c r="F964" s="1">
        <f>IFERROR(__xludf.DUMMYFUNCTION("""COMPUTED_VALUE"""),536991.0)</f>
        <v>536991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IFERROR(__xludf.DUMMYFUNCTION("""COMPUTED_VALUE"""),20.08)</f>
        <v>20.08</v>
      </c>
      <c r="C965" s="1">
        <f>IFERROR(__xludf.DUMMYFUNCTION("""COMPUTED_VALUE"""),20.19)</f>
        <v>20.19</v>
      </c>
      <c r="D965" s="1">
        <f>IFERROR(__xludf.DUMMYFUNCTION("""COMPUTED_VALUE"""),19.7)</f>
        <v>19.7</v>
      </c>
      <c r="E965" s="1">
        <f>IFERROR(__xludf.DUMMYFUNCTION("""COMPUTED_VALUE"""),19.83)</f>
        <v>19.83</v>
      </c>
      <c r="F965" s="1">
        <f>IFERROR(__xludf.DUMMYFUNCTION("""COMPUTED_VALUE"""),440346.0)</f>
        <v>440346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IFERROR(__xludf.DUMMYFUNCTION("""COMPUTED_VALUE"""),19.85)</f>
        <v>19.85</v>
      </c>
      <c r="C966" s="1">
        <f>IFERROR(__xludf.DUMMYFUNCTION("""COMPUTED_VALUE"""),19.98)</f>
        <v>19.98</v>
      </c>
      <c r="D966" s="1">
        <f>IFERROR(__xludf.DUMMYFUNCTION("""COMPUTED_VALUE"""),19.64)</f>
        <v>19.64</v>
      </c>
      <c r="E966" s="1">
        <f>IFERROR(__xludf.DUMMYFUNCTION("""COMPUTED_VALUE"""),19.8)</f>
        <v>19.8</v>
      </c>
      <c r="F966" s="1">
        <f>IFERROR(__xludf.DUMMYFUNCTION("""COMPUTED_VALUE"""),480353.0)</f>
        <v>480353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IFERROR(__xludf.DUMMYFUNCTION("""COMPUTED_VALUE"""),19.82)</f>
        <v>19.82</v>
      </c>
      <c r="C967" s="1">
        <f>IFERROR(__xludf.DUMMYFUNCTION("""COMPUTED_VALUE"""),19.82)</f>
        <v>19.82</v>
      </c>
      <c r="D967" s="1">
        <f>IFERROR(__xludf.DUMMYFUNCTION("""COMPUTED_VALUE"""),19.39)</f>
        <v>19.39</v>
      </c>
      <c r="E967" s="1">
        <f>IFERROR(__xludf.DUMMYFUNCTION("""COMPUTED_VALUE"""),19.57)</f>
        <v>19.57</v>
      </c>
      <c r="F967" s="1">
        <f>IFERROR(__xludf.DUMMYFUNCTION("""COMPUTED_VALUE"""),782111.0)</f>
        <v>782111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IFERROR(__xludf.DUMMYFUNCTION("""COMPUTED_VALUE"""),19.61)</f>
        <v>19.61</v>
      </c>
      <c r="C968" s="1">
        <f>IFERROR(__xludf.DUMMYFUNCTION("""COMPUTED_VALUE"""),19.63)</f>
        <v>19.63</v>
      </c>
      <c r="D968" s="1">
        <f>IFERROR(__xludf.DUMMYFUNCTION("""COMPUTED_VALUE"""),19.32)</f>
        <v>19.32</v>
      </c>
      <c r="E968" s="1">
        <f>IFERROR(__xludf.DUMMYFUNCTION("""COMPUTED_VALUE"""),19.51)</f>
        <v>19.51</v>
      </c>
      <c r="F968" s="1">
        <f>IFERROR(__xludf.DUMMYFUNCTION("""COMPUTED_VALUE"""),776750.0)</f>
        <v>776750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IFERROR(__xludf.DUMMYFUNCTION("""COMPUTED_VALUE"""),20.53)</f>
        <v>20.53</v>
      </c>
      <c r="C969" s="1">
        <f>IFERROR(__xludf.DUMMYFUNCTION("""COMPUTED_VALUE"""),21.69)</f>
        <v>21.69</v>
      </c>
      <c r="D969" s="1">
        <f>IFERROR(__xludf.DUMMYFUNCTION("""COMPUTED_VALUE"""),20.53)</f>
        <v>20.53</v>
      </c>
      <c r="E969" s="1">
        <f>IFERROR(__xludf.DUMMYFUNCTION("""COMPUTED_VALUE"""),20.79)</f>
        <v>20.79</v>
      </c>
      <c r="F969" s="1">
        <f>IFERROR(__xludf.DUMMYFUNCTION("""COMPUTED_VALUE"""),2039748.0)</f>
        <v>2039748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IFERROR(__xludf.DUMMYFUNCTION("""COMPUTED_VALUE"""),20.85)</f>
        <v>20.85</v>
      </c>
      <c r="C970" s="1">
        <f>IFERROR(__xludf.DUMMYFUNCTION("""COMPUTED_VALUE"""),20.89)</f>
        <v>20.89</v>
      </c>
      <c r="D970" s="1">
        <f>IFERROR(__xludf.DUMMYFUNCTION("""COMPUTED_VALUE"""),20.35)</f>
        <v>20.35</v>
      </c>
      <c r="E970" s="1">
        <f>IFERROR(__xludf.DUMMYFUNCTION("""COMPUTED_VALUE"""),20.53)</f>
        <v>20.53</v>
      </c>
      <c r="F970" s="1">
        <f>IFERROR(__xludf.DUMMYFUNCTION("""COMPUTED_VALUE"""),897211.0)</f>
        <v>897211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IFERROR(__xludf.DUMMYFUNCTION("""COMPUTED_VALUE"""),19.85)</f>
        <v>19.85</v>
      </c>
      <c r="C971" s="1">
        <f>IFERROR(__xludf.DUMMYFUNCTION("""COMPUTED_VALUE"""),20.04)</f>
        <v>20.04</v>
      </c>
      <c r="D971" s="1">
        <f>IFERROR(__xludf.DUMMYFUNCTION("""COMPUTED_VALUE"""),19.6)</f>
        <v>19.6</v>
      </c>
      <c r="E971" s="1">
        <f>IFERROR(__xludf.DUMMYFUNCTION("""COMPUTED_VALUE"""),19.76)</f>
        <v>19.76</v>
      </c>
      <c r="F971" s="1">
        <f>IFERROR(__xludf.DUMMYFUNCTION("""COMPUTED_VALUE"""),1242011.0)</f>
        <v>1242011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IFERROR(__xludf.DUMMYFUNCTION("""COMPUTED_VALUE"""),19.67)</f>
        <v>19.67</v>
      </c>
      <c r="C972" s="1">
        <f>IFERROR(__xludf.DUMMYFUNCTION("""COMPUTED_VALUE"""),20.24)</f>
        <v>20.24</v>
      </c>
      <c r="D972" s="1">
        <f>IFERROR(__xludf.DUMMYFUNCTION("""COMPUTED_VALUE"""),19.65)</f>
        <v>19.65</v>
      </c>
      <c r="E972" s="1">
        <f>IFERROR(__xludf.DUMMYFUNCTION("""COMPUTED_VALUE"""),20.08)</f>
        <v>20.08</v>
      </c>
      <c r="F972" s="1">
        <f>IFERROR(__xludf.DUMMYFUNCTION("""COMPUTED_VALUE"""),524527.0)</f>
        <v>524527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IFERROR(__xludf.DUMMYFUNCTION("""COMPUTED_VALUE"""),20.0)</f>
        <v>20</v>
      </c>
      <c r="C973" s="1">
        <f>IFERROR(__xludf.DUMMYFUNCTION("""COMPUTED_VALUE"""),20.01)</f>
        <v>20.01</v>
      </c>
      <c r="D973" s="1">
        <f>IFERROR(__xludf.DUMMYFUNCTION("""COMPUTED_VALUE"""),19.87)</f>
        <v>19.87</v>
      </c>
      <c r="E973" s="1">
        <f>IFERROR(__xludf.DUMMYFUNCTION("""COMPUTED_VALUE"""),19.98)</f>
        <v>19.98</v>
      </c>
      <c r="F973" s="1">
        <f>IFERROR(__xludf.DUMMYFUNCTION("""COMPUTED_VALUE"""),451482.0)</f>
        <v>451482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IFERROR(__xludf.DUMMYFUNCTION("""COMPUTED_VALUE"""),19.89)</f>
        <v>19.89</v>
      </c>
      <c r="C974" s="1">
        <f>IFERROR(__xludf.DUMMYFUNCTION("""COMPUTED_VALUE"""),20.27)</f>
        <v>20.27</v>
      </c>
      <c r="D974" s="1">
        <f>IFERROR(__xludf.DUMMYFUNCTION("""COMPUTED_VALUE"""),19.81)</f>
        <v>19.81</v>
      </c>
      <c r="E974" s="1">
        <f>IFERROR(__xludf.DUMMYFUNCTION("""COMPUTED_VALUE"""),20.19)</f>
        <v>20.19</v>
      </c>
      <c r="F974" s="1">
        <f>IFERROR(__xludf.DUMMYFUNCTION("""COMPUTED_VALUE"""),326876.0)</f>
        <v>326876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IFERROR(__xludf.DUMMYFUNCTION("""COMPUTED_VALUE"""),20.13)</f>
        <v>20.13</v>
      </c>
      <c r="C975" s="1">
        <f>IFERROR(__xludf.DUMMYFUNCTION("""COMPUTED_VALUE"""),20.51)</f>
        <v>20.51</v>
      </c>
      <c r="D975" s="1">
        <f>IFERROR(__xludf.DUMMYFUNCTION("""COMPUTED_VALUE"""),20.05)</f>
        <v>20.05</v>
      </c>
      <c r="E975" s="1">
        <f>IFERROR(__xludf.DUMMYFUNCTION("""COMPUTED_VALUE"""),20.49)</f>
        <v>20.49</v>
      </c>
      <c r="F975" s="1">
        <f>IFERROR(__xludf.DUMMYFUNCTION("""COMPUTED_VALUE"""),446291.0)</f>
        <v>446291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IFERROR(__xludf.DUMMYFUNCTION("""COMPUTED_VALUE"""),20.44)</f>
        <v>20.44</v>
      </c>
      <c r="C976" s="1">
        <f>IFERROR(__xludf.DUMMYFUNCTION("""COMPUTED_VALUE"""),20.91)</f>
        <v>20.91</v>
      </c>
      <c r="D976" s="1">
        <f>IFERROR(__xludf.DUMMYFUNCTION("""COMPUTED_VALUE"""),20.31)</f>
        <v>20.31</v>
      </c>
      <c r="E976" s="1">
        <f>IFERROR(__xludf.DUMMYFUNCTION("""COMPUTED_VALUE"""),20.85)</f>
        <v>20.85</v>
      </c>
      <c r="F976" s="1">
        <f>IFERROR(__xludf.DUMMYFUNCTION("""COMPUTED_VALUE"""),654345.0)</f>
        <v>654345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IFERROR(__xludf.DUMMYFUNCTION("""COMPUTED_VALUE"""),20.83)</f>
        <v>20.83</v>
      </c>
      <c r="C977" s="1">
        <f>IFERROR(__xludf.DUMMYFUNCTION("""COMPUTED_VALUE"""),21.05)</f>
        <v>21.05</v>
      </c>
      <c r="D977" s="1">
        <f>IFERROR(__xludf.DUMMYFUNCTION("""COMPUTED_VALUE"""),20.64)</f>
        <v>20.64</v>
      </c>
      <c r="E977" s="1">
        <f>IFERROR(__xludf.DUMMYFUNCTION("""COMPUTED_VALUE"""),20.97)</f>
        <v>20.97</v>
      </c>
      <c r="F977" s="1">
        <f>IFERROR(__xludf.DUMMYFUNCTION("""COMPUTED_VALUE"""),626797.0)</f>
        <v>626797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IFERROR(__xludf.DUMMYFUNCTION("""COMPUTED_VALUE"""),20.96)</f>
        <v>20.96</v>
      </c>
      <c r="C978" s="1">
        <f>IFERROR(__xludf.DUMMYFUNCTION("""COMPUTED_VALUE"""),21.2)</f>
        <v>21.2</v>
      </c>
      <c r="D978" s="1">
        <f>IFERROR(__xludf.DUMMYFUNCTION("""COMPUTED_VALUE"""),20.84)</f>
        <v>20.84</v>
      </c>
      <c r="E978" s="1">
        <f>IFERROR(__xludf.DUMMYFUNCTION("""COMPUTED_VALUE"""),21.01)</f>
        <v>21.01</v>
      </c>
      <c r="F978" s="1">
        <f>IFERROR(__xludf.DUMMYFUNCTION("""COMPUTED_VALUE"""),961881.0)</f>
        <v>961881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IFERROR(__xludf.DUMMYFUNCTION("""COMPUTED_VALUE"""),20.89)</f>
        <v>20.89</v>
      </c>
      <c r="C979" s="1">
        <f>IFERROR(__xludf.DUMMYFUNCTION("""COMPUTED_VALUE"""),21.1)</f>
        <v>21.1</v>
      </c>
      <c r="D979" s="1">
        <f>IFERROR(__xludf.DUMMYFUNCTION("""COMPUTED_VALUE"""),20.87)</f>
        <v>20.87</v>
      </c>
      <c r="E979" s="1">
        <f>IFERROR(__xludf.DUMMYFUNCTION("""COMPUTED_VALUE"""),20.96)</f>
        <v>20.96</v>
      </c>
      <c r="F979" s="1">
        <f>IFERROR(__xludf.DUMMYFUNCTION("""COMPUTED_VALUE"""),531193.0)</f>
        <v>531193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IFERROR(__xludf.DUMMYFUNCTION("""COMPUTED_VALUE"""),20.84)</f>
        <v>20.84</v>
      </c>
      <c r="C980" s="1">
        <f>IFERROR(__xludf.DUMMYFUNCTION("""COMPUTED_VALUE"""),20.86)</f>
        <v>20.86</v>
      </c>
      <c r="D980" s="1">
        <f>IFERROR(__xludf.DUMMYFUNCTION("""COMPUTED_VALUE"""),20.26)</f>
        <v>20.26</v>
      </c>
      <c r="E980" s="1">
        <f>IFERROR(__xludf.DUMMYFUNCTION("""COMPUTED_VALUE"""),20.31)</f>
        <v>20.31</v>
      </c>
      <c r="F980" s="1">
        <f>IFERROR(__xludf.DUMMYFUNCTION("""COMPUTED_VALUE"""),259238.0)</f>
        <v>259238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IFERROR(__xludf.DUMMYFUNCTION("""COMPUTED_VALUE"""),20.31)</f>
        <v>20.31</v>
      </c>
      <c r="C981" s="1">
        <f>IFERROR(__xludf.DUMMYFUNCTION("""COMPUTED_VALUE"""),20.54)</f>
        <v>20.54</v>
      </c>
      <c r="D981" s="1">
        <f>IFERROR(__xludf.DUMMYFUNCTION("""COMPUTED_VALUE"""),20.2)</f>
        <v>20.2</v>
      </c>
      <c r="E981" s="1">
        <f>IFERROR(__xludf.DUMMYFUNCTION("""COMPUTED_VALUE"""),20.39)</f>
        <v>20.39</v>
      </c>
      <c r="F981" s="1">
        <f>IFERROR(__xludf.DUMMYFUNCTION("""COMPUTED_VALUE"""),286450.0)</f>
        <v>286450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IFERROR(__xludf.DUMMYFUNCTION("""COMPUTED_VALUE"""),20.45)</f>
        <v>20.45</v>
      </c>
      <c r="C982" s="1">
        <f>IFERROR(__xludf.DUMMYFUNCTION("""COMPUTED_VALUE"""),20.5)</f>
        <v>20.5</v>
      </c>
      <c r="D982" s="1">
        <f>IFERROR(__xludf.DUMMYFUNCTION("""COMPUTED_VALUE"""),20.35)</f>
        <v>20.35</v>
      </c>
      <c r="E982" s="1">
        <f>IFERROR(__xludf.DUMMYFUNCTION("""COMPUTED_VALUE"""),20.45)</f>
        <v>20.45</v>
      </c>
      <c r="F982" s="1">
        <f>IFERROR(__xludf.DUMMYFUNCTION("""COMPUTED_VALUE"""),190433.0)</f>
        <v>190433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IFERROR(__xludf.DUMMYFUNCTION("""COMPUTED_VALUE"""),20.46)</f>
        <v>20.46</v>
      </c>
      <c r="C983" s="1">
        <f>IFERROR(__xludf.DUMMYFUNCTION("""COMPUTED_VALUE"""),20.52)</f>
        <v>20.52</v>
      </c>
      <c r="D983" s="1">
        <f>IFERROR(__xludf.DUMMYFUNCTION("""COMPUTED_VALUE"""),20.31)</f>
        <v>20.31</v>
      </c>
      <c r="E983" s="1">
        <f>IFERROR(__xludf.DUMMYFUNCTION("""COMPUTED_VALUE"""),20.4)</f>
        <v>20.4</v>
      </c>
      <c r="F983" s="1">
        <f>IFERROR(__xludf.DUMMYFUNCTION("""COMPUTED_VALUE"""),142562.0)</f>
        <v>142562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IFERROR(__xludf.DUMMYFUNCTION("""COMPUTED_VALUE"""),20.33)</f>
        <v>20.33</v>
      </c>
      <c r="C984" s="1">
        <f>IFERROR(__xludf.DUMMYFUNCTION("""COMPUTED_VALUE"""),20.5)</f>
        <v>20.5</v>
      </c>
      <c r="D984" s="1">
        <f>IFERROR(__xludf.DUMMYFUNCTION("""COMPUTED_VALUE"""),20.3)</f>
        <v>20.3</v>
      </c>
      <c r="E984" s="1">
        <f>IFERROR(__xludf.DUMMYFUNCTION("""COMPUTED_VALUE"""),20.41)</f>
        <v>20.41</v>
      </c>
      <c r="F984" s="1">
        <f>IFERROR(__xludf.DUMMYFUNCTION("""COMPUTED_VALUE"""),281419.0)</f>
        <v>281419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IFERROR(__xludf.DUMMYFUNCTION("""COMPUTED_VALUE"""),20.34)</f>
        <v>20.34</v>
      </c>
      <c r="C985" s="1">
        <f>IFERROR(__xludf.DUMMYFUNCTION("""COMPUTED_VALUE"""),20.65)</f>
        <v>20.65</v>
      </c>
      <c r="D985" s="1">
        <f>IFERROR(__xludf.DUMMYFUNCTION("""COMPUTED_VALUE"""),20.32)</f>
        <v>20.32</v>
      </c>
      <c r="E985" s="1">
        <f>IFERROR(__xludf.DUMMYFUNCTION("""COMPUTED_VALUE"""),20.58)</f>
        <v>20.58</v>
      </c>
      <c r="F985" s="1">
        <f>IFERROR(__xludf.DUMMYFUNCTION("""COMPUTED_VALUE"""),334816.0)</f>
        <v>334816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IFERROR(__xludf.DUMMYFUNCTION("""COMPUTED_VALUE"""),20.51)</f>
        <v>20.51</v>
      </c>
      <c r="C986" s="1">
        <f>IFERROR(__xludf.DUMMYFUNCTION("""COMPUTED_VALUE"""),20.73)</f>
        <v>20.73</v>
      </c>
      <c r="D986" s="1">
        <f>IFERROR(__xludf.DUMMYFUNCTION("""COMPUTED_VALUE"""),20.45)</f>
        <v>20.45</v>
      </c>
      <c r="E986" s="1">
        <f>IFERROR(__xludf.DUMMYFUNCTION("""COMPUTED_VALUE"""),20.65)</f>
        <v>20.65</v>
      </c>
      <c r="F986" s="1">
        <f>IFERROR(__xludf.DUMMYFUNCTION("""COMPUTED_VALUE"""),122066.0)</f>
        <v>122066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IFERROR(__xludf.DUMMYFUNCTION("""COMPUTED_VALUE"""),20.67)</f>
        <v>20.67</v>
      </c>
      <c r="C987" s="1">
        <f>IFERROR(__xludf.DUMMYFUNCTION("""COMPUTED_VALUE"""),21.0)</f>
        <v>21</v>
      </c>
      <c r="D987" s="1">
        <f>IFERROR(__xludf.DUMMYFUNCTION("""COMPUTED_VALUE"""),20.32)</f>
        <v>20.32</v>
      </c>
      <c r="E987" s="1">
        <f>IFERROR(__xludf.DUMMYFUNCTION("""COMPUTED_VALUE"""),20.37)</f>
        <v>20.37</v>
      </c>
      <c r="F987" s="1">
        <f>IFERROR(__xludf.DUMMYFUNCTION("""COMPUTED_VALUE"""),419119.0)</f>
        <v>419119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IFERROR(__xludf.DUMMYFUNCTION("""COMPUTED_VALUE"""),20.28)</f>
        <v>20.28</v>
      </c>
      <c r="C988" s="1">
        <f>IFERROR(__xludf.DUMMYFUNCTION("""COMPUTED_VALUE"""),20.48)</f>
        <v>20.48</v>
      </c>
      <c r="D988" s="1">
        <f>IFERROR(__xludf.DUMMYFUNCTION("""COMPUTED_VALUE"""),20.01)</f>
        <v>20.01</v>
      </c>
      <c r="E988" s="1">
        <f>IFERROR(__xludf.DUMMYFUNCTION("""COMPUTED_VALUE"""),20.2)</f>
        <v>20.2</v>
      </c>
      <c r="F988" s="1">
        <f>IFERROR(__xludf.DUMMYFUNCTION("""COMPUTED_VALUE"""),494787.0)</f>
        <v>494787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IFERROR(__xludf.DUMMYFUNCTION("""COMPUTED_VALUE"""),20.16)</f>
        <v>20.16</v>
      </c>
      <c r="C989" s="1">
        <f>IFERROR(__xludf.DUMMYFUNCTION("""COMPUTED_VALUE"""),20.54)</f>
        <v>20.54</v>
      </c>
      <c r="D989" s="1">
        <f>IFERROR(__xludf.DUMMYFUNCTION("""COMPUTED_VALUE"""),19.89)</f>
        <v>19.89</v>
      </c>
      <c r="E989" s="1">
        <f>IFERROR(__xludf.DUMMYFUNCTION("""COMPUTED_VALUE"""),20.21)</f>
        <v>20.21</v>
      </c>
      <c r="F989" s="1">
        <f>IFERROR(__xludf.DUMMYFUNCTION("""COMPUTED_VALUE"""),375441.0)</f>
        <v>375441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IFERROR(__xludf.DUMMYFUNCTION("""COMPUTED_VALUE"""),20.16)</f>
        <v>20.16</v>
      </c>
      <c r="C990" s="1">
        <f>IFERROR(__xludf.DUMMYFUNCTION("""COMPUTED_VALUE"""),20.31)</f>
        <v>20.31</v>
      </c>
      <c r="D990" s="1">
        <f>IFERROR(__xludf.DUMMYFUNCTION("""COMPUTED_VALUE"""),19.73)</f>
        <v>19.73</v>
      </c>
      <c r="E990" s="1">
        <f>IFERROR(__xludf.DUMMYFUNCTION("""COMPUTED_VALUE"""),19.75)</f>
        <v>19.75</v>
      </c>
      <c r="F990" s="1">
        <f>IFERROR(__xludf.DUMMYFUNCTION("""COMPUTED_VALUE"""),514500.0)</f>
        <v>514500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IFERROR(__xludf.DUMMYFUNCTION("""COMPUTED_VALUE"""),20.03)</f>
        <v>20.03</v>
      </c>
      <c r="C991" s="1">
        <f>IFERROR(__xludf.DUMMYFUNCTION("""COMPUTED_VALUE"""),20.35)</f>
        <v>20.35</v>
      </c>
      <c r="D991" s="1">
        <f>IFERROR(__xludf.DUMMYFUNCTION("""COMPUTED_VALUE"""),19.85)</f>
        <v>19.85</v>
      </c>
      <c r="E991" s="1">
        <f>IFERROR(__xludf.DUMMYFUNCTION("""COMPUTED_VALUE"""),20.29)</f>
        <v>20.29</v>
      </c>
      <c r="F991" s="1">
        <f>IFERROR(__xludf.DUMMYFUNCTION("""COMPUTED_VALUE"""),459839.0)</f>
        <v>459839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IFERROR(__xludf.DUMMYFUNCTION("""COMPUTED_VALUE"""),20.41)</f>
        <v>20.41</v>
      </c>
      <c r="C992" s="1">
        <f>IFERROR(__xludf.DUMMYFUNCTION("""COMPUTED_VALUE"""),21.67)</f>
        <v>21.67</v>
      </c>
      <c r="D992" s="1">
        <f>IFERROR(__xludf.DUMMYFUNCTION("""COMPUTED_VALUE"""),20.4)</f>
        <v>20.4</v>
      </c>
      <c r="E992" s="1">
        <f>IFERROR(__xludf.DUMMYFUNCTION("""COMPUTED_VALUE"""),21.15)</f>
        <v>21.15</v>
      </c>
      <c r="F992" s="1">
        <f>IFERROR(__xludf.DUMMYFUNCTION("""COMPUTED_VALUE"""),851606.0)</f>
        <v>851606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IFERROR(__xludf.DUMMYFUNCTION("""COMPUTED_VALUE"""),21.19)</f>
        <v>21.19</v>
      </c>
      <c r="C993" s="1">
        <f>IFERROR(__xludf.DUMMYFUNCTION("""COMPUTED_VALUE"""),21.63)</f>
        <v>21.63</v>
      </c>
      <c r="D993" s="1">
        <f>IFERROR(__xludf.DUMMYFUNCTION("""COMPUTED_VALUE"""),21.13)</f>
        <v>21.13</v>
      </c>
      <c r="E993" s="1">
        <f>IFERROR(__xludf.DUMMYFUNCTION("""COMPUTED_VALUE"""),21.41)</f>
        <v>21.41</v>
      </c>
      <c r="F993" s="1">
        <f>IFERROR(__xludf.DUMMYFUNCTION("""COMPUTED_VALUE"""),615725.0)</f>
        <v>615725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IFERROR(__xludf.DUMMYFUNCTION("""COMPUTED_VALUE"""),21.37)</f>
        <v>21.37</v>
      </c>
      <c r="C994" s="1">
        <f>IFERROR(__xludf.DUMMYFUNCTION("""COMPUTED_VALUE"""),21.81)</f>
        <v>21.81</v>
      </c>
      <c r="D994" s="1">
        <f>IFERROR(__xludf.DUMMYFUNCTION("""COMPUTED_VALUE"""),21.16)</f>
        <v>21.16</v>
      </c>
      <c r="E994" s="1">
        <f>IFERROR(__xludf.DUMMYFUNCTION("""COMPUTED_VALUE"""),21.6)</f>
        <v>21.6</v>
      </c>
      <c r="F994" s="1">
        <f>IFERROR(__xludf.DUMMYFUNCTION("""COMPUTED_VALUE"""),960741.0)</f>
        <v>960741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IFERROR(__xludf.DUMMYFUNCTION("""COMPUTED_VALUE"""),21.52)</f>
        <v>21.52</v>
      </c>
      <c r="C995" s="1">
        <f>IFERROR(__xludf.DUMMYFUNCTION("""COMPUTED_VALUE"""),22.19)</f>
        <v>22.19</v>
      </c>
      <c r="D995" s="1">
        <f>IFERROR(__xludf.DUMMYFUNCTION("""COMPUTED_VALUE"""),21.47)</f>
        <v>21.47</v>
      </c>
      <c r="E995" s="1">
        <f>IFERROR(__xludf.DUMMYFUNCTION("""COMPUTED_VALUE"""),22.1)</f>
        <v>22.1</v>
      </c>
      <c r="F995" s="1">
        <f>IFERROR(__xludf.DUMMYFUNCTION("""COMPUTED_VALUE"""),1126303.0)</f>
        <v>1126303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IFERROR(__xludf.DUMMYFUNCTION("""COMPUTED_VALUE"""),22.16)</f>
        <v>22.16</v>
      </c>
      <c r="C996" s="1">
        <f>IFERROR(__xludf.DUMMYFUNCTION("""COMPUTED_VALUE"""),22.16)</f>
        <v>22.16</v>
      </c>
      <c r="D996" s="1">
        <f>IFERROR(__xludf.DUMMYFUNCTION("""COMPUTED_VALUE"""),21.89)</f>
        <v>21.89</v>
      </c>
      <c r="E996" s="1">
        <f>IFERROR(__xludf.DUMMYFUNCTION("""COMPUTED_VALUE"""),21.95)</f>
        <v>21.95</v>
      </c>
      <c r="F996" s="1">
        <f>IFERROR(__xludf.DUMMYFUNCTION("""COMPUTED_VALUE"""),860869.0)</f>
        <v>860869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IFERROR(__xludf.DUMMYFUNCTION("""COMPUTED_VALUE"""),21.99)</f>
        <v>21.99</v>
      </c>
      <c r="C997" s="1">
        <f>IFERROR(__xludf.DUMMYFUNCTION("""COMPUTED_VALUE"""),23.01)</f>
        <v>23.01</v>
      </c>
      <c r="D997" s="1">
        <f>IFERROR(__xludf.DUMMYFUNCTION("""COMPUTED_VALUE"""),21.92)</f>
        <v>21.92</v>
      </c>
      <c r="E997" s="1">
        <f>IFERROR(__xludf.DUMMYFUNCTION("""COMPUTED_VALUE"""),22.74)</f>
        <v>22.74</v>
      </c>
      <c r="F997" s="1">
        <f>IFERROR(__xludf.DUMMYFUNCTION("""COMPUTED_VALUE"""),1243449.0)</f>
        <v>1243449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IFERROR(__xludf.DUMMYFUNCTION("""COMPUTED_VALUE"""),22.69)</f>
        <v>22.69</v>
      </c>
      <c r="C998" s="1">
        <f>IFERROR(__xludf.DUMMYFUNCTION("""COMPUTED_VALUE"""),22.69)</f>
        <v>22.69</v>
      </c>
      <c r="D998" s="1">
        <f>IFERROR(__xludf.DUMMYFUNCTION("""COMPUTED_VALUE"""),22.29)</f>
        <v>22.29</v>
      </c>
      <c r="E998" s="1">
        <f>IFERROR(__xludf.DUMMYFUNCTION("""COMPUTED_VALUE"""),22.41)</f>
        <v>22.41</v>
      </c>
      <c r="F998" s="1">
        <f>IFERROR(__xludf.DUMMYFUNCTION("""COMPUTED_VALUE"""),459691.0)</f>
        <v>459691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IFERROR(__xludf.DUMMYFUNCTION("""COMPUTED_VALUE"""),22.35)</f>
        <v>22.35</v>
      </c>
      <c r="C999" s="1">
        <f>IFERROR(__xludf.DUMMYFUNCTION("""COMPUTED_VALUE"""),22.5)</f>
        <v>22.5</v>
      </c>
      <c r="D999" s="1">
        <f>IFERROR(__xludf.DUMMYFUNCTION("""COMPUTED_VALUE"""),21.9)</f>
        <v>21.9</v>
      </c>
      <c r="E999" s="1">
        <f>IFERROR(__xludf.DUMMYFUNCTION("""COMPUTED_VALUE"""),22.41)</f>
        <v>22.41</v>
      </c>
      <c r="F999" s="1">
        <f>IFERROR(__xludf.DUMMYFUNCTION("""COMPUTED_VALUE"""),414018.0)</f>
        <v>414018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IFERROR(__xludf.DUMMYFUNCTION("""COMPUTED_VALUE"""),22.33)</f>
        <v>22.33</v>
      </c>
      <c r="C1000" s="1">
        <f>IFERROR(__xludf.DUMMYFUNCTION("""COMPUTED_VALUE"""),22.52)</f>
        <v>22.52</v>
      </c>
      <c r="D1000" s="1">
        <f>IFERROR(__xludf.DUMMYFUNCTION("""COMPUTED_VALUE"""),22.16)</f>
        <v>22.16</v>
      </c>
      <c r="E1000" s="1">
        <f>IFERROR(__xludf.DUMMYFUNCTION("""COMPUTED_VALUE"""),22.28)</f>
        <v>22.28</v>
      </c>
      <c r="F1000" s="1">
        <f>IFERROR(__xludf.DUMMYFUNCTION("""COMPUTED_VALUE"""),749100.0)</f>
        <v>749100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IFERROR(__xludf.DUMMYFUNCTION("""COMPUTED_VALUE"""),22.29)</f>
        <v>22.29</v>
      </c>
      <c r="C1001" s="1">
        <f>IFERROR(__xludf.DUMMYFUNCTION("""COMPUTED_VALUE"""),22.63)</f>
        <v>22.63</v>
      </c>
      <c r="D1001" s="1">
        <f>IFERROR(__xludf.DUMMYFUNCTION("""COMPUTED_VALUE"""),22.28)</f>
        <v>22.28</v>
      </c>
      <c r="E1001" s="1">
        <f>IFERROR(__xludf.DUMMYFUNCTION("""COMPUTED_VALUE"""),22.5)</f>
        <v>22.5</v>
      </c>
      <c r="F1001" s="1">
        <f>IFERROR(__xludf.DUMMYFUNCTION("""COMPUTED_VALUE"""),600169.0)</f>
        <v>600169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IFERROR(__xludf.DUMMYFUNCTION("""COMPUTED_VALUE"""),22.65)</f>
        <v>22.65</v>
      </c>
      <c r="C1002" s="1">
        <f>IFERROR(__xludf.DUMMYFUNCTION("""COMPUTED_VALUE"""),22.91)</f>
        <v>22.91</v>
      </c>
      <c r="D1002" s="1">
        <f>IFERROR(__xludf.DUMMYFUNCTION("""COMPUTED_VALUE"""),22.5)</f>
        <v>22.5</v>
      </c>
      <c r="E1002" s="1">
        <f>IFERROR(__xludf.DUMMYFUNCTION("""COMPUTED_VALUE"""),22.69)</f>
        <v>22.69</v>
      </c>
      <c r="F1002" s="1">
        <f>IFERROR(__xludf.DUMMYFUNCTION("""COMPUTED_VALUE"""),594838.0)</f>
        <v>594838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IFERROR(__xludf.DUMMYFUNCTION("""COMPUTED_VALUE"""),22.63)</f>
        <v>22.63</v>
      </c>
      <c r="C1003" s="1">
        <f>IFERROR(__xludf.DUMMYFUNCTION("""COMPUTED_VALUE"""),22.8)</f>
        <v>22.8</v>
      </c>
      <c r="D1003" s="1">
        <f>IFERROR(__xludf.DUMMYFUNCTION("""COMPUTED_VALUE"""),22.62)</f>
        <v>22.62</v>
      </c>
      <c r="E1003" s="1">
        <f>IFERROR(__xludf.DUMMYFUNCTION("""COMPUTED_VALUE"""),22.7)</f>
        <v>22.7</v>
      </c>
      <c r="F1003" s="1">
        <f>IFERROR(__xludf.DUMMYFUNCTION("""COMPUTED_VALUE"""),109778.0)</f>
        <v>109778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IFERROR(__xludf.DUMMYFUNCTION("""COMPUTED_VALUE"""),22.84)</f>
        <v>22.84</v>
      </c>
      <c r="C1004" s="1">
        <f>IFERROR(__xludf.DUMMYFUNCTION("""COMPUTED_VALUE"""),22.9)</f>
        <v>22.9</v>
      </c>
      <c r="D1004" s="1">
        <f>IFERROR(__xludf.DUMMYFUNCTION("""COMPUTED_VALUE"""),22.74)</f>
        <v>22.74</v>
      </c>
      <c r="E1004" s="1">
        <f>IFERROR(__xludf.DUMMYFUNCTION("""COMPUTED_VALUE"""),22.78)</f>
        <v>22.78</v>
      </c>
      <c r="F1004" s="1">
        <f>IFERROR(__xludf.DUMMYFUNCTION("""COMPUTED_VALUE"""),143682.0)</f>
        <v>143682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IFERROR(__xludf.DUMMYFUNCTION("""COMPUTED_VALUE"""),22.78)</f>
        <v>22.78</v>
      </c>
      <c r="C1005" s="1">
        <f>IFERROR(__xludf.DUMMYFUNCTION("""COMPUTED_VALUE"""),22.83)</f>
        <v>22.83</v>
      </c>
      <c r="D1005" s="1">
        <f>IFERROR(__xludf.DUMMYFUNCTION("""COMPUTED_VALUE"""),22.45)</f>
        <v>22.45</v>
      </c>
      <c r="E1005" s="1">
        <f>IFERROR(__xludf.DUMMYFUNCTION("""COMPUTED_VALUE"""),22.58)</f>
        <v>22.58</v>
      </c>
      <c r="F1005" s="1">
        <f>IFERROR(__xludf.DUMMYFUNCTION("""COMPUTED_VALUE"""),193942.0)</f>
        <v>193942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IFERROR(__xludf.DUMMYFUNCTION("""COMPUTED_VALUE"""),22.51)</f>
        <v>22.51</v>
      </c>
      <c r="C1006" s="1">
        <f>IFERROR(__xludf.DUMMYFUNCTION("""COMPUTED_VALUE"""),23.19)</f>
        <v>23.19</v>
      </c>
      <c r="D1006" s="1">
        <f>IFERROR(__xludf.DUMMYFUNCTION("""COMPUTED_VALUE"""),22.51)</f>
        <v>22.51</v>
      </c>
      <c r="E1006" s="1">
        <f>IFERROR(__xludf.DUMMYFUNCTION("""COMPUTED_VALUE"""),23.05)</f>
        <v>23.05</v>
      </c>
      <c r="F1006" s="1">
        <f>IFERROR(__xludf.DUMMYFUNCTION("""COMPUTED_VALUE"""),347118.0)</f>
        <v>347118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IFERROR(__xludf.DUMMYFUNCTION("""COMPUTED_VALUE"""),23.04)</f>
        <v>23.04</v>
      </c>
      <c r="C1007" s="1">
        <f>IFERROR(__xludf.DUMMYFUNCTION("""COMPUTED_VALUE"""),23.21)</f>
        <v>23.21</v>
      </c>
      <c r="D1007" s="1">
        <f>IFERROR(__xludf.DUMMYFUNCTION("""COMPUTED_VALUE"""),22.9)</f>
        <v>22.9</v>
      </c>
      <c r="E1007" s="1">
        <f>IFERROR(__xludf.DUMMYFUNCTION("""COMPUTED_VALUE"""),22.93)</f>
        <v>22.93</v>
      </c>
      <c r="F1007" s="1">
        <f>IFERROR(__xludf.DUMMYFUNCTION("""COMPUTED_VALUE"""),152635.0)</f>
        <v>152635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IFERROR(__xludf.DUMMYFUNCTION("""COMPUTED_VALUE"""),22.79)</f>
        <v>22.79</v>
      </c>
      <c r="C1008" s="1">
        <f>IFERROR(__xludf.DUMMYFUNCTION("""COMPUTED_VALUE"""),22.96)</f>
        <v>22.96</v>
      </c>
      <c r="D1008" s="1">
        <f>IFERROR(__xludf.DUMMYFUNCTION("""COMPUTED_VALUE"""),22.55)</f>
        <v>22.55</v>
      </c>
      <c r="E1008" s="1">
        <f>IFERROR(__xludf.DUMMYFUNCTION("""COMPUTED_VALUE"""),22.79)</f>
        <v>22.79</v>
      </c>
      <c r="F1008" s="1">
        <f>IFERROR(__xludf.DUMMYFUNCTION("""COMPUTED_VALUE"""),575624.0)</f>
        <v>575624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IFERROR(__xludf.DUMMYFUNCTION("""COMPUTED_VALUE"""),22.79)</f>
        <v>22.79</v>
      </c>
      <c r="C1009" s="1">
        <f>IFERROR(__xludf.DUMMYFUNCTION("""COMPUTED_VALUE"""),23.49)</f>
        <v>23.49</v>
      </c>
      <c r="D1009" s="1">
        <f>IFERROR(__xludf.DUMMYFUNCTION("""COMPUTED_VALUE"""),22.78)</f>
        <v>22.78</v>
      </c>
      <c r="E1009" s="1">
        <f>IFERROR(__xludf.DUMMYFUNCTION("""COMPUTED_VALUE"""),23.33)</f>
        <v>23.33</v>
      </c>
      <c r="F1009" s="1">
        <f>IFERROR(__xludf.DUMMYFUNCTION("""COMPUTED_VALUE"""),606977.0)</f>
        <v>606977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IFERROR(__xludf.DUMMYFUNCTION("""COMPUTED_VALUE"""),23.34)</f>
        <v>23.34</v>
      </c>
      <c r="C1010" s="1">
        <f>IFERROR(__xludf.DUMMYFUNCTION("""COMPUTED_VALUE"""),23.42)</f>
        <v>23.42</v>
      </c>
      <c r="D1010" s="1">
        <f>IFERROR(__xludf.DUMMYFUNCTION("""COMPUTED_VALUE"""),22.73)</f>
        <v>22.73</v>
      </c>
      <c r="E1010" s="1">
        <f>IFERROR(__xludf.DUMMYFUNCTION("""COMPUTED_VALUE"""),23.03)</f>
        <v>23.03</v>
      </c>
      <c r="F1010" s="1">
        <f>IFERROR(__xludf.DUMMYFUNCTION("""COMPUTED_VALUE"""),662181.0)</f>
        <v>662181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IFERROR(__xludf.DUMMYFUNCTION("""COMPUTED_VALUE"""),23.02)</f>
        <v>23.02</v>
      </c>
      <c r="C1011" s="1">
        <f>IFERROR(__xludf.DUMMYFUNCTION("""COMPUTED_VALUE"""),23.3)</f>
        <v>23.3</v>
      </c>
      <c r="D1011" s="1">
        <f>IFERROR(__xludf.DUMMYFUNCTION("""COMPUTED_VALUE"""),22.92)</f>
        <v>22.92</v>
      </c>
      <c r="E1011" s="1">
        <f>IFERROR(__xludf.DUMMYFUNCTION("""COMPUTED_VALUE"""),23.15)</f>
        <v>23.15</v>
      </c>
      <c r="F1011" s="1">
        <f>IFERROR(__xludf.DUMMYFUNCTION("""COMPUTED_VALUE"""),494976.0)</f>
        <v>494976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IFERROR(__xludf.DUMMYFUNCTION("""COMPUTED_VALUE"""),23.1)</f>
        <v>23.1</v>
      </c>
      <c r="C1012" s="1">
        <f>IFERROR(__xludf.DUMMYFUNCTION("""COMPUTED_VALUE"""),23.24)</f>
        <v>23.24</v>
      </c>
      <c r="D1012" s="1">
        <f>IFERROR(__xludf.DUMMYFUNCTION("""COMPUTED_VALUE"""),23.0)</f>
        <v>23</v>
      </c>
      <c r="E1012" s="1">
        <f>IFERROR(__xludf.DUMMYFUNCTION("""COMPUTED_VALUE"""),23.06)</f>
        <v>23.06</v>
      </c>
      <c r="F1012" s="1">
        <f>IFERROR(__xludf.DUMMYFUNCTION("""COMPUTED_VALUE"""),541145.0)</f>
        <v>541145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IFERROR(__xludf.DUMMYFUNCTION("""COMPUTED_VALUE"""),23.11)</f>
        <v>23.11</v>
      </c>
      <c r="C1013" s="1">
        <f>IFERROR(__xludf.DUMMYFUNCTION("""COMPUTED_VALUE"""),23.51)</f>
        <v>23.51</v>
      </c>
      <c r="D1013" s="1">
        <f>IFERROR(__xludf.DUMMYFUNCTION("""COMPUTED_VALUE"""),23.11)</f>
        <v>23.11</v>
      </c>
      <c r="E1013" s="1">
        <f>IFERROR(__xludf.DUMMYFUNCTION("""COMPUTED_VALUE"""),23.44)</f>
        <v>23.44</v>
      </c>
      <c r="F1013" s="1">
        <f>IFERROR(__xludf.DUMMYFUNCTION("""COMPUTED_VALUE"""),556216.0)</f>
        <v>556216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IFERROR(__xludf.DUMMYFUNCTION("""COMPUTED_VALUE"""),23.39)</f>
        <v>23.39</v>
      </c>
      <c r="C1014" s="1">
        <f>IFERROR(__xludf.DUMMYFUNCTION("""COMPUTED_VALUE"""),23.6)</f>
        <v>23.6</v>
      </c>
      <c r="D1014" s="1">
        <f>IFERROR(__xludf.DUMMYFUNCTION("""COMPUTED_VALUE"""),23.25)</f>
        <v>23.25</v>
      </c>
      <c r="E1014" s="1">
        <f>IFERROR(__xludf.DUMMYFUNCTION("""COMPUTED_VALUE"""),23.46)</f>
        <v>23.46</v>
      </c>
      <c r="F1014" s="1">
        <f>IFERROR(__xludf.DUMMYFUNCTION("""COMPUTED_VALUE"""),303817.0)</f>
        <v>303817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IFERROR(__xludf.DUMMYFUNCTION("""COMPUTED_VALUE"""),23.43)</f>
        <v>23.43</v>
      </c>
      <c r="C1015" s="1">
        <f>IFERROR(__xludf.DUMMYFUNCTION("""COMPUTED_VALUE"""),23.49)</f>
        <v>23.49</v>
      </c>
      <c r="D1015" s="1">
        <f>IFERROR(__xludf.DUMMYFUNCTION("""COMPUTED_VALUE"""),22.76)</f>
        <v>22.76</v>
      </c>
      <c r="E1015" s="1">
        <f>IFERROR(__xludf.DUMMYFUNCTION("""COMPUTED_VALUE"""),22.88)</f>
        <v>22.88</v>
      </c>
      <c r="F1015" s="1">
        <f>IFERROR(__xludf.DUMMYFUNCTION("""COMPUTED_VALUE"""),351503.0)</f>
        <v>351503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IFERROR(__xludf.DUMMYFUNCTION("""COMPUTED_VALUE"""),22.96)</f>
        <v>22.96</v>
      </c>
      <c r="C1016" s="1">
        <f>IFERROR(__xludf.DUMMYFUNCTION("""COMPUTED_VALUE"""),23.26)</f>
        <v>23.26</v>
      </c>
      <c r="D1016" s="1">
        <f>IFERROR(__xludf.DUMMYFUNCTION("""COMPUTED_VALUE"""),22.86)</f>
        <v>22.86</v>
      </c>
      <c r="E1016" s="1">
        <f>IFERROR(__xludf.DUMMYFUNCTION("""COMPUTED_VALUE"""),23.26)</f>
        <v>23.26</v>
      </c>
      <c r="F1016" s="1">
        <f>IFERROR(__xludf.DUMMYFUNCTION("""COMPUTED_VALUE"""),352592.0)</f>
        <v>352592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IFERROR(__xludf.DUMMYFUNCTION("""COMPUTED_VALUE"""),23.02)</f>
        <v>23.02</v>
      </c>
      <c r="C1017" s="1">
        <f>IFERROR(__xludf.DUMMYFUNCTION("""COMPUTED_VALUE"""),23.77)</f>
        <v>23.77</v>
      </c>
      <c r="D1017" s="1">
        <f>IFERROR(__xludf.DUMMYFUNCTION("""COMPUTED_VALUE"""),22.93)</f>
        <v>22.93</v>
      </c>
      <c r="E1017" s="1">
        <f>IFERROR(__xludf.DUMMYFUNCTION("""COMPUTED_VALUE"""),23.52)</f>
        <v>23.52</v>
      </c>
      <c r="F1017" s="1">
        <f>IFERROR(__xludf.DUMMYFUNCTION("""COMPUTED_VALUE"""),507078.0)</f>
        <v>507078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IFERROR(__xludf.DUMMYFUNCTION("""COMPUTED_VALUE"""),23.37)</f>
        <v>23.37</v>
      </c>
      <c r="C1018" s="1">
        <f>IFERROR(__xludf.DUMMYFUNCTION("""COMPUTED_VALUE"""),23.78)</f>
        <v>23.78</v>
      </c>
      <c r="D1018" s="1">
        <f>IFERROR(__xludf.DUMMYFUNCTION("""COMPUTED_VALUE"""),23.37)</f>
        <v>23.37</v>
      </c>
      <c r="E1018" s="1">
        <f>IFERROR(__xludf.DUMMYFUNCTION("""COMPUTED_VALUE"""),23.73)</f>
        <v>23.73</v>
      </c>
      <c r="F1018" s="1">
        <f>IFERROR(__xludf.DUMMYFUNCTION("""COMPUTED_VALUE"""),327436.0)</f>
        <v>327436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IFERROR(__xludf.DUMMYFUNCTION("""COMPUTED_VALUE"""),23.68)</f>
        <v>23.68</v>
      </c>
      <c r="C1019" s="1">
        <f>IFERROR(__xludf.DUMMYFUNCTION("""COMPUTED_VALUE"""),23.72)</f>
        <v>23.72</v>
      </c>
      <c r="D1019" s="1">
        <f>IFERROR(__xludf.DUMMYFUNCTION("""COMPUTED_VALUE"""),23.4)</f>
        <v>23.4</v>
      </c>
      <c r="E1019" s="1">
        <f>IFERROR(__xludf.DUMMYFUNCTION("""COMPUTED_VALUE"""),23.5)</f>
        <v>23.5</v>
      </c>
      <c r="F1019" s="1">
        <f>IFERROR(__xludf.DUMMYFUNCTION("""COMPUTED_VALUE"""),351452.0)</f>
        <v>351452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IFERROR(__xludf.DUMMYFUNCTION("""COMPUTED_VALUE"""),23.72)</f>
        <v>23.72</v>
      </c>
      <c r="C1020" s="1">
        <f>IFERROR(__xludf.DUMMYFUNCTION("""COMPUTED_VALUE"""),23.75)</f>
        <v>23.75</v>
      </c>
      <c r="D1020" s="1">
        <f>IFERROR(__xludf.DUMMYFUNCTION("""COMPUTED_VALUE"""),23.57)</f>
        <v>23.57</v>
      </c>
      <c r="E1020" s="1">
        <f>IFERROR(__xludf.DUMMYFUNCTION("""COMPUTED_VALUE"""),23.71)</f>
        <v>23.71</v>
      </c>
      <c r="F1020" s="1">
        <f>IFERROR(__xludf.DUMMYFUNCTION("""COMPUTED_VALUE"""),336817.0)</f>
        <v>336817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IFERROR(__xludf.DUMMYFUNCTION("""COMPUTED_VALUE"""),23.81)</f>
        <v>23.81</v>
      </c>
      <c r="C1021" s="1">
        <f>IFERROR(__xludf.DUMMYFUNCTION("""COMPUTED_VALUE"""),23.89)</f>
        <v>23.89</v>
      </c>
      <c r="D1021" s="1">
        <f>IFERROR(__xludf.DUMMYFUNCTION("""COMPUTED_VALUE"""),23.44)</f>
        <v>23.44</v>
      </c>
      <c r="E1021" s="1">
        <f>IFERROR(__xludf.DUMMYFUNCTION("""COMPUTED_VALUE"""),23.55)</f>
        <v>23.55</v>
      </c>
      <c r="F1021" s="1">
        <f>IFERROR(__xludf.DUMMYFUNCTION("""COMPUTED_VALUE"""),584945.0)</f>
        <v>584945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IFERROR(__xludf.DUMMYFUNCTION("""COMPUTED_VALUE"""),23.41)</f>
        <v>23.41</v>
      </c>
      <c r="C1022" s="1">
        <f>IFERROR(__xludf.DUMMYFUNCTION("""COMPUTED_VALUE"""),23.5)</f>
        <v>23.5</v>
      </c>
      <c r="D1022" s="1">
        <f>IFERROR(__xludf.DUMMYFUNCTION("""COMPUTED_VALUE"""),23.1)</f>
        <v>23.1</v>
      </c>
      <c r="E1022" s="1">
        <f>IFERROR(__xludf.DUMMYFUNCTION("""COMPUTED_VALUE"""),23.33)</f>
        <v>23.33</v>
      </c>
      <c r="F1022" s="1">
        <f>IFERROR(__xludf.DUMMYFUNCTION("""COMPUTED_VALUE"""),303339.0)</f>
        <v>303339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IFERROR(__xludf.DUMMYFUNCTION("""COMPUTED_VALUE"""),23.17)</f>
        <v>23.17</v>
      </c>
      <c r="C1023" s="1">
        <f>IFERROR(__xludf.DUMMYFUNCTION("""COMPUTED_VALUE"""),23.17)</f>
        <v>23.17</v>
      </c>
      <c r="D1023" s="1">
        <f>IFERROR(__xludf.DUMMYFUNCTION("""COMPUTED_VALUE"""),22.9)</f>
        <v>22.9</v>
      </c>
      <c r="E1023" s="1">
        <f>IFERROR(__xludf.DUMMYFUNCTION("""COMPUTED_VALUE"""),22.96)</f>
        <v>22.96</v>
      </c>
      <c r="F1023" s="1">
        <f>IFERROR(__xludf.DUMMYFUNCTION("""COMPUTED_VALUE"""),524655.0)</f>
        <v>524655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IFERROR(__xludf.DUMMYFUNCTION("""COMPUTED_VALUE"""),22.97)</f>
        <v>22.97</v>
      </c>
      <c r="C1024" s="1">
        <f>IFERROR(__xludf.DUMMYFUNCTION("""COMPUTED_VALUE"""),23.04)</f>
        <v>23.04</v>
      </c>
      <c r="D1024" s="1">
        <f>IFERROR(__xludf.DUMMYFUNCTION("""COMPUTED_VALUE"""),22.35)</f>
        <v>22.35</v>
      </c>
      <c r="E1024" s="1">
        <f>IFERROR(__xludf.DUMMYFUNCTION("""COMPUTED_VALUE"""),22.6)</f>
        <v>22.6</v>
      </c>
      <c r="F1024" s="1">
        <f>IFERROR(__xludf.DUMMYFUNCTION("""COMPUTED_VALUE"""),764573.0)</f>
        <v>764573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IFERROR(__xludf.DUMMYFUNCTION("""COMPUTED_VALUE"""),22.57)</f>
        <v>22.57</v>
      </c>
      <c r="C1025" s="1">
        <f>IFERROR(__xludf.DUMMYFUNCTION("""COMPUTED_VALUE"""),23.02)</f>
        <v>23.02</v>
      </c>
      <c r="D1025" s="1">
        <f>IFERROR(__xludf.DUMMYFUNCTION("""COMPUTED_VALUE"""),22.57)</f>
        <v>22.57</v>
      </c>
      <c r="E1025" s="1">
        <f>IFERROR(__xludf.DUMMYFUNCTION("""COMPUTED_VALUE"""),22.97)</f>
        <v>22.97</v>
      </c>
      <c r="F1025" s="1">
        <f>IFERROR(__xludf.DUMMYFUNCTION("""COMPUTED_VALUE"""),667888.0)</f>
        <v>667888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IFERROR(__xludf.DUMMYFUNCTION("""COMPUTED_VALUE"""),22.91)</f>
        <v>22.91</v>
      </c>
      <c r="C1026" s="1">
        <f>IFERROR(__xludf.DUMMYFUNCTION("""COMPUTED_VALUE"""),23.3)</f>
        <v>23.3</v>
      </c>
      <c r="D1026" s="1">
        <f>IFERROR(__xludf.DUMMYFUNCTION("""COMPUTED_VALUE"""),22.59)</f>
        <v>22.59</v>
      </c>
      <c r="E1026" s="1">
        <f>IFERROR(__xludf.DUMMYFUNCTION("""COMPUTED_VALUE"""),22.69)</f>
        <v>22.69</v>
      </c>
      <c r="F1026" s="1">
        <f>IFERROR(__xludf.DUMMYFUNCTION("""COMPUTED_VALUE"""),729367.0)</f>
        <v>729367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IFERROR(__xludf.DUMMYFUNCTION("""COMPUTED_VALUE"""),23.15)</f>
        <v>23.15</v>
      </c>
      <c r="C1027" s="1">
        <f>IFERROR(__xludf.DUMMYFUNCTION("""COMPUTED_VALUE"""),23.25)</f>
        <v>23.25</v>
      </c>
      <c r="D1027" s="1">
        <f>IFERROR(__xludf.DUMMYFUNCTION("""COMPUTED_VALUE"""),22.78)</f>
        <v>22.78</v>
      </c>
      <c r="E1027" s="1">
        <f>IFERROR(__xludf.DUMMYFUNCTION("""COMPUTED_VALUE"""),22.99)</f>
        <v>22.99</v>
      </c>
      <c r="F1027" s="1">
        <f>IFERROR(__xludf.DUMMYFUNCTION("""COMPUTED_VALUE"""),827573.0)</f>
        <v>827573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IFERROR(__xludf.DUMMYFUNCTION("""COMPUTED_VALUE"""),22.75)</f>
        <v>22.75</v>
      </c>
      <c r="C1028" s="1">
        <f>IFERROR(__xludf.DUMMYFUNCTION("""COMPUTED_VALUE"""),22.98)</f>
        <v>22.98</v>
      </c>
      <c r="D1028" s="1">
        <f>IFERROR(__xludf.DUMMYFUNCTION("""COMPUTED_VALUE"""),22.68)</f>
        <v>22.68</v>
      </c>
      <c r="E1028" s="1">
        <f>IFERROR(__xludf.DUMMYFUNCTION("""COMPUTED_VALUE"""),22.96)</f>
        <v>22.96</v>
      </c>
      <c r="F1028" s="1">
        <f>IFERROR(__xludf.DUMMYFUNCTION("""COMPUTED_VALUE"""),426343.0)</f>
        <v>426343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IFERROR(__xludf.DUMMYFUNCTION("""COMPUTED_VALUE"""),23.0)</f>
        <v>23</v>
      </c>
      <c r="C1029" s="1">
        <f>IFERROR(__xludf.DUMMYFUNCTION("""COMPUTED_VALUE"""),23.01)</f>
        <v>23.01</v>
      </c>
      <c r="D1029" s="1">
        <f>IFERROR(__xludf.DUMMYFUNCTION("""COMPUTED_VALUE"""),22.01)</f>
        <v>22.01</v>
      </c>
      <c r="E1029" s="1">
        <f>IFERROR(__xludf.DUMMYFUNCTION("""COMPUTED_VALUE"""),22.34)</f>
        <v>22.34</v>
      </c>
      <c r="F1029" s="1">
        <f>IFERROR(__xludf.DUMMYFUNCTION("""COMPUTED_VALUE"""),1264534.0)</f>
        <v>1264534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IFERROR(__xludf.DUMMYFUNCTION("""COMPUTED_VALUE"""),22.67)</f>
        <v>22.67</v>
      </c>
      <c r="C1030" s="1">
        <f>IFERROR(__xludf.DUMMYFUNCTION("""COMPUTED_VALUE"""),22.72)</f>
        <v>22.72</v>
      </c>
      <c r="D1030" s="1">
        <f>IFERROR(__xludf.DUMMYFUNCTION("""COMPUTED_VALUE"""),22.16)</f>
        <v>22.16</v>
      </c>
      <c r="E1030" s="1">
        <f>IFERROR(__xludf.DUMMYFUNCTION("""COMPUTED_VALUE"""),22.45)</f>
        <v>22.45</v>
      </c>
      <c r="F1030" s="1">
        <f>IFERROR(__xludf.DUMMYFUNCTION("""COMPUTED_VALUE"""),929232.0)</f>
        <v>929232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IFERROR(__xludf.DUMMYFUNCTION("""COMPUTED_VALUE"""),22.3)</f>
        <v>22.3</v>
      </c>
      <c r="C1031" s="1">
        <f>IFERROR(__xludf.DUMMYFUNCTION("""COMPUTED_VALUE"""),22.56)</f>
        <v>22.56</v>
      </c>
      <c r="D1031" s="1">
        <f>IFERROR(__xludf.DUMMYFUNCTION("""COMPUTED_VALUE"""),22.05)</f>
        <v>22.05</v>
      </c>
      <c r="E1031" s="1">
        <f>IFERROR(__xludf.DUMMYFUNCTION("""COMPUTED_VALUE"""),22.37)</f>
        <v>22.37</v>
      </c>
      <c r="F1031" s="1">
        <f>IFERROR(__xludf.DUMMYFUNCTION("""COMPUTED_VALUE"""),628250.0)</f>
        <v>628250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IFERROR(__xludf.DUMMYFUNCTION("""COMPUTED_VALUE"""),22.42)</f>
        <v>22.42</v>
      </c>
      <c r="C1032" s="1">
        <f>IFERROR(__xludf.DUMMYFUNCTION("""COMPUTED_VALUE"""),22.69)</f>
        <v>22.69</v>
      </c>
      <c r="D1032" s="1">
        <f>IFERROR(__xludf.DUMMYFUNCTION("""COMPUTED_VALUE"""),22.26)</f>
        <v>22.26</v>
      </c>
      <c r="E1032" s="1">
        <f>IFERROR(__xludf.DUMMYFUNCTION("""COMPUTED_VALUE"""),22.34)</f>
        <v>22.34</v>
      </c>
      <c r="F1032" s="1">
        <f>IFERROR(__xludf.DUMMYFUNCTION("""COMPUTED_VALUE"""),665165.0)</f>
        <v>665165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IFERROR(__xludf.DUMMYFUNCTION("""COMPUTED_VALUE"""),22.47)</f>
        <v>22.47</v>
      </c>
      <c r="C1033" s="1">
        <f>IFERROR(__xludf.DUMMYFUNCTION("""COMPUTED_VALUE"""),22.67)</f>
        <v>22.67</v>
      </c>
      <c r="D1033" s="1">
        <f>IFERROR(__xludf.DUMMYFUNCTION("""COMPUTED_VALUE"""),22.38)</f>
        <v>22.38</v>
      </c>
      <c r="E1033" s="1">
        <f>IFERROR(__xludf.DUMMYFUNCTION("""COMPUTED_VALUE"""),22.65)</f>
        <v>22.65</v>
      </c>
      <c r="F1033" s="1">
        <f>IFERROR(__xludf.DUMMYFUNCTION("""COMPUTED_VALUE"""),630085.0)</f>
        <v>630085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IFERROR(__xludf.DUMMYFUNCTION("""COMPUTED_VALUE"""),22.48)</f>
        <v>22.48</v>
      </c>
      <c r="C1034" s="1">
        <f>IFERROR(__xludf.DUMMYFUNCTION("""COMPUTED_VALUE"""),22.61)</f>
        <v>22.61</v>
      </c>
      <c r="D1034" s="1">
        <f>IFERROR(__xludf.DUMMYFUNCTION("""COMPUTED_VALUE"""),22.43)</f>
        <v>22.43</v>
      </c>
      <c r="E1034" s="1">
        <f>IFERROR(__xludf.DUMMYFUNCTION("""COMPUTED_VALUE"""),22.56)</f>
        <v>22.56</v>
      </c>
      <c r="F1034" s="1">
        <f>IFERROR(__xludf.DUMMYFUNCTION("""COMPUTED_VALUE"""),253659.0)</f>
        <v>253659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IFERROR(__xludf.DUMMYFUNCTION("""COMPUTED_VALUE"""),22.65)</f>
        <v>22.65</v>
      </c>
      <c r="C1035" s="1">
        <f>IFERROR(__xludf.DUMMYFUNCTION("""COMPUTED_VALUE"""),22.78)</f>
        <v>22.78</v>
      </c>
      <c r="D1035" s="1">
        <f>IFERROR(__xludf.DUMMYFUNCTION("""COMPUTED_VALUE"""),22.58)</f>
        <v>22.58</v>
      </c>
      <c r="E1035" s="1">
        <f>IFERROR(__xludf.DUMMYFUNCTION("""COMPUTED_VALUE"""),22.66)</f>
        <v>22.66</v>
      </c>
      <c r="F1035" s="1">
        <f>IFERROR(__xludf.DUMMYFUNCTION("""COMPUTED_VALUE"""),366535.0)</f>
        <v>366535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IFERROR(__xludf.DUMMYFUNCTION("""COMPUTED_VALUE"""),22.58)</f>
        <v>22.58</v>
      </c>
      <c r="C1036" s="1">
        <f>IFERROR(__xludf.DUMMYFUNCTION("""COMPUTED_VALUE"""),22.78)</f>
        <v>22.78</v>
      </c>
      <c r="D1036" s="1">
        <f>IFERROR(__xludf.DUMMYFUNCTION("""COMPUTED_VALUE"""),22.44)</f>
        <v>22.44</v>
      </c>
      <c r="E1036" s="1">
        <f>IFERROR(__xludf.DUMMYFUNCTION("""COMPUTED_VALUE"""),22.63)</f>
        <v>22.63</v>
      </c>
      <c r="F1036" s="1">
        <f>IFERROR(__xludf.DUMMYFUNCTION("""COMPUTED_VALUE"""),267297.0)</f>
        <v>267297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IFERROR(__xludf.DUMMYFUNCTION("""COMPUTED_VALUE"""),22.54)</f>
        <v>22.54</v>
      </c>
      <c r="C1037" s="1">
        <f>IFERROR(__xludf.DUMMYFUNCTION("""COMPUTED_VALUE"""),22.88)</f>
        <v>22.88</v>
      </c>
      <c r="D1037" s="1">
        <f>IFERROR(__xludf.DUMMYFUNCTION("""COMPUTED_VALUE"""),22.33)</f>
        <v>22.33</v>
      </c>
      <c r="E1037" s="1">
        <f>IFERROR(__xludf.DUMMYFUNCTION("""COMPUTED_VALUE"""),22.87)</f>
        <v>22.87</v>
      </c>
      <c r="F1037" s="1">
        <f>IFERROR(__xludf.DUMMYFUNCTION("""COMPUTED_VALUE"""),536839.0)</f>
        <v>536839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IFERROR(__xludf.DUMMYFUNCTION("""COMPUTED_VALUE"""),22.89)</f>
        <v>22.89</v>
      </c>
      <c r="C1038" s="1">
        <f>IFERROR(__xludf.DUMMYFUNCTION("""COMPUTED_VALUE"""),22.98)</f>
        <v>22.98</v>
      </c>
      <c r="D1038" s="1">
        <f>IFERROR(__xludf.DUMMYFUNCTION("""COMPUTED_VALUE"""),22.45)</f>
        <v>22.45</v>
      </c>
      <c r="E1038" s="1">
        <f>IFERROR(__xludf.DUMMYFUNCTION("""COMPUTED_VALUE"""),22.48)</f>
        <v>22.48</v>
      </c>
      <c r="F1038" s="1">
        <f>IFERROR(__xludf.DUMMYFUNCTION("""COMPUTED_VALUE"""),457764.0)</f>
        <v>457764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IFERROR(__xludf.DUMMYFUNCTION("""COMPUTED_VALUE"""),22.5)</f>
        <v>22.5</v>
      </c>
      <c r="C1039" s="1">
        <f>IFERROR(__xludf.DUMMYFUNCTION("""COMPUTED_VALUE"""),22.69)</f>
        <v>22.69</v>
      </c>
      <c r="D1039" s="1">
        <f>IFERROR(__xludf.DUMMYFUNCTION("""COMPUTED_VALUE"""),22.41)</f>
        <v>22.41</v>
      </c>
      <c r="E1039" s="1">
        <f>IFERROR(__xludf.DUMMYFUNCTION("""COMPUTED_VALUE"""),22.47)</f>
        <v>22.47</v>
      </c>
      <c r="F1039" s="1">
        <f>IFERROR(__xludf.DUMMYFUNCTION("""COMPUTED_VALUE"""),704315.0)</f>
        <v>704315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IFERROR(__xludf.DUMMYFUNCTION("""COMPUTED_VALUE"""),22.45)</f>
        <v>22.45</v>
      </c>
      <c r="C1040" s="1">
        <f>IFERROR(__xludf.DUMMYFUNCTION("""COMPUTED_VALUE"""),22.48)</f>
        <v>22.48</v>
      </c>
      <c r="D1040" s="1">
        <f>IFERROR(__xludf.DUMMYFUNCTION("""COMPUTED_VALUE"""),22.23)</f>
        <v>22.23</v>
      </c>
      <c r="E1040" s="1">
        <f>IFERROR(__xludf.DUMMYFUNCTION("""COMPUTED_VALUE"""),22.23)</f>
        <v>22.23</v>
      </c>
      <c r="F1040" s="1">
        <f>IFERROR(__xludf.DUMMYFUNCTION("""COMPUTED_VALUE"""),405543.0)</f>
        <v>405543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IFERROR(__xludf.DUMMYFUNCTION("""COMPUTED_VALUE"""),22.26)</f>
        <v>22.26</v>
      </c>
      <c r="C1041" s="1">
        <f>IFERROR(__xludf.DUMMYFUNCTION("""COMPUTED_VALUE"""),22.38)</f>
        <v>22.38</v>
      </c>
      <c r="D1041" s="1">
        <f>IFERROR(__xludf.DUMMYFUNCTION("""COMPUTED_VALUE"""),22.2)</f>
        <v>22.2</v>
      </c>
      <c r="E1041" s="1">
        <f>IFERROR(__xludf.DUMMYFUNCTION("""COMPUTED_VALUE"""),22.34)</f>
        <v>22.34</v>
      </c>
      <c r="F1041" s="1">
        <f>IFERROR(__xludf.DUMMYFUNCTION("""COMPUTED_VALUE"""),457105.0)</f>
        <v>457105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IFERROR(__xludf.DUMMYFUNCTION("""COMPUTED_VALUE"""),22.35)</f>
        <v>22.35</v>
      </c>
      <c r="C1042" s="1">
        <f>IFERROR(__xludf.DUMMYFUNCTION("""COMPUTED_VALUE"""),22.38)</f>
        <v>22.38</v>
      </c>
      <c r="D1042" s="1">
        <f>IFERROR(__xludf.DUMMYFUNCTION("""COMPUTED_VALUE"""),22.24)</f>
        <v>22.24</v>
      </c>
      <c r="E1042" s="1">
        <f>IFERROR(__xludf.DUMMYFUNCTION("""COMPUTED_VALUE"""),22.33)</f>
        <v>22.33</v>
      </c>
      <c r="F1042" s="1">
        <f>IFERROR(__xludf.DUMMYFUNCTION("""COMPUTED_VALUE"""),338196.0)</f>
        <v>338196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IFERROR(__xludf.DUMMYFUNCTION("""COMPUTED_VALUE"""),22.43)</f>
        <v>22.43</v>
      </c>
      <c r="C1043" s="1">
        <f>IFERROR(__xludf.DUMMYFUNCTION("""COMPUTED_VALUE"""),22.56)</f>
        <v>22.56</v>
      </c>
      <c r="D1043" s="1">
        <f>IFERROR(__xludf.DUMMYFUNCTION("""COMPUTED_VALUE"""),22.33)</f>
        <v>22.33</v>
      </c>
      <c r="E1043" s="1">
        <f>IFERROR(__xludf.DUMMYFUNCTION("""COMPUTED_VALUE"""),22.49)</f>
        <v>22.49</v>
      </c>
      <c r="F1043" s="1">
        <f>IFERROR(__xludf.DUMMYFUNCTION("""COMPUTED_VALUE"""),851514.0)</f>
        <v>851514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IFERROR(__xludf.DUMMYFUNCTION("""COMPUTED_VALUE"""),22.51)</f>
        <v>22.51</v>
      </c>
      <c r="C1044" s="1">
        <f>IFERROR(__xludf.DUMMYFUNCTION("""COMPUTED_VALUE"""),22.79)</f>
        <v>22.79</v>
      </c>
      <c r="D1044" s="1">
        <f>IFERROR(__xludf.DUMMYFUNCTION("""COMPUTED_VALUE"""),22.47)</f>
        <v>22.47</v>
      </c>
      <c r="E1044" s="1">
        <f>IFERROR(__xludf.DUMMYFUNCTION("""COMPUTED_VALUE"""),22.69)</f>
        <v>22.69</v>
      </c>
      <c r="F1044" s="1">
        <f>IFERROR(__xludf.DUMMYFUNCTION("""COMPUTED_VALUE"""),701425.0)</f>
        <v>701425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IFERROR(__xludf.DUMMYFUNCTION("""COMPUTED_VALUE"""),22.78)</f>
        <v>22.78</v>
      </c>
      <c r="C1045" s="1">
        <f>IFERROR(__xludf.DUMMYFUNCTION("""COMPUTED_VALUE"""),22.94)</f>
        <v>22.94</v>
      </c>
      <c r="D1045" s="1">
        <f>IFERROR(__xludf.DUMMYFUNCTION("""COMPUTED_VALUE"""),22.72)</f>
        <v>22.72</v>
      </c>
      <c r="E1045" s="1">
        <f>IFERROR(__xludf.DUMMYFUNCTION("""COMPUTED_VALUE"""),22.89)</f>
        <v>22.89</v>
      </c>
      <c r="F1045" s="1">
        <f>IFERROR(__xludf.DUMMYFUNCTION("""COMPUTED_VALUE"""),791258.0)</f>
        <v>791258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IFERROR(__xludf.DUMMYFUNCTION("""COMPUTED_VALUE"""),22.83)</f>
        <v>22.83</v>
      </c>
      <c r="C1046" s="1">
        <f>IFERROR(__xludf.DUMMYFUNCTION("""COMPUTED_VALUE"""),23.01)</f>
        <v>23.01</v>
      </c>
      <c r="D1046" s="1">
        <f>IFERROR(__xludf.DUMMYFUNCTION("""COMPUTED_VALUE"""),22.8)</f>
        <v>22.8</v>
      </c>
      <c r="E1046" s="1">
        <f>IFERROR(__xludf.DUMMYFUNCTION("""COMPUTED_VALUE"""),22.96)</f>
        <v>22.96</v>
      </c>
      <c r="F1046" s="1">
        <f>IFERROR(__xludf.DUMMYFUNCTION("""COMPUTED_VALUE"""),365628.0)</f>
        <v>365628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IFERROR(__xludf.DUMMYFUNCTION("""COMPUTED_VALUE"""),22.95)</f>
        <v>22.95</v>
      </c>
      <c r="C1047" s="1">
        <f>IFERROR(__xludf.DUMMYFUNCTION("""COMPUTED_VALUE"""),23.32)</f>
        <v>23.32</v>
      </c>
      <c r="D1047" s="1">
        <f>IFERROR(__xludf.DUMMYFUNCTION("""COMPUTED_VALUE"""),22.89)</f>
        <v>22.89</v>
      </c>
      <c r="E1047" s="1">
        <f>IFERROR(__xludf.DUMMYFUNCTION("""COMPUTED_VALUE"""),23.26)</f>
        <v>23.26</v>
      </c>
      <c r="F1047" s="1">
        <f>IFERROR(__xludf.DUMMYFUNCTION("""COMPUTED_VALUE"""),841700.0)</f>
        <v>841700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IFERROR(__xludf.DUMMYFUNCTION("""COMPUTED_VALUE"""),23.4)</f>
        <v>23.4</v>
      </c>
      <c r="C1048" s="1">
        <f>IFERROR(__xludf.DUMMYFUNCTION("""COMPUTED_VALUE"""),23.68)</f>
        <v>23.68</v>
      </c>
      <c r="D1048" s="1">
        <f>IFERROR(__xludf.DUMMYFUNCTION("""COMPUTED_VALUE"""),21.92)</f>
        <v>21.92</v>
      </c>
      <c r="E1048" s="1">
        <f>IFERROR(__xludf.DUMMYFUNCTION("""COMPUTED_VALUE"""),22.34)</f>
        <v>22.34</v>
      </c>
      <c r="F1048" s="1">
        <f>IFERROR(__xludf.DUMMYFUNCTION("""COMPUTED_VALUE"""),1062269.0)</f>
        <v>1062269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IFERROR(__xludf.DUMMYFUNCTION("""COMPUTED_VALUE"""),22.53)</f>
        <v>22.53</v>
      </c>
      <c r="C1049" s="1">
        <f>IFERROR(__xludf.DUMMYFUNCTION("""COMPUTED_VALUE"""),22.87)</f>
        <v>22.87</v>
      </c>
      <c r="D1049" s="1">
        <f>IFERROR(__xludf.DUMMYFUNCTION("""COMPUTED_VALUE"""),22.32)</f>
        <v>22.32</v>
      </c>
      <c r="E1049" s="1">
        <f>IFERROR(__xludf.DUMMYFUNCTION("""COMPUTED_VALUE"""),22.79)</f>
        <v>22.79</v>
      </c>
      <c r="F1049" s="1">
        <f>IFERROR(__xludf.DUMMYFUNCTION("""COMPUTED_VALUE"""),488515.0)</f>
        <v>488515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IFERROR(__xludf.DUMMYFUNCTION("""COMPUTED_VALUE"""),22.79)</f>
        <v>22.79</v>
      </c>
      <c r="C1050" s="1">
        <f>IFERROR(__xludf.DUMMYFUNCTION("""COMPUTED_VALUE"""),22.97)</f>
        <v>22.97</v>
      </c>
      <c r="D1050" s="1">
        <f>IFERROR(__xludf.DUMMYFUNCTION("""COMPUTED_VALUE"""),22.63)</f>
        <v>22.63</v>
      </c>
      <c r="E1050" s="1">
        <f>IFERROR(__xludf.DUMMYFUNCTION("""COMPUTED_VALUE"""),22.69)</f>
        <v>22.69</v>
      </c>
      <c r="F1050" s="1">
        <f>IFERROR(__xludf.DUMMYFUNCTION("""COMPUTED_VALUE"""),438943.0)</f>
        <v>438943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IFERROR(__xludf.DUMMYFUNCTION("""COMPUTED_VALUE"""),22.78)</f>
        <v>22.78</v>
      </c>
      <c r="C1051" s="1">
        <f>IFERROR(__xludf.DUMMYFUNCTION("""COMPUTED_VALUE"""),22.8)</f>
        <v>22.8</v>
      </c>
      <c r="D1051" s="1">
        <f>IFERROR(__xludf.DUMMYFUNCTION("""COMPUTED_VALUE"""),22.6)</f>
        <v>22.6</v>
      </c>
      <c r="E1051" s="1">
        <f>IFERROR(__xludf.DUMMYFUNCTION("""COMPUTED_VALUE"""),22.7)</f>
        <v>22.7</v>
      </c>
      <c r="F1051" s="1">
        <f>IFERROR(__xludf.DUMMYFUNCTION("""COMPUTED_VALUE"""),278150.0)</f>
        <v>278150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IFERROR(__xludf.DUMMYFUNCTION("""COMPUTED_VALUE"""),22.67)</f>
        <v>22.67</v>
      </c>
      <c r="C1052" s="1">
        <f>IFERROR(__xludf.DUMMYFUNCTION("""COMPUTED_VALUE"""),22.75)</f>
        <v>22.75</v>
      </c>
      <c r="D1052" s="1">
        <f>IFERROR(__xludf.DUMMYFUNCTION("""COMPUTED_VALUE"""),22.18)</f>
        <v>22.18</v>
      </c>
      <c r="E1052" s="1">
        <f>IFERROR(__xludf.DUMMYFUNCTION("""COMPUTED_VALUE"""),22.32)</f>
        <v>22.32</v>
      </c>
      <c r="F1052" s="1">
        <f>IFERROR(__xludf.DUMMYFUNCTION("""COMPUTED_VALUE"""),361797.0)</f>
        <v>361797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IFERROR(__xludf.DUMMYFUNCTION("""COMPUTED_VALUE"""),22.34)</f>
        <v>22.34</v>
      </c>
      <c r="C1053" s="1">
        <f>IFERROR(__xludf.DUMMYFUNCTION("""COMPUTED_VALUE"""),22.34)</f>
        <v>22.34</v>
      </c>
      <c r="D1053" s="1">
        <f>IFERROR(__xludf.DUMMYFUNCTION("""COMPUTED_VALUE"""),21.98)</f>
        <v>21.98</v>
      </c>
      <c r="E1053" s="1">
        <f>IFERROR(__xludf.DUMMYFUNCTION("""COMPUTED_VALUE"""),22.16)</f>
        <v>22.16</v>
      </c>
      <c r="F1053" s="1">
        <f>IFERROR(__xludf.DUMMYFUNCTION("""COMPUTED_VALUE"""),339742.0)</f>
        <v>339742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IFERROR(__xludf.DUMMYFUNCTION("""COMPUTED_VALUE"""),22.16)</f>
        <v>22.16</v>
      </c>
      <c r="C1054" s="1">
        <f>IFERROR(__xludf.DUMMYFUNCTION("""COMPUTED_VALUE"""),22.67)</f>
        <v>22.67</v>
      </c>
      <c r="D1054" s="1">
        <f>IFERROR(__xludf.DUMMYFUNCTION("""COMPUTED_VALUE"""),22.05)</f>
        <v>22.05</v>
      </c>
      <c r="E1054" s="1">
        <f>IFERROR(__xludf.DUMMYFUNCTION("""COMPUTED_VALUE"""),22.46)</f>
        <v>22.46</v>
      </c>
      <c r="F1054" s="1">
        <f>IFERROR(__xludf.DUMMYFUNCTION("""COMPUTED_VALUE"""),452448.0)</f>
        <v>452448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IFERROR(__xludf.DUMMYFUNCTION("""COMPUTED_VALUE"""),22.35)</f>
        <v>22.35</v>
      </c>
      <c r="C1055" s="1">
        <f>IFERROR(__xludf.DUMMYFUNCTION("""COMPUTED_VALUE"""),22.51)</f>
        <v>22.51</v>
      </c>
      <c r="D1055" s="1">
        <f>IFERROR(__xludf.DUMMYFUNCTION("""COMPUTED_VALUE"""),22.06)</f>
        <v>22.06</v>
      </c>
      <c r="E1055" s="1">
        <f>IFERROR(__xludf.DUMMYFUNCTION("""COMPUTED_VALUE"""),22.42)</f>
        <v>22.42</v>
      </c>
      <c r="F1055" s="1">
        <f>IFERROR(__xludf.DUMMYFUNCTION("""COMPUTED_VALUE"""),266352.0)</f>
        <v>266352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IFERROR(__xludf.DUMMYFUNCTION("""COMPUTED_VALUE"""),22.53)</f>
        <v>22.53</v>
      </c>
      <c r="C1056" s="1">
        <f>IFERROR(__xludf.DUMMYFUNCTION("""COMPUTED_VALUE"""),22.53)</f>
        <v>22.53</v>
      </c>
      <c r="D1056" s="1">
        <f>IFERROR(__xludf.DUMMYFUNCTION("""COMPUTED_VALUE"""),22.3)</f>
        <v>22.3</v>
      </c>
      <c r="E1056" s="1">
        <f>IFERROR(__xludf.DUMMYFUNCTION("""COMPUTED_VALUE"""),22.37)</f>
        <v>22.37</v>
      </c>
      <c r="F1056" s="1">
        <f>IFERROR(__xludf.DUMMYFUNCTION("""COMPUTED_VALUE"""),308887.0)</f>
        <v>308887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IFERROR(__xludf.DUMMYFUNCTION("""COMPUTED_VALUE"""),22.33)</f>
        <v>22.33</v>
      </c>
      <c r="C1057" s="1">
        <f>IFERROR(__xludf.DUMMYFUNCTION("""COMPUTED_VALUE"""),22.55)</f>
        <v>22.55</v>
      </c>
      <c r="D1057" s="1">
        <f>IFERROR(__xludf.DUMMYFUNCTION("""COMPUTED_VALUE"""),22.33)</f>
        <v>22.33</v>
      </c>
      <c r="E1057" s="1">
        <f>IFERROR(__xludf.DUMMYFUNCTION("""COMPUTED_VALUE"""),22.39)</f>
        <v>22.39</v>
      </c>
      <c r="F1057" s="1">
        <f>IFERROR(__xludf.DUMMYFUNCTION("""COMPUTED_VALUE"""),262769.0)</f>
        <v>262769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IFERROR(__xludf.DUMMYFUNCTION("""COMPUTED_VALUE"""),22.47)</f>
        <v>22.47</v>
      </c>
      <c r="C1058" s="1">
        <f>IFERROR(__xludf.DUMMYFUNCTION("""COMPUTED_VALUE"""),22.81)</f>
        <v>22.81</v>
      </c>
      <c r="D1058" s="1">
        <f>IFERROR(__xludf.DUMMYFUNCTION("""COMPUTED_VALUE"""),22.47)</f>
        <v>22.47</v>
      </c>
      <c r="E1058" s="1">
        <f>IFERROR(__xludf.DUMMYFUNCTION("""COMPUTED_VALUE"""),22.8)</f>
        <v>22.8</v>
      </c>
      <c r="F1058" s="1">
        <f>IFERROR(__xludf.DUMMYFUNCTION("""COMPUTED_VALUE"""),574925.0)</f>
        <v>574925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IFERROR(__xludf.DUMMYFUNCTION("""COMPUTED_VALUE"""),22.79)</f>
        <v>22.79</v>
      </c>
      <c r="C1059" s="1">
        <f>IFERROR(__xludf.DUMMYFUNCTION("""COMPUTED_VALUE"""),23.16)</f>
        <v>23.16</v>
      </c>
      <c r="D1059" s="1">
        <f>IFERROR(__xludf.DUMMYFUNCTION("""COMPUTED_VALUE"""),22.75)</f>
        <v>22.75</v>
      </c>
      <c r="E1059" s="1">
        <f>IFERROR(__xludf.DUMMYFUNCTION("""COMPUTED_VALUE"""),23.14)</f>
        <v>23.14</v>
      </c>
      <c r="F1059" s="1">
        <f>IFERROR(__xludf.DUMMYFUNCTION("""COMPUTED_VALUE"""),410633.0)</f>
        <v>410633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IFERROR(__xludf.DUMMYFUNCTION("""COMPUTED_VALUE"""),23.16)</f>
        <v>23.16</v>
      </c>
      <c r="C1060" s="1">
        <f>IFERROR(__xludf.DUMMYFUNCTION("""COMPUTED_VALUE"""),23.75)</f>
        <v>23.75</v>
      </c>
      <c r="D1060" s="1">
        <f>IFERROR(__xludf.DUMMYFUNCTION("""COMPUTED_VALUE"""),23.09)</f>
        <v>23.09</v>
      </c>
      <c r="E1060" s="1">
        <f>IFERROR(__xludf.DUMMYFUNCTION("""COMPUTED_VALUE"""),23.51)</f>
        <v>23.51</v>
      </c>
      <c r="F1060" s="1">
        <f>IFERROR(__xludf.DUMMYFUNCTION("""COMPUTED_VALUE"""),1119011.0)</f>
        <v>1119011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IFERROR(__xludf.DUMMYFUNCTION("""COMPUTED_VALUE"""),23.47)</f>
        <v>23.47</v>
      </c>
      <c r="C1061" s="1">
        <f>IFERROR(__xludf.DUMMYFUNCTION("""COMPUTED_VALUE"""),23.74)</f>
        <v>23.74</v>
      </c>
      <c r="D1061" s="1">
        <f>IFERROR(__xludf.DUMMYFUNCTION("""COMPUTED_VALUE"""),23.12)</f>
        <v>23.12</v>
      </c>
      <c r="E1061" s="1">
        <f>IFERROR(__xludf.DUMMYFUNCTION("""COMPUTED_VALUE"""),23.31)</f>
        <v>23.31</v>
      </c>
      <c r="F1061" s="1">
        <f>IFERROR(__xludf.DUMMYFUNCTION("""COMPUTED_VALUE"""),944955.0)</f>
        <v>944955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IFERROR(__xludf.DUMMYFUNCTION("""COMPUTED_VALUE"""),23.47)</f>
        <v>23.47</v>
      </c>
      <c r="C1062" s="1">
        <f>IFERROR(__xludf.DUMMYFUNCTION("""COMPUTED_VALUE"""),23.77)</f>
        <v>23.77</v>
      </c>
      <c r="D1062" s="1">
        <f>IFERROR(__xludf.DUMMYFUNCTION("""COMPUTED_VALUE"""),23.47)</f>
        <v>23.47</v>
      </c>
      <c r="E1062" s="1">
        <f>IFERROR(__xludf.DUMMYFUNCTION("""COMPUTED_VALUE"""),23.67)</f>
        <v>23.67</v>
      </c>
      <c r="F1062" s="1">
        <f>IFERROR(__xludf.DUMMYFUNCTION("""COMPUTED_VALUE"""),1004690.0)</f>
        <v>1004690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IFERROR(__xludf.DUMMYFUNCTION("""COMPUTED_VALUE"""),23.72)</f>
        <v>23.72</v>
      </c>
      <c r="C1063" s="1">
        <f>IFERROR(__xludf.DUMMYFUNCTION("""COMPUTED_VALUE"""),23.82)</f>
        <v>23.82</v>
      </c>
      <c r="D1063" s="1">
        <f>IFERROR(__xludf.DUMMYFUNCTION("""COMPUTED_VALUE"""),23.26)</f>
        <v>23.26</v>
      </c>
      <c r="E1063" s="1">
        <f>IFERROR(__xludf.DUMMYFUNCTION("""COMPUTED_VALUE"""),23.34)</f>
        <v>23.34</v>
      </c>
      <c r="F1063" s="1">
        <f>IFERROR(__xludf.DUMMYFUNCTION("""COMPUTED_VALUE"""),376093.0)</f>
        <v>376093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IFERROR(__xludf.DUMMYFUNCTION("""COMPUTED_VALUE"""),23.46)</f>
        <v>23.46</v>
      </c>
      <c r="C1064" s="1">
        <f>IFERROR(__xludf.DUMMYFUNCTION("""COMPUTED_VALUE"""),23.56)</f>
        <v>23.56</v>
      </c>
      <c r="D1064" s="1">
        <f>IFERROR(__xludf.DUMMYFUNCTION("""COMPUTED_VALUE"""),23.23)</f>
        <v>23.23</v>
      </c>
      <c r="E1064" s="1">
        <f>IFERROR(__xludf.DUMMYFUNCTION("""COMPUTED_VALUE"""),23.35)</f>
        <v>23.35</v>
      </c>
      <c r="F1064" s="1">
        <f>IFERROR(__xludf.DUMMYFUNCTION("""COMPUTED_VALUE"""),166035.0)</f>
        <v>166035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IFERROR(__xludf.DUMMYFUNCTION("""COMPUTED_VALUE"""),23.48)</f>
        <v>23.48</v>
      </c>
      <c r="C1065" s="1">
        <f>IFERROR(__xludf.DUMMYFUNCTION("""COMPUTED_VALUE"""),23.48)</f>
        <v>23.48</v>
      </c>
      <c r="D1065" s="1">
        <f>IFERROR(__xludf.DUMMYFUNCTION("""COMPUTED_VALUE"""),23.15)</f>
        <v>23.15</v>
      </c>
      <c r="E1065" s="1">
        <f>IFERROR(__xludf.DUMMYFUNCTION("""COMPUTED_VALUE"""),23.23)</f>
        <v>23.23</v>
      </c>
      <c r="F1065" s="1">
        <f>IFERROR(__xludf.DUMMYFUNCTION("""COMPUTED_VALUE"""),230395.0)</f>
        <v>230395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IFERROR(__xludf.DUMMYFUNCTION("""COMPUTED_VALUE"""),23.27)</f>
        <v>23.27</v>
      </c>
      <c r="C1066" s="1">
        <f>IFERROR(__xludf.DUMMYFUNCTION("""COMPUTED_VALUE"""),23.7)</f>
        <v>23.7</v>
      </c>
      <c r="D1066" s="1">
        <f>IFERROR(__xludf.DUMMYFUNCTION("""COMPUTED_VALUE"""),23.1)</f>
        <v>23.1</v>
      </c>
      <c r="E1066" s="1">
        <f>IFERROR(__xludf.DUMMYFUNCTION("""COMPUTED_VALUE"""),23.56)</f>
        <v>23.56</v>
      </c>
      <c r="F1066" s="1">
        <f>IFERROR(__xludf.DUMMYFUNCTION("""COMPUTED_VALUE"""),288647.0)</f>
        <v>288647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IFERROR(__xludf.DUMMYFUNCTION("""COMPUTED_VALUE"""),23.68)</f>
        <v>23.68</v>
      </c>
      <c r="C1067" s="1">
        <f>IFERROR(__xludf.DUMMYFUNCTION("""COMPUTED_VALUE"""),24.12)</f>
        <v>24.12</v>
      </c>
      <c r="D1067" s="1">
        <f>IFERROR(__xludf.DUMMYFUNCTION("""COMPUTED_VALUE"""),23.59)</f>
        <v>23.59</v>
      </c>
      <c r="E1067" s="1">
        <f>IFERROR(__xludf.DUMMYFUNCTION("""COMPUTED_VALUE"""),24.05)</f>
        <v>24.05</v>
      </c>
      <c r="F1067" s="1">
        <f>IFERROR(__xludf.DUMMYFUNCTION("""COMPUTED_VALUE"""),289436.0)</f>
        <v>289436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IFERROR(__xludf.DUMMYFUNCTION("""COMPUTED_VALUE"""),24.15)</f>
        <v>24.15</v>
      </c>
      <c r="C1068" s="1">
        <f>IFERROR(__xludf.DUMMYFUNCTION("""COMPUTED_VALUE"""),24.17)</f>
        <v>24.17</v>
      </c>
      <c r="D1068" s="1">
        <f>IFERROR(__xludf.DUMMYFUNCTION("""COMPUTED_VALUE"""),23.83)</f>
        <v>23.83</v>
      </c>
      <c r="E1068" s="1">
        <f>IFERROR(__xludf.DUMMYFUNCTION("""COMPUTED_VALUE"""),24.13)</f>
        <v>24.13</v>
      </c>
      <c r="F1068" s="1">
        <f>IFERROR(__xludf.DUMMYFUNCTION("""COMPUTED_VALUE"""),252058.0)</f>
        <v>252058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IFERROR(__xludf.DUMMYFUNCTION("""COMPUTED_VALUE"""),24.2)</f>
        <v>24.2</v>
      </c>
      <c r="C1069" s="1">
        <f>IFERROR(__xludf.DUMMYFUNCTION("""COMPUTED_VALUE"""),25.73)</f>
        <v>25.73</v>
      </c>
      <c r="D1069" s="1">
        <f>IFERROR(__xludf.DUMMYFUNCTION("""COMPUTED_VALUE"""),24.18)</f>
        <v>24.18</v>
      </c>
      <c r="E1069" s="1">
        <f>IFERROR(__xludf.DUMMYFUNCTION("""COMPUTED_VALUE"""),24.91)</f>
        <v>24.91</v>
      </c>
      <c r="F1069" s="1">
        <f>IFERROR(__xludf.DUMMYFUNCTION("""COMPUTED_VALUE"""),1212580.0)</f>
        <v>1212580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IFERROR(__xludf.DUMMYFUNCTION("""COMPUTED_VALUE"""),24.91)</f>
        <v>24.91</v>
      </c>
      <c r="C1070" s="1">
        <f>IFERROR(__xludf.DUMMYFUNCTION("""COMPUTED_VALUE"""),25.0)</f>
        <v>25</v>
      </c>
      <c r="D1070" s="1">
        <f>IFERROR(__xludf.DUMMYFUNCTION("""COMPUTED_VALUE"""),24.68)</f>
        <v>24.68</v>
      </c>
      <c r="E1070" s="1">
        <f>IFERROR(__xludf.DUMMYFUNCTION("""COMPUTED_VALUE"""),24.68)</f>
        <v>24.68</v>
      </c>
      <c r="F1070" s="1">
        <f>IFERROR(__xludf.DUMMYFUNCTION("""COMPUTED_VALUE"""),450680.0)</f>
        <v>450680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IFERROR(__xludf.DUMMYFUNCTION("""COMPUTED_VALUE"""),24.71)</f>
        <v>24.71</v>
      </c>
      <c r="C1071" s="1">
        <f>IFERROR(__xludf.DUMMYFUNCTION("""COMPUTED_VALUE"""),24.75)</f>
        <v>24.75</v>
      </c>
      <c r="D1071" s="1">
        <f>IFERROR(__xludf.DUMMYFUNCTION("""COMPUTED_VALUE"""),24.48)</f>
        <v>24.48</v>
      </c>
      <c r="E1071" s="1">
        <f>IFERROR(__xludf.DUMMYFUNCTION("""COMPUTED_VALUE"""),24.62)</f>
        <v>24.62</v>
      </c>
      <c r="F1071" s="1">
        <f>IFERROR(__xludf.DUMMYFUNCTION("""COMPUTED_VALUE"""),306026.0)</f>
        <v>306026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IFERROR(__xludf.DUMMYFUNCTION("""COMPUTED_VALUE"""),24.74)</f>
        <v>24.74</v>
      </c>
      <c r="C1072" s="1">
        <f>IFERROR(__xludf.DUMMYFUNCTION("""COMPUTED_VALUE"""),24.84)</f>
        <v>24.84</v>
      </c>
      <c r="D1072" s="1">
        <f>IFERROR(__xludf.DUMMYFUNCTION("""COMPUTED_VALUE"""),24.19)</f>
        <v>24.19</v>
      </c>
      <c r="E1072" s="1">
        <f>IFERROR(__xludf.DUMMYFUNCTION("""COMPUTED_VALUE"""),24.35)</f>
        <v>24.35</v>
      </c>
      <c r="F1072" s="1">
        <f>IFERROR(__xludf.DUMMYFUNCTION("""COMPUTED_VALUE"""),444887.0)</f>
        <v>444887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IFERROR(__xludf.DUMMYFUNCTION("""COMPUTED_VALUE"""),24.27)</f>
        <v>24.27</v>
      </c>
      <c r="C1073" s="1">
        <f>IFERROR(__xludf.DUMMYFUNCTION("""COMPUTED_VALUE"""),24.32)</f>
        <v>24.32</v>
      </c>
      <c r="D1073" s="1">
        <f>IFERROR(__xludf.DUMMYFUNCTION("""COMPUTED_VALUE"""),23.79)</f>
        <v>23.79</v>
      </c>
      <c r="E1073" s="1">
        <f>IFERROR(__xludf.DUMMYFUNCTION("""COMPUTED_VALUE"""),23.87)</f>
        <v>23.87</v>
      </c>
      <c r="F1073" s="1">
        <f>IFERROR(__xludf.DUMMYFUNCTION("""COMPUTED_VALUE"""),280238.0)</f>
        <v>280238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IFERROR(__xludf.DUMMYFUNCTION("""COMPUTED_VALUE"""),23.9)</f>
        <v>23.9</v>
      </c>
      <c r="C1074" s="1">
        <f>IFERROR(__xludf.DUMMYFUNCTION("""COMPUTED_VALUE"""),24.32)</f>
        <v>24.32</v>
      </c>
      <c r="D1074" s="1">
        <f>IFERROR(__xludf.DUMMYFUNCTION("""COMPUTED_VALUE"""),23.83)</f>
        <v>23.83</v>
      </c>
      <c r="E1074" s="1">
        <f>IFERROR(__xludf.DUMMYFUNCTION("""COMPUTED_VALUE"""),24.32)</f>
        <v>24.32</v>
      </c>
      <c r="F1074" s="1">
        <f>IFERROR(__xludf.DUMMYFUNCTION("""COMPUTED_VALUE"""),296183.0)</f>
        <v>296183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IFERROR(__xludf.DUMMYFUNCTION("""COMPUTED_VALUE"""),24.44)</f>
        <v>24.44</v>
      </c>
      <c r="C1075" s="1">
        <f>IFERROR(__xludf.DUMMYFUNCTION("""COMPUTED_VALUE"""),24.57)</f>
        <v>24.57</v>
      </c>
      <c r="D1075" s="1">
        <f>IFERROR(__xludf.DUMMYFUNCTION("""COMPUTED_VALUE"""),24.32)</f>
        <v>24.32</v>
      </c>
      <c r="E1075" s="1">
        <f>IFERROR(__xludf.DUMMYFUNCTION("""COMPUTED_VALUE"""),24.5)</f>
        <v>24.5</v>
      </c>
      <c r="F1075" s="1">
        <f>IFERROR(__xludf.DUMMYFUNCTION("""COMPUTED_VALUE"""),363650.0)</f>
        <v>363650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IFERROR(__xludf.DUMMYFUNCTION("""COMPUTED_VALUE"""),24.5)</f>
        <v>24.5</v>
      </c>
      <c r="C1076" s="1">
        <f>IFERROR(__xludf.DUMMYFUNCTION("""COMPUTED_VALUE"""),24.5)</f>
        <v>24.5</v>
      </c>
      <c r="D1076" s="1">
        <f>IFERROR(__xludf.DUMMYFUNCTION("""COMPUTED_VALUE"""),23.87)</f>
        <v>23.87</v>
      </c>
      <c r="E1076" s="1">
        <f>IFERROR(__xludf.DUMMYFUNCTION("""COMPUTED_VALUE"""),24.06)</f>
        <v>24.06</v>
      </c>
      <c r="F1076" s="1">
        <f>IFERROR(__xludf.DUMMYFUNCTION("""COMPUTED_VALUE"""),170671.0)</f>
        <v>170671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IFERROR(__xludf.DUMMYFUNCTION("""COMPUTED_VALUE"""),23.97)</f>
        <v>23.97</v>
      </c>
      <c r="C1077" s="1">
        <f>IFERROR(__xludf.DUMMYFUNCTION("""COMPUTED_VALUE"""),24.17)</f>
        <v>24.17</v>
      </c>
      <c r="D1077" s="1">
        <f>IFERROR(__xludf.DUMMYFUNCTION("""COMPUTED_VALUE"""),23.72)</f>
        <v>23.72</v>
      </c>
      <c r="E1077" s="1">
        <f>IFERROR(__xludf.DUMMYFUNCTION("""COMPUTED_VALUE"""),24.0)</f>
        <v>24</v>
      </c>
      <c r="F1077" s="1">
        <f>IFERROR(__xludf.DUMMYFUNCTION("""COMPUTED_VALUE"""),504289.0)</f>
        <v>504289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IFERROR(__xludf.DUMMYFUNCTION("""COMPUTED_VALUE"""),24.18)</f>
        <v>24.18</v>
      </c>
      <c r="C1078" s="1">
        <f>IFERROR(__xludf.DUMMYFUNCTION("""COMPUTED_VALUE"""),24.2)</f>
        <v>24.2</v>
      </c>
      <c r="D1078" s="1">
        <f>IFERROR(__xludf.DUMMYFUNCTION("""COMPUTED_VALUE"""),23.94)</f>
        <v>23.94</v>
      </c>
      <c r="E1078" s="1">
        <f>IFERROR(__xludf.DUMMYFUNCTION("""COMPUTED_VALUE"""),24.09)</f>
        <v>24.09</v>
      </c>
      <c r="F1078" s="1">
        <f>IFERROR(__xludf.DUMMYFUNCTION("""COMPUTED_VALUE"""),570551.0)</f>
        <v>570551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IFERROR(__xludf.DUMMYFUNCTION("""COMPUTED_VALUE"""),24.11)</f>
        <v>24.11</v>
      </c>
      <c r="C1079" s="1">
        <f>IFERROR(__xludf.DUMMYFUNCTION("""COMPUTED_VALUE"""),24.26)</f>
        <v>24.26</v>
      </c>
      <c r="D1079" s="1">
        <f>IFERROR(__xludf.DUMMYFUNCTION("""COMPUTED_VALUE"""),23.77)</f>
        <v>23.77</v>
      </c>
      <c r="E1079" s="1">
        <f>IFERROR(__xludf.DUMMYFUNCTION("""COMPUTED_VALUE"""),24.02)</f>
        <v>24.02</v>
      </c>
      <c r="F1079" s="1">
        <f>IFERROR(__xludf.DUMMYFUNCTION("""COMPUTED_VALUE"""),250224.0)</f>
        <v>250224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IFERROR(__xludf.DUMMYFUNCTION("""COMPUTED_VALUE"""),24.17)</f>
        <v>24.17</v>
      </c>
      <c r="C1080" s="1">
        <f>IFERROR(__xludf.DUMMYFUNCTION("""COMPUTED_VALUE"""),24.32)</f>
        <v>24.32</v>
      </c>
      <c r="D1080" s="1">
        <f>IFERROR(__xludf.DUMMYFUNCTION("""COMPUTED_VALUE"""),24.06)</f>
        <v>24.06</v>
      </c>
      <c r="E1080" s="1">
        <f>IFERROR(__xludf.DUMMYFUNCTION("""COMPUTED_VALUE"""),24.09)</f>
        <v>24.09</v>
      </c>
      <c r="F1080" s="1">
        <f>IFERROR(__xludf.DUMMYFUNCTION("""COMPUTED_VALUE"""),237853.0)</f>
        <v>237853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IFERROR(__xludf.DUMMYFUNCTION("""COMPUTED_VALUE"""),24.08)</f>
        <v>24.08</v>
      </c>
      <c r="C1081" s="1">
        <f>IFERROR(__xludf.DUMMYFUNCTION("""COMPUTED_VALUE"""),24.16)</f>
        <v>24.16</v>
      </c>
      <c r="D1081" s="1">
        <f>IFERROR(__xludf.DUMMYFUNCTION("""COMPUTED_VALUE"""),24.0)</f>
        <v>24</v>
      </c>
      <c r="E1081" s="1">
        <f>IFERROR(__xludf.DUMMYFUNCTION("""COMPUTED_VALUE"""),24.1)</f>
        <v>24.1</v>
      </c>
      <c r="F1081" s="1">
        <f>IFERROR(__xludf.DUMMYFUNCTION("""COMPUTED_VALUE"""),855384.0)</f>
        <v>855384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IFERROR(__xludf.DUMMYFUNCTION("""COMPUTED_VALUE"""),24.09)</f>
        <v>24.09</v>
      </c>
      <c r="C1082" s="1">
        <f>IFERROR(__xludf.DUMMYFUNCTION("""COMPUTED_VALUE"""),24.3)</f>
        <v>24.3</v>
      </c>
      <c r="D1082" s="1">
        <f>IFERROR(__xludf.DUMMYFUNCTION("""COMPUTED_VALUE"""),24.07)</f>
        <v>24.07</v>
      </c>
      <c r="E1082" s="1">
        <f>IFERROR(__xludf.DUMMYFUNCTION("""COMPUTED_VALUE"""),24.18)</f>
        <v>24.18</v>
      </c>
      <c r="F1082" s="1">
        <f>IFERROR(__xludf.DUMMYFUNCTION("""COMPUTED_VALUE"""),174843.0)</f>
        <v>174843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IFERROR(__xludf.DUMMYFUNCTION("""COMPUTED_VALUE"""),24.27)</f>
        <v>24.27</v>
      </c>
      <c r="C1083" s="1">
        <f>IFERROR(__xludf.DUMMYFUNCTION("""COMPUTED_VALUE"""),24.4)</f>
        <v>24.4</v>
      </c>
      <c r="D1083" s="1">
        <f>IFERROR(__xludf.DUMMYFUNCTION("""COMPUTED_VALUE"""),24.17)</f>
        <v>24.17</v>
      </c>
      <c r="E1083" s="1">
        <f>IFERROR(__xludf.DUMMYFUNCTION("""COMPUTED_VALUE"""),24.21)</f>
        <v>24.21</v>
      </c>
      <c r="F1083" s="1">
        <f>IFERROR(__xludf.DUMMYFUNCTION("""COMPUTED_VALUE"""),332224.0)</f>
        <v>332224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IFERROR(__xludf.DUMMYFUNCTION("""COMPUTED_VALUE"""),24.21)</f>
        <v>24.21</v>
      </c>
      <c r="C1084" s="1">
        <f>IFERROR(__xludf.DUMMYFUNCTION("""COMPUTED_VALUE"""),24.37)</f>
        <v>24.37</v>
      </c>
      <c r="D1084" s="1">
        <f>IFERROR(__xludf.DUMMYFUNCTION("""COMPUTED_VALUE"""),24.1)</f>
        <v>24.1</v>
      </c>
      <c r="E1084" s="1">
        <f>IFERROR(__xludf.DUMMYFUNCTION("""COMPUTED_VALUE"""),24.21)</f>
        <v>24.21</v>
      </c>
      <c r="F1084" s="1">
        <f>IFERROR(__xludf.DUMMYFUNCTION("""COMPUTED_VALUE"""),395235.0)</f>
        <v>395235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IFERROR(__xludf.DUMMYFUNCTION("""COMPUTED_VALUE"""),24.25)</f>
        <v>24.25</v>
      </c>
      <c r="C1085" s="1">
        <f>IFERROR(__xludf.DUMMYFUNCTION("""COMPUTED_VALUE"""),24.35)</f>
        <v>24.35</v>
      </c>
      <c r="D1085" s="1">
        <f>IFERROR(__xludf.DUMMYFUNCTION("""COMPUTED_VALUE"""),23.96)</f>
        <v>23.96</v>
      </c>
      <c r="E1085" s="1">
        <f>IFERROR(__xludf.DUMMYFUNCTION("""COMPUTED_VALUE"""),24.1)</f>
        <v>24.1</v>
      </c>
      <c r="F1085" s="1">
        <f>IFERROR(__xludf.DUMMYFUNCTION("""COMPUTED_VALUE"""),350555.0)</f>
        <v>350555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IFERROR(__xludf.DUMMYFUNCTION("""COMPUTED_VALUE"""),24.05)</f>
        <v>24.05</v>
      </c>
      <c r="C1086" s="1">
        <f>IFERROR(__xludf.DUMMYFUNCTION("""COMPUTED_VALUE"""),24.15)</f>
        <v>24.15</v>
      </c>
      <c r="D1086" s="1">
        <f>IFERROR(__xludf.DUMMYFUNCTION("""COMPUTED_VALUE"""),23.78)</f>
        <v>23.78</v>
      </c>
      <c r="E1086" s="1">
        <f>IFERROR(__xludf.DUMMYFUNCTION("""COMPUTED_VALUE"""),23.98)</f>
        <v>23.98</v>
      </c>
      <c r="F1086" s="1">
        <f>IFERROR(__xludf.DUMMYFUNCTION("""COMPUTED_VALUE"""),232654.0)</f>
        <v>232654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IFERROR(__xludf.DUMMYFUNCTION("""COMPUTED_VALUE"""),24.4)</f>
        <v>24.4</v>
      </c>
      <c r="C1087" s="1">
        <f>IFERROR(__xludf.DUMMYFUNCTION("""COMPUTED_VALUE"""),24.44)</f>
        <v>24.44</v>
      </c>
      <c r="D1087" s="1">
        <f>IFERROR(__xludf.DUMMYFUNCTION("""COMPUTED_VALUE"""),24.16)</f>
        <v>24.16</v>
      </c>
      <c r="E1087" s="1">
        <f>IFERROR(__xludf.DUMMYFUNCTION("""COMPUTED_VALUE"""),24.33)</f>
        <v>24.33</v>
      </c>
      <c r="F1087" s="1">
        <f>IFERROR(__xludf.DUMMYFUNCTION("""COMPUTED_VALUE"""),994591.0)</f>
        <v>994591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IFERROR(__xludf.DUMMYFUNCTION("""COMPUTED_VALUE"""),24.43)</f>
        <v>24.43</v>
      </c>
      <c r="C1088" s="1">
        <f>IFERROR(__xludf.DUMMYFUNCTION("""COMPUTED_VALUE"""),24.91)</f>
        <v>24.91</v>
      </c>
      <c r="D1088" s="1">
        <f>IFERROR(__xludf.DUMMYFUNCTION("""COMPUTED_VALUE"""),24.39)</f>
        <v>24.39</v>
      </c>
      <c r="E1088" s="1">
        <f>IFERROR(__xludf.DUMMYFUNCTION("""COMPUTED_VALUE"""),24.73)</f>
        <v>24.73</v>
      </c>
      <c r="F1088" s="1">
        <f>IFERROR(__xludf.DUMMYFUNCTION("""COMPUTED_VALUE"""),842297.0)</f>
        <v>842297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IFERROR(__xludf.DUMMYFUNCTION("""COMPUTED_VALUE"""),24.71)</f>
        <v>24.71</v>
      </c>
      <c r="C1089" s="1">
        <f>IFERROR(__xludf.DUMMYFUNCTION("""COMPUTED_VALUE"""),25.13)</f>
        <v>25.13</v>
      </c>
      <c r="D1089" s="1">
        <f>IFERROR(__xludf.DUMMYFUNCTION("""COMPUTED_VALUE"""),24.69)</f>
        <v>24.69</v>
      </c>
      <c r="E1089" s="1">
        <f>IFERROR(__xludf.DUMMYFUNCTION("""COMPUTED_VALUE"""),25.0)</f>
        <v>25</v>
      </c>
      <c r="F1089" s="1">
        <f>IFERROR(__xludf.DUMMYFUNCTION("""COMPUTED_VALUE"""),619512.0)</f>
        <v>619512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IFERROR(__xludf.DUMMYFUNCTION("""COMPUTED_VALUE"""),25.0)</f>
        <v>25</v>
      </c>
      <c r="C1090" s="1">
        <f>IFERROR(__xludf.DUMMYFUNCTION("""COMPUTED_VALUE"""),25.0)</f>
        <v>25</v>
      </c>
      <c r="D1090" s="1">
        <f>IFERROR(__xludf.DUMMYFUNCTION("""COMPUTED_VALUE"""),24.76)</f>
        <v>24.76</v>
      </c>
      <c r="E1090" s="1">
        <f>IFERROR(__xludf.DUMMYFUNCTION("""COMPUTED_VALUE"""),24.92)</f>
        <v>24.92</v>
      </c>
      <c r="F1090" s="1">
        <f>IFERROR(__xludf.DUMMYFUNCTION("""COMPUTED_VALUE"""),217266.0)</f>
        <v>217266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IFERROR(__xludf.DUMMYFUNCTION("""COMPUTED_VALUE"""),24.87)</f>
        <v>24.87</v>
      </c>
      <c r="C1091" s="1">
        <f>IFERROR(__xludf.DUMMYFUNCTION("""COMPUTED_VALUE"""),25.14)</f>
        <v>25.14</v>
      </c>
      <c r="D1091" s="1">
        <f>IFERROR(__xludf.DUMMYFUNCTION("""COMPUTED_VALUE"""),24.76)</f>
        <v>24.76</v>
      </c>
      <c r="E1091" s="1">
        <f>IFERROR(__xludf.DUMMYFUNCTION("""COMPUTED_VALUE"""),25.08)</f>
        <v>25.08</v>
      </c>
      <c r="F1091" s="1">
        <f>IFERROR(__xludf.DUMMYFUNCTION("""COMPUTED_VALUE"""),413732.0)</f>
        <v>413732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IFERROR(__xludf.DUMMYFUNCTION("""COMPUTED_VALUE"""),24.78)</f>
        <v>24.78</v>
      </c>
      <c r="C1092" s="1">
        <f>IFERROR(__xludf.DUMMYFUNCTION("""COMPUTED_VALUE"""),24.78)</f>
        <v>24.78</v>
      </c>
      <c r="D1092" s="1">
        <f>IFERROR(__xludf.DUMMYFUNCTION("""COMPUTED_VALUE"""),22.8)</f>
        <v>22.8</v>
      </c>
      <c r="E1092" s="1">
        <f>IFERROR(__xludf.DUMMYFUNCTION("""COMPUTED_VALUE"""),23.28)</f>
        <v>23.28</v>
      </c>
      <c r="F1092" s="1">
        <f>IFERROR(__xludf.DUMMYFUNCTION("""COMPUTED_VALUE"""),1276386.0)</f>
        <v>1276386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IFERROR(__xludf.DUMMYFUNCTION("""COMPUTED_VALUE"""),23.23)</f>
        <v>23.23</v>
      </c>
      <c r="C1093" s="1">
        <f>IFERROR(__xludf.DUMMYFUNCTION("""COMPUTED_VALUE"""),23.75)</f>
        <v>23.75</v>
      </c>
      <c r="D1093" s="1">
        <f>IFERROR(__xludf.DUMMYFUNCTION("""COMPUTED_VALUE"""),23.04)</f>
        <v>23.04</v>
      </c>
      <c r="E1093" s="1">
        <f>IFERROR(__xludf.DUMMYFUNCTION("""COMPUTED_VALUE"""),23.64)</f>
        <v>23.64</v>
      </c>
      <c r="F1093" s="1">
        <f>IFERROR(__xludf.DUMMYFUNCTION("""COMPUTED_VALUE"""),360706.0)</f>
        <v>360706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IFERROR(__xludf.DUMMYFUNCTION("""COMPUTED_VALUE"""),23.6)</f>
        <v>23.6</v>
      </c>
      <c r="C1094" s="1">
        <f>IFERROR(__xludf.DUMMYFUNCTION("""COMPUTED_VALUE"""),23.71)</f>
        <v>23.71</v>
      </c>
      <c r="D1094" s="1">
        <f>IFERROR(__xludf.DUMMYFUNCTION("""COMPUTED_VALUE"""),23.2)</f>
        <v>23.2</v>
      </c>
      <c r="E1094" s="1">
        <f>IFERROR(__xludf.DUMMYFUNCTION("""COMPUTED_VALUE"""),23.36)</f>
        <v>23.36</v>
      </c>
      <c r="F1094" s="1">
        <f>IFERROR(__xludf.DUMMYFUNCTION("""COMPUTED_VALUE"""),218998.0)</f>
        <v>218998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IFERROR(__xludf.DUMMYFUNCTION("""COMPUTED_VALUE"""),23.32)</f>
        <v>23.32</v>
      </c>
      <c r="C1095" s="1">
        <f>IFERROR(__xludf.DUMMYFUNCTION("""COMPUTED_VALUE"""),23.54)</f>
        <v>23.54</v>
      </c>
      <c r="D1095" s="1">
        <f>IFERROR(__xludf.DUMMYFUNCTION("""COMPUTED_VALUE"""),23.14)</f>
        <v>23.14</v>
      </c>
      <c r="E1095" s="1">
        <f>IFERROR(__xludf.DUMMYFUNCTION("""COMPUTED_VALUE"""),23.17)</f>
        <v>23.17</v>
      </c>
      <c r="F1095" s="1">
        <f>IFERROR(__xludf.DUMMYFUNCTION("""COMPUTED_VALUE"""),195529.0)</f>
        <v>195529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IFERROR(__xludf.DUMMYFUNCTION("""COMPUTED_VALUE"""),23.16)</f>
        <v>23.16</v>
      </c>
      <c r="C1096" s="1">
        <f>IFERROR(__xludf.DUMMYFUNCTION("""COMPUTED_VALUE"""),23.16)</f>
        <v>23.16</v>
      </c>
      <c r="D1096" s="1">
        <f>IFERROR(__xludf.DUMMYFUNCTION("""COMPUTED_VALUE"""),22.98)</f>
        <v>22.98</v>
      </c>
      <c r="E1096" s="1">
        <f>IFERROR(__xludf.DUMMYFUNCTION("""COMPUTED_VALUE"""),23.01)</f>
        <v>23.01</v>
      </c>
      <c r="F1096" s="1">
        <f>IFERROR(__xludf.DUMMYFUNCTION("""COMPUTED_VALUE"""),164124.0)</f>
        <v>164124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IFERROR(__xludf.DUMMYFUNCTION("""COMPUTED_VALUE"""),23.12)</f>
        <v>23.12</v>
      </c>
      <c r="C1097" s="1">
        <f>IFERROR(__xludf.DUMMYFUNCTION("""COMPUTED_VALUE"""),23.3)</f>
        <v>23.3</v>
      </c>
      <c r="D1097" s="1">
        <f>IFERROR(__xludf.DUMMYFUNCTION("""COMPUTED_VALUE"""),22.94)</f>
        <v>22.94</v>
      </c>
      <c r="E1097" s="1">
        <f>IFERROR(__xludf.DUMMYFUNCTION("""COMPUTED_VALUE"""),22.95)</f>
        <v>22.95</v>
      </c>
      <c r="F1097" s="1">
        <f>IFERROR(__xludf.DUMMYFUNCTION("""COMPUTED_VALUE"""),254522.0)</f>
        <v>254522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IFERROR(__xludf.DUMMYFUNCTION("""COMPUTED_VALUE"""),23.0)</f>
        <v>23</v>
      </c>
      <c r="C1098" s="1">
        <f>IFERROR(__xludf.DUMMYFUNCTION("""COMPUTED_VALUE"""),23.02)</f>
        <v>23.02</v>
      </c>
      <c r="D1098" s="1">
        <f>IFERROR(__xludf.DUMMYFUNCTION("""COMPUTED_VALUE"""),22.7)</f>
        <v>22.7</v>
      </c>
      <c r="E1098" s="1">
        <f>IFERROR(__xludf.DUMMYFUNCTION("""COMPUTED_VALUE"""),22.74)</f>
        <v>22.74</v>
      </c>
      <c r="F1098" s="1">
        <f>IFERROR(__xludf.DUMMYFUNCTION("""COMPUTED_VALUE"""),246737.0)</f>
        <v>246737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IFERROR(__xludf.DUMMYFUNCTION("""COMPUTED_VALUE"""),22.75)</f>
        <v>22.75</v>
      </c>
      <c r="C1099" s="1">
        <f>IFERROR(__xludf.DUMMYFUNCTION("""COMPUTED_VALUE"""),22.82)</f>
        <v>22.82</v>
      </c>
      <c r="D1099" s="1">
        <f>IFERROR(__xludf.DUMMYFUNCTION("""COMPUTED_VALUE"""),22.53)</f>
        <v>22.53</v>
      </c>
      <c r="E1099" s="1">
        <f>IFERROR(__xludf.DUMMYFUNCTION("""COMPUTED_VALUE"""),22.57)</f>
        <v>22.57</v>
      </c>
      <c r="F1099" s="1">
        <f>IFERROR(__xludf.DUMMYFUNCTION("""COMPUTED_VALUE"""),106693.0)</f>
        <v>106693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IFERROR(__xludf.DUMMYFUNCTION("""COMPUTED_VALUE"""),22.51)</f>
        <v>22.51</v>
      </c>
      <c r="C1100" s="1">
        <f>IFERROR(__xludf.DUMMYFUNCTION("""COMPUTED_VALUE"""),22.58)</f>
        <v>22.58</v>
      </c>
      <c r="D1100" s="1">
        <f>IFERROR(__xludf.DUMMYFUNCTION("""COMPUTED_VALUE"""),22.3)</f>
        <v>22.3</v>
      </c>
      <c r="E1100" s="1">
        <f>IFERROR(__xludf.DUMMYFUNCTION("""COMPUTED_VALUE"""),22.58)</f>
        <v>22.58</v>
      </c>
      <c r="F1100" s="1">
        <f>IFERROR(__xludf.DUMMYFUNCTION("""COMPUTED_VALUE"""),169108.0)</f>
        <v>169108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IFERROR(__xludf.DUMMYFUNCTION("""COMPUTED_VALUE"""),22.6)</f>
        <v>22.6</v>
      </c>
      <c r="C1101" s="1">
        <f>IFERROR(__xludf.DUMMYFUNCTION("""COMPUTED_VALUE"""),22.69)</f>
        <v>22.69</v>
      </c>
      <c r="D1101" s="1">
        <f>IFERROR(__xludf.DUMMYFUNCTION("""COMPUTED_VALUE"""),22.51)</f>
        <v>22.51</v>
      </c>
      <c r="E1101" s="1">
        <f>IFERROR(__xludf.DUMMYFUNCTION("""COMPUTED_VALUE"""),22.52)</f>
        <v>22.52</v>
      </c>
      <c r="F1101" s="1">
        <f>IFERROR(__xludf.DUMMYFUNCTION("""COMPUTED_VALUE"""),114068.0)</f>
        <v>114068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IFERROR(__xludf.DUMMYFUNCTION("""COMPUTED_VALUE"""),22.38)</f>
        <v>22.38</v>
      </c>
      <c r="C1102" s="1">
        <f>IFERROR(__xludf.DUMMYFUNCTION("""COMPUTED_VALUE"""),22.62)</f>
        <v>22.62</v>
      </c>
      <c r="D1102" s="1">
        <f>IFERROR(__xludf.DUMMYFUNCTION("""COMPUTED_VALUE"""),22.3)</f>
        <v>22.3</v>
      </c>
      <c r="E1102" s="1">
        <f>IFERROR(__xludf.DUMMYFUNCTION("""COMPUTED_VALUE"""),22.4)</f>
        <v>22.4</v>
      </c>
      <c r="F1102" s="1">
        <f>IFERROR(__xludf.DUMMYFUNCTION("""COMPUTED_VALUE"""),143550.0)</f>
        <v>143550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IFERROR(__xludf.DUMMYFUNCTION("""COMPUTED_VALUE"""),22.4)</f>
        <v>22.4</v>
      </c>
      <c r="C1103" s="1">
        <f>IFERROR(__xludf.DUMMYFUNCTION("""COMPUTED_VALUE"""),22.48)</f>
        <v>22.48</v>
      </c>
      <c r="D1103" s="1">
        <f>IFERROR(__xludf.DUMMYFUNCTION("""COMPUTED_VALUE"""),22.09)</f>
        <v>22.09</v>
      </c>
      <c r="E1103" s="1">
        <f>IFERROR(__xludf.DUMMYFUNCTION("""COMPUTED_VALUE"""),22.14)</f>
        <v>22.14</v>
      </c>
      <c r="F1103" s="1">
        <f>IFERROR(__xludf.DUMMYFUNCTION("""COMPUTED_VALUE"""),172718.0)</f>
        <v>172718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IFERROR(__xludf.DUMMYFUNCTION("""COMPUTED_VALUE"""),22.04)</f>
        <v>22.04</v>
      </c>
      <c r="C1104" s="1">
        <f>IFERROR(__xludf.DUMMYFUNCTION("""COMPUTED_VALUE"""),22.22)</f>
        <v>22.22</v>
      </c>
      <c r="D1104" s="1">
        <f>IFERROR(__xludf.DUMMYFUNCTION("""COMPUTED_VALUE"""),21.99)</f>
        <v>21.99</v>
      </c>
      <c r="E1104" s="1">
        <f>IFERROR(__xludf.DUMMYFUNCTION("""COMPUTED_VALUE"""),22.14)</f>
        <v>22.14</v>
      </c>
      <c r="F1104" s="1">
        <f>IFERROR(__xludf.DUMMYFUNCTION("""COMPUTED_VALUE"""),139852.0)</f>
        <v>139852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IFERROR(__xludf.DUMMYFUNCTION("""COMPUTED_VALUE"""),22.17)</f>
        <v>22.17</v>
      </c>
      <c r="C1105" s="1">
        <f>IFERROR(__xludf.DUMMYFUNCTION("""COMPUTED_VALUE"""),22.32)</f>
        <v>22.32</v>
      </c>
      <c r="D1105" s="1">
        <f>IFERROR(__xludf.DUMMYFUNCTION("""COMPUTED_VALUE"""),21.97)</f>
        <v>21.97</v>
      </c>
      <c r="E1105" s="1">
        <f>IFERROR(__xludf.DUMMYFUNCTION("""COMPUTED_VALUE"""),22.06)</f>
        <v>22.06</v>
      </c>
      <c r="F1105" s="1">
        <f>IFERROR(__xludf.DUMMYFUNCTION("""COMPUTED_VALUE"""),208756.0)</f>
        <v>208756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IFERROR(__xludf.DUMMYFUNCTION("""COMPUTED_VALUE"""),22.05)</f>
        <v>22.05</v>
      </c>
      <c r="C1106" s="1">
        <f>IFERROR(__xludf.DUMMYFUNCTION("""COMPUTED_VALUE"""),22.06)</f>
        <v>22.06</v>
      </c>
      <c r="D1106" s="1">
        <f>IFERROR(__xludf.DUMMYFUNCTION("""COMPUTED_VALUE"""),21.9)</f>
        <v>21.9</v>
      </c>
      <c r="E1106" s="1">
        <f>IFERROR(__xludf.DUMMYFUNCTION("""COMPUTED_VALUE"""),21.91)</f>
        <v>21.91</v>
      </c>
      <c r="F1106" s="1">
        <f>IFERROR(__xludf.DUMMYFUNCTION("""COMPUTED_VALUE"""),155336.0)</f>
        <v>155336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IFERROR(__xludf.DUMMYFUNCTION("""COMPUTED_VALUE"""),21.94)</f>
        <v>21.94</v>
      </c>
      <c r="C1107" s="1">
        <f>IFERROR(__xludf.DUMMYFUNCTION("""COMPUTED_VALUE"""),22.7)</f>
        <v>22.7</v>
      </c>
      <c r="D1107" s="1">
        <f>IFERROR(__xludf.DUMMYFUNCTION("""COMPUTED_VALUE"""),21.9)</f>
        <v>21.9</v>
      </c>
      <c r="E1107" s="1">
        <f>IFERROR(__xludf.DUMMYFUNCTION("""COMPUTED_VALUE"""),22.66)</f>
        <v>22.66</v>
      </c>
      <c r="F1107" s="1">
        <f>IFERROR(__xludf.DUMMYFUNCTION("""COMPUTED_VALUE"""),273997.0)</f>
        <v>273997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IFERROR(__xludf.DUMMYFUNCTION("""COMPUTED_VALUE"""),22.76)</f>
        <v>22.76</v>
      </c>
      <c r="C1108" s="1">
        <f>IFERROR(__xludf.DUMMYFUNCTION("""COMPUTED_VALUE"""),23.24)</f>
        <v>23.24</v>
      </c>
      <c r="D1108" s="1">
        <f>IFERROR(__xludf.DUMMYFUNCTION("""COMPUTED_VALUE"""),22.75)</f>
        <v>22.75</v>
      </c>
      <c r="E1108" s="1">
        <f>IFERROR(__xludf.DUMMYFUNCTION("""COMPUTED_VALUE"""),23.12)</f>
        <v>23.12</v>
      </c>
      <c r="F1108" s="1">
        <f>IFERROR(__xludf.DUMMYFUNCTION("""COMPUTED_VALUE"""),326525.0)</f>
        <v>326525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IFERROR(__xludf.DUMMYFUNCTION("""COMPUTED_VALUE"""),23.22)</f>
        <v>23.22</v>
      </c>
      <c r="C1109" s="1">
        <f>IFERROR(__xludf.DUMMYFUNCTION("""COMPUTED_VALUE"""),23.22)</f>
        <v>23.22</v>
      </c>
      <c r="D1109" s="1">
        <f>IFERROR(__xludf.DUMMYFUNCTION("""COMPUTED_VALUE"""),22.97)</f>
        <v>22.97</v>
      </c>
      <c r="E1109" s="1">
        <f>IFERROR(__xludf.DUMMYFUNCTION("""COMPUTED_VALUE"""),23.1)</f>
        <v>23.1</v>
      </c>
      <c r="F1109" s="1">
        <f>IFERROR(__xludf.DUMMYFUNCTION("""COMPUTED_VALUE"""),265133.0)</f>
        <v>265133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IFERROR(__xludf.DUMMYFUNCTION("""COMPUTED_VALUE"""),23.06)</f>
        <v>23.06</v>
      </c>
      <c r="C1110" s="1">
        <f>IFERROR(__xludf.DUMMYFUNCTION("""COMPUTED_VALUE"""),23.09)</f>
        <v>23.09</v>
      </c>
      <c r="D1110" s="1">
        <f>IFERROR(__xludf.DUMMYFUNCTION("""COMPUTED_VALUE"""),22.85)</f>
        <v>22.85</v>
      </c>
      <c r="E1110" s="1">
        <f>IFERROR(__xludf.DUMMYFUNCTION("""COMPUTED_VALUE"""),22.95)</f>
        <v>22.95</v>
      </c>
      <c r="F1110" s="1">
        <f>IFERROR(__xludf.DUMMYFUNCTION("""COMPUTED_VALUE"""),252000.0)</f>
        <v>252000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IFERROR(__xludf.DUMMYFUNCTION("""COMPUTED_VALUE"""),22.89)</f>
        <v>22.89</v>
      </c>
      <c r="C1111" s="1">
        <f>IFERROR(__xludf.DUMMYFUNCTION("""COMPUTED_VALUE"""),23.09)</f>
        <v>23.09</v>
      </c>
      <c r="D1111" s="1">
        <f>IFERROR(__xludf.DUMMYFUNCTION("""COMPUTED_VALUE"""),22.82)</f>
        <v>22.82</v>
      </c>
      <c r="E1111" s="1">
        <f>IFERROR(__xludf.DUMMYFUNCTION("""COMPUTED_VALUE"""),22.85)</f>
        <v>22.85</v>
      </c>
      <c r="F1111" s="1">
        <f>IFERROR(__xludf.DUMMYFUNCTION("""COMPUTED_VALUE"""),600967.0)</f>
        <v>600967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IFERROR(__xludf.DUMMYFUNCTION("""COMPUTED_VALUE"""),22.82)</f>
        <v>22.82</v>
      </c>
      <c r="C1112" s="1">
        <f>IFERROR(__xludf.DUMMYFUNCTION("""COMPUTED_VALUE"""),23.08)</f>
        <v>23.08</v>
      </c>
      <c r="D1112" s="1">
        <f>IFERROR(__xludf.DUMMYFUNCTION("""COMPUTED_VALUE"""),22.72)</f>
        <v>22.72</v>
      </c>
      <c r="E1112" s="1">
        <f>IFERROR(__xludf.DUMMYFUNCTION("""COMPUTED_VALUE"""),22.96)</f>
        <v>22.96</v>
      </c>
      <c r="F1112" s="1">
        <f>IFERROR(__xludf.DUMMYFUNCTION("""COMPUTED_VALUE"""),393555.0)</f>
        <v>393555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IFERROR(__xludf.DUMMYFUNCTION("""COMPUTED_VALUE"""),22.96)</f>
        <v>22.96</v>
      </c>
      <c r="C1113" s="1">
        <f>IFERROR(__xludf.DUMMYFUNCTION("""COMPUTED_VALUE"""),23.45)</f>
        <v>23.45</v>
      </c>
      <c r="D1113" s="1">
        <f>IFERROR(__xludf.DUMMYFUNCTION("""COMPUTED_VALUE"""),22.87)</f>
        <v>22.87</v>
      </c>
      <c r="E1113" s="1">
        <f>IFERROR(__xludf.DUMMYFUNCTION("""COMPUTED_VALUE"""),23.19)</f>
        <v>23.19</v>
      </c>
      <c r="F1113" s="1">
        <f>IFERROR(__xludf.DUMMYFUNCTION("""COMPUTED_VALUE"""),317782.0)</f>
        <v>317782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IFERROR(__xludf.DUMMYFUNCTION("""COMPUTED_VALUE"""),23.23)</f>
        <v>23.23</v>
      </c>
      <c r="C1114" s="1">
        <f>IFERROR(__xludf.DUMMYFUNCTION("""COMPUTED_VALUE"""),23.43)</f>
        <v>23.43</v>
      </c>
      <c r="D1114" s="1">
        <f>IFERROR(__xludf.DUMMYFUNCTION("""COMPUTED_VALUE"""),23.0)</f>
        <v>23</v>
      </c>
      <c r="E1114" s="1">
        <f>IFERROR(__xludf.DUMMYFUNCTION("""COMPUTED_VALUE"""),23.04)</f>
        <v>23.04</v>
      </c>
      <c r="F1114" s="1">
        <f>IFERROR(__xludf.DUMMYFUNCTION("""COMPUTED_VALUE"""),271221.0)</f>
        <v>271221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IFERROR(__xludf.DUMMYFUNCTION("""COMPUTED_VALUE"""),23.14)</f>
        <v>23.14</v>
      </c>
      <c r="C1115" s="1">
        <f>IFERROR(__xludf.DUMMYFUNCTION("""COMPUTED_VALUE"""),23.43)</f>
        <v>23.43</v>
      </c>
      <c r="D1115" s="1">
        <f>IFERROR(__xludf.DUMMYFUNCTION("""COMPUTED_VALUE"""),23.06)</f>
        <v>23.06</v>
      </c>
      <c r="E1115" s="1">
        <f>IFERROR(__xludf.DUMMYFUNCTION("""COMPUTED_VALUE"""),23.17)</f>
        <v>23.17</v>
      </c>
      <c r="F1115" s="1">
        <f>IFERROR(__xludf.DUMMYFUNCTION("""COMPUTED_VALUE"""),263047.0)</f>
        <v>263047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IFERROR(__xludf.DUMMYFUNCTION("""COMPUTED_VALUE"""),23.34)</f>
        <v>23.34</v>
      </c>
      <c r="C1116" s="1">
        <f>IFERROR(__xludf.DUMMYFUNCTION("""COMPUTED_VALUE"""),24.67)</f>
        <v>24.67</v>
      </c>
      <c r="D1116" s="1">
        <f>IFERROR(__xludf.DUMMYFUNCTION("""COMPUTED_VALUE"""),23.34)</f>
        <v>23.34</v>
      </c>
      <c r="E1116" s="1">
        <f>IFERROR(__xludf.DUMMYFUNCTION("""COMPUTED_VALUE"""),24.07)</f>
        <v>24.07</v>
      </c>
      <c r="F1116" s="1">
        <f>IFERROR(__xludf.DUMMYFUNCTION("""COMPUTED_VALUE"""),596844.0)</f>
        <v>596844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IFERROR(__xludf.DUMMYFUNCTION("""COMPUTED_VALUE"""),24.2)</f>
        <v>24.2</v>
      </c>
      <c r="C1117" s="1">
        <f>IFERROR(__xludf.DUMMYFUNCTION("""COMPUTED_VALUE"""),24.38)</f>
        <v>24.38</v>
      </c>
      <c r="D1117" s="1">
        <f>IFERROR(__xludf.DUMMYFUNCTION("""COMPUTED_VALUE"""),23.96)</f>
        <v>23.96</v>
      </c>
      <c r="E1117" s="1">
        <f>IFERROR(__xludf.DUMMYFUNCTION("""COMPUTED_VALUE"""),24.38)</f>
        <v>24.38</v>
      </c>
      <c r="F1117" s="1">
        <f>IFERROR(__xludf.DUMMYFUNCTION("""COMPUTED_VALUE"""),368315.0)</f>
        <v>368315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IFERROR(__xludf.DUMMYFUNCTION("""COMPUTED_VALUE"""),24.33)</f>
        <v>24.33</v>
      </c>
      <c r="C1118" s="1">
        <f>IFERROR(__xludf.DUMMYFUNCTION("""COMPUTED_VALUE"""),24.53)</f>
        <v>24.53</v>
      </c>
      <c r="D1118" s="1">
        <f>IFERROR(__xludf.DUMMYFUNCTION("""COMPUTED_VALUE"""),24.13)</f>
        <v>24.13</v>
      </c>
      <c r="E1118" s="1">
        <f>IFERROR(__xludf.DUMMYFUNCTION("""COMPUTED_VALUE"""),24.5)</f>
        <v>24.5</v>
      </c>
      <c r="F1118" s="1">
        <f>IFERROR(__xludf.DUMMYFUNCTION("""COMPUTED_VALUE"""),421570.0)</f>
        <v>421570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IFERROR(__xludf.DUMMYFUNCTION("""COMPUTED_VALUE"""),24.45)</f>
        <v>24.45</v>
      </c>
      <c r="C1119" s="1">
        <f>IFERROR(__xludf.DUMMYFUNCTION("""COMPUTED_VALUE"""),24.54)</f>
        <v>24.54</v>
      </c>
      <c r="D1119" s="1">
        <f>IFERROR(__xludf.DUMMYFUNCTION("""COMPUTED_VALUE"""),24.25)</f>
        <v>24.25</v>
      </c>
      <c r="E1119" s="1">
        <f>IFERROR(__xludf.DUMMYFUNCTION("""COMPUTED_VALUE"""),24.49)</f>
        <v>24.49</v>
      </c>
      <c r="F1119" s="1">
        <f>IFERROR(__xludf.DUMMYFUNCTION("""COMPUTED_VALUE"""),258667.0)</f>
        <v>258667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IFERROR(__xludf.DUMMYFUNCTION("""COMPUTED_VALUE"""),24.43)</f>
        <v>24.43</v>
      </c>
      <c r="C1120" s="1">
        <f>IFERROR(__xludf.DUMMYFUNCTION("""COMPUTED_VALUE"""),24.63)</f>
        <v>24.63</v>
      </c>
      <c r="D1120" s="1">
        <f>IFERROR(__xludf.DUMMYFUNCTION("""COMPUTED_VALUE"""),24.28)</f>
        <v>24.28</v>
      </c>
      <c r="E1120" s="1">
        <f>IFERROR(__xludf.DUMMYFUNCTION("""COMPUTED_VALUE"""),24.49)</f>
        <v>24.49</v>
      </c>
      <c r="F1120" s="1">
        <f>IFERROR(__xludf.DUMMYFUNCTION("""COMPUTED_VALUE"""),269841.0)</f>
        <v>269841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IFERROR(__xludf.DUMMYFUNCTION("""COMPUTED_VALUE"""),24.54)</f>
        <v>24.54</v>
      </c>
      <c r="C1121" s="1">
        <f>IFERROR(__xludf.DUMMYFUNCTION("""COMPUTED_VALUE"""),24.92)</f>
        <v>24.92</v>
      </c>
      <c r="D1121" s="1">
        <f>IFERROR(__xludf.DUMMYFUNCTION("""COMPUTED_VALUE"""),24.46)</f>
        <v>24.46</v>
      </c>
      <c r="E1121" s="1">
        <f>IFERROR(__xludf.DUMMYFUNCTION("""COMPUTED_VALUE"""),24.76)</f>
        <v>24.76</v>
      </c>
      <c r="F1121" s="1">
        <f>IFERROR(__xludf.DUMMYFUNCTION("""COMPUTED_VALUE"""),288727.0)</f>
        <v>288727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IFERROR(__xludf.DUMMYFUNCTION("""COMPUTED_VALUE"""),24.67)</f>
        <v>24.67</v>
      </c>
      <c r="C1122" s="1">
        <f>IFERROR(__xludf.DUMMYFUNCTION("""COMPUTED_VALUE"""),25.15)</f>
        <v>25.15</v>
      </c>
      <c r="D1122" s="1">
        <f>IFERROR(__xludf.DUMMYFUNCTION("""COMPUTED_VALUE"""),24.67)</f>
        <v>24.67</v>
      </c>
      <c r="E1122" s="1">
        <f>IFERROR(__xludf.DUMMYFUNCTION("""COMPUTED_VALUE"""),24.75)</f>
        <v>24.75</v>
      </c>
      <c r="F1122" s="1">
        <f>IFERROR(__xludf.DUMMYFUNCTION("""COMPUTED_VALUE"""),314993.0)</f>
        <v>314993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IFERROR(__xludf.DUMMYFUNCTION("""COMPUTED_VALUE"""),24.87)</f>
        <v>24.87</v>
      </c>
      <c r="C1123" s="1">
        <f>IFERROR(__xludf.DUMMYFUNCTION("""COMPUTED_VALUE"""),24.96)</f>
        <v>24.96</v>
      </c>
      <c r="D1123" s="1">
        <f>IFERROR(__xludf.DUMMYFUNCTION("""COMPUTED_VALUE"""),24.66)</f>
        <v>24.66</v>
      </c>
      <c r="E1123" s="1">
        <f>IFERROR(__xludf.DUMMYFUNCTION("""COMPUTED_VALUE"""),24.78)</f>
        <v>24.78</v>
      </c>
      <c r="F1123" s="1">
        <f>IFERROR(__xludf.DUMMYFUNCTION("""COMPUTED_VALUE"""),653493.0)</f>
        <v>653493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IFERROR(__xludf.DUMMYFUNCTION("""COMPUTED_VALUE"""),24.78)</f>
        <v>24.78</v>
      </c>
      <c r="C1124" s="1">
        <f>IFERROR(__xludf.DUMMYFUNCTION("""COMPUTED_VALUE"""),24.92)</f>
        <v>24.92</v>
      </c>
      <c r="D1124" s="1">
        <f>IFERROR(__xludf.DUMMYFUNCTION("""COMPUTED_VALUE"""),24.69)</f>
        <v>24.69</v>
      </c>
      <c r="E1124" s="1">
        <f>IFERROR(__xludf.DUMMYFUNCTION("""COMPUTED_VALUE"""),24.74)</f>
        <v>24.74</v>
      </c>
      <c r="F1124" s="1">
        <f>IFERROR(__xludf.DUMMYFUNCTION("""COMPUTED_VALUE"""),278070.0)</f>
        <v>278070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IFERROR(__xludf.DUMMYFUNCTION("""COMPUTED_VALUE"""),24.84)</f>
        <v>24.84</v>
      </c>
      <c r="C1125" s="1">
        <f>IFERROR(__xludf.DUMMYFUNCTION("""COMPUTED_VALUE"""),24.89)</f>
        <v>24.89</v>
      </c>
      <c r="D1125" s="1">
        <f>IFERROR(__xludf.DUMMYFUNCTION("""COMPUTED_VALUE"""),24.45)</f>
        <v>24.45</v>
      </c>
      <c r="E1125" s="1">
        <f>IFERROR(__xludf.DUMMYFUNCTION("""COMPUTED_VALUE"""),24.54)</f>
        <v>24.54</v>
      </c>
      <c r="F1125" s="1">
        <f>IFERROR(__xludf.DUMMYFUNCTION("""COMPUTED_VALUE"""),368260.0)</f>
        <v>368260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IFERROR(__xludf.DUMMYFUNCTION("""COMPUTED_VALUE"""),24.55)</f>
        <v>24.55</v>
      </c>
      <c r="C1126" s="1">
        <f>IFERROR(__xludf.DUMMYFUNCTION("""COMPUTED_VALUE"""),24.74)</f>
        <v>24.74</v>
      </c>
      <c r="D1126" s="1">
        <f>IFERROR(__xludf.DUMMYFUNCTION("""COMPUTED_VALUE"""),24.38)</f>
        <v>24.38</v>
      </c>
      <c r="E1126" s="1">
        <f>IFERROR(__xludf.DUMMYFUNCTION("""COMPUTED_VALUE"""),24.46)</f>
        <v>24.46</v>
      </c>
      <c r="F1126" s="1">
        <f>IFERROR(__xludf.DUMMYFUNCTION("""COMPUTED_VALUE"""),193907.0)</f>
        <v>193907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IFERROR(__xludf.DUMMYFUNCTION("""COMPUTED_VALUE"""),24.48)</f>
        <v>24.48</v>
      </c>
      <c r="C1127" s="1">
        <f>IFERROR(__xludf.DUMMYFUNCTION("""COMPUTED_VALUE"""),24.75)</f>
        <v>24.75</v>
      </c>
      <c r="D1127" s="1">
        <f>IFERROR(__xludf.DUMMYFUNCTION("""COMPUTED_VALUE"""),24.37)</f>
        <v>24.37</v>
      </c>
      <c r="E1127" s="1">
        <f>IFERROR(__xludf.DUMMYFUNCTION("""COMPUTED_VALUE"""),24.47)</f>
        <v>24.47</v>
      </c>
      <c r="F1127" s="1">
        <f>IFERROR(__xludf.DUMMYFUNCTION("""COMPUTED_VALUE"""),279385.0)</f>
        <v>279385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IFERROR(__xludf.DUMMYFUNCTION("""COMPUTED_VALUE"""),24.41)</f>
        <v>24.41</v>
      </c>
      <c r="C1128" s="1">
        <f>IFERROR(__xludf.DUMMYFUNCTION("""COMPUTED_VALUE"""),24.54)</f>
        <v>24.54</v>
      </c>
      <c r="D1128" s="1">
        <f>IFERROR(__xludf.DUMMYFUNCTION("""COMPUTED_VALUE"""),24.33)</f>
        <v>24.33</v>
      </c>
      <c r="E1128" s="1">
        <f>IFERROR(__xludf.DUMMYFUNCTION("""COMPUTED_VALUE"""),24.44)</f>
        <v>24.44</v>
      </c>
      <c r="F1128" s="1">
        <f>IFERROR(__xludf.DUMMYFUNCTION("""COMPUTED_VALUE"""),147424.0)</f>
        <v>147424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IFERROR(__xludf.DUMMYFUNCTION("""COMPUTED_VALUE"""),24.47)</f>
        <v>24.47</v>
      </c>
      <c r="C1129" s="1">
        <f>IFERROR(__xludf.DUMMYFUNCTION("""COMPUTED_VALUE"""),24.56)</f>
        <v>24.56</v>
      </c>
      <c r="D1129" s="1">
        <f>IFERROR(__xludf.DUMMYFUNCTION("""COMPUTED_VALUE"""),24.38)</f>
        <v>24.38</v>
      </c>
      <c r="E1129" s="1">
        <f>IFERROR(__xludf.DUMMYFUNCTION("""COMPUTED_VALUE"""),24.48)</f>
        <v>24.48</v>
      </c>
      <c r="F1129" s="1">
        <f>IFERROR(__xludf.DUMMYFUNCTION("""COMPUTED_VALUE"""),195586.0)</f>
        <v>195586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IFERROR(__xludf.DUMMYFUNCTION("""COMPUTED_VALUE"""),24.44)</f>
        <v>24.44</v>
      </c>
      <c r="C1130" s="1">
        <f>IFERROR(__xludf.DUMMYFUNCTION("""COMPUTED_VALUE"""),24.78)</f>
        <v>24.78</v>
      </c>
      <c r="D1130" s="1">
        <f>IFERROR(__xludf.DUMMYFUNCTION("""COMPUTED_VALUE"""),24.44)</f>
        <v>24.44</v>
      </c>
      <c r="E1130" s="1">
        <f>IFERROR(__xludf.DUMMYFUNCTION("""COMPUTED_VALUE"""),24.69)</f>
        <v>24.69</v>
      </c>
      <c r="F1130" s="1">
        <f>IFERROR(__xludf.DUMMYFUNCTION("""COMPUTED_VALUE"""),239060.0)</f>
        <v>239060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IFERROR(__xludf.DUMMYFUNCTION("""COMPUTED_VALUE"""),24.69)</f>
        <v>24.69</v>
      </c>
      <c r="C1131" s="1">
        <f>IFERROR(__xludf.DUMMYFUNCTION("""COMPUTED_VALUE"""),24.75)</f>
        <v>24.75</v>
      </c>
      <c r="D1131" s="1">
        <f>IFERROR(__xludf.DUMMYFUNCTION("""COMPUTED_VALUE"""),24.56)</f>
        <v>24.56</v>
      </c>
      <c r="E1131" s="1">
        <f>IFERROR(__xludf.DUMMYFUNCTION("""COMPUTED_VALUE"""),24.65)</f>
        <v>24.65</v>
      </c>
      <c r="F1131" s="1">
        <f>IFERROR(__xludf.DUMMYFUNCTION("""COMPUTED_VALUE"""),213291.0)</f>
        <v>213291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IFERROR(__xludf.DUMMYFUNCTION("""COMPUTED_VALUE"""),24.7)</f>
        <v>24.7</v>
      </c>
      <c r="C1132" s="1">
        <f>IFERROR(__xludf.DUMMYFUNCTION("""COMPUTED_VALUE"""),24.76)</f>
        <v>24.76</v>
      </c>
      <c r="D1132" s="1">
        <f>IFERROR(__xludf.DUMMYFUNCTION("""COMPUTED_VALUE"""),24.58)</f>
        <v>24.58</v>
      </c>
      <c r="E1132" s="1">
        <f>IFERROR(__xludf.DUMMYFUNCTION("""COMPUTED_VALUE"""),24.6)</f>
        <v>24.6</v>
      </c>
      <c r="F1132" s="1">
        <f>IFERROR(__xludf.DUMMYFUNCTION("""COMPUTED_VALUE"""),276101.0)</f>
        <v>276101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IFERROR(__xludf.DUMMYFUNCTION("""COMPUTED_VALUE"""),24.6)</f>
        <v>24.6</v>
      </c>
      <c r="C1133" s="1">
        <f>IFERROR(__xludf.DUMMYFUNCTION("""COMPUTED_VALUE"""),25.15)</f>
        <v>25.15</v>
      </c>
      <c r="D1133" s="1">
        <f>IFERROR(__xludf.DUMMYFUNCTION("""COMPUTED_VALUE"""),24.52)</f>
        <v>24.52</v>
      </c>
      <c r="E1133" s="1">
        <f>IFERROR(__xludf.DUMMYFUNCTION("""COMPUTED_VALUE"""),24.97)</f>
        <v>24.97</v>
      </c>
      <c r="F1133" s="1">
        <f>IFERROR(__xludf.DUMMYFUNCTION("""COMPUTED_VALUE"""),353901.0)</f>
        <v>353901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IFERROR(__xludf.DUMMYFUNCTION("""COMPUTED_VALUE"""),25.0)</f>
        <v>25</v>
      </c>
      <c r="C1134" s="1">
        <f>IFERROR(__xludf.DUMMYFUNCTION("""COMPUTED_VALUE"""),25.12)</f>
        <v>25.12</v>
      </c>
      <c r="D1134" s="1">
        <f>IFERROR(__xludf.DUMMYFUNCTION("""COMPUTED_VALUE"""),24.91)</f>
        <v>24.91</v>
      </c>
      <c r="E1134" s="1">
        <f>IFERROR(__xludf.DUMMYFUNCTION("""COMPUTED_VALUE"""),25.12)</f>
        <v>25.12</v>
      </c>
      <c r="F1134" s="1">
        <f>IFERROR(__xludf.DUMMYFUNCTION("""COMPUTED_VALUE"""),79640.0)</f>
        <v>79640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IFERROR(__xludf.DUMMYFUNCTION("""COMPUTED_VALUE"""),24.86)</f>
        <v>24.86</v>
      </c>
      <c r="C1135" s="1">
        <f>IFERROR(__xludf.DUMMYFUNCTION("""COMPUTED_VALUE"""),25.17)</f>
        <v>25.17</v>
      </c>
      <c r="D1135" s="1">
        <f>IFERROR(__xludf.DUMMYFUNCTION("""COMPUTED_VALUE"""),24.78)</f>
        <v>24.78</v>
      </c>
      <c r="E1135" s="1">
        <f>IFERROR(__xludf.DUMMYFUNCTION("""COMPUTED_VALUE"""),24.96)</f>
        <v>24.96</v>
      </c>
      <c r="F1135" s="1">
        <f>IFERROR(__xludf.DUMMYFUNCTION("""COMPUTED_VALUE"""),322457.0)</f>
        <v>322457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IFERROR(__xludf.DUMMYFUNCTION("""COMPUTED_VALUE"""),24.98)</f>
        <v>24.98</v>
      </c>
      <c r="C1136" s="1">
        <f>IFERROR(__xludf.DUMMYFUNCTION("""COMPUTED_VALUE"""),25.07)</f>
        <v>25.07</v>
      </c>
      <c r="D1136" s="1">
        <f>IFERROR(__xludf.DUMMYFUNCTION("""COMPUTED_VALUE"""),24.72)</f>
        <v>24.72</v>
      </c>
      <c r="E1136" s="1">
        <f>IFERROR(__xludf.DUMMYFUNCTION("""COMPUTED_VALUE"""),25.02)</f>
        <v>25.02</v>
      </c>
      <c r="F1136" s="1">
        <f>IFERROR(__xludf.DUMMYFUNCTION("""COMPUTED_VALUE"""),268064.0)</f>
        <v>268064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IFERROR(__xludf.DUMMYFUNCTION("""COMPUTED_VALUE"""),25.06)</f>
        <v>25.06</v>
      </c>
      <c r="C1137" s="1">
        <f>IFERROR(__xludf.DUMMYFUNCTION("""COMPUTED_VALUE"""),25.33)</f>
        <v>25.33</v>
      </c>
      <c r="D1137" s="1">
        <f>IFERROR(__xludf.DUMMYFUNCTION("""COMPUTED_VALUE"""),24.96)</f>
        <v>24.96</v>
      </c>
      <c r="E1137" s="1">
        <f>IFERROR(__xludf.DUMMYFUNCTION("""COMPUTED_VALUE"""),25.26)</f>
        <v>25.26</v>
      </c>
      <c r="F1137" s="1">
        <f>IFERROR(__xludf.DUMMYFUNCTION("""COMPUTED_VALUE"""),293959.0)</f>
        <v>293959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IFERROR(__xludf.DUMMYFUNCTION("""COMPUTED_VALUE"""),25.13)</f>
        <v>25.13</v>
      </c>
      <c r="C1138" s="1">
        <f>IFERROR(__xludf.DUMMYFUNCTION("""COMPUTED_VALUE"""),25.13)</f>
        <v>25.13</v>
      </c>
      <c r="D1138" s="1">
        <f>IFERROR(__xludf.DUMMYFUNCTION("""COMPUTED_VALUE"""),24.94)</f>
        <v>24.94</v>
      </c>
      <c r="E1138" s="1">
        <f>IFERROR(__xludf.DUMMYFUNCTION("""COMPUTED_VALUE"""),25.01)</f>
        <v>25.01</v>
      </c>
      <c r="F1138" s="1">
        <f>IFERROR(__xludf.DUMMYFUNCTION("""COMPUTED_VALUE"""),258140.0)</f>
        <v>258140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IFERROR(__xludf.DUMMYFUNCTION("""COMPUTED_VALUE"""),24.94)</f>
        <v>24.94</v>
      </c>
      <c r="C1139" s="1">
        <f>IFERROR(__xludf.DUMMYFUNCTION("""COMPUTED_VALUE"""),24.94)</f>
        <v>24.94</v>
      </c>
      <c r="D1139" s="1">
        <f>IFERROR(__xludf.DUMMYFUNCTION("""COMPUTED_VALUE"""),24.67)</f>
        <v>24.67</v>
      </c>
      <c r="E1139" s="1">
        <f>IFERROR(__xludf.DUMMYFUNCTION("""COMPUTED_VALUE"""),24.72)</f>
        <v>24.72</v>
      </c>
      <c r="F1139" s="1">
        <f>IFERROR(__xludf.DUMMYFUNCTION("""COMPUTED_VALUE"""),156235.0)</f>
        <v>156235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IFERROR(__xludf.DUMMYFUNCTION("""COMPUTED_VALUE"""),24.8)</f>
        <v>24.8</v>
      </c>
      <c r="C1140" s="1">
        <f>IFERROR(__xludf.DUMMYFUNCTION("""COMPUTED_VALUE"""),25.0)</f>
        <v>25</v>
      </c>
      <c r="D1140" s="1">
        <f>IFERROR(__xludf.DUMMYFUNCTION("""COMPUTED_VALUE"""),24.75)</f>
        <v>24.75</v>
      </c>
      <c r="E1140" s="1">
        <f>IFERROR(__xludf.DUMMYFUNCTION("""COMPUTED_VALUE"""),24.81)</f>
        <v>24.81</v>
      </c>
      <c r="F1140" s="1">
        <f>IFERROR(__xludf.DUMMYFUNCTION("""COMPUTED_VALUE"""),121204.0)</f>
        <v>121204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IFERROR(__xludf.DUMMYFUNCTION("""COMPUTED_VALUE"""),24.79)</f>
        <v>24.79</v>
      </c>
      <c r="C1141" s="1">
        <f>IFERROR(__xludf.DUMMYFUNCTION("""COMPUTED_VALUE"""),24.84)</f>
        <v>24.84</v>
      </c>
      <c r="D1141" s="1">
        <f>IFERROR(__xludf.DUMMYFUNCTION("""COMPUTED_VALUE"""),24.43)</f>
        <v>24.43</v>
      </c>
      <c r="E1141" s="1">
        <f>IFERROR(__xludf.DUMMYFUNCTION("""COMPUTED_VALUE"""),24.55)</f>
        <v>24.55</v>
      </c>
      <c r="F1141" s="1">
        <f>IFERROR(__xludf.DUMMYFUNCTION("""COMPUTED_VALUE"""),213269.0)</f>
        <v>213269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IFERROR(__xludf.DUMMYFUNCTION("""COMPUTED_VALUE"""),24.65)</f>
        <v>24.65</v>
      </c>
      <c r="C1142" s="1">
        <f>IFERROR(__xludf.DUMMYFUNCTION("""COMPUTED_VALUE"""),24.95)</f>
        <v>24.95</v>
      </c>
      <c r="D1142" s="1">
        <f>IFERROR(__xludf.DUMMYFUNCTION("""COMPUTED_VALUE"""),24.57)</f>
        <v>24.57</v>
      </c>
      <c r="E1142" s="1">
        <f>IFERROR(__xludf.DUMMYFUNCTION("""COMPUTED_VALUE"""),24.83)</f>
        <v>24.83</v>
      </c>
      <c r="F1142" s="1">
        <f>IFERROR(__xludf.DUMMYFUNCTION("""COMPUTED_VALUE"""),177435.0)</f>
        <v>177435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IFERROR(__xludf.DUMMYFUNCTION("""COMPUTED_VALUE"""),24.74)</f>
        <v>24.74</v>
      </c>
      <c r="C1143" s="1">
        <f>IFERROR(__xludf.DUMMYFUNCTION("""COMPUTED_VALUE"""),24.97)</f>
        <v>24.97</v>
      </c>
      <c r="D1143" s="1">
        <f>IFERROR(__xludf.DUMMYFUNCTION("""COMPUTED_VALUE"""),24.67)</f>
        <v>24.67</v>
      </c>
      <c r="E1143" s="1">
        <f>IFERROR(__xludf.DUMMYFUNCTION("""COMPUTED_VALUE"""),24.75)</f>
        <v>24.75</v>
      </c>
      <c r="F1143" s="1">
        <f>IFERROR(__xludf.DUMMYFUNCTION("""COMPUTED_VALUE"""),151517.0)</f>
        <v>151517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IFERROR(__xludf.DUMMYFUNCTION("""COMPUTED_VALUE"""),24.77)</f>
        <v>24.77</v>
      </c>
      <c r="C1144" s="1">
        <f>IFERROR(__xludf.DUMMYFUNCTION("""COMPUTED_VALUE"""),25.0)</f>
        <v>25</v>
      </c>
      <c r="D1144" s="1">
        <f>IFERROR(__xludf.DUMMYFUNCTION("""COMPUTED_VALUE"""),24.7)</f>
        <v>24.7</v>
      </c>
      <c r="E1144" s="1">
        <f>IFERROR(__xludf.DUMMYFUNCTION("""COMPUTED_VALUE"""),24.91)</f>
        <v>24.91</v>
      </c>
      <c r="F1144" s="1">
        <f>IFERROR(__xludf.DUMMYFUNCTION("""COMPUTED_VALUE"""),135840.0)</f>
        <v>135840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IFERROR(__xludf.DUMMYFUNCTION("""COMPUTED_VALUE"""),24.91)</f>
        <v>24.91</v>
      </c>
      <c r="C1145" s="1">
        <f>IFERROR(__xludf.DUMMYFUNCTION("""COMPUTED_VALUE"""),24.96)</f>
        <v>24.96</v>
      </c>
      <c r="D1145" s="1">
        <f>IFERROR(__xludf.DUMMYFUNCTION("""COMPUTED_VALUE"""),24.72)</f>
        <v>24.72</v>
      </c>
      <c r="E1145" s="1">
        <f>IFERROR(__xludf.DUMMYFUNCTION("""COMPUTED_VALUE"""),24.95)</f>
        <v>24.95</v>
      </c>
      <c r="F1145" s="1">
        <f>IFERROR(__xludf.DUMMYFUNCTION("""COMPUTED_VALUE"""),130188.0)</f>
        <v>130188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IFERROR(__xludf.DUMMYFUNCTION("""COMPUTED_VALUE"""),25.03)</f>
        <v>25.03</v>
      </c>
      <c r="C1146" s="1">
        <f>IFERROR(__xludf.DUMMYFUNCTION("""COMPUTED_VALUE"""),25.05)</f>
        <v>25.05</v>
      </c>
      <c r="D1146" s="1">
        <f>IFERROR(__xludf.DUMMYFUNCTION("""COMPUTED_VALUE"""),24.9)</f>
        <v>24.9</v>
      </c>
      <c r="E1146" s="1">
        <f>IFERROR(__xludf.DUMMYFUNCTION("""COMPUTED_VALUE"""),24.9)</f>
        <v>24.9</v>
      </c>
      <c r="F1146" s="1">
        <f>IFERROR(__xludf.DUMMYFUNCTION("""COMPUTED_VALUE"""),151636.0)</f>
        <v>151636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IFERROR(__xludf.DUMMYFUNCTION("""COMPUTED_VALUE"""),24.89)</f>
        <v>24.89</v>
      </c>
      <c r="C1147" s="1">
        <f>IFERROR(__xludf.DUMMYFUNCTION("""COMPUTED_VALUE"""),25.03)</f>
        <v>25.03</v>
      </c>
      <c r="D1147" s="1">
        <f>IFERROR(__xludf.DUMMYFUNCTION("""COMPUTED_VALUE"""),24.86)</f>
        <v>24.86</v>
      </c>
      <c r="E1147" s="1">
        <f>IFERROR(__xludf.DUMMYFUNCTION("""COMPUTED_VALUE"""),24.98)</f>
        <v>24.98</v>
      </c>
      <c r="F1147" s="1">
        <f>IFERROR(__xludf.DUMMYFUNCTION("""COMPUTED_VALUE"""),102609.0)</f>
        <v>102609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IFERROR(__xludf.DUMMYFUNCTION("""COMPUTED_VALUE"""),25.01)</f>
        <v>25.01</v>
      </c>
      <c r="C1148" s="1">
        <f>IFERROR(__xludf.DUMMYFUNCTION("""COMPUTED_VALUE"""),25.17)</f>
        <v>25.17</v>
      </c>
      <c r="D1148" s="1">
        <f>IFERROR(__xludf.DUMMYFUNCTION("""COMPUTED_VALUE"""),24.97)</f>
        <v>24.97</v>
      </c>
      <c r="E1148" s="1">
        <f>IFERROR(__xludf.DUMMYFUNCTION("""COMPUTED_VALUE"""),25.07)</f>
        <v>25.07</v>
      </c>
      <c r="F1148" s="1">
        <f>IFERROR(__xludf.DUMMYFUNCTION("""COMPUTED_VALUE"""),341023.0)</f>
        <v>341023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IFERROR(__xludf.DUMMYFUNCTION("""COMPUTED_VALUE"""),24.96)</f>
        <v>24.96</v>
      </c>
      <c r="C1149" s="1">
        <f>IFERROR(__xludf.DUMMYFUNCTION("""COMPUTED_VALUE"""),25.09)</f>
        <v>25.09</v>
      </c>
      <c r="D1149" s="1">
        <f>IFERROR(__xludf.DUMMYFUNCTION("""COMPUTED_VALUE"""),24.87)</f>
        <v>24.87</v>
      </c>
      <c r="E1149" s="1">
        <f>IFERROR(__xludf.DUMMYFUNCTION("""COMPUTED_VALUE"""),24.93)</f>
        <v>24.93</v>
      </c>
      <c r="F1149" s="1">
        <f>IFERROR(__xludf.DUMMYFUNCTION("""COMPUTED_VALUE"""),187736.0)</f>
        <v>187736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IFERROR(__xludf.DUMMYFUNCTION("""COMPUTED_VALUE"""),24.9)</f>
        <v>24.9</v>
      </c>
      <c r="C1150" s="1">
        <f>IFERROR(__xludf.DUMMYFUNCTION("""COMPUTED_VALUE"""),25.06)</f>
        <v>25.06</v>
      </c>
      <c r="D1150" s="1">
        <f>IFERROR(__xludf.DUMMYFUNCTION("""COMPUTED_VALUE"""),24.63)</f>
        <v>24.63</v>
      </c>
      <c r="E1150" s="1">
        <f>IFERROR(__xludf.DUMMYFUNCTION("""COMPUTED_VALUE"""),24.67)</f>
        <v>24.67</v>
      </c>
      <c r="F1150" s="1">
        <f>IFERROR(__xludf.DUMMYFUNCTION("""COMPUTED_VALUE"""),247799.0)</f>
        <v>247799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IFERROR(__xludf.DUMMYFUNCTION("""COMPUTED_VALUE"""),24.68)</f>
        <v>24.68</v>
      </c>
      <c r="C1151" s="1">
        <f>IFERROR(__xludf.DUMMYFUNCTION("""COMPUTED_VALUE"""),24.88)</f>
        <v>24.88</v>
      </c>
      <c r="D1151" s="1">
        <f>IFERROR(__xludf.DUMMYFUNCTION("""COMPUTED_VALUE"""),24.45)</f>
        <v>24.45</v>
      </c>
      <c r="E1151" s="1">
        <f>IFERROR(__xludf.DUMMYFUNCTION("""COMPUTED_VALUE"""),24.49)</f>
        <v>24.49</v>
      </c>
      <c r="F1151" s="1">
        <f>IFERROR(__xludf.DUMMYFUNCTION("""COMPUTED_VALUE"""),204892.0)</f>
        <v>204892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IFERROR(__xludf.DUMMYFUNCTION("""COMPUTED_VALUE"""),24.54)</f>
        <v>24.54</v>
      </c>
      <c r="C1152" s="1">
        <f>IFERROR(__xludf.DUMMYFUNCTION("""COMPUTED_VALUE"""),24.65)</f>
        <v>24.65</v>
      </c>
      <c r="D1152" s="1">
        <f>IFERROR(__xludf.DUMMYFUNCTION("""COMPUTED_VALUE"""),24.41)</f>
        <v>24.41</v>
      </c>
      <c r="E1152" s="1">
        <f>IFERROR(__xludf.DUMMYFUNCTION("""COMPUTED_VALUE"""),24.58)</f>
        <v>24.58</v>
      </c>
      <c r="F1152" s="1">
        <f>IFERROR(__xludf.DUMMYFUNCTION("""COMPUTED_VALUE"""),163978.0)</f>
        <v>163978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IFERROR(__xludf.DUMMYFUNCTION("""COMPUTED_VALUE"""),24.41)</f>
        <v>24.41</v>
      </c>
      <c r="C1153" s="1">
        <f>IFERROR(__xludf.DUMMYFUNCTION("""COMPUTED_VALUE"""),24.44)</f>
        <v>24.44</v>
      </c>
      <c r="D1153" s="1">
        <f>IFERROR(__xludf.DUMMYFUNCTION("""COMPUTED_VALUE"""),24.08)</f>
        <v>24.08</v>
      </c>
      <c r="E1153" s="1">
        <f>IFERROR(__xludf.DUMMYFUNCTION("""COMPUTED_VALUE"""),24.22)</f>
        <v>24.22</v>
      </c>
      <c r="F1153" s="1">
        <f>IFERROR(__xludf.DUMMYFUNCTION("""COMPUTED_VALUE"""),225007.0)</f>
        <v>225007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IFERROR(__xludf.DUMMYFUNCTION("""COMPUTED_VALUE"""),24.2)</f>
        <v>24.2</v>
      </c>
      <c r="C1154" s="1">
        <f>IFERROR(__xludf.DUMMYFUNCTION("""COMPUTED_VALUE"""),24.28)</f>
        <v>24.28</v>
      </c>
      <c r="D1154" s="1">
        <f>IFERROR(__xludf.DUMMYFUNCTION("""COMPUTED_VALUE"""),23.84)</f>
        <v>23.84</v>
      </c>
      <c r="E1154" s="1">
        <f>IFERROR(__xludf.DUMMYFUNCTION("""COMPUTED_VALUE"""),24.12)</f>
        <v>24.12</v>
      </c>
      <c r="F1154" s="1">
        <f>IFERROR(__xludf.DUMMYFUNCTION("""COMPUTED_VALUE"""),305621.0)</f>
        <v>305621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IFERROR(__xludf.DUMMYFUNCTION("""COMPUTED_VALUE"""),24.2)</f>
        <v>24.2</v>
      </c>
      <c r="C1155" s="1">
        <f>IFERROR(__xludf.DUMMYFUNCTION("""COMPUTED_VALUE"""),24.33)</f>
        <v>24.33</v>
      </c>
      <c r="D1155" s="1">
        <f>IFERROR(__xludf.DUMMYFUNCTION("""COMPUTED_VALUE"""),23.51)</f>
        <v>23.51</v>
      </c>
      <c r="E1155" s="1">
        <f>IFERROR(__xludf.DUMMYFUNCTION("""COMPUTED_VALUE"""),24.19)</f>
        <v>24.19</v>
      </c>
      <c r="F1155" s="1">
        <f>IFERROR(__xludf.DUMMYFUNCTION("""COMPUTED_VALUE"""),1318994.0)</f>
        <v>1318994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IFERROR(__xludf.DUMMYFUNCTION("""COMPUTED_VALUE"""),24.22)</f>
        <v>24.22</v>
      </c>
      <c r="C1156" s="1">
        <f>IFERROR(__xludf.DUMMYFUNCTION("""COMPUTED_VALUE"""),24.54)</f>
        <v>24.54</v>
      </c>
      <c r="D1156" s="1">
        <f>IFERROR(__xludf.DUMMYFUNCTION("""COMPUTED_VALUE"""),23.84)</f>
        <v>23.84</v>
      </c>
      <c r="E1156" s="1">
        <f>IFERROR(__xludf.DUMMYFUNCTION("""COMPUTED_VALUE"""),24.48)</f>
        <v>24.48</v>
      </c>
      <c r="F1156" s="1">
        <f>IFERROR(__xludf.DUMMYFUNCTION("""COMPUTED_VALUE"""),1194249.0)</f>
        <v>1194249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IFERROR(__xludf.DUMMYFUNCTION("""COMPUTED_VALUE"""),24.26)</f>
        <v>24.26</v>
      </c>
      <c r="C1157" s="1">
        <f>IFERROR(__xludf.DUMMYFUNCTION("""COMPUTED_VALUE"""),24.37)</f>
        <v>24.37</v>
      </c>
      <c r="D1157" s="1">
        <f>IFERROR(__xludf.DUMMYFUNCTION("""COMPUTED_VALUE"""),23.84)</f>
        <v>23.84</v>
      </c>
      <c r="E1157" s="1">
        <f>IFERROR(__xludf.DUMMYFUNCTION("""COMPUTED_VALUE"""),24.0)</f>
        <v>24</v>
      </c>
      <c r="F1157" s="1">
        <f>IFERROR(__xludf.DUMMYFUNCTION("""COMPUTED_VALUE"""),963029.0)</f>
        <v>963029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IFERROR(__xludf.DUMMYFUNCTION("""COMPUTED_VALUE"""),24.03)</f>
        <v>24.03</v>
      </c>
      <c r="C1158" s="1">
        <f>IFERROR(__xludf.DUMMYFUNCTION("""COMPUTED_VALUE"""),24.18)</f>
        <v>24.18</v>
      </c>
      <c r="D1158" s="1">
        <f>IFERROR(__xludf.DUMMYFUNCTION("""COMPUTED_VALUE"""),23.92)</f>
        <v>23.92</v>
      </c>
      <c r="E1158" s="1">
        <f>IFERROR(__xludf.DUMMYFUNCTION("""COMPUTED_VALUE"""),24.0)</f>
        <v>24</v>
      </c>
      <c r="F1158" s="1">
        <f>IFERROR(__xludf.DUMMYFUNCTION("""COMPUTED_VALUE"""),195051.0)</f>
        <v>195051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IFERROR(__xludf.DUMMYFUNCTION("""COMPUTED_VALUE"""),23.99)</f>
        <v>23.99</v>
      </c>
      <c r="C1159" s="1">
        <f>IFERROR(__xludf.DUMMYFUNCTION("""COMPUTED_VALUE"""),24.36)</f>
        <v>24.36</v>
      </c>
      <c r="D1159" s="1">
        <f>IFERROR(__xludf.DUMMYFUNCTION("""COMPUTED_VALUE"""),23.88)</f>
        <v>23.88</v>
      </c>
      <c r="E1159" s="1">
        <f>IFERROR(__xludf.DUMMYFUNCTION("""COMPUTED_VALUE"""),24.26)</f>
        <v>24.26</v>
      </c>
      <c r="F1159" s="1">
        <f>IFERROR(__xludf.DUMMYFUNCTION("""COMPUTED_VALUE"""),217174.0)</f>
        <v>217174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IFERROR(__xludf.DUMMYFUNCTION("""COMPUTED_VALUE"""),24.35)</f>
        <v>24.35</v>
      </c>
      <c r="C1160" s="1">
        <f>IFERROR(__xludf.DUMMYFUNCTION("""COMPUTED_VALUE"""),24.59)</f>
        <v>24.59</v>
      </c>
      <c r="D1160" s="1">
        <f>IFERROR(__xludf.DUMMYFUNCTION("""COMPUTED_VALUE"""),24.28)</f>
        <v>24.28</v>
      </c>
      <c r="E1160" s="1">
        <f>IFERROR(__xludf.DUMMYFUNCTION("""COMPUTED_VALUE"""),24.43)</f>
        <v>24.43</v>
      </c>
      <c r="F1160" s="1">
        <f>IFERROR(__xludf.DUMMYFUNCTION("""COMPUTED_VALUE"""),258345.0)</f>
        <v>258345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IFERROR(__xludf.DUMMYFUNCTION("""COMPUTED_VALUE"""),24.43)</f>
        <v>24.43</v>
      </c>
      <c r="C1161" s="1">
        <f>IFERROR(__xludf.DUMMYFUNCTION("""COMPUTED_VALUE"""),24.52)</f>
        <v>24.52</v>
      </c>
      <c r="D1161" s="1">
        <f>IFERROR(__xludf.DUMMYFUNCTION("""COMPUTED_VALUE"""),24.22)</f>
        <v>24.22</v>
      </c>
      <c r="E1161" s="1">
        <f>IFERROR(__xludf.DUMMYFUNCTION("""COMPUTED_VALUE"""),24.3)</f>
        <v>24.3</v>
      </c>
      <c r="F1161" s="1">
        <f>IFERROR(__xludf.DUMMYFUNCTION("""COMPUTED_VALUE"""),167513.0)</f>
        <v>167513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IFERROR(__xludf.DUMMYFUNCTION("""COMPUTED_VALUE"""),24.3)</f>
        <v>24.3</v>
      </c>
      <c r="C1162" s="1">
        <f>IFERROR(__xludf.DUMMYFUNCTION("""COMPUTED_VALUE"""),24.42)</f>
        <v>24.42</v>
      </c>
      <c r="D1162" s="1">
        <f>IFERROR(__xludf.DUMMYFUNCTION("""COMPUTED_VALUE"""),24.2)</f>
        <v>24.2</v>
      </c>
      <c r="E1162" s="1">
        <f>IFERROR(__xludf.DUMMYFUNCTION("""COMPUTED_VALUE"""),24.26)</f>
        <v>24.26</v>
      </c>
      <c r="F1162" s="1">
        <f>IFERROR(__xludf.DUMMYFUNCTION("""COMPUTED_VALUE"""),351825.0)</f>
        <v>351825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IFERROR(__xludf.DUMMYFUNCTION("""COMPUTED_VALUE"""),24.25)</f>
        <v>24.25</v>
      </c>
      <c r="C1163" s="1">
        <f>IFERROR(__xludf.DUMMYFUNCTION("""COMPUTED_VALUE"""),24.38)</f>
        <v>24.38</v>
      </c>
      <c r="D1163" s="1">
        <f>IFERROR(__xludf.DUMMYFUNCTION("""COMPUTED_VALUE"""),24.02)</f>
        <v>24.02</v>
      </c>
      <c r="E1163" s="1">
        <f>IFERROR(__xludf.DUMMYFUNCTION("""COMPUTED_VALUE"""),24.07)</f>
        <v>24.07</v>
      </c>
      <c r="F1163" s="1">
        <f>IFERROR(__xludf.DUMMYFUNCTION("""COMPUTED_VALUE"""),262142.0)</f>
        <v>262142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IFERROR(__xludf.DUMMYFUNCTION("""COMPUTED_VALUE"""),24.08)</f>
        <v>24.08</v>
      </c>
      <c r="C1164" s="1">
        <f>IFERROR(__xludf.DUMMYFUNCTION("""COMPUTED_VALUE"""),24.25)</f>
        <v>24.25</v>
      </c>
      <c r="D1164" s="1">
        <f>IFERROR(__xludf.DUMMYFUNCTION("""COMPUTED_VALUE"""),23.78)</f>
        <v>23.78</v>
      </c>
      <c r="E1164" s="1">
        <f>IFERROR(__xludf.DUMMYFUNCTION("""COMPUTED_VALUE"""),24.0)</f>
        <v>24</v>
      </c>
      <c r="F1164" s="1">
        <f>IFERROR(__xludf.DUMMYFUNCTION("""COMPUTED_VALUE"""),240683.0)</f>
        <v>240683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IFERROR(__xludf.DUMMYFUNCTION("""COMPUTED_VALUE"""),24.05)</f>
        <v>24.05</v>
      </c>
      <c r="C1165" s="1">
        <f>IFERROR(__xludf.DUMMYFUNCTION("""COMPUTED_VALUE"""),24.26)</f>
        <v>24.26</v>
      </c>
      <c r="D1165" s="1">
        <f>IFERROR(__xludf.DUMMYFUNCTION("""COMPUTED_VALUE"""),23.95)</f>
        <v>23.95</v>
      </c>
      <c r="E1165" s="1">
        <f>IFERROR(__xludf.DUMMYFUNCTION("""COMPUTED_VALUE"""),24.19)</f>
        <v>24.19</v>
      </c>
      <c r="F1165" s="1">
        <f>IFERROR(__xludf.DUMMYFUNCTION("""COMPUTED_VALUE"""),695469.0)</f>
        <v>695469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IFERROR(__xludf.DUMMYFUNCTION("""COMPUTED_VALUE"""),24.23)</f>
        <v>24.23</v>
      </c>
      <c r="C1166" s="1">
        <f>IFERROR(__xludf.DUMMYFUNCTION("""COMPUTED_VALUE"""),24.3)</f>
        <v>24.3</v>
      </c>
      <c r="D1166" s="1">
        <f>IFERROR(__xludf.DUMMYFUNCTION("""COMPUTED_VALUE"""),24.12)</f>
        <v>24.12</v>
      </c>
      <c r="E1166" s="1">
        <f>IFERROR(__xludf.DUMMYFUNCTION("""COMPUTED_VALUE"""),24.23)</f>
        <v>24.23</v>
      </c>
      <c r="F1166" s="1">
        <f>IFERROR(__xludf.DUMMYFUNCTION("""COMPUTED_VALUE"""),316068.0)</f>
        <v>316068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IFERROR(__xludf.DUMMYFUNCTION("""COMPUTED_VALUE"""),24.0)</f>
        <v>24</v>
      </c>
      <c r="C1167" s="1">
        <f>IFERROR(__xludf.DUMMYFUNCTION("""COMPUTED_VALUE"""),24.24)</f>
        <v>24.24</v>
      </c>
      <c r="D1167" s="1">
        <f>IFERROR(__xludf.DUMMYFUNCTION("""COMPUTED_VALUE"""),23.96)</f>
        <v>23.96</v>
      </c>
      <c r="E1167" s="1">
        <f>IFERROR(__xludf.DUMMYFUNCTION("""COMPUTED_VALUE"""),24.17)</f>
        <v>24.17</v>
      </c>
      <c r="F1167" s="1">
        <f>IFERROR(__xludf.DUMMYFUNCTION("""COMPUTED_VALUE"""),322712.0)</f>
        <v>322712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IFERROR(__xludf.DUMMYFUNCTION("""COMPUTED_VALUE"""),24.18)</f>
        <v>24.18</v>
      </c>
      <c r="C1168" s="1">
        <f>IFERROR(__xludf.DUMMYFUNCTION("""COMPUTED_VALUE"""),24.21)</f>
        <v>24.21</v>
      </c>
      <c r="D1168" s="1">
        <f>IFERROR(__xludf.DUMMYFUNCTION("""COMPUTED_VALUE"""),23.98)</f>
        <v>23.98</v>
      </c>
      <c r="E1168" s="1">
        <f>IFERROR(__xludf.DUMMYFUNCTION("""COMPUTED_VALUE"""),24.12)</f>
        <v>24.12</v>
      </c>
      <c r="F1168" s="1">
        <f>IFERROR(__xludf.DUMMYFUNCTION("""COMPUTED_VALUE"""),208399.0)</f>
        <v>208399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IFERROR(__xludf.DUMMYFUNCTION("""COMPUTED_VALUE"""),24.16)</f>
        <v>24.16</v>
      </c>
      <c r="C1169" s="1">
        <f>IFERROR(__xludf.DUMMYFUNCTION("""COMPUTED_VALUE"""),24.24)</f>
        <v>24.24</v>
      </c>
      <c r="D1169" s="1">
        <f>IFERROR(__xludf.DUMMYFUNCTION("""COMPUTED_VALUE"""),24.01)</f>
        <v>24.01</v>
      </c>
      <c r="E1169" s="1">
        <f>IFERROR(__xludf.DUMMYFUNCTION("""COMPUTED_VALUE"""),24.13)</f>
        <v>24.13</v>
      </c>
      <c r="F1169" s="1">
        <f>IFERROR(__xludf.DUMMYFUNCTION("""COMPUTED_VALUE"""),229907.0)</f>
        <v>229907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IFERROR(__xludf.DUMMYFUNCTION("""COMPUTED_VALUE"""),24.24)</f>
        <v>24.24</v>
      </c>
      <c r="C1170" s="1">
        <f>IFERROR(__xludf.DUMMYFUNCTION("""COMPUTED_VALUE"""),24.29)</f>
        <v>24.29</v>
      </c>
      <c r="D1170" s="1">
        <f>IFERROR(__xludf.DUMMYFUNCTION("""COMPUTED_VALUE"""),24.08)</f>
        <v>24.08</v>
      </c>
      <c r="E1170" s="1">
        <f>IFERROR(__xludf.DUMMYFUNCTION("""COMPUTED_VALUE"""),24.11)</f>
        <v>24.11</v>
      </c>
      <c r="F1170" s="1">
        <f>IFERROR(__xludf.DUMMYFUNCTION("""COMPUTED_VALUE"""),197934.0)</f>
        <v>197934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IFERROR(__xludf.DUMMYFUNCTION("""COMPUTED_VALUE"""),24.1)</f>
        <v>24.1</v>
      </c>
      <c r="C1171" s="1">
        <f>IFERROR(__xludf.DUMMYFUNCTION("""COMPUTED_VALUE"""),24.29)</f>
        <v>24.29</v>
      </c>
      <c r="D1171" s="1">
        <f>IFERROR(__xludf.DUMMYFUNCTION("""COMPUTED_VALUE"""),23.97)</f>
        <v>23.97</v>
      </c>
      <c r="E1171" s="1">
        <f>IFERROR(__xludf.DUMMYFUNCTION("""COMPUTED_VALUE"""),24.09)</f>
        <v>24.09</v>
      </c>
      <c r="F1171" s="1">
        <f>IFERROR(__xludf.DUMMYFUNCTION("""COMPUTED_VALUE"""),361299.0)</f>
        <v>361299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IFERROR(__xludf.DUMMYFUNCTION("""COMPUTED_VALUE"""),24.11)</f>
        <v>24.11</v>
      </c>
      <c r="C1172" s="1">
        <f>IFERROR(__xludf.DUMMYFUNCTION("""COMPUTED_VALUE"""),24.16)</f>
        <v>24.16</v>
      </c>
      <c r="D1172" s="1">
        <f>IFERROR(__xludf.DUMMYFUNCTION("""COMPUTED_VALUE"""),23.97)</f>
        <v>23.97</v>
      </c>
      <c r="E1172" s="1">
        <f>IFERROR(__xludf.DUMMYFUNCTION("""COMPUTED_VALUE"""),24.03)</f>
        <v>24.03</v>
      </c>
      <c r="F1172" s="1">
        <f>IFERROR(__xludf.DUMMYFUNCTION("""COMPUTED_VALUE"""),248923.0)</f>
        <v>248923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IFERROR(__xludf.DUMMYFUNCTION("""COMPUTED_VALUE"""),24.0)</f>
        <v>24</v>
      </c>
      <c r="C1173" s="1">
        <f>IFERROR(__xludf.DUMMYFUNCTION("""COMPUTED_VALUE"""),24.02)</f>
        <v>24.02</v>
      </c>
      <c r="D1173" s="1">
        <f>IFERROR(__xludf.DUMMYFUNCTION("""COMPUTED_VALUE"""),23.86)</f>
        <v>23.86</v>
      </c>
      <c r="E1173" s="1">
        <f>IFERROR(__xludf.DUMMYFUNCTION("""COMPUTED_VALUE"""),23.89)</f>
        <v>23.89</v>
      </c>
      <c r="F1173" s="1">
        <f>IFERROR(__xludf.DUMMYFUNCTION("""COMPUTED_VALUE"""),226769.0)</f>
        <v>226769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IFERROR(__xludf.DUMMYFUNCTION("""COMPUTED_VALUE"""),23.86)</f>
        <v>23.86</v>
      </c>
      <c r="C1174" s="1">
        <f>IFERROR(__xludf.DUMMYFUNCTION("""COMPUTED_VALUE"""),23.94)</f>
        <v>23.94</v>
      </c>
      <c r="D1174" s="1">
        <f>IFERROR(__xludf.DUMMYFUNCTION("""COMPUTED_VALUE"""),23.7)</f>
        <v>23.7</v>
      </c>
      <c r="E1174" s="1">
        <f>IFERROR(__xludf.DUMMYFUNCTION("""COMPUTED_VALUE"""),23.75)</f>
        <v>23.75</v>
      </c>
      <c r="F1174" s="1">
        <f>IFERROR(__xludf.DUMMYFUNCTION("""COMPUTED_VALUE"""),166705.0)</f>
        <v>166705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IFERROR(__xludf.DUMMYFUNCTION("""COMPUTED_VALUE"""),23.77)</f>
        <v>23.77</v>
      </c>
      <c r="C1175" s="1">
        <f>IFERROR(__xludf.DUMMYFUNCTION("""COMPUTED_VALUE"""),23.84)</f>
        <v>23.84</v>
      </c>
      <c r="D1175" s="1">
        <f>IFERROR(__xludf.DUMMYFUNCTION("""COMPUTED_VALUE"""),23.39)</f>
        <v>23.39</v>
      </c>
      <c r="E1175" s="1">
        <f>IFERROR(__xludf.DUMMYFUNCTION("""COMPUTED_VALUE"""),23.53)</f>
        <v>23.53</v>
      </c>
      <c r="F1175" s="1">
        <f>IFERROR(__xludf.DUMMYFUNCTION("""COMPUTED_VALUE"""),532456.0)</f>
        <v>532456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IFERROR(__xludf.DUMMYFUNCTION("""COMPUTED_VALUE"""),23.63)</f>
        <v>23.63</v>
      </c>
      <c r="C1176" s="1">
        <f>IFERROR(__xludf.DUMMYFUNCTION("""COMPUTED_VALUE"""),23.64)</f>
        <v>23.64</v>
      </c>
      <c r="D1176" s="1">
        <f>IFERROR(__xludf.DUMMYFUNCTION("""COMPUTED_VALUE"""),23.25)</f>
        <v>23.25</v>
      </c>
      <c r="E1176" s="1">
        <f>IFERROR(__xludf.DUMMYFUNCTION("""COMPUTED_VALUE"""),23.4)</f>
        <v>23.4</v>
      </c>
      <c r="F1176" s="1">
        <f>IFERROR(__xludf.DUMMYFUNCTION("""COMPUTED_VALUE"""),472038.0)</f>
        <v>472038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IFERROR(__xludf.DUMMYFUNCTION("""COMPUTED_VALUE"""),23.42)</f>
        <v>23.42</v>
      </c>
      <c r="C1177" s="1">
        <f>IFERROR(__xludf.DUMMYFUNCTION("""COMPUTED_VALUE"""),23.56)</f>
        <v>23.56</v>
      </c>
      <c r="D1177" s="1">
        <f>IFERROR(__xludf.DUMMYFUNCTION("""COMPUTED_VALUE"""),23.18)</f>
        <v>23.18</v>
      </c>
      <c r="E1177" s="1">
        <f>IFERROR(__xludf.DUMMYFUNCTION("""COMPUTED_VALUE"""),23.19)</f>
        <v>23.19</v>
      </c>
      <c r="F1177" s="1">
        <f>IFERROR(__xludf.DUMMYFUNCTION("""COMPUTED_VALUE"""),359499.0)</f>
        <v>359499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IFERROR(__xludf.DUMMYFUNCTION("""COMPUTED_VALUE"""),23.2)</f>
        <v>23.2</v>
      </c>
      <c r="C1178" s="1">
        <f>IFERROR(__xludf.DUMMYFUNCTION("""COMPUTED_VALUE"""),23.22)</f>
        <v>23.22</v>
      </c>
      <c r="D1178" s="1">
        <f>IFERROR(__xludf.DUMMYFUNCTION("""COMPUTED_VALUE"""),22.8)</f>
        <v>22.8</v>
      </c>
      <c r="E1178" s="1">
        <f>IFERROR(__xludf.DUMMYFUNCTION("""COMPUTED_VALUE"""),23.05)</f>
        <v>23.05</v>
      </c>
      <c r="F1178" s="1">
        <f>IFERROR(__xludf.DUMMYFUNCTION("""COMPUTED_VALUE"""),494428.0)</f>
        <v>494428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IFERROR(__xludf.DUMMYFUNCTION("""COMPUTED_VALUE"""),23.05)</f>
        <v>23.05</v>
      </c>
      <c r="C1179" s="1">
        <f>IFERROR(__xludf.DUMMYFUNCTION("""COMPUTED_VALUE"""),23.05)</f>
        <v>23.05</v>
      </c>
      <c r="D1179" s="1">
        <f>IFERROR(__xludf.DUMMYFUNCTION("""COMPUTED_VALUE"""),22.71)</f>
        <v>22.71</v>
      </c>
      <c r="E1179" s="1">
        <f>IFERROR(__xludf.DUMMYFUNCTION("""COMPUTED_VALUE"""),22.8)</f>
        <v>22.8</v>
      </c>
      <c r="F1179" s="1">
        <f>IFERROR(__xludf.DUMMYFUNCTION("""COMPUTED_VALUE"""),471022.0)</f>
        <v>471022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IFERROR(__xludf.DUMMYFUNCTION("""COMPUTED_VALUE"""),22.81)</f>
        <v>22.81</v>
      </c>
      <c r="C1180" s="1">
        <f>IFERROR(__xludf.DUMMYFUNCTION("""COMPUTED_VALUE"""),22.86)</f>
        <v>22.86</v>
      </c>
      <c r="D1180" s="1">
        <f>IFERROR(__xludf.DUMMYFUNCTION("""COMPUTED_VALUE"""),22.48)</f>
        <v>22.48</v>
      </c>
      <c r="E1180" s="1">
        <f>IFERROR(__xludf.DUMMYFUNCTION("""COMPUTED_VALUE"""),22.68)</f>
        <v>22.68</v>
      </c>
      <c r="F1180" s="1">
        <f>IFERROR(__xludf.DUMMYFUNCTION("""COMPUTED_VALUE"""),891345.0)</f>
        <v>891345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IFERROR(__xludf.DUMMYFUNCTION("""COMPUTED_VALUE"""),22.67)</f>
        <v>22.67</v>
      </c>
      <c r="C1181" s="1">
        <f>IFERROR(__xludf.DUMMYFUNCTION("""COMPUTED_VALUE"""),22.76)</f>
        <v>22.76</v>
      </c>
      <c r="D1181" s="1">
        <f>IFERROR(__xludf.DUMMYFUNCTION("""COMPUTED_VALUE"""),22.51)</f>
        <v>22.51</v>
      </c>
      <c r="E1181" s="1">
        <f>IFERROR(__xludf.DUMMYFUNCTION("""COMPUTED_VALUE"""),22.58)</f>
        <v>22.58</v>
      </c>
      <c r="F1181" s="1">
        <f>IFERROR(__xludf.DUMMYFUNCTION("""COMPUTED_VALUE"""),389530.0)</f>
        <v>389530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IFERROR(__xludf.DUMMYFUNCTION("""COMPUTED_VALUE"""),22.53)</f>
        <v>22.53</v>
      </c>
      <c r="C1182" s="1">
        <f>IFERROR(__xludf.DUMMYFUNCTION("""COMPUTED_VALUE"""),22.7)</f>
        <v>22.7</v>
      </c>
      <c r="D1182" s="1">
        <f>IFERROR(__xludf.DUMMYFUNCTION("""COMPUTED_VALUE"""),22.37)</f>
        <v>22.37</v>
      </c>
      <c r="E1182" s="1">
        <f>IFERROR(__xludf.DUMMYFUNCTION("""COMPUTED_VALUE"""),22.65)</f>
        <v>22.65</v>
      </c>
      <c r="F1182" s="1">
        <f>IFERROR(__xludf.DUMMYFUNCTION("""COMPUTED_VALUE"""),807411.0)</f>
        <v>807411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IFERROR(__xludf.DUMMYFUNCTION("""COMPUTED_VALUE"""),22.58)</f>
        <v>22.58</v>
      </c>
      <c r="C1183" s="1">
        <f>IFERROR(__xludf.DUMMYFUNCTION("""COMPUTED_VALUE"""),22.66)</f>
        <v>22.66</v>
      </c>
      <c r="D1183" s="1">
        <f>IFERROR(__xludf.DUMMYFUNCTION("""COMPUTED_VALUE"""),22.49)</f>
        <v>22.49</v>
      </c>
      <c r="E1183" s="1">
        <f>IFERROR(__xludf.DUMMYFUNCTION("""COMPUTED_VALUE"""),22.55)</f>
        <v>22.55</v>
      </c>
      <c r="F1183" s="1">
        <f>IFERROR(__xludf.DUMMYFUNCTION("""COMPUTED_VALUE"""),189019.0)</f>
        <v>189019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IFERROR(__xludf.DUMMYFUNCTION("""COMPUTED_VALUE"""),22.6)</f>
        <v>22.6</v>
      </c>
      <c r="C1184" s="1">
        <f>IFERROR(__xludf.DUMMYFUNCTION("""COMPUTED_VALUE"""),22.68)</f>
        <v>22.68</v>
      </c>
      <c r="D1184" s="1">
        <f>IFERROR(__xludf.DUMMYFUNCTION("""COMPUTED_VALUE"""),22.18)</f>
        <v>22.18</v>
      </c>
      <c r="E1184" s="1">
        <f>IFERROR(__xludf.DUMMYFUNCTION("""COMPUTED_VALUE"""),22.3)</f>
        <v>22.3</v>
      </c>
      <c r="F1184" s="1">
        <f>IFERROR(__xludf.DUMMYFUNCTION("""COMPUTED_VALUE"""),260299.0)</f>
        <v>260299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IFERROR(__xludf.DUMMYFUNCTION("""COMPUTED_VALUE"""),22.25)</f>
        <v>22.25</v>
      </c>
      <c r="C1185" s="1">
        <f>IFERROR(__xludf.DUMMYFUNCTION("""COMPUTED_VALUE"""),22.38)</f>
        <v>22.38</v>
      </c>
      <c r="D1185" s="1">
        <f>IFERROR(__xludf.DUMMYFUNCTION("""COMPUTED_VALUE"""),22.09)</f>
        <v>22.09</v>
      </c>
      <c r="E1185" s="1">
        <f>IFERROR(__xludf.DUMMYFUNCTION("""COMPUTED_VALUE"""),22.13)</f>
        <v>22.13</v>
      </c>
      <c r="F1185" s="1">
        <f>IFERROR(__xludf.DUMMYFUNCTION("""COMPUTED_VALUE"""),494109.0)</f>
        <v>494109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IFERROR(__xludf.DUMMYFUNCTION("""COMPUTED_VALUE"""),22.16)</f>
        <v>22.16</v>
      </c>
      <c r="C1186" s="1">
        <f>IFERROR(__xludf.DUMMYFUNCTION("""COMPUTED_VALUE"""),22.39)</f>
        <v>22.39</v>
      </c>
      <c r="D1186" s="1">
        <f>IFERROR(__xludf.DUMMYFUNCTION("""COMPUTED_VALUE"""),22.09)</f>
        <v>22.09</v>
      </c>
      <c r="E1186" s="1">
        <f>IFERROR(__xludf.DUMMYFUNCTION("""COMPUTED_VALUE"""),22.37)</f>
        <v>22.37</v>
      </c>
      <c r="F1186" s="1">
        <f>IFERROR(__xludf.DUMMYFUNCTION("""COMPUTED_VALUE"""),808538.0)</f>
        <v>808538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IFERROR(__xludf.DUMMYFUNCTION("""COMPUTED_VALUE"""),22.45)</f>
        <v>22.45</v>
      </c>
      <c r="C1187" s="1">
        <f>IFERROR(__xludf.DUMMYFUNCTION("""COMPUTED_VALUE"""),22.73)</f>
        <v>22.73</v>
      </c>
      <c r="D1187" s="1">
        <f>IFERROR(__xludf.DUMMYFUNCTION("""COMPUTED_VALUE"""),22.4)</f>
        <v>22.4</v>
      </c>
      <c r="E1187" s="1">
        <f>IFERROR(__xludf.DUMMYFUNCTION("""COMPUTED_VALUE"""),22.72)</f>
        <v>22.72</v>
      </c>
      <c r="F1187" s="1">
        <f>IFERROR(__xludf.DUMMYFUNCTION("""COMPUTED_VALUE"""),274140.0)</f>
        <v>274140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IFERROR(__xludf.DUMMYFUNCTION("""COMPUTED_VALUE"""),22.83)</f>
        <v>22.83</v>
      </c>
      <c r="C1188" s="1">
        <f>IFERROR(__xludf.DUMMYFUNCTION("""COMPUTED_VALUE"""),22.85)</f>
        <v>22.85</v>
      </c>
      <c r="D1188" s="1">
        <f>IFERROR(__xludf.DUMMYFUNCTION("""COMPUTED_VALUE"""),22.24)</f>
        <v>22.24</v>
      </c>
      <c r="E1188" s="1">
        <f>IFERROR(__xludf.DUMMYFUNCTION("""COMPUTED_VALUE"""),22.31)</f>
        <v>22.31</v>
      </c>
      <c r="F1188" s="1">
        <f>IFERROR(__xludf.DUMMYFUNCTION("""COMPUTED_VALUE"""),348014.0)</f>
        <v>348014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IFERROR(__xludf.DUMMYFUNCTION("""COMPUTED_VALUE"""),22.26)</f>
        <v>22.26</v>
      </c>
      <c r="C1189" s="1">
        <f>IFERROR(__xludf.DUMMYFUNCTION("""COMPUTED_VALUE"""),22.28)</f>
        <v>22.28</v>
      </c>
      <c r="D1189" s="1">
        <f>IFERROR(__xludf.DUMMYFUNCTION("""COMPUTED_VALUE"""),21.85)</f>
        <v>21.85</v>
      </c>
      <c r="E1189" s="1">
        <f>IFERROR(__xludf.DUMMYFUNCTION("""COMPUTED_VALUE"""),22.06)</f>
        <v>22.06</v>
      </c>
      <c r="F1189" s="1">
        <f>IFERROR(__xludf.DUMMYFUNCTION("""COMPUTED_VALUE"""),232526.0)</f>
        <v>232526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IFERROR(__xludf.DUMMYFUNCTION("""COMPUTED_VALUE"""),21.97)</f>
        <v>21.97</v>
      </c>
      <c r="C1190" s="1">
        <f>IFERROR(__xludf.DUMMYFUNCTION("""COMPUTED_VALUE"""),22.09)</f>
        <v>22.09</v>
      </c>
      <c r="D1190" s="1">
        <f>IFERROR(__xludf.DUMMYFUNCTION("""COMPUTED_VALUE"""),21.81)</f>
        <v>21.81</v>
      </c>
      <c r="E1190" s="1">
        <f>IFERROR(__xludf.DUMMYFUNCTION("""COMPUTED_VALUE"""),21.96)</f>
        <v>21.96</v>
      </c>
      <c r="F1190" s="1">
        <f>IFERROR(__xludf.DUMMYFUNCTION("""COMPUTED_VALUE"""),306628.0)</f>
        <v>306628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IFERROR(__xludf.DUMMYFUNCTION("""COMPUTED_VALUE"""),21.93)</f>
        <v>21.93</v>
      </c>
      <c r="C1191" s="1">
        <f>IFERROR(__xludf.DUMMYFUNCTION("""COMPUTED_VALUE"""),22.04)</f>
        <v>22.04</v>
      </c>
      <c r="D1191" s="1">
        <f>IFERROR(__xludf.DUMMYFUNCTION("""COMPUTED_VALUE"""),21.76)</f>
        <v>21.76</v>
      </c>
      <c r="E1191" s="1">
        <f>IFERROR(__xludf.DUMMYFUNCTION("""COMPUTED_VALUE"""),21.94)</f>
        <v>21.94</v>
      </c>
      <c r="F1191" s="1">
        <f>IFERROR(__xludf.DUMMYFUNCTION("""COMPUTED_VALUE"""),279510.0)</f>
        <v>279510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IFERROR(__xludf.DUMMYFUNCTION("""COMPUTED_VALUE"""),21.96)</f>
        <v>21.96</v>
      </c>
      <c r="C1192" s="1">
        <f>IFERROR(__xludf.DUMMYFUNCTION("""COMPUTED_VALUE"""),21.96)</f>
        <v>21.96</v>
      </c>
      <c r="D1192" s="1">
        <f>IFERROR(__xludf.DUMMYFUNCTION("""COMPUTED_VALUE"""),21.58)</f>
        <v>21.58</v>
      </c>
      <c r="E1192" s="1">
        <f>IFERROR(__xludf.DUMMYFUNCTION("""COMPUTED_VALUE"""),21.8)</f>
        <v>21.8</v>
      </c>
      <c r="F1192" s="1">
        <f>IFERROR(__xludf.DUMMYFUNCTION("""COMPUTED_VALUE"""),879091.0)</f>
        <v>879091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IFERROR(__xludf.DUMMYFUNCTION("""COMPUTED_VALUE"""),21.86)</f>
        <v>21.86</v>
      </c>
      <c r="C1193" s="1">
        <f>IFERROR(__xludf.DUMMYFUNCTION("""COMPUTED_VALUE"""),22.03)</f>
        <v>22.03</v>
      </c>
      <c r="D1193" s="1">
        <f>IFERROR(__xludf.DUMMYFUNCTION("""COMPUTED_VALUE"""),21.69)</f>
        <v>21.69</v>
      </c>
      <c r="E1193" s="1">
        <f>IFERROR(__xludf.DUMMYFUNCTION("""COMPUTED_VALUE"""),21.95)</f>
        <v>21.95</v>
      </c>
      <c r="F1193" s="1">
        <f>IFERROR(__xludf.DUMMYFUNCTION("""COMPUTED_VALUE"""),256344.0)</f>
        <v>256344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IFERROR(__xludf.DUMMYFUNCTION("""COMPUTED_VALUE"""),21.87)</f>
        <v>21.87</v>
      </c>
      <c r="C1194" s="1">
        <f>IFERROR(__xludf.DUMMYFUNCTION("""COMPUTED_VALUE"""),22.35)</f>
        <v>22.35</v>
      </c>
      <c r="D1194" s="1">
        <f>IFERROR(__xludf.DUMMYFUNCTION("""COMPUTED_VALUE"""),21.76)</f>
        <v>21.76</v>
      </c>
      <c r="E1194" s="1">
        <f>IFERROR(__xludf.DUMMYFUNCTION("""COMPUTED_VALUE"""),22.3)</f>
        <v>22.3</v>
      </c>
      <c r="F1194" s="1">
        <f>IFERROR(__xludf.DUMMYFUNCTION("""COMPUTED_VALUE"""),404628.0)</f>
        <v>404628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IFERROR(__xludf.DUMMYFUNCTION("""COMPUTED_VALUE"""),22.34)</f>
        <v>22.34</v>
      </c>
      <c r="C1195" s="1">
        <f>IFERROR(__xludf.DUMMYFUNCTION("""COMPUTED_VALUE"""),22.44)</f>
        <v>22.44</v>
      </c>
      <c r="D1195" s="1">
        <f>IFERROR(__xludf.DUMMYFUNCTION("""COMPUTED_VALUE"""),22.22)</f>
        <v>22.22</v>
      </c>
      <c r="E1195" s="1">
        <f>IFERROR(__xludf.DUMMYFUNCTION("""COMPUTED_VALUE"""),22.39)</f>
        <v>22.39</v>
      </c>
      <c r="F1195" s="1">
        <f>IFERROR(__xludf.DUMMYFUNCTION("""COMPUTED_VALUE"""),492306.0)</f>
        <v>492306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IFERROR(__xludf.DUMMYFUNCTION("""COMPUTED_VALUE"""),22.39)</f>
        <v>22.39</v>
      </c>
      <c r="C1196" s="1">
        <f>IFERROR(__xludf.DUMMYFUNCTION("""COMPUTED_VALUE"""),23.09)</f>
        <v>23.09</v>
      </c>
      <c r="D1196" s="1">
        <f>IFERROR(__xludf.DUMMYFUNCTION("""COMPUTED_VALUE"""),22.33)</f>
        <v>22.33</v>
      </c>
      <c r="E1196" s="1">
        <f>IFERROR(__xludf.DUMMYFUNCTION("""COMPUTED_VALUE"""),22.9)</f>
        <v>22.9</v>
      </c>
      <c r="F1196" s="1">
        <f>IFERROR(__xludf.DUMMYFUNCTION("""COMPUTED_VALUE"""),677701.0)</f>
        <v>677701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IFERROR(__xludf.DUMMYFUNCTION("""COMPUTED_VALUE"""),22.99)</f>
        <v>22.99</v>
      </c>
      <c r="C1197" s="1">
        <f>IFERROR(__xludf.DUMMYFUNCTION("""COMPUTED_VALUE"""),23.14)</f>
        <v>23.14</v>
      </c>
      <c r="D1197" s="1">
        <f>IFERROR(__xludf.DUMMYFUNCTION("""COMPUTED_VALUE"""),22.74)</f>
        <v>22.74</v>
      </c>
      <c r="E1197" s="1">
        <f>IFERROR(__xludf.DUMMYFUNCTION("""COMPUTED_VALUE"""),23.03)</f>
        <v>23.03</v>
      </c>
      <c r="F1197" s="1">
        <f>IFERROR(__xludf.DUMMYFUNCTION("""COMPUTED_VALUE"""),551675.0)</f>
        <v>551675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IFERROR(__xludf.DUMMYFUNCTION("""COMPUTED_VALUE"""),23.01)</f>
        <v>23.01</v>
      </c>
      <c r="C1198" s="1">
        <f>IFERROR(__xludf.DUMMYFUNCTION("""COMPUTED_VALUE"""),23.23)</f>
        <v>23.23</v>
      </c>
      <c r="D1198" s="1">
        <f>IFERROR(__xludf.DUMMYFUNCTION("""COMPUTED_VALUE"""),22.94)</f>
        <v>22.94</v>
      </c>
      <c r="E1198" s="1">
        <f>IFERROR(__xludf.DUMMYFUNCTION("""COMPUTED_VALUE"""),23.0)</f>
        <v>23</v>
      </c>
      <c r="F1198" s="1">
        <f>IFERROR(__xludf.DUMMYFUNCTION("""COMPUTED_VALUE"""),294095.0)</f>
        <v>294095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IFERROR(__xludf.DUMMYFUNCTION("""COMPUTED_VALUE"""),23.02)</f>
        <v>23.02</v>
      </c>
      <c r="C1199" s="1">
        <f>IFERROR(__xludf.DUMMYFUNCTION("""COMPUTED_VALUE"""),23.24)</f>
        <v>23.24</v>
      </c>
      <c r="D1199" s="1">
        <f>IFERROR(__xludf.DUMMYFUNCTION("""COMPUTED_VALUE"""),22.9)</f>
        <v>22.9</v>
      </c>
      <c r="E1199" s="1">
        <f>IFERROR(__xludf.DUMMYFUNCTION("""COMPUTED_VALUE"""),23.14)</f>
        <v>23.14</v>
      </c>
      <c r="F1199" s="1">
        <f>IFERROR(__xludf.DUMMYFUNCTION("""COMPUTED_VALUE"""),300165.0)</f>
        <v>300165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IFERROR(__xludf.DUMMYFUNCTION("""COMPUTED_VALUE"""),23.11)</f>
        <v>23.11</v>
      </c>
      <c r="C1200" s="1">
        <f>IFERROR(__xludf.DUMMYFUNCTION("""COMPUTED_VALUE"""),23.11)</f>
        <v>23.11</v>
      </c>
      <c r="D1200" s="1">
        <f>IFERROR(__xludf.DUMMYFUNCTION("""COMPUTED_VALUE"""),22.79)</f>
        <v>22.79</v>
      </c>
      <c r="E1200" s="1">
        <f>IFERROR(__xludf.DUMMYFUNCTION("""COMPUTED_VALUE"""),23.0)</f>
        <v>23</v>
      </c>
      <c r="F1200" s="1">
        <f>IFERROR(__xludf.DUMMYFUNCTION("""COMPUTED_VALUE"""),478532.0)</f>
        <v>478532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IFERROR(__xludf.DUMMYFUNCTION("""COMPUTED_VALUE"""),23.07)</f>
        <v>23.07</v>
      </c>
      <c r="C1201" s="1">
        <f>IFERROR(__xludf.DUMMYFUNCTION("""COMPUTED_VALUE"""),23.39)</f>
        <v>23.39</v>
      </c>
      <c r="D1201" s="1">
        <f>IFERROR(__xludf.DUMMYFUNCTION("""COMPUTED_VALUE"""),22.87)</f>
        <v>22.87</v>
      </c>
      <c r="E1201" s="1">
        <f>IFERROR(__xludf.DUMMYFUNCTION("""COMPUTED_VALUE"""),23.39)</f>
        <v>23.39</v>
      </c>
      <c r="F1201" s="1">
        <f>IFERROR(__xludf.DUMMYFUNCTION("""COMPUTED_VALUE"""),241382.0)</f>
        <v>241382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IFERROR(__xludf.DUMMYFUNCTION("""COMPUTED_VALUE"""),23.3)</f>
        <v>23.3</v>
      </c>
      <c r="C1202" s="1">
        <f>IFERROR(__xludf.DUMMYFUNCTION("""COMPUTED_VALUE"""),23.33)</f>
        <v>23.33</v>
      </c>
      <c r="D1202" s="1">
        <f>IFERROR(__xludf.DUMMYFUNCTION("""COMPUTED_VALUE"""),22.89)</f>
        <v>22.89</v>
      </c>
      <c r="E1202" s="1">
        <f>IFERROR(__xludf.DUMMYFUNCTION("""COMPUTED_VALUE"""),23.01)</f>
        <v>23.01</v>
      </c>
      <c r="F1202" s="1">
        <f>IFERROR(__xludf.DUMMYFUNCTION("""COMPUTED_VALUE"""),235530.0)</f>
        <v>235530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IFERROR(__xludf.DUMMYFUNCTION("""COMPUTED_VALUE"""),22.97)</f>
        <v>22.97</v>
      </c>
      <c r="C1203" s="1">
        <f>IFERROR(__xludf.DUMMYFUNCTION("""COMPUTED_VALUE"""),23.07)</f>
        <v>23.07</v>
      </c>
      <c r="D1203" s="1">
        <f>IFERROR(__xludf.DUMMYFUNCTION("""COMPUTED_VALUE"""),22.77)</f>
        <v>22.77</v>
      </c>
      <c r="E1203" s="1">
        <f>IFERROR(__xludf.DUMMYFUNCTION("""COMPUTED_VALUE"""),22.86)</f>
        <v>22.86</v>
      </c>
      <c r="F1203" s="1">
        <f>IFERROR(__xludf.DUMMYFUNCTION("""COMPUTED_VALUE"""),325852.0)</f>
        <v>325852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IFERROR(__xludf.DUMMYFUNCTION("""COMPUTED_VALUE"""),22.85)</f>
        <v>22.85</v>
      </c>
      <c r="C1204" s="1">
        <f>IFERROR(__xludf.DUMMYFUNCTION("""COMPUTED_VALUE"""),23.19)</f>
        <v>23.19</v>
      </c>
      <c r="D1204" s="1">
        <f>IFERROR(__xludf.DUMMYFUNCTION("""COMPUTED_VALUE"""),22.77)</f>
        <v>22.77</v>
      </c>
      <c r="E1204" s="1">
        <f>IFERROR(__xludf.DUMMYFUNCTION("""COMPUTED_VALUE"""),23.04)</f>
        <v>23.04</v>
      </c>
      <c r="F1204" s="1">
        <f>IFERROR(__xludf.DUMMYFUNCTION("""COMPUTED_VALUE"""),359559.0)</f>
        <v>359559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IFERROR(__xludf.DUMMYFUNCTION("""COMPUTED_VALUE"""),23.04)</f>
        <v>23.04</v>
      </c>
      <c r="C1205" s="1">
        <f>IFERROR(__xludf.DUMMYFUNCTION("""COMPUTED_VALUE"""),23.22)</f>
        <v>23.22</v>
      </c>
      <c r="D1205" s="1">
        <f>IFERROR(__xludf.DUMMYFUNCTION("""COMPUTED_VALUE"""),22.95)</f>
        <v>22.95</v>
      </c>
      <c r="E1205" s="1">
        <f>IFERROR(__xludf.DUMMYFUNCTION("""COMPUTED_VALUE"""),23.05)</f>
        <v>23.05</v>
      </c>
      <c r="F1205" s="1">
        <f>IFERROR(__xludf.DUMMYFUNCTION("""COMPUTED_VALUE"""),276879.0)</f>
        <v>276879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IFERROR(__xludf.DUMMYFUNCTION("""COMPUTED_VALUE"""),22.9)</f>
        <v>22.9</v>
      </c>
      <c r="C1206" s="1">
        <f>IFERROR(__xludf.DUMMYFUNCTION("""COMPUTED_VALUE"""),23.04)</f>
        <v>23.04</v>
      </c>
      <c r="D1206" s="1">
        <f>IFERROR(__xludf.DUMMYFUNCTION("""COMPUTED_VALUE"""),22.46)</f>
        <v>22.46</v>
      </c>
      <c r="E1206" s="1">
        <f>IFERROR(__xludf.DUMMYFUNCTION("""COMPUTED_VALUE"""),23.01)</f>
        <v>23.01</v>
      </c>
      <c r="F1206" s="1">
        <f>IFERROR(__xludf.DUMMYFUNCTION("""COMPUTED_VALUE"""),460702.0)</f>
        <v>460702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IFERROR(__xludf.DUMMYFUNCTION("""COMPUTED_VALUE"""),22.75)</f>
        <v>22.75</v>
      </c>
      <c r="C1207" s="1">
        <f>IFERROR(__xludf.DUMMYFUNCTION("""COMPUTED_VALUE"""),23.3)</f>
        <v>23.3</v>
      </c>
      <c r="D1207" s="1">
        <f>IFERROR(__xludf.DUMMYFUNCTION("""COMPUTED_VALUE"""),22.61)</f>
        <v>22.61</v>
      </c>
      <c r="E1207" s="1">
        <f>IFERROR(__xludf.DUMMYFUNCTION("""COMPUTED_VALUE"""),23.09)</f>
        <v>23.09</v>
      </c>
      <c r="F1207" s="1">
        <f>IFERROR(__xludf.DUMMYFUNCTION("""COMPUTED_VALUE"""),288432.0)</f>
        <v>288432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IFERROR(__xludf.DUMMYFUNCTION("""COMPUTED_VALUE"""),23.2)</f>
        <v>23.2</v>
      </c>
      <c r="C1208" s="1">
        <f>IFERROR(__xludf.DUMMYFUNCTION("""COMPUTED_VALUE"""),23.37)</f>
        <v>23.37</v>
      </c>
      <c r="D1208" s="1">
        <f>IFERROR(__xludf.DUMMYFUNCTION("""COMPUTED_VALUE"""),22.91)</f>
        <v>22.91</v>
      </c>
      <c r="E1208" s="1">
        <f>IFERROR(__xludf.DUMMYFUNCTION("""COMPUTED_VALUE"""),22.95)</f>
        <v>22.95</v>
      </c>
      <c r="F1208" s="1">
        <f>IFERROR(__xludf.DUMMYFUNCTION("""COMPUTED_VALUE"""),237364.0)</f>
        <v>237364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IFERROR(__xludf.DUMMYFUNCTION("""COMPUTED_VALUE"""),22.85)</f>
        <v>22.85</v>
      </c>
      <c r="C1209" s="1">
        <f>IFERROR(__xludf.DUMMYFUNCTION("""COMPUTED_VALUE"""),23.43)</f>
        <v>23.43</v>
      </c>
      <c r="D1209" s="1">
        <f>IFERROR(__xludf.DUMMYFUNCTION("""COMPUTED_VALUE"""),22.74)</f>
        <v>22.74</v>
      </c>
      <c r="E1209" s="1">
        <f>IFERROR(__xludf.DUMMYFUNCTION("""COMPUTED_VALUE"""),23.27)</f>
        <v>23.27</v>
      </c>
      <c r="F1209" s="1">
        <f>IFERROR(__xludf.DUMMYFUNCTION("""COMPUTED_VALUE"""),299083.0)</f>
        <v>299083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IFERROR(__xludf.DUMMYFUNCTION("""COMPUTED_VALUE"""),23.37)</f>
        <v>23.37</v>
      </c>
      <c r="C1210" s="1">
        <f>IFERROR(__xludf.DUMMYFUNCTION("""COMPUTED_VALUE"""),23.8)</f>
        <v>23.8</v>
      </c>
      <c r="D1210" s="1">
        <f>IFERROR(__xludf.DUMMYFUNCTION("""COMPUTED_VALUE"""),23.31)</f>
        <v>23.31</v>
      </c>
      <c r="E1210" s="1">
        <f>IFERROR(__xludf.DUMMYFUNCTION("""COMPUTED_VALUE"""),23.69)</f>
        <v>23.69</v>
      </c>
      <c r="F1210" s="1">
        <f>IFERROR(__xludf.DUMMYFUNCTION("""COMPUTED_VALUE"""),266841.0)</f>
        <v>266841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IFERROR(__xludf.DUMMYFUNCTION("""COMPUTED_VALUE"""),23.69)</f>
        <v>23.69</v>
      </c>
      <c r="C1211" s="1">
        <f>IFERROR(__xludf.DUMMYFUNCTION("""COMPUTED_VALUE"""),23.86)</f>
        <v>23.86</v>
      </c>
      <c r="D1211" s="1">
        <f>IFERROR(__xludf.DUMMYFUNCTION("""COMPUTED_VALUE"""),23.39)</f>
        <v>23.39</v>
      </c>
      <c r="E1211" s="1">
        <f>IFERROR(__xludf.DUMMYFUNCTION("""COMPUTED_VALUE"""),23.4)</f>
        <v>23.4</v>
      </c>
      <c r="F1211" s="1">
        <f>IFERROR(__xludf.DUMMYFUNCTION("""COMPUTED_VALUE"""),255666.0)</f>
        <v>255666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IFERROR(__xludf.DUMMYFUNCTION("""COMPUTED_VALUE"""),23.5)</f>
        <v>23.5</v>
      </c>
      <c r="C1212" s="1">
        <f>IFERROR(__xludf.DUMMYFUNCTION("""COMPUTED_VALUE"""),23.68)</f>
        <v>23.68</v>
      </c>
      <c r="D1212" s="1">
        <f>IFERROR(__xludf.DUMMYFUNCTION("""COMPUTED_VALUE"""),23.4)</f>
        <v>23.4</v>
      </c>
      <c r="E1212" s="1">
        <f>IFERROR(__xludf.DUMMYFUNCTION("""COMPUTED_VALUE"""),23.49)</f>
        <v>23.49</v>
      </c>
      <c r="F1212" s="1">
        <f>IFERROR(__xludf.DUMMYFUNCTION("""COMPUTED_VALUE"""),182915.0)</f>
        <v>182915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IFERROR(__xludf.DUMMYFUNCTION("""COMPUTED_VALUE"""),23.48)</f>
        <v>23.48</v>
      </c>
      <c r="C1213" s="1">
        <f>IFERROR(__xludf.DUMMYFUNCTION("""COMPUTED_VALUE"""),23.76)</f>
        <v>23.76</v>
      </c>
      <c r="D1213" s="1">
        <f>IFERROR(__xludf.DUMMYFUNCTION("""COMPUTED_VALUE"""),23.4)</f>
        <v>23.4</v>
      </c>
      <c r="E1213" s="1">
        <f>IFERROR(__xludf.DUMMYFUNCTION("""COMPUTED_VALUE"""),23.7)</f>
        <v>23.7</v>
      </c>
      <c r="F1213" s="1">
        <f>IFERROR(__xludf.DUMMYFUNCTION("""COMPUTED_VALUE"""),166077.0)</f>
        <v>166077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IFERROR(__xludf.DUMMYFUNCTION("""COMPUTED_VALUE"""),23.57)</f>
        <v>23.57</v>
      </c>
      <c r="C1214" s="1">
        <f>IFERROR(__xludf.DUMMYFUNCTION("""COMPUTED_VALUE"""),23.79)</f>
        <v>23.79</v>
      </c>
      <c r="D1214" s="1">
        <f>IFERROR(__xludf.DUMMYFUNCTION("""COMPUTED_VALUE"""),23.5)</f>
        <v>23.5</v>
      </c>
      <c r="E1214" s="1">
        <f>IFERROR(__xludf.DUMMYFUNCTION("""COMPUTED_VALUE"""),23.71)</f>
        <v>23.71</v>
      </c>
      <c r="F1214" s="1">
        <f>IFERROR(__xludf.DUMMYFUNCTION("""COMPUTED_VALUE"""),153671.0)</f>
        <v>153671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IFERROR(__xludf.DUMMYFUNCTION("""COMPUTED_VALUE"""),23.79)</f>
        <v>23.79</v>
      </c>
      <c r="C1215" s="1">
        <f>IFERROR(__xludf.DUMMYFUNCTION("""COMPUTED_VALUE"""),23.84)</f>
        <v>23.84</v>
      </c>
      <c r="D1215" s="1">
        <f>IFERROR(__xludf.DUMMYFUNCTION("""COMPUTED_VALUE"""),23.71)</f>
        <v>23.71</v>
      </c>
      <c r="E1215" s="1">
        <f>IFERROR(__xludf.DUMMYFUNCTION("""COMPUTED_VALUE"""),23.83)</f>
        <v>23.83</v>
      </c>
      <c r="F1215" s="1">
        <f>IFERROR(__xludf.DUMMYFUNCTION("""COMPUTED_VALUE"""),324379.0)</f>
        <v>324379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IFERROR(__xludf.DUMMYFUNCTION("""COMPUTED_VALUE"""),23.81)</f>
        <v>23.81</v>
      </c>
      <c r="C1216" s="1">
        <f>IFERROR(__xludf.DUMMYFUNCTION("""COMPUTED_VALUE"""),24.16)</f>
        <v>24.16</v>
      </c>
      <c r="D1216" s="1">
        <f>IFERROR(__xludf.DUMMYFUNCTION("""COMPUTED_VALUE"""),23.69)</f>
        <v>23.69</v>
      </c>
      <c r="E1216" s="1">
        <f>IFERROR(__xludf.DUMMYFUNCTION("""COMPUTED_VALUE"""),24.03)</f>
        <v>24.03</v>
      </c>
      <c r="F1216" s="1">
        <f>IFERROR(__xludf.DUMMYFUNCTION("""COMPUTED_VALUE"""),384130.0)</f>
        <v>384130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IFERROR(__xludf.DUMMYFUNCTION("""COMPUTED_VALUE"""),24.01)</f>
        <v>24.01</v>
      </c>
      <c r="C1217" s="1">
        <f>IFERROR(__xludf.DUMMYFUNCTION("""COMPUTED_VALUE"""),24.41)</f>
        <v>24.41</v>
      </c>
      <c r="D1217" s="1">
        <f>IFERROR(__xludf.DUMMYFUNCTION("""COMPUTED_VALUE"""),23.85)</f>
        <v>23.85</v>
      </c>
      <c r="E1217" s="1">
        <f>IFERROR(__xludf.DUMMYFUNCTION("""COMPUTED_VALUE"""),24.21)</f>
        <v>24.21</v>
      </c>
      <c r="F1217" s="1">
        <f>IFERROR(__xludf.DUMMYFUNCTION("""COMPUTED_VALUE"""),335624.0)</f>
        <v>335624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IFERROR(__xludf.DUMMYFUNCTION("""COMPUTED_VALUE"""),24.28)</f>
        <v>24.28</v>
      </c>
      <c r="C1218" s="1">
        <f>IFERROR(__xludf.DUMMYFUNCTION("""COMPUTED_VALUE"""),24.52)</f>
        <v>24.52</v>
      </c>
      <c r="D1218" s="1">
        <f>IFERROR(__xludf.DUMMYFUNCTION("""COMPUTED_VALUE"""),24.06)</f>
        <v>24.06</v>
      </c>
      <c r="E1218" s="1">
        <f>IFERROR(__xludf.DUMMYFUNCTION("""COMPUTED_VALUE"""),24.39)</f>
        <v>24.39</v>
      </c>
      <c r="F1218" s="1">
        <f>IFERROR(__xludf.DUMMYFUNCTION("""COMPUTED_VALUE"""),387742.0)</f>
        <v>387742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IFERROR(__xludf.DUMMYFUNCTION("""COMPUTED_VALUE"""),24.33)</f>
        <v>24.33</v>
      </c>
      <c r="C1219" s="1">
        <f>IFERROR(__xludf.DUMMYFUNCTION("""COMPUTED_VALUE"""),24.47)</f>
        <v>24.47</v>
      </c>
      <c r="D1219" s="1">
        <f>IFERROR(__xludf.DUMMYFUNCTION("""COMPUTED_VALUE"""),24.16)</f>
        <v>24.16</v>
      </c>
      <c r="E1219" s="1">
        <f>IFERROR(__xludf.DUMMYFUNCTION("""COMPUTED_VALUE"""),24.34)</f>
        <v>24.34</v>
      </c>
      <c r="F1219" s="1">
        <f>IFERROR(__xludf.DUMMYFUNCTION("""COMPUTED_VALUE"""),689216.0)</f>
        <v>689216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IFERROR(__xludf.DUMMYFUNCTION("""COMPUTED_VALUE"""),24.19)</f>
        <v>24.19</v>
      </c>
      <c r="C1220" s="1">
        <f>IFERROR(__xludf.DUMMYFUNCTION("""COMPUTED_VALUE"""),24.37)</f>
        <v>24.37</v>
      </c>
      <c r="D1220" s="1">
        <f>IFERROR(__xludf.DUMMYFUNCTION("""COMPUTED_VALUE"""),23.53)</f>
        <v>23.53</v>
      </c>
      <c r="E1220" s="1">
        <f>IFERROR(__xludf.DUMMYFUNCTION("""COMPUTED_VALUE"""),23.54)</f>
        <v>23.54</v>
      </c>
      <c r="F1220" s="1">
        <f>IFERROR(__xludf.DUMMYFUNCTION("""COMPUTED_VALUE"""),857526.0)</f>
        <v>857526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IFERROR(__xludf.DUMMYFUNCTION("""COMPUTED_VALUE"""),23.49)</f>
        <v>23.49</v>
      </c>
      <c r="C1221" s="1">
        <f>IFERROR(__xludf.DUMMYFUNCTION("""COMPUTED_VALUE"""),24.34)</f>
        <v>24.34</v>
      </c>
      <c r="D1221" s="1">
        <f>IFERROR(__xludf.DUMMYFUNCTION("""COMPUTED_VALUE"""),23.49)</f>
        <v>23.49</v>
      </c>
      <c r="E1221" s="1">
        <f>IFERROR(__xludf.DUMMYFUNCTION("""COMPUTED_VALUE"""),24.24)</f>
        <v>24.24</v>
      </c>
      <c r="F1221" s="1">
        <f>IFERROR(__xludf.DUMMYFUNCTION("""COMPUTED_VALUE"""),964642.0)</f>
        <v>964642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IFERROR(__xludf.DUMMYFUNCTION("""COMPUTED_VALUE"""),24.29)</f>
        <v>24.29</v>
      </c>
      <c r="C1222" s="1">
        <f>IFERROR(__xludf.DUMMYFUNCTION("""COMPUTED_VALUE"""),24.55)</f>
        <v>24.55</v>
      </c>
      <c r="D1222" s="1">
        <f>IFERROR(__xludf.DUMMYFUNCTION("""COMPUTED_VALUE"""),24.18)</f>
        <v>24.18</v>
      </c>
      <c r="E1222" s="1">
        <f>IFERROR(__xludf.DUMMYFUNCTION("""COMPUTED_VALUE"""),24.53)</f>
        <v>24.53</v>
      </c>
      <c r="F1222" s="1">
        <f>IFERROR(__xludf.DUMMYFUNCTION("""COMPUTED_VALUE"""),626117.0)</f>
        <v>626117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IFERROR(__xludf.DUMMYFUNCTION("""COMPUTED_VALUE"""),24.55)</f>
        <v>24.55</v>
      </c>
      <c r="C1223" s="1">
        <f>IFERROR(__xludf.DUMMYFUNCTION("""COMPUTED_VALUE"""),24.81)</f>
        <v>24.81</v>
      </c>
      <c r="D1223" s="1">
        <f>IFERROR(__xludf.DUMMYFUNCTION("""COMPUTED_VALUE"""),24.46)</f>
        <v>24.46</v>
      </c>
      <c r="E1223" s="1">
        <f>IFERROR(__xludf.DUMMYFUNCTION("""COMPUTED_VALUE"""),24.78)</f>
        <v>24.78</v>
      </c>
      <c r="F1223" s="1">
        <f>IFERROR(__xludf.DUMMYFUNCTION("""COMPUTED_VALUE"""),268603.0)</f>
        <v>268603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IFERROR(__xludf.DUMMYFUNCTION("""COMPUTED_VALUE"""),24.78)</f>
        <v>24.78</v>
      </c>
      <c r="C1224" s="1">
        <f>IFERROR(__xludf.DUMMYFUNCTION("""COMPUTED_VALUE"""),24.84)</f>
        <v>24.84</v>
      </c>
      <c r="D1224" s="1">
        <f>IFERROR(__xludf.DUMMYFUNCTION("""COMPUTED_VALUE"""),24.49)</f>
        <v>24.49</v>
      </c>
      <c r="E1224" s="1">
        <f>IFERROR(__xludf.DUMMYFUNCTION("""COMPUTED_VALUE"""),24.73)</f>
        <v>24.73</v>
      </c>
      <c r="F1224" s="1">
        <f>IFERROR(__xludf.DUMMYFUNCTION("""COMPUTED_VALUE"""),354135.0)</f>
        <v>354135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IFERROR(__xludf.DUMMYFUNCTION("""COMPUTED_VALUE"""),24.75)</f>
        <v>24.75</v>
      </c>
      <c r="C1225" s="1">
        <f>IFERROR(__xludf.DUMMYFUNCTION("""COMPUTED_VALUE"""),24.83)</f>
        <v>24.83</v>
      </c>
      <c r="D1225" s="1">
        <f>IFERROR(__xludf.DUMMYFUNCTION("""COMPUTED_VALUE"""),24.6)</f>
        <v>24.6</v>
      </c>
      <c r="E1225" s="1">
        <f>IFERROR(__xludf.DUMMYFUNCTION("""COMPUTED_VALUE"""),24.8)</f>
        <v>24.8</v>
      </c>
      <c r="F1225" s="1">
        <f>IFERROR(__xludf.DUMMYFUNCTION("""COMPUTED_VALUE"""),272220.0)</f>
        <v>272220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IFERROR(__xludf.DUMMYFUNCTION("""COMPUTED_VALUE"""),24.76)</f>
        <v>24.76</v>
      </c>
      <c r="C1226" s="1">
        <f>IFERROR(__xludf.DUMMYFUNCTION("""COMPUTED_VALUE"""),25.33)</f>
        <v>25.33</v>
      </c>
      <c r="D1226" s="1">
        <f>IFERROR(__xludf.DUMMYFUNCTION("""COMPUTED_VALUE"""),24.76)</f>
        <v>24.76</v>
      </c>
      <c r="E1226" s="1">
        <f>IFERROR(__xludf.DUMMYFUNCTION("""COMPUTED_VALUE"""),25.31)</f>
        <v>25.31</v>
      </c>
      <c r="F1226" s="1">
        <f>IFERROR(__xludf.DUMMYFUNCTION("""COMPUTED_VALUE"""),329252.0)</f>
        <v>329252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IFERROR(__xludf.DUMMYFUNCTION("""COMPUTED_VALUE"""),25.36)</f>
        <v>25.36</v>
      </c>
      <c r="C1227" s="1">
        <f>IFERROR(__xludf.DUMMYFUNCTION("""COMPUTED_VALUE"""),25.36)</f>
        <v>25.36</v>
      </c>
      <c r="D1227" s="1">
        <f>IFERROR(__xludf.DUMMYFUNCTION("""COMPUTED_VALUE"""),24.86)</f>
        <v>24.86</v>
      </c>
      <c r="E1227" s="1">
        <f>IFERROR(__xludf.DUMMYFUNCTION("""COMPUTED_VALUE"""),24.92)</f>
        <v>24.92</v>
      </c>
      <c r="F1227" s="1">
        <f>IFERROR(__xludf.DUMMYFUNCTION("""COMPUTED_VALUE"""),212028.0)</f>
        <v>212028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IFERROR(__xludf.DUMMYFUNCTION("""COMPUTED_VALUE"""),24.98)</f>
        <v>24.98</v>
      </c>
      <c r="C1228" s="1">
        <f>IFERROR(__xludf.DUMMYFUNCTION("""COMPUTED_VALUE"""),25.24)</f>
        <v>25.24</v>
      </c>
      <c r="D1228" s="1">
        <f>IFERROR(__xludf.DUMMYFUNCTION("""COMPUTED_VALUE"""),24.85)</f>
        <v>24.85</v>
      </c>
      <c r="E1228" s="1">
        <f>IFERROR(__xludf.DUMMYFUNCTION("""COMPUTED_VALUE"""),25.01)</f>
        <v>25.01</v>
      </c>
      <c r="F1228" s="1">
        <f>IFERROR(__xludf.DUMMYFUNCTION("""COMPUTED_VALUE"""),187393.0)</f>
        <v>187393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IFERROR(__xludf.DUMMYFUNCTION("""COMPUTED_VALUE"""),24.97)</f>
        <v>24.97</v>
      </c>
      <c r="C1229" s="1">
        <f>IFERROR(__xludf.DUMMYFUNCTION("""COMPUTED_VALUE"""),25.25)</f>
        <v>25.25</v>
      </c>
      <c r="D1229" s="1">
        <f>IFERROR(__xludf.DUMMYFUNCTION("""COMPUTED_VALUE"""),24.94)</f>
        <v>24.94</v>
      </c>
      <c r="E1229" s="1">
        <f>IFERROR(__xludf.DUMMYFUNCTION("""COMPUTED_VALUE"""),25.19)</f>
        <v>25.19</v>
      </c>
      <c r="F1229" s="1">
        <f>IFERROR(__xludf.DUMMYFUNCTION("""COMPUTED_VALUE"""),235112.0)</f>
        <v>235112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IFERROR(__xludf.DUMMYFUNCTION("""COMPUTED_VALUE"""),25.23)</f>
        <v>25.23</v>
      </c>
      <c r="C1230" s="1">
        <f>IFERROR(__xludf.DUMMYFUNCTION("""COMPUTED_VALUE"""),25.56)</f>
        <v>25.56</v>
      </c>
      <c r="D1230" s="1">
        <f>IFERROR(__xludf.DUMMYFUNCTION("""COMPUTED_VALUE"""),25.23)</f>
        <v>25.23</v>
      </c>
      <c r="E1230" s="1">
        <f>IFERROR(__xludf.DUMMYFUNCTION("""COMPUTED_VALUE"""),25.48)</f>
        <v>25.48</v>
      </c>
      <c r="F1230" s="1">
        <f>IFERROR(__xludf.DUMMYFUNCTION("""COMPUTED_VALUE"""),612240.0)</f>
        <v>612240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IFERROR(__xludf.DUMMYFUNCTION("""COMPUTED_VALUE"""),25.3)</f>
        <v>25.3</v>
      </c>
      <c r="C1231" s="1">
        <f>IFERROR(__xludf.DUMMYFUNCTION("""COMPUTED_VALUE"""),25.58)</f>
        <v>25.58</v>
      </c>
      <c r="D1231" s="1">
        <f>IFERROR(__xludf.DUMMYFUNCTION("""COMPUTED_VALUE"""),25.1)</f>
        <v>25.1</v>
      </c>
      <c r="E1231" s="1">
        <f>IFERROR(__xludf.DUMMYFUNCTION("""COMPUTED_VALUE"""),25.55)</f>
        <v>25.55</v>
      </c>
      <c r="F1231" s="1">
        <f>IFERROR(__xludf.DUMMYFUNCTION("""COMPUTED_VALUE"""),482945.0)</f>
        <v>482945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IFERROR(__xludf.DUMMYFUNCTION("""COMPUTED_VALUE"""),25.52)</f>
        <v>25.52</v>
      </c>
      <c r="C1232" s="1">
        <f>IFERROR(__xludf.DUMMYFUNCTION("""COMPUTED_VALUE"""),25.75)</f>
        <v>25.75</v>
      </c>
      <c r="D1232" s="1">
        <f>IFERROR(__xludf.DUMMYFUNCTION("""COMPUTED_VALUE"""),25.43)</f>
        <v>25.43</v>
      </c>
      <c r="E1232" s="1">
        <f>IFERROR(__xludf.DUMMYFUNCTION("""COMPUTED_VALUE"""),25.57)</f>
        <v>25.57</v>
      </c>
      <c r="F1232" s="1">
        <f>IFERROR(__xludf.DUMMYFUNCTION("""COMPUTED_VALUE"""),362964.0)</f>
        <v>362964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IFERROR(__xludf.DUMMYFUNCTION("""COMPUTED_VALUE"""),25.75)</f>
        <v>25.75</v>
      </c>
      <c r="C1233" s="1">
        <f>IFERROR(__xludf.DUMMYFUNCTION("""COMPUTED_VALUE"""),26.07)</f>
        <v>26.07</v>
      </c>
      <c r="D1233" s="1">
        <f>IFERROR(__xludf.DUMMYFUNCTION("""COMPUTED_VALUE"""),25.66)</f>
        <v>25.66</v>
      </c>
      <c r="E1233" s="1">
        <f>IFERROR(__xludf.DUMMYFUNCTION("""COMPUTED_VALUE"""),25.89)</f>
        <v>25.89</v>
      </c>
      <c r="F1233" s="1">
        <f>IFERROR(__xludf.DUMMYFUNCTION("""COMPUTED_VALUE"""),624261.0)</f>
        <v>624261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IFERROR(__xludf.DUMMYFUNCTION("""COMPUTED_VALUE"""),25.98)</f>
        <v>25.98</v>
      </c>
      <c r="C1234" s="1">
        <f>IFERROR(__xludf.DUMMYFUNCTION("""COMPUTED_VALUE"""),26.09)</f>
        <v>26.09</v>
      </c>
      <c r="D1234" s="1">
        <f>IFERROR(__xludf.DUMMYFUNCTION("""COMPUTED_VALUE"""),25.73)</f>
        <v>25.73</v>
      </c>
      <c r="E1234" s="1">
        <f>IFERROR(__xludf.DUMMYFUNCTION("""COMPUTED_VALUE"""),26.07)</f>
        <v>26.07</v>
      </c>
      <c r="F1234" s="1">
        <f>IFERROR(__xludf.DUMMYFUNCTION("""COMPUTED_VALUE"""),499048.0)</f>
        <v>499048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IFERROR(__xludf.DUMMYFUNCTION("""COMPUTED_VALUE"""),26.1)</f>
        <v>26.1</v>
      </c>
      <c r="C1235" s="1">
        <f>IFERROR(__xludf.DUMMYFUNCTION("""COMPUTED_VALUE"""),26.33)</f>
        <v>26.33</v>
      </c>
      <c r="D1235" s="1">
        <f>IFERROR(__xludf.DUMMYFUNCTION("""COMPUTED_VALUE"""),26.06)</f>
        <v>26.06</v>
      </c>
      <c r="E1235" s="1">
        <f>IFERROR(__xludf.DUMMYFUNCTION("""COMPUTED_VALUE"""),26.23)</f>
        <v>26.23</v>
      </c>
      <c r="F1235" s="1">
        <f>IFERROR(__xludf.DUMMYFUNCTION("""COMPUTED_VALUE"""),287617.0)</f>
        <v>287617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IFERROR(__xludf.DUMMYFUNCTION("""COMPUTED_VALUE"""),26.26)</f>
        <v>26.26</v>
      </c>
      <c r="C1236" s="1">
        <f>IFERROR(__xludf.DUMMYFUNCTION("""COMPUTED_VALUE"""),26.49)</f>
        <v>26.49</v>
      </c>
      <c r="D1236" s="1">
        <f>IFERROR(__xludf.DUMMYFUNCTION("""COMPUTED_VALUE"""),26.15)</f>
        <v>26.15</v>
      </c>
      <c r="E1236" s="1">
        <f>IFERROR(__xludf.DUMMYFUNCTION("""COMPUTED_VALUE"""),26.4)</f>
        <v>26.4</v>
      </c>
      <c r="F1236" s="1">
        <f>IFERROR(__xludf.DUMMYFUNCTION("""COMPUTED_VALUE"""),275198.0)</f>
        <v>275198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IFERROR(__xludf.DUMMYFUNCTION("""COMPUTED_VALUE"""),26.07)</f>
        <v>26.07</v>
      </c>
      <c r="C1237" s="1">
        <f>IFERROR(__xludf.DUMMYFUNCTION("""COMPUTED_VALUE"""),26.34)</f>
        <v>26.34</v>
      </c>
      <c r="D1237" s="1">
        <f>IFERROR(__xludf.DUMMYFUNCTION("""COMPUTED_VALUE"""),26.01)</f>
        <v>26.01</v>
      </c>
      <c r="E1237" s="1">
        <f>IFERROR(__xludf.DUMMYFUNCTION("""COMPUTED_VALUE"""),26.13)</f>
        <v>26.13</v>
      </c>
      <c r="F1237" s="1">
        <f>IFERROR(__xludf.DUMMYFUNCTION("""COMPUTED_VALUE"""),178336.0)</f>
        <v>178336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IFERROR(__xludf.DUMMYFUNCTION("""COMPUTED_VALUE"""),25.92)</f>
        <v>25.92</v>
      </c>
      <c r="C1238" s="1">
        <f>IFERROR(__xludf.DUMMYFUNCTION("""COMPUTED_VALUE"""),26.03)</f>
        <v>26.03</v>
      </c>
      <c r="D1238" s="1">
        <f>IFERROR(__xludf.DUMMYFUNCTION("""COMPUTED_VALUE"""),25.73)</f>
        <v>25.73</v>
      </c>
      <c r="E1238" s="1">
        <f>IFERROR(__xludf.DUMMYFUNCTION("""COMPUTED_VALUE"""),25.95)</f>
        <v>25.95</v>
      </c>
      <c r="F1238" s="1">
        <f>IFERROR(__xludf.DUMMYFUNCTION("""COMPUTED_VALUE"""),533078.0)</f>
        <v>533078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IFERROR(__xludf.DUMMYFUNCTION("""COMPUTED_VALUE"""),25.94)</f>
        <v>25.94</v>
      </c>
      <c r="C1239" s="1">
        <f>IFERROR(__xludf.DUMMYFUNCTION("""COMPUTED_VALUE"""),26.14)</f>
        <v>26.14</v>
      </c>
      <c r="D1239" s="1">
        <f>IFERROR(__xludf.DUMMYFUNCTION("""COMPUTED_VALUE"""),25.78)</f>
        <v>25.78</v>
      </c>
      <c r="E1239" s="1">
        <f>IFERROR(__xludf.DUMMYFUNCTION("""COMPUTED_VALUE"""),26.0)</f>
        <v>26</v>
      </c>
      <c r="F1239" s="1">
        <f>IFERROR(__xludf.DUMMYFUNCTION("""COMPUTED_VALUE"""),411347.0)</f>
        <v>411347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IFERROR(__xludf.DUMMYFUNCTION("""COMPUTED_VALUE"""),26.0)</f>
        <v>26</v>
      </c>
      <c r="C1240" s="1">
        <f>IFERROR(__xludf.DUMMYFUNCTION("""COMPUTED_VALUE"""),26.58)</f>
        <v>26.58</v>
      </c>
      <c r="D1240" s="1">
        <f>IFERROR(__xludf.DUMMYFUNCTION("""COMPUTED_VALUE"""),25.95)</f>
        <v>25.95</v>
      </c>
      <c r="E1240" s="1">
        <f>IFERROR(__xludf.DUMMYFUNCTION("""COMPUTED_VALUE"""),26.2)</f>
        <v>26.2</v>
      </c>
      <c r="F1240" s="1">
        <f>IFERROR(__xludf.DUMMYFUNCTION("""COMPUTED_VALUE"""),540965.0)</f>
        <v>540965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IFERROR(__xludf.DUMMYFUNCTION("""COMPUTED_VALUE"""),26.16)</f>
        <v>26.16</v>
      </c>
      <c r="C1241" s="1">
        <f>IFERROR(__xludf.DUMMYFUNCTION("""COMPUTED_VALUE"""),26.2)</f>
        <v>26.2</v>
      </c>
      <c r="D1241" s="1">
        <f>IFERROR(__xludf.DUMMYFUNCTION("""COMPUTED_VALUE"""),25.75)</f>
        <v>25.75</v>
      </c>
      <c r="E1241" s="1">
        <f>IFERROR(__xludf.DUMMYFUNCTION("""COMPUTED_VALUE"""),25.96)</f>
        <v>25.96</v>
      </c>
      <c r="F1241" s="1">
        <f>IFERROR(__xludf.DUMMYFUNCTION("""COMPUTED_VALUE"""),473812.0)</f>
        <v>473812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IFERROR(__xludf.DUMMYFUNCTION("""COMPUTED_VALUE"""),25.97)</f>
        <v>25.97</v>
      </c>
      <c r="C1242" s="1">
        <f>IFERROR(__xludf.DUMMYFUNCTION("""COMPUTED_VALUE"""),26.38)</f>
        <v>26.38</v>
      </c>
      <c r="D1242" s="1">
        <f>IFERROR(__xludf.DUMMYFUNCTION("""COMPUTED_VALUE"""),25.9)</f>
        <v>25.9</v>
      </c>
      <c r="E1242" s="1">
        <f>IFERROR(__xludf.DUMMYFUNCTION("""COMPUTED_VALUE"""),26.33)</f>
        <v>26.33</v>
      </c>
      <c r="F1242" s="1">
        <f>IFERROR(__xludf.DUMMYFUNCTION("""COMPUTED_VALUE"""),265845.0)</f>
        <v>265845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IFERROR(__xludf.DUMMYFUNCTION("""COMPUTED_VALUE"""),26.29)</f>
        <v>26.29</v>
      </c>
      <c r="C1243" s="1">
        <f>IFERROR(__xludf.DUMMYFUNCTION("""COMPUTED_VALUE"""),26.41)</f>
        <v>26.41</v>
      </c>
      <c r="D1243" s="1">
        <f>IFERROR(__xludf.DUMMYFUNCTION("""COMPUTED_VALUE"""),25.71)</f>
        <v>25.71</v>
      </c>
      <c r="E1243" s="1">
        <f>IFERROR(__xludf.DUMMYFUNCTION("""COMPUTED_VALUE"""),25.75)</f>
        <v>25.75</v>
      </c>
      <c r="F1243" s="1">
        <f>IFERROR(__xludf.DUMMYFUNCTION("""COMPUTED_VALUE"""),465559.0)</f>
        <v>465559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IFERROR(__xludf.DUMMYFUNCTION("""COMPUTED_VALUE"""),25.57)</f>
        <v>25.57</v>
      </c>
      <c r="C1244" s="1">
        <f>IFERROR(__xludf.DUMMYFUNCTION("""COMPUTED_VALUE"""),25.87)</f>
        <v>25.87</v>
      </c>
      <c r="D1244" s="1">
        <f>IFERROR(__xludf.DUMMYFUNCTION("""COMPUTED_VALUE"""),25.36)</f>
        <v>25.36</v>
      </c>
      <c r="E1244" s="1">
        <f>IFERROR(__xludf.DUMMYFUNCTION("""COMPUTED_VALUE"""),25.87)</f>
        <v>25.87</v>
      </c>
      <c r="F1244" s="1">
        <f>IFERROR(__xludf.DUMMYFUNCTION("""COMPUTED_VALUE"""),374377.0)</f>
        <v>374377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IFERROR(__xludf.DUMMYFUNCTION("""COMPUTED_VALUE"""),25.76)</f>
        <v>25.76</v>
      </c>
      <c r="C1245" s="1">
        <f>IFERROR(__xludf.DUMMYFUNCTION("""COMPUTED_VALUE"""),25.92)</f>
        <v>25.92</v>
      </c>
      <c r="D1245" s="1">
        <f>IFERROR(__xludf.DUMMYFUNCTION("""COMPUTED_VALUE"""),25.09)</f>
        <v>25.09</v>
      </c>
      <c r="E1245" s="1">
        <f>IFERROR(__xludf.DUMMYFUNCTION("""COMPUTED_VALUE"""),25.27)</f>
        <v>25.27</v>
      </c>
      <c r="F1245" s="1">
        <f>IFERROR(__xludf.DUMMYFUNCTION("""COMPUTED_VALUE"""),293065.0)</f>
        <v>293065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IFERROR(__xludf.DUMMYFUNCTION("""COMPUTED_VALUE"""),25.25)</f>
        <v>25.25</v>
      </c>
      <c r="C1246" s="1">
        <f>IFERROR(__xludf.DUMMYFUNCTION("""COMPUTED_VALUE"""),25.48)</f>
        <v>25.48</v>
      </c>
      <c r="D1246" s="1">
        <f>IFERROR(__xludf.DUMMYFUNCTION("""COMPUTED_VALUE"""),25.01)</f>
        <v>25.01</v>
      </c>
      <c r="E1246" s="1">
        <f>IFERROR(__xludf.DUMMYFUNCTION("""COMPUTED_VALUE"""),25.07)</f>
        <v>25.07</v>
      </c>
      <c r="F1246" s="1">
        <f>IFERROR(__xludf.DUMMYFUNCTION("""COMPUTED_VALUE"""),372919.0)</f>
        <v>372919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IFERROR(__xludf.DUMMYFUNCTION("""COMPUTED_VALUE"""),24.96)</f>
        <v>24.96</v>
      </c>
      <c r="C1247" s="1">
        <f>IFERROR(__xludf.DUMMYFUNCTION("""COMPUTED_VALUE"""),25.27)</f>
        <v>25.27</v>
      </c>
      <c r="D1247" s="1">
        <f>IFERROR(__xludf.DUMMYFUNCTION("""COMPUTED_VALUE"""),24.9)</f>
        <v>24.9</v>
      </c>
      <c r="E1247" s="1">
        <f>IFERROR(__xludf.DUMMYFUNCTION("""COMPUTED_VALUE"""),25.1)</f>
        <v>25.1</v>
      </c>
      <c r="F1247" s="1">
        <f>IFERROR(__xludf.DUMMYFUNCTION("""COMPUTED_VALUE"""),371327.0)</f>
        <v>371327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IFERROR(__xludf.DUMMYFUNCTION("""COMPUTED_VALUE"""),25.23)</f>
        <v>25.23</v>
      </c>
      <c r="C1248" s="1">
        <f>IFERROR(__xludf.DUMMYFUNCTION("""COMPUTED_VALUE"""),25.51)</f>
        <v>25.51</v>
      </c>
      <c r="D1248" s="1">
        <f>IFERROR(__xludf.DUMMYFUNCTION("""COMPUTED_VALUE"""),25.0)</f>
        <v>25</v>
      </c>
      <c r="E1248" s="1">
        <f>IFERROR(__xludf.DUMMYFUNCTION("""COMPUTED_VALUE"""),25.02)</f>
        <v>25.02</v>
      </c>
      <c r="F1248" s="1">
        <f>IFERROR(__xludf.DUMMYFUNCTION("""COMPUTED_VALUE"""),323743.0)</f>
        <v>323743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IFERROR(__xludf.DUMMYFUNCTION("""COMPUTED_VALUE"""),24.99)</f>
        <v>24.99</v>
      </c>
      <c r="C1249" s="1">
        <f>IFERROR(__xludf.DUMMYFUNCTION("""COMPUTED_VALUE"""),25.34)</f>
        <v>25.34</v>
      </c>
      <c r="D1249" s="1">
        <f>IFERROR(__xludf.DUMMYFUNCTION("""COMPUTED_VALUE"""),24.94)</f>
        <v>24.94</v>
      </c>
      <c r="E1249" s="1">
        <f>IFERROR(__xludf.DUMMYFUNCTION("""COMPUTED_VALUE"""),25.02)</f>
        <v>25.02</v>
      </c>
      <c r="F1249" s="1">
        <f>IFERROR(__xludf.DUMMYFUNCTION("""COMPUTED_VALUE"""),243486.0)</f>
        <v>243486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IFERROR(__xludf.DUMMYFUNCTION("""COMPUTED_VALUE"""),25.04)</f>
        <v>25.04</v>
      </c>
      <c r="C1250" s="1">
        <f>IFERROR(__xludf.DUMMYFUNCTION("""COMPUTED_VALUE"""),25.63)</f>
        <v>25.63</v>
      </c>
      <c r="D1250" s="1">
        <f>IFERROR(__xludf.DUMMYFUNCTION("""COMPUTED_VALUE"""),24.97)</f>
        <v>24.97</v>
      </c>
      <c r="E1250" s="1">
        <f>IFERROR(__xludf.DUMMYFUNCTION("""COMPUTED_VALUE"""),25.58)</f>
        <v>25.58</v>
      </c>
      <c r="F1250" s="1">
        <f>IFERROR(__xludf.DUMMYFUNCTION("""COMPUTED_VALUE"""),269389.0)</f>
        <v>269389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IFERROR(__xludf.DUMMYFUNCTION("""COMPUTED_VALUE"""),25.85)</f>
        <v>25.85</v>
      </c>
      <c r="C1251" s="1">
        <f>IFERROR(__xludf.DUMMYFUNCTION("""COMPUTED_VALUE"""),25.92)</f>
        <v>25.92</v>
      </c>
      <c r="D1251" s="1">
        <f>IFERROR(__xludf.DUMMYFUNCTION("""COMPUTED_VALUE"""),25.26)</f>
        <v>25.26</v>
      </c>
      <c r="E1251" s="1">
        <f>IFERROR(__xludf.DUMMYFUNCTION("""COMPUTED_VALUE"""),25.62)</f>
        <v>25.62</v>
      </c>
      <c r="F1251" s="1">
        <f>IFERROR(__xludf.DUMMYFUNCTION("""COMPUTED_VALUE"""),294020.0)</f>
        <v>294020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IFERROR(__xludf.DUMMYFUNCTION("""COMPUTED_VALUE"""),25.7)</f>
        <v>25.7</v>
      </c>
      <c r="C1252" s="1">
        <f>IFERROR(__xludf.DUMMYFUNCTION("""COMPUTED_VALUE"""),25.73)</f>
        <v>25.73</v>
      </c>
      <c r="D1252" s="1">
        <f>IFERROR(__xludf.DUMMYFUNCTION("""COMPUTED_VALUE"""),25.38)</f>
        <v>25.38</v>
      </c>
      <c r="E1252" s="1">
        <f>IFERROR(__xludf.DUMMYFUNCTION("""COMPUTED_VALUE"""),25.45)</f>
        <v>25.45</v>
      </c>
      <c r="F1252" s="1">
        <f>IFERROR(__xludf.DUMMYFUNCTION("""COMPUTED_VALUE"""),582362.0)</f>
        <v>582362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IFERROR(__xludf.DUMMYFUNCTION("""COMPUTED_VALUE"""),25.46)</f>
        <v>25.46</v>
      </c>
      <c r="C1253" s="1">
        <f>IFERROR(__xludf.DUMMYFUNCTION("""COMPUTED_VALUE"""),25.58)</f>
        <v>25.58</v>
      </c>
      <c r="D1253" s="1">
        <f>IFERROR(__xludf.DUMMYFUNCTION("""COMPUTED_VALUE"""),25.23)</f>
        <v>25.23</v>
      </c>
      <c r="E1253" s="1">
        <f>IFERROR(__xludf.DUMMYFUNCTION("""COMPUTED_VALUE"""),25.46)</f>
        <v>25.46</v>
      </c>
      <c r="F1253" s="1">
        <f>IFERROR(__xludf.DUMMYFUNCTION("""COMPUTED_VALUE"""),229586.0)</f>
        <v>229586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IFERROR(__xludf.DUMMYFUNCTION("""COMPUTED_VALUE"""),25.56)</f>
        <v>25.56</v>
      </c>
      <c r="C1254" s="1">
        <f>IFERROR(__xludf.DUMMYFUNCTION("""COMPUTED_VALUE"""),26.4)</f>
        <v>26.4</v>
      </c>
      <c r="D1254" s="1">
        <f>IFERROR(__xludf.DUMMYFUNCTION("""COMPUTED_VALUE"""),25.56)</f>
        <v>25.56</v>
      </c>
      <c r="E1254" s="1">
        <f>IFERROR(__xludf.DUMMYFUNCTION("""COMPUTED_VALUE"""),26.26)</f>
        <v>26.26</v>
      </c>
      <c r="F1254" s="1">
        <f>IFERROR(__xludf.DUMMYFUNCTION("""COMPUTED_VALUE"""),611742.0)</f>
        <v>611742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IFERROR(__xludf.DUMMYFUNCTION("""COMPUTED_VALUE"""),26.4)</f>
        <v>26.4</v>
      </c>
      <c r="C1255" s="1">
        <f>IFERROR(__xludf.DUMMYFUNCTION("""COMPUTED_VALUE"""),26.67)</f>
        <v>26.67</v>
      </c>
      <c r="D1255" s="1">
        <f>IFERROR(__xludf.DUMMYFUNCTION("""COMPUTED_VALUE"""),26.33)</f>
        <v>26.33</v>
      </c>
      <c r="E1255" s="1">
        <f>IFERROR(__xludf.DUMMYFUNCTION("""COMPUTED_VALUE"""),26.62)</f>
        <v>26.62</v>
      </c>
      <c r="F1255" s="1">
        <f>IFERROR(__xludf.DUMMYFUNCTION("""COMPUTED_VALUE"""),155139.0)</f>
        <v>155139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IFERROR(__xludf.DUMMYFUNCTION("""COMPUTED_VALUE"""),26.75)</f>
        <v>26.75</v>
      </c>
      <c r="C1256" s="1">
        <f>IFERROR(__xludf.DUMMYFUNCTION("""COMPUTED_VALUE"""),27.07)</f>
        <v>27.07</v>
      </c>
      <c r="D1256" s="1">
        <f>IFERROR(__xludf.DUMMYFUNCTION("""COMPUTED_VALUE"""),26.68)</f>
        <v>26.68</v>
      </c>
      <c r="E1256" s="1">
        <f>IFERROR(__xludf.DUMMYFUNCTION("""COMPUTED_VALUE"""),26.91)</f>
        <v>26.91</v>
      </c>
      <c r="F1256" s="1">
        <f>IFERROR(__xludf.DUMMYFUNCTION("""COMPUTED_VALUE"""),178323.0)</f>
        <v>178323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IFERROR(__xludf.DUMMYFUNCTION("""COMPUTED_VALUE"""),27.03)</f>
        <v>27.03</v>
      </c>
      <c r="C1257" s="1">
        <f>IFERROR(__xludf.DUMMYFUNCTION("""COMPUTED_VALUE"""),27.29)</f>
        <v>27.29</v>
      </c>
      <c r="D1257" s="1">
        <f>IFERROR(__xludf.DUMMYFUNCTION("""COMPUTED_VALUE"""),26.77)</f>
        <v>26.77</v>
      </c>
      <c r="E1257" s="1">
        <f>IFERROR(__xludf.DUMMYFUNCTION("""COMPUTED_VALUE"""),27.25)</f>
        <v>27.25</v>
      </c>
      <c r="F1257" s="1">
        <f>IFERROR(__xludf.DUMMYFUNCTION("""COMPUTED_VALUE"""),408432.0)</f>
        <v>408432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IFERROR(__xludf.DUMMYFUNCTION("""COMPUTED_VALUE"""),27.17)</f>
        <v>27.17</v>
      </c>
      <c r="C1258" s="1">
        <f>IFERROR(__xludf.DUMMYFUNCTION("""COMPUTED_VALUE"""),27.27)</f>
        <v>27.27</v>
      </c>
      <c r="D1258" s="1">
        <f>IFERROR(__xludf.DUMMYFUNCTION("""COMPUTED_VALUE"""),27.04)</f>
        <v>27.04</v>
      </c>
      <c r="E1258" s="1">
        <f>IFERROR(__xludf.DUMMYFUNCTION("""COMPUTED_VALUE"""),27.18)</f>
        <v>27.18</v>
      </c>
      <c r="F1258" s="1">
        <f>IFERROR(__xludf.DUMMYFUNCTION("""COMPUTED_VALUE"""),232201.0)</f>
        <v>232201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IFERROR(__xludf.DUMMYFUNCTION("""COMPUTED_VALUE"""),27.19)</f>
        <v>27.19</v>
      </c>
      <c r="C1259" s="1">
        <f>IFERROR(__xludf.DUMMYFUNCTION("""COMPUTED_VALUE"""),27.19)</f>
        <v>27.19</v>
      </c>
      <c r="D1259" s="1">
        <f>IFERROR(__xludf.DUMMYFUNCTION("""COMPUTED_VALUE"""),26.85)</f>
        <v>26.85</v>
      </c>
      <c r="E1259" s="1">
        <f>IFERROR(__xludf.DUMMYFUNCTION("""COMPUTED_VALUE"""),26.89)</f>
        <v>26.89</v>
      </c>
      <c r="F1259" s="1">
        <f>IFERROR(__xludf.DUMMYFUNCTION("""COMPUTED_VALUE"""),162458.0)</f>
        <v>162458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IFERROR(__xludf.DUMMYFUNCTION("""COMPUTED_VALUE"""),26.92)</f>
        <v>26.92</v>
      </c>
      <c r="C1260" s="1">
        <f>IFERROR(__xludf.DUMMYFUNCTION("""COMPUTED_VALUE"""),27.23)</f>
        <v>27.23</v>
      </c>
      <c r="D1260" s="1">
        <f>IFERROR(__xludf.DUMMYFUNCTION("""COMPUTED_VALUE"""),26.86)</f>
        <v>26.86</v>
      </c>
      <c r="E1260" s="1">
        <f>IFERROR(__xludf.DUMMYFUNCTION("""COMPUTED_VALUE"""),27.03)</f>
        <v>27.03</v>
      </c>
      <c r="F1260" s="1">
        <f>IFERROR(__xludf.DUMMYFUNCTION("""COMPUTED_VALUE"""),385916.0)</f>
        <v>385916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IFERROR(__xludf.DUMMYFUNCTION("""COMPUTED_VALUE"""),26.92)</f>
        <v>26.92</v>
      </c>
      <c r="C1261" s="1">
        <f>IFERROR(__xludf.DUMMYFUNCTION("""COMPUTED_VALUE"""),27.15)</f>
        <v>27.15</v>
      </c>
      <c r="D1261" s="1">
        <f>IFERROR(__xludf.DUMMYFUNCTION("""COMPUTED_VALUE"""),26.41)</f>
        <v>26.41</v>
      </c>
      <c r="E1261" s="1">
        <f>IFERROR(__xludf.DUMMYFUNCTION("""COMPUTED_VALUE"""),26.54)</f>
        <v>26.54</v>
      </c>
      <c r="F1261" s="1">
        <f>IFERROR(__xludf.DUMMYFUNCTION("""COMPUTED_VALUE"""),401156.0)</f>
        <v>401156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IFERROR(__xludf.DUMMYFUNCTION("""COMPUTED_VALUE"""),26.55)</f>
        <v>26.55</v>
      </c>
      <c r="C1262" s="1">
        <f>IFERROR(__xludf.DUMMYFUNCTION("""COMPUTED_VALUE"""),26.55)</f>
        <v>26.55</v>
      </c>
      <c r="D1262" s="1">
        <f>IFERROR(__xludf.DUMMYFUNCTION("""COMPUTED_VALUE"""),25.84)</f>
        <v>25.84</v>
      </c>
      <c r="E1262" s="1">
        <f>IFERROR(__xludf.DUMMYFUNCTION("""COMPUTED_VALUE"""),25.9)</f>
        <v>25.9</v>
      </c>
      <c r="F1262" s="1">
        <f>IFERROR(__xludf.DUMMYFUNCTION("""COMPUTED_VALUE"""),523503.0)</f>
        <v>523503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IFERROR(__xludf.DUMMYFUNCTION("""COMPUTED_VALUE"""),26.04)</f>
        <v>26.04</v>
      </c>
      <c r="C1263" s="1">
        <f>IFERROR(__xludf.DUMMYFUNCTION("""COMPUTED_VALUE"""),26.14)</f>
        <v>26.14</v>
      </c>
      <c r="D1263" s="1">
        <f>IFERROR(__xludf.DUMMYFUNCTION("""COMPUTED_VALUE"""),25.77)</f>
        <v>25.77</v>
      </c>
      <c r="E1263" s="1">
        <f>IFERROR(__xludf.DUMMYFUNCTION("""COMPUTED_VALUE"""),25.9)</f>
        <v>25.9</v>
      </c>
      <c r="F1263" s="1">
        <f>IFERROR(__xludf.DUMMYFUNCTION("""COMPUTED_VALUE"""),366687.0)</f>
        <v>366687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IFERROR(__xludf.DUMMYFUNCTION("""COMPUTED_VALUE"""),26.02)</f>
        <v>26.02</v>
      </c>
      <c r="C1264" s="1">
        <f>IFERROR(__xludf.DUMMYFUNCTION("""COMPUTED_VALUE"""),26.15)</f>
        <v>26.15</v>
      </c>
      <c r="D1264" s="1">
        <f>IFERROR(__xludf.DUMMYFUNCTION("""COMPUTED_VALUE"""),25.91)</f>
        <v>25.91</v>
      </c>
      <c r="E1264" s="1">
        <f>IFERROR(__xludf.DUMMYFUNCTION("""COMPUTED_VALUE"""),25.96)</f>
        <v>25.96</v>
      </c>
      <c r="F1264" s="1">
        <f>IFERROR(__xludf.DUMMYFUNCTION("""COMPUTED_VALUE"""),560171.0)</f>
        <v>560171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IFERROR(__xludf.DUMMYFUNCTION("""COMPUTED_VALUE"""),25.89)</f>
        <v>25.89</v>
      </c>
      <c r="C1265" s="1">
        <f>IFERROR(__xludf.DUMMYFUNCTION("""COMPUTED_VALUE"""),26.22)</f>
        <v>26.22</v>
      </c>
      <c r="D1265" s="1">
        <f>IFERROR(__xludf.DUMMYFUNCTION("""COMPUTED_VALUE"""),25.79)</f>
        <v>25.79</v>
      </c>
      <c r="E1265" s="1">
        <f>IFERROR(__xludf.DUMMYFUNCTION("""COMPUTED_VALUE"""),26.18)</f>
        <v>26.18</v>
      </c>
      <c r="F1265" s="1">
        <f>IFERROR(__xludf.DUMMYFUNCTION("""COMPUTED_VALUE"""),824046.0)</f>
        <v>824046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IFERROR(__xludf.DUMMYFUNCTION("""COMPUTED_VALUE"""),26.52)</f>
        <v>26.52</v>
      </c>
      <c r="C1266" s="1">
        <f>IFERROR(__xludf.DUMMYFUNCTION("""COMPUTED_VALUE"""),26.68)</f>
        <v>26.68</v>
      </c>
      <c r="D1266" s="1">
        <f>IFERROR(__xludf.DUMMYFUNCTION("""COMPUTED_VALUE"""),25.77)</f>
        <v>25.77</v>
      </c>
      <c r="E1266" s="1">
        <f>IFERROR(__xludf.DUMMYFUNCTION("""COMPUTED_VALUE"""),26.11)</f>
        <v>26.11</v>
      </c>
      <c r="F1266" s="1">
        <f>IFERROR(__xludf.DUMMYFUNCTION("""COMPUTED_VALUE"""),504574.0)</f>
        <v>504574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IFERROR(__xludf.DUMMYFUNCTION("""COMPUTED_VALUE"""),26.09)</f>
        <v>26.09</v>
      </c>
      <c r="C1267" s="1">
        <f>IFERROR(__xludf.DUMMYFUNCTION("""COMPUTED_VALUE"""),26.71)</f>
        <v>26.71</v>
      </c>
      <c r="D1267" s="1">
        <f>IFERROR(__xludf.DUMMYFUNCTION("""COMPUTED_VALUE"""),25.17)</f>
        <v>25.17</v>
      </c>
      <c r="E1267" s="1">
        <f>IFERROR(__xludf.DUMMYFUNCTION("""COMPUTED_VALUE"""),25.35)</f>
        <v>25.35</v>
      </c>
      <c r="F1267" s="1">
        <f>IFERROR(__xludf.DUMMYFUNCTION("""COMPUTED_VALUE"""),1059558.0)</f>
        <v>1059558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IFERROR(__xludf.DUMMYFUNCTION("""COMPUTED_VALUE"""),25.13)</f>
        <v>25.13</v>
      </c>
      <c r="C1268" s="1">
        <f>IFERROR(__xludf.DUMMYFUNCTION("""COMPUTED_VALUE"""),25.46)</f>
        <v>25.46</v>
      </c>
      <c r="D1268" s="1">
        <f>IFERROR(__xludf.DUMMYFUNCTION("""COMPUTED_VALUE"""),24.8)</f>
        <v>24.8</v>
      </c>
      <c r="E1268" s="1">
        <f>IFERROR(__xludf.DUMMYFUNCTION("""COMPUTED_VALUE"""),25.05)</f>
        <v>25.05</v>
      </c>
      <c r="F1268" s="1">
        <f>IFERROR(__xludf.DUMMYFUNCTION("""COMPUTED_VALUE"""),479575.0)</f>
        <v>479575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IFERROR(__xludf.DUMMYFUNCTION("""COMPUTED_VALUE"""),25.16)</f>
        <v>25.16</v>
      </c>
      <c r="C1269" s="1">
        <f>IFERROR(__xludf.DUMMYFUNCTION("""COMPUTED_VALUE"""),25.19)</f>
        <v>25.19</v>
      </c>
      <c r="D1269" s="1">
        <f>IFERROR(__xludf.DUMMYFUNCTION("""COMPUTED_VALUE"""),24.83)</f>
        <v>24.83</v>
      </c>
      <c r="E1269" s="1">
        <f>IFERROR(__xludf.DUMMYFUNCTION("""COMPUTED_VALUE"""),24.91)</f>
        <v>24.91</v>
      </c>
      <c r="F1269" s="1">
        <f>IFERROR(__xludf.DUMMYFUNCTION("""COMPUTED_VALUE"""),395051.0)</f>
        <v>395051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IFERROR(__xludf.DUMMYFUNCTION("""COMPUTED_VALUE"""),24.9)</f>
        <v>24.9</v>
      </c>
      <c r="C1270" s="1">
        <f>IFERROR(__xludf.DUMMYFUNCTION("""COMPUTED_VALUE"""),25.3)</f>
        <v>25.3</v>
      </c>
      <c r="D1270" s="1">
        <f>IFERROR(__xludf.DUMMYFUNCTION("""COMPUTED_VALUE"""),24.7)</f>
        <v>24.7</v>
      </c>
      <c r="E1270" s="1">
        <f>IFERROR(__xludf.DUMMYFUNCTION("""COMPUTED_VALUE"""),25.16)</f>
        <v>25.16</v>
      </c>
      <c r="F1270" s="1">
        <f>IFERROR(__xludf.DUMMYFUNCTION("""COMPUTED_VALUE"""),607387.0)</f>
        <v>607387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IFERROR(__xludf.DUMMYFUNCTION("""COMPUTED_VALUE"""),25.15)</f>
        <v>25.15</v>
      </c>
      <c r="C1271" s="1">
        <f>IFERROR(__xludf.DUMMYFUNCTION("""COMPUTED_VALUE"""),25.18)</f>
        <v>25.18</v>
      </c>
      <c r="D1271" s="1">
        <f>IFERROR(__xludf.DUMMYFUNCTION("""COMPUTED_VALUE"""),24.64)</f>
        <v>24.64</v>
      </c>
      <c r="E1271" s="1">
        <f>IFERROR(__xludf.DUMMYFUNCTION("""COMPUTED_VALUE"""),24.76)</f>
        <v>24.76</v>
      </c>
      <c r="F1271" s="1">
        <f>IFERROR(__xludf.DUMMYFUNCTION("""COMPUTED_VALUE"""),866570.0)</f>
        <v>866570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IFERROR(__xludf.DUMMYFUNCTION("""COMPUTED_VALUE"""),24.71)</f>
        <v>24.71</v>
      </c>
      <c r="C1272" s="1">
        <f>IFERROR(__xludf.DUMMYFUNCTION("""COMPUTED_VALUE"""),24.95)</f>
        <v>24.95</v>
      </c>
      <c r="D1272" s="1">
        <f>IFERROR(__xludf.DUMMYFUNCTION("""COMPUTED_VALUE"""),24.6)</f>
        <v>24.6</v>
      </c>
      <c r="E1272" s="1">
        <f>IFERROR(__xludf.DUMMYFUNCTION("""COMPUTED_VALUE"""),24.84)</f>
        <v>24.84</v>
      </c>
      <c r="F1272" s="1">
        <f>IFERROR(__xludf.DUMMYFUNCTION("""COMPUTED_VALUE"""),327259.0)</f>
        <v>327259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IFERROR(__xludf.DUMMYFUNCTION("""COMPUTED_VALUE"""),24.93)</f>
        <v>24.93</v>
      </c>
      <c r="C1273" s="1">
        <f>IFERROR(__xludf.DUMMYFUNCTION("""COMPUTED_VALUE"""),25.62)</f>
        <v>25.62</v>
      </c>
      <c r="D1273" s="1">
        <f>IFERROR(__xludf.DUMMYFUNCTION("""COMPUTED_VALUE"""),24.8)</f>
        <v>24.8</v>
      </c>
      <c r="E1273" s="1">
        <f>IFERROR(__xludf.DUMMYFUNCTION("""COMPUTED_VALUE"""),25.52)</f>
        <v>25.52</v>
      </c>
      <c r="F1273" s="1">
        <f>IFERROR(__xludf.DUMMYFUNCTION("""COMPUTED_VALUE"""),776630.0)</f>
        <v>776630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IFERROR(__xludf.DUMMYFUNCTION("""COMPUTED_VALUE"""),25.51)</f>
        <v>25.51</v>
      </c>
      <c r="C1274" s="1">
        <f>IFERROR(__xludf.DUMMYFUNCTION("""COMPUTED_VALUE"""),25.7)</f>
        <v>25.7</v>
      </c>
      <c r="D1274" s="1">
        <f>IFERROR(__xludf.DUMMYFUNCTION("""COMPUTED_VALUE"""),25.26)</f>
        <v>25.26</v>
      </c>
      <c r="E1274" s="1">
        <f>IFERROR(__xludf.DUMMYFUNCTION("""COMPUTED_VALUE"""),25.29)</f>
        <v>25.29</v>
      </c>
      <c r="F1274" s="1">
        <f>IFERROR(__xludf.DUMMYFUNCTION("""COMPUTED_VALUE"""),203284.0)</f>
        <v>203284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IFERROR(__xludf.DUMMYFUNCTION("""COMPUTED_VALUE"""),25.3)</f>
        <v>25.3</v>
      </c>
      <c r="C1275" s="1">
        <f>IFERROR(__xludf.DUMMYFUNCTION("""COMPUTED_VALUE"""),25.57)</f>
        <v>25.57</v>
      </c>
      <c r="D1275" s="1">
        <f>IFERROR(__xludf.DUMMYFUNCTION("""COMPUTED_VALUE"""),25.2)</f>
        <v>25.2</v>
      </c>
      <c r="E1275" s="1">
        <f>IFERROR(__xludf.DUMMYFUNCTION("""COMPUTED_VALUE"""),25.23)</f>
        <v>25.23</v>
      </c>
      <c r="F1275" s="1">
        <f>IFERROR(__xludf.DUMMYFUNCTION("""COMPUTED_VALUE"""),274442.0)</f>
        <v>274442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IFERROR(__xludf.DUMMYFUNCTION("""COMPUTED_VALUE"""),25.05)</f>
        <v>25.05</v>
      </c>
      <c r="C1276" s="1">
        <f>IFERROR(__xludf.DUMMYFUNCTION("""COMPUTED_VALUE"""),25.41)</f>
        <v>25.41</v>
      </c>
      <c r="D1276" s="1">
        <f>IFERROR(__xludf.DUMMYFUNCTION("""COMPUTED_VALUE"""),24.89)</f>
        <v>24.89</v>
      </c>
      <c r="E1276" s="1">
        <f>IFERROR(__xludf.DUMMYFUNCTION("""COMPUTED_VALUE"""),25.29)</f>
        <v>25.29</v>
      </c>
      <c r="F1276" s="1">
        <f>IFERROR(__xludf.DUMMYFUNCTION("""COMPUTED_VALUE"""),827898.0)</f>
        <v>827898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IFERROR(__xludf.DUMMYFUNCTION("""COMPUTED_VALUE"""),25.38)</f>
        <v>25.38</v>
      </c>
      <c r="C1277" s="1">
        <f>IFERROR(__xludf.DUMMYFUNCTION("""COMPUTED_VALUE"""),25.39)</f>
        <v>25.39</v>
      </c>
      <c r="D1277" s="1">
        <f>IFERROR(__xludf.DUMMYFUNCTION("""COMPUTED_VALUE"""),24.94)</f>
        <v>24.94</v>
      </c>
      <c r="E1277" s="1">
        <f>IFERROR(__xludf.DUMMYFUNCTION("""COMPUTED_VALUE"""),24.95)</f>
        <v>24.95</v>
      </c>
      <c r="F1277" s="1">
        <f>IFERROR(__xludf.DUMMYFUNCTION("""COMPUTED_VALUE"""),667735.0)</f>
        <v>667735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IFERROR(__xludf.DUMMYFUNCTION("""COMPUTED_VALUE"""),24.94)</f>
        <v>24.94</v>
      </c>
      <c r="C1278" s="1">
        <f>IFERROR(__xludf.DUMMYFUNCTION("""COMPUTED_VALUE"""),25.01)</f>
        <v>25.01</v>
      </c>
      <c r="D1278" s="1">
        <f>IFERROR(__xludf.DUMMYFUNCTION("""COMPUTED_VALUE"""),24.67)</f>
        <v>24.67</v>
      </c>
      <c r="E1278" s="1">
        <f>IFERROR(__xludf.DUMMYFUNCTION("""COMPUTED_VALUE"""),25.01)</f>
        <v>25.01</v>
      </c>
      <c r="F1278" s="1">
        <f>IFERROR(__xludf.DUMMYFUNCTION("""COMPUTED_VALUE"""),372507.0)</f>
        <v>372507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IFERROR(__xludf.DUMMYFUNCTION("""COMPUTED_VALUE"""),24.77)</f>
        <v>24.77</v>
      </c>
      <c r="C1279" s="1">
        <f>IFERROR(__xludf.DUMMYFUNCTION("""COMPUTED_VALUE"""),25.06)</f>
        <v>25.06</v>
      </c>
      <c r="D1279" s="1">
        <f>IFERROR(__xludf.DUMMYFUNCTION("""COMPUTED_VALUE"""),24.58)</f>
        <v>24.58</v>
      </c>
      <c r="E1279" s="1">
        <f>IFERROR(__xludf.DUMMYFUNCTION("""COMPUTED_VALUE"""),25.0)</f>
        <v>25</v>
      </c>
      <c r="F1279" s="1">
        <f>IFERROR(__xludf.DUMMYFUNCTION("""COMPUTED_VALUE"""),601715.0)</f>
        <v>601715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IFERROR(__xludf.DUMMYFUNCTION("""COMPUTED_VALUE"""),25.02)</f>
        <v>25.02</v>
      </c>
      <c r="C1280" s="1">
        <f>IFERROR(__xludf.DUMMYFUNCTION("""COMPUTED_VALUE"""),25.39)</f>
        <v>25.39</v>
      </c>
      <c r="D1280" s="1">
        <f>IFERROR(__xludf.DUMMYFUNCTION("""COMPUTED_VALUE"""),24.94)</f>
        <v>24.94</v>
      </c>
      <c r="E1280" s="1">
        <f>IFERROR(__xludf.DUMMYFUNCTION("""COMPUTED_VALUE"""),25.28)</f>
        <v>25.28</v>
      </c>
      <c r="F1280" s="1">
        <f>IFERROR(__xludf.DUMMYFUNCTION("""COMPUTED_VALUE"""),408216.0)</f>
        <v>408216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IFERROR(__xludf.DUMMYFUNCTION("""COMPUTED_VALUE"""),25.39)</f>
        <v>25.39</v>
      </c>
      <c r="C1281" s="1">
        <f>IFERROR(__xludf.DUMMYFUNCTION("""COMPUTED_VALUE"""),26.01)</f>
        <v>26.01</v>
      </c>
      <c r="D1281" s="1">
        <f>IFERROR(__xludf.DUMMYFUNCTION("""COMPUTED_VALUE"""),25.39)</f>
        <v>25.39</v>
      </c>
      <c r="E1281" s="1">
        <f>IFERROR(__xludf.DUMMYFUNCTION("""COMPUTED_VALUE"""),25.99)</f>
        <v>25.99</v>
      </c>
      <c r="F1281" s="1">
        <f>IFERROR(__xludf.DUMMYFUNCTION("""COMPUTED_VALUE"""),486145.0)</f>
        <v>486145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IFERROR(__xludf.DUMMYFUNCTION("""COMPUTED_VALUE"""),25.89)</f>
        <v>25.89</v>
      </c>
      <c r="C1282" s="1">
        <f>IFERROR(__xludf.DUMMYFUNCTION("""COMPUTED_VALUE"""),26.11)</f>
        <v>26.11</v>
      </c>
      <c r="D1282" s="1">
        <f>IFERROR(__xludf.DUMMYFUNCTION("""COMPUTED_VALUE"""),25.47)</f>
        <v>25.47</v>
      </c>
      <c r="E1282" s="1">
        <f>IFERROR(__xludf.DUMMYFUNCTION("""COMPUTED_VALUE"""),25.69)</f>
        <v>25.69</v>
      </c>
      <c r="F1282" s="1">
        <f>IFERROR(__xludf.DUMMYFUNCTION("""COMPUTED_VALUE"""),338811.0)</f>
        <v>338811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IFERROR(__xludf.DUMMYFUNCTION("""COMPUTED_VALUE"""),25.77)</f>
        <v>25.77</v>
      </c>
      <c r="C1283" s="1">
        <f>IFERROR(__xludf.DUMMYFUNCTION("""COMPUTED_VALUE"""),26.36)</f>
        <v>26.36</v>
      </c>
      <c r="D1283" s="1">
        <f>IFERROR(__xludf.DUMMYFUNCTION("""COMPUTED_VALUE"""),25.73)</f>
        <v>25.73</v>
      </c>
      <c r="E1283" s="1">
        <f>IFERROR(__xludf.DUMMYFUNCTION("""COMPUTED_VALUE"""),26.15)</f>
        <v>26.15</v>
      </c>
      <c r="F1283" s="1">
        <f>IFERROR(__xludf.DUMMYFUNCTION("""COMPUTED_VALUE"""),374734.0)</f>
        <v>374734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IFERROR(__xludf.DUMMYFUNCTION("""COMPUTED_VALUE"""),26.15)</f>
        <v>26.15</v>
      </c>
      <c r="C1284" s="1">
        <f>IFERROR(__xludf.DUMMYFUNCTION("""COMPUTED_VALUE"""),26.19)</f>
        <v>26.19</v>
      </c>
      <c r="D1284" s="1">
        <f>IFERROR(__xludf.DUMMYFUNCTION("""COMPUTED_VALUE"""),25.75)</f>
        <v>25.75</v>
      </c>
      <c r="E1284" s="1">
        <f>IFERROR(__xludf.DUMMYFUNCTION("""COMPUTED_VALUE"""),25.8)</f>
        <v>25.8</v>
      </c>
      <c r="F1284" s="1">
        <f>IFERROR(__xludf.DUMMYFUNCTION("""COMPUTED_VALUE"""),320829.0)</f>
        <v>320829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IFERROR(__xludf.DUMMYFUNCTION("""COMPUTED_VALUE"""),25.76)</f>
        <v>25.76</v>
      </c>
      <c r="C1285" s="1">
        <f>IFERROR(__xludf.DUMMYFUNCTION("""COMPUTED_VALUE"""),26.05)</f>
        <v>26.05</v>
      </c>
      <c r="D1285" s="1">
        <f>IFERROR(__xludf.DUMMYFUNCTION("""COMPUTED_VALUE"""),25.74)</f>
        <v>25.74</v>
      </c>
      <c r="E1285" s="1">
        <f>IFERROR(__xludf.DUMMYFUNCTION("""COMPUTED_VALUE"""),25.84)</f>
        <v>25.84</v>
      </c>
      <c r="F1285" s="1">
        <f>IFERROR(__xludf.DUMMYFUNCTION("""COMPUTED_VALUE"""),470361.0)</f>
        <v>470361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IFERROR(__xludf.DUMMYFUNCTION("""COMPUTED_VALUE"""),25.9)</f>
        <v>25.9</v>
      </c>
      <c r="C1286" s="1">
        <f>IFERROR(__xludf.DUMMYFUNCTION("""COMPUTED_VALUE"""),26.16)</f>
        <v>26.16</v>
      </c>
      <c r="D1286" s="1">
        <f>IFERROR(__xludf.DUMMYFUNCTION("""COMPUTED_VALUE"""),25.53)</f>
        <v>25.53</v>
      </c>
      <c r="E1286" s="1">
        <f>IFERROR(__xludf.DUMMYFUNCTION("""COMPUTED_VALUE"""),26.02)</f>
        <v>26.02</v>
      </c>
      <c r="F1286" s="1">
        <f>IFERROR(__xludf.DUMMYFUNCTION("""COMPUTED_VALUE"""),680179.0)</f>
        <v>680179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IFERROR(__xludf.DUMMYFUNCTION("""COMPUTED_VALUE"""),25.84)</f>
        <v>25.84</v>
      </c>
      <c r="C1287" s="1">
        <f>IFERROR(__xludf.DUMMYFUNCTION("""COMPUTED_VALUE"""),25.9)</f>
        <v>25.9</v>
      </c>
      <c r="D1287" s="1">
        <f>IFERROR(__xludf.DUMMYFUNCTION("""COMPUTED_VALUE"""),25.53)</f>
        <v>25.53</v>
      </c>
      <c r="E1287" s="1">
        <f>IFERROR(__xludf.DUMMYFUNCTION("""COMPUTED_VALUE"""),25.71)</f>
        <v>25.71</v>
      </c>
      <c r="F1287" s="1">
        <f>IFERROR(__xludf.DUMMYFUNCTION("""COMPUTED_VALUE"""),333172.0)</f>
        <v>333172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IFERROR(__xludf.DUMMYFUNCTION("""COMPUTED_VALUE"""),26.22)</f>
        <v>26.22</v>
      </c>
      <c r="C1288" s="1">
        <f>IFERROR(__xludf.DUMMYFUNCTION("""COMPUTED_VALUE"""),26.81)</f>
        <v>26.81</v>
      </c>
      <c r="D1288" s="1">
        <f>IFERROR(__xludf.DUMMYFUNCTION("""COMPUTED_VALUE"""),26.11)</f>
        <v>26.11</v>
      </c>
      <c r="E1288" s="1">
        <f>IFERROR(__xludf.DUMMYFUNCTION("""COMPUTED_VALUE"""),26.55)</f>
        <v>26.55</v>
      </c>
      <c r="F1288" s="1">
        <f>IFERROR(__xludf.DUMMYFUNCTION("""COMPUTED_VALUE"""),732163.0)</f>
        <v>732163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IFERROR(__xludf.DUMMYFUNCTION("""COMPUTED_VALUE"""),26.6)</f>
        <v>26.6</v>
      </c>
      <c r="C1289" s="1">
        <f>IFERROR(__xludf.DUMMYFUNCTION("""COMPUTED_VALUE"""),26.87)</f>
        <v>26.87</v>
      </c>
      <c r="D1289" s="1">
        <f>IFERROR(__xludf.DUMMYFUNCTION("""COMPUTED_VALUE"""),26.48)</f>
        <v>26.48</v>
      </c>
      <c r="E1289" s="1">
        <f>IFERROR(__xludf.DUMMYFUNCTION("""COMPUTED_VALUE"""),26.71)</f>
        <v>26.71</v>
      </c>
      <c r="F1289" s="1">
        <f>IFERROR(__xludf.DUMMYFUNCTION("""COMPUTED_VALUE"""),282628.0)</f>
        <v>282628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IFERROR(__xludf.DUMMYFUNCTION("""COMPUTED_VALUE"""),26.88)</f>
        <v>26.88</v>
      </c>
      <c r="C1290" s="1">
        <f>IFERROR(__xludf.DUMMYFUNCTION("""COMPUTED_VALUE"""),27.08)</f>
        <v>27.08</v>
      </c>
      <c r="D1290" s="1">
        <f>IFERROR(__xludf.DUMMYFUNCTION("""COMPUTED_VALUE"""),26.71)</f>
        <v>26.71</v>
      </c>
      <c r="E1290" s="1">
        <f>IFERROR(__xludf.DUMMYFUNCTION("""COMPUTED_VALUE"""),26.74)</f>
        <v>26.74</v>
      </c>
      <c r="F1290" s="1">
        <f>IFERROR(__xludf.DUMMYFUNCTION("""COMPUTED_VALUE"""),327614.0)</f>
        <v>327614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IFERROR(__xludf.DUMMYFUNCTION("""COMPUTED_VALUE"""),26.53)</f>
        <v>26.53</v>
      </c>
      <c r="C1291" s="1">
        <f>IFERROR(__xludf.DUMMYFUNCTION("""COMPUTED_VALUE"""),27.03)</f>
        <v>27.03</v>
      </c>
      <c r="D1291" s="1">
        <f>IFERROR(__xludf.DUMMYFUNCTION("""COMPUTED_VALUE"""),26.5)</f>
        <v>26.5</v>
      </c>
      <c r="E1291" s="1">
        <f>IFERROR(__xludf.DUMMYFUNCTION("""COMPUTED_VALUE"""),26.93)</f>
        <v>26.93</v>
      </c>
      <c r="F1291" s="1">
        <f>IFERROR(__xludf.DUMMYFUNCTION("""COMPUTED_VALUE"""),291711.0)</f>
        <v>291711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IFERROR(__xludf.DUMMYFUNCTION("""COMPUTED_VALUE"""),26.66)</f>
        <v>26.66</v>
      </c>
      <c r="C1292" s="1">
        <f>IFERROR(__xludf.DUMMYFUNCTION("""COMPUTED_VALUE"""),26.85)</f>
        <v>26.85</v>
      </c>
      <c r="D1292" s="1">
        <f>IFERROR(__xludf.DUMMYFUNCTION("""COMPUTED_VALUE"""),26.51)</f>
        <v>26.51</v>
      </c>
      <c r="E1292" s="1">
        <f>IFERROR(__xludf.DUMMYFUNCTION("""COMPUTED_VALUE"""),26.55)</f>
        <v>26.55</v>
      </c>
      <c r="F1292" s="1">
        <f>IFERROR(__xludf.DUMMYFUNCTION("""COMPUTED_VALUE"""),293606.0)</f>
        <v>293606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IFERROR(__xludf.DUMMYFUNCTION("""COMPUTED_VALUE"""),26.53)</f>
        <v>26.53</v>
      </c>
      <c r="C1293" s="1">
        <f>IFERROR(__xludf.DUMMYFUNCTION("""COMPUTED_VALUE"""),26.73)</f>
        <v>26.73</v>
      </c>
      <c r="D1293" s="1">
        <f>IFERROR(__xludf.DUMMYFUNCTION("""COMPUTED_VALUE"""),26.36)</f>
        <v>26.36</v>
      </c>
      <c r="E1293" s="1">
        <f>IFERROR(__xludf.DUMMYFUNCTION("""COMPUTED_VALUE"""),26.57)</f>
        <v>26.57</v>
      </c>
      <c r="F1293" s="1">
        <f>IFERROR(__xludf.DUMMYFUNCTION("""COMPUTED_VALUE"""),362819.0)</f>
        <v>362819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IFERROR(__xludf.DUMMYFUNCTION("""COMPUTED_VALUE"""),26.1)</f>
        <v>26.1</v>
      </c>
      <c r="C1294" s="1">
        <f>IFERROR(__xludf.DUMMYFUNCTION("""COMPUTED_VALUE"""),26.52)</f>
        <v>26.52</v>
      </c>
      <c r="D1294" s="1">
        <f>IFERROR(__xludf.DUMMYFUNCTION("""COMPUTED_VALUE"""),26.02)</f>
        <v>26.02</v>
      </c>
      <c r="E1294" s="1">
        <f>IFERROR(__xludf.DUMMYFUNCTION("""COMPUTED_VALUE"""),26.18)</f>
        <v>26.18</v>
      </c>
      <c r="F1294" s="1">
        <f>IFERROR(__xludf.DUMMYFUNCTION("""COMPUTED_VALUE"""),985065.0)</f>
        <v>985065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IFERROR(__xludf.DUMMYFUNCTION("""COMPUTED_VALUE"""),26.15)</f>
        <v>26.15</v>
      </c>
      <c r="C1295" s="1">
        <f>IFERROR(__xludf.DUMMYFUNCTION("""COMPUTED_VALUE"""),26.17)</f>
        <v>26.17</v>
      </c>
      <c r="D1295" s="1">
        <f>IFERROR(__xludf.DUMMYFUNCTION("""COMPUTED_VALUE"""),25.74)</f>
        <v>25.74</v>
      </c>
      <c r="E1295" s="1">
        <f>IFERROR(__xludf.DUMMYFUNCTION("""COMPUTED_VALUE"""),26.03)</f>
        <v>26.03</v>
      </c>
      <c r="F1295" s="1">
        <f>IFERROR(__xludf.DUMMYFUNCTION("""COMPUTED_VALUE"""),693444.0)</f>
        <v>693444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IFERROR(__xludf.DUMMYFUNCTION("""COMPUTED_VALUE"""),26.05)</f>
        <v>26.05</v>
      </c>
      <c r="C1296" s="1">
        <f>IFERROR(__xludf.DUMMYFUNCTION("""COMPUTED_VALUE"""),26.2)</f>
        <v>26.2</v>
      </c>
      <c r="D1296" s="1">
        <f>IFERROR(__xludf.DUMMYFUNCTION("""COMPUTED_VALUE"""),25.9)</f>
        <v>25.9</v>
      </c>
      <c r="E1296" s="1">
        <f>IFERROR(__xludf.DUMMYFUNCTION("""COMPUTED_VALUE"""),26.0)</f>
        <v>26</v>
      </c>
      <c r="F1296" s="1">
        <f>IFERROR(__xludf.DUMMYFUNCTION("""COMPUTED_VALUE"""),482602.0)</f>
        <v>482602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IFERROR(__xludf.DUMMYFUNCTION("""COMPUTED_VALUE"""),25.97)</f>
        <v>25.97</v>
      </c>
      <c r="C1297" s="1">
        <f>IFERROR(__xludf.DUMMYFUNCTION("""COMPUTED_VALUE"""),26.17)</f>
        <v>26.17</v>
      </c>
      <c r="D1297" s="1">
        <f>IFERROR(__xludf.DUMMYFUNCTION("""COMPUTED_VALUE"""),25.72)</f>
        <v>25.72</v>
      </c>
      <c r="E1297" s="1">
        <f>IFERROR(__xludf.DUMMYFUNCTION("""COMPUTED_VALUE"""),25.96)</f>
        <v>25.96</v>
      </c>
      <c r="F1297" s="1">
        <f>IFERROR(__xludf.DUMMYFUNCTION("""COMPUTED_VALUE"""),960680.0)</f>
        <v>960680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IFERROR(__xludf.DUMMYFUNCTION("""COMPUTED_VALUE"""),26.0)</f>
        <v>26</v>
      </c>
      <c r="C1298" s="1">
        <f>IFERROR(__xludf.DUMMYFUNCTION("""COMPUTED_VALUE"""),26.0)</f>
        <v>26</v>
      </c>
      <c r="D1298" s="1">
        <f>IFERROR(__xludf.DUMMYFUNCTION("""COMPUTED_VALUE"""),24.56)</f>
        <v>24.56</v>
      </c>
      <c r="E1298" s="1">
        <f>IFERROR(__xludf.DUMMYFUNCTION("""COMPUTED_VALUE"""),25.18)</f>
        <v>25.18</v>
      </c>
      <c r="F1298" s="1">
        <f>IFERROR(__xludf.DUMMYFUNCTION("""COMPUTED_VALUE"""),1062427.0)</f>
        <v>1062427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IFERROR(__xludf.DUMMYFUNCTION("""COMPUTED_VALUE"""),25.29)</f>
        <v>25.29</v>
      </c>
      <c r="C1299" s="1">
        <f>IFERROR(__xludf.DUMMYFUNCTION("""COMPUTED_VALUE"""),25.43)</f>
        <v>25.43</v>
      </c>
      <c r="D1299" s="1">
        <f>IFERROR(__xludf.DUMMYFUNCTION("""COMPUTED_VALUE"""),24.5)</f>
        <v>24.5</v>
      </c>
      <c r="E1299" s="1">
        <f>IFERROR(__xludf.DUMMYFUNCTION("""COMPUTED_VALUE"""),24.59)</f>
        <v>24.59</v>
      </c>
      <c r="F1299" s="1">
        <f>IFERROR(__xludf.DUMMYFUNCTION("""COMPUTED_VALUE"""),762303.0)</f>
        <v>762303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IFERROR(__xludf.DUMMYFUNCTION("""COMPUTED_VALUE"""),24.65)</f>
        <v>24.65</v>
      </c>
      <c r="C1300" s="1">
        <f>IFERROR(__xludf.DUMMYFUNCTION("""COMPUTED_VALUE"""),24.88)</f>
        <v>24.88</v>
      </c>
      <c r="D1300" s="1">
        <f>IFERROR(__xludf.DUMMYFUNCTION("""COMPUTED_VALUE"""),24.37)</f>
        <v>24.37</v>
      </c>
      <c r="E1300" s="1">
        <f>IFERROR(__xludf.DUMMYFUNCTION("""COMPUTED_VALUE"""),24.85)</f>
        <v>24.85</v>
      </c>
      <c r="F1300" s="1">
        <f>IFERROR(__xludf.DUMMYFUNCTION("""COMPUTED_VALUE"""),938478.0)</f>
        <v>938478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IFERROR(__xludf.DUMMYFUNCTION("""COMPUTED_VALUE"""),24.82)</f>
        <v>24.82</v>
      </c>
      <c r="C1301" s="1">
        <f>IFERROR(__xludf.DUMMYFUNCTION("""COMPUTED_VALUE"""),25.29)</f>
        <v>25.29</v>
      </c>
      <c r="D1301" s="1">
        <f>IFERROR(__xludf.DUMMYFUNCTION("""COMPUTED_VALUE"""),24.73)</f>
        <v>24.73</v>
      </c>
      <c r="E1301" s="1">
        <f>IFERROR(__xludf.DUMMYFUNCTION("""COMPUTED_VALUE"""),25.24)</f>
        <v>25.24</v>
      </c>
      <c r="F1301" s="1">
        <f>IFERROR(__xludf.DUMMYFUNCTION("""COMPUTED_VALUE"""),720553.0)</f>
        <v>720553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IFERROR(__xludf.DUMMYFUNCTION("""COMPUTED_VALUE"""),25.14)</f>
        <v>25.14</v>
      </c>
      <c r="C1302" s="1">
        <f>IFERROR(__xludf.DUMMYFUNCTION("""COMPUTED_VALUE"""),25.53)</f>
        <v>25.53</v>
      </c>
      <c r="D1302" s="1">
        <f>IFERROR(__xludf.DUMMYFUNCTION("""COMPUTED_VALUE"""),25.11)</f>
        <v>25.11</v>
      </c>
      <c r="E1302" s="1">
        <f>IFERROR(__xludf.DUMMYFUNCTION("""COMPUTED_VALUE"""),25.25)</f>
        <v>25.25</v>
      </c>
      <c r="F1302" s="1">
        <f>IFERROR(__xludf.DUMMYFUNCTION("""COMPUTED_VALUE"""),918481.0)</f>
        <v>918481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IFERROR(__xludf.DUMMYFUNCTION("""COMPUTED_VALUE"""),25.12)</f>
        <v>25.12</v>
      </c>
      <c r="C1303" s="1">
        <f>IFERROR(__xludf.DUMMYFUNCTION("""COMPUTED_VALUE"""),25.43)</f>
        <v>25.43</v>
      </c>
      <c r="D1303" s="1">
        <f>IFERROR(__xludf.DUMMYFUNCTION("""COMPUTED_VALUE"""),25.01)</f>
        <v>25.01</v>
      </c>
      <c r="E1303" s="1">
        <f>IFERROR(__xludf.DUMMYFUNCTION("""COMPUTED_VALUE"""),25.24)</f>
        <v>25.24</v>
      </c>
      <c r="F1303" s="1">
        <f>IFERROR(__xludf.DUMMYFUNCTION("""COMPUTED_VALUE"""),1433837.0)</f>
        <v>1433837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IFERROR(__xludf.DUMMYFUNCTION("""COMPUTED_VALUE"""),25.26)</f>
        <v>25.26</v>
      </c>
      <c r="C1304" s="1">
        <f>IFERROR(__xludf.DUMMYFUNCTION("""COMPUTED_VALUE"""),25.54)</f>
        <v>25.54</v>
      </c>
      <c r="D1304" s="1">
        <f>IFERROR(__xludf.DUMMYFUNCTION("""COMPUTED_VALUE"""),25.1)</f>
        <v>25.1</v>
      </c>
      <c r="E1304" s="1">
        <f>IFERROR(__xludf.DUMMYFUNCTION("""COMPUTED_VALUE"""),25.37)</f>
        <v>25.37</v>
      </c>
      <c r="F1304" s="1">
        <f>IFERROR(__xludf.DUMMYFUNCTION("""COMPUTED_VALUE"""),941311.0)</f>
        <v>941311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IFERROR(__xludf.DUMMYFUNCTION("""COMPUTED_VALUE"""),25.16)</f>
        <v>25.16</v>
      </c>
      <c r="C1305" s="1">
        <f>IFERROR(__xludf.DUMMYFUNCTION("""COMPUTED_VALUE"""),25.3)</f>
        <v>25.3</v>
      </c>
      <c r="D1305" s="1">
        <f>IFERROR(__xludf.DUMMYFUNCTION("""COMPUTED_VALUE"""),24.82)</f>
        <v>24.82</v>
      </c>
      <c r="E1305" s="1">
        <f>IFERROR(__xludf.DUMMYFUNCTION("""COMPUTED_VALUE"""),24.84)</f>
        <v>24.84</v>
      </c>
      <c r="F1305" s="1">
        <f>IFERROR(__xludf.DUMMYFUNCTION("""COMPUTED_VALUE"""),872426.0)</f>
        <v>872426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IFERROR(__xludf.DUMMYFUNCTION("""COMPUTED_VALUE"""),24.74)</f>
        <v>24.74</v>
      </c>
      <c r="C1306" s="1">
        <f>IFERROR(__xludf.DUMMYFUNCTION("""COMPUTED_VALUE"""),24.83)</f>
        <v>24.83</v>
      </c>
      <c r="D1306" s="1">
        <f>IFERROR(__xludf.DUMMYFUNCTION("""COMPUTED_VALUE"""),24.14)</f>
        <v>24.14</v>
      </c>
      <c r="E1306" s="1">
        <f>IFERROR(__xludf.DUMMYFUNCTION("""COMPUTED_VALUE"""),24.51)</f>
        <v>24.51</v>
      </c>
      <c r="F1306" s="1">
        <f>IFERROR(__xludf.DUMMYFUNCTION("""COMPUTED_VALUE"""),960828.0)</f>
        <v>960828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IFERROR(__xludf.DUMMYFUNCTION("""COMPUTED_VALUE"""),24.72)</f>
        <v>24.72</v>
      </c>
      <c r="C1307" s="1">
        <f>IFERROR(__xludf.DUMMYFUNCTION("""COMPUTED_VALUE"""),24.86)</f>
        <v>24.86</v>
      </c>
      <c r="D1307" s="1">
        <f>IFERROR(__xludf.DUMMYFUNCTION("""COMPUTED_VALUE"""),24.18)</f>
        <v>24.18</v>
      </c>
      <c r="E1307" s="1">
        <f>IFERROR(__xludf.DUMMYFUNCTION("""COMPUTED_VALUE"""),24.48)</f>
        <v>24.48</v>
      </c>
      <c r="F1307" s="1">
        <f>IFERROR(__xludf.DUMMYFUNCTION("""COMPUTED_VALUE"""),1332336.0)</f>
        <v>1332336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IFERROR(__xludf.DUMMYFUNCTION("""COMPUTED_VALUE"""),24.39)</f>
        <v>24.39</v>
      </c>
      <c r="C1308" s="1">
        <f>IFERROR(__xludf.DUMMYFUNCTION("""COMPUTED_VALUE"""),24.88)</f>
        <v>24.88</v>
      </c>
      <c r="D1308" s="1">
        <f>IFERROR(__xludf.DUMMYFUNCTION("""COMPUTED_VALUE"""),24.29)</f>
        <v>24.29</v>
      </c>
      <c r="E1308" s="1">
        <f>IFERROR(__xludf.DUMMYFUNCTION("""COMPUTED_VALUE"""),24.83)</f>
        <v>24.83</v>
      </c>
      <c r="F1308" s="1">
        <f>IFERROR(__xludf.DUMMYFUNCTION("""COMPUTED_VALUE"""),1028556.0)</f>
        <v>1028556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IFERROR(__xludf.DUMMYFUNCTION("""COMPUTED_VALUE"""),24.85)</f>
        <v>24.85</v>
      </c>
      <c r="C1309" s="1">
        <f>IFERROR(__xludf.DUMMYFUNCTION("""COMPUTED_VALUE"""),25.14)</f>
        <v>25.14</v>
      </c>
      <c r="D1309" s="1">
        <f>IFERROR(__xludf.DUMMYFUNCTION("""COMPUTED_VALUE"""),24.52)</f>
        <v>24.52</v>
      </c>
      <c r="E1309" s="1">
        <f>IFERROR(__xludf.DUMMYFUNCTION("""COMPUTED_VALUE"""),24.97)</f>
        <v>24.97</v>
      </c>
      <c r="F1309" s="1">
        <f>IFERROR(__xludf.DUMMYFUNCTION("""COMPUTED_VALUE"""),1030893.0)</f>
        <v>1030893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IFERROR(__xludf.DUMMYFUNCTION("""COMPUTED_VALUE"""),24.91)</f>
        <v>24.91</v>
      </c>
      <c r="C1310" s="1">
        <f>IFERROR(__xludf.DUMMYFUNCTION("""COMPUTED_VALUE"""),25.25)</f>
        <v>25.25</v>
      </c>
      <c r="D1310" s="1">
        <f>IFERROR(__xludf.DUMMYFUNCTION("""COMPUTED_VALUE"""),24.91)</f>
        <v>24.91</v>
      </c>
      <c r="E1310" s="1">
        <f>IFERROR(__xludf.DUMMYFUNCTION("""COMPUTED_VALUE"""),24.91)</f>
        <v>24.91</v>
      </c>
      <c r="F1310" s="1">
        <f>IFERROR(__xludf.DUMMYFUNCTION("""COMPUTED_VALUE"""),609814.0)</f>
        <v>609814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IFERROR(__xludf.DUMMYFUNCTION("""COMPUTED_VALUE"""),24.88)</f>
        <v>24.88</v>
      </c>
      <c r="C1311" s="1">
        <f>IFERROR(__xludf.DUMMYFUNCTION("""COMPUTED_VALUE"""),25.38)</f>
        <v>25.38</v>
      </c>
      <c r="D1311" s="1">
        <f>IFERROR(__xludf.DUMMYFUNCTION("""COMPUTED_VALUE"""),24.74)</f>
        <v>24.74</v>
      </c>
      <c r="E1311" s="1">
        <f>IFERROR(__xludf.DUMMYFUNCTION("""COMPUTED_VALUE"""),25.32)</f>
        <v>25.32</v>
      </c>
      <c r="F1311" s="1">
        <f>IFERROR(__xludf.DUMMYFUNCTION("""COMPUTED_VALUE"""),472021.0)</f>
        <v>472021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IFERROR(__xludf.DUMMYFUNCTION("""COMPUTED_VALUE"""),25.13)</f>
        <v>25.13</v>
      </c>
      <c r="C1312" s="1">
        <f>IFERROR(__xludf.DUMMYFUNCTION("""COMPUTED_VALUE"""),25.28)</f>
        <v>25.28</v>
      </c>
      <c r="D1312" s="1">
        <f>IFERROR(__xludf.DUMMYFUNCTION("""COMPUTED_VALUE"""),25.02)</f>
        <v>25.02</v>
      </c>
      <c r="E1312" s="1">
        <f>IFERROR(__xludf.DUMMYFUNCTION("""COMPUTED_VALUE"""),25.04)</f>
        <v>25.04</v>
      </c>
      <c r="F1312" s="1">
        <f>IFERROR(__xludf.DUMMYFUNCTION("""COMPUTED_VALUE"""),520456.0)</f>
        <v>520456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IFERROR(__xludf.DUMMYFUNCTION("""COMPUTED_VALUE"""),25.09)</f>
        <v>25.09</v>
      </c>
      <c r="C1313" s="1">
        <f>IFERROR(__xludf.DUMMYFUNCTION("""COMPUTED_VALUE"""),25.51)</f>
        <v>25.51</v>
      </c>
      <c r="D1313" s="1">
        <f>IFERROR(__xludf.DUMMYFUNCTION("""COMPUTED_VALUE"""),24.94)</f>
        <v>24.94</v>
      </c>
      <c r="E1313" s="1">
        <f>IFERROR(__xludf.DUMMYFUNCTION("""COMPUTED_VALUE"""),25.5)</f>
        <v>25.5</v>
      </c>
      <c r="F1313" s="1">
        <f>IFERROR(__xludf.DUMMYFUNCTION("""COMPUTED_VALUE"""),677793.0)</f>
        <v>677793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IFERROR(__xludf.DUMMYFUNCTION("""COMPUTED_VALUE"""),25.55)</f>
        <v>25.55</v>
      </c>
      <c r="C1314" s="1">
        <f>IFERROR(__xludf.DUMMYFUNCTION("""COMPUTED_VALUE"""),25.71)</f>
        <v>25.71</v>
      </c>
      <c r="D1314" s="1">
        <f>IFERROR(__xludf.DUMMYFUNCTION("""COMPUTED_VALUE"""),25.45)</f>
        <v>25.45</v>
      </c>
      <c r="E1314" s="1">
        <f>IFERROR(__xludf.DUMMYFUNCTION("""COMPUTED_VALUE"""),25.45)</f>
        <v>25.45</v>
      </c>
      <c r="F1314" s="1">
        <f>IFERROR(__xludf.DUMMYFUNCTION("""COMPUTED_VALUE"""),912400.0)</f>
        <v>912400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IFERROR(__xludf.DUMMYFUNCTION("""COMPUTED_VALUE"""),25.45)</f>
        <v>25.45</v>
      </c>
      <c r="C1315" s="1">
        <f>IFERROR(__xludf.DUMMYFUNCTION("""COMPUTED_VALUE"""),25.55)</f>
        <v>25.55</v>
      </c>
      <c r="D1315" s="1">
        <f>IFERROR(__xludf.DUMMYFUNCTION("""COMPUTED_VALUE"""),25.27)</f>
        <v>25.27</v>
      </c>
      <c r="E1315" s="1">
        <f>IFERROR(__xludf.DUMMYFUNCTION("""COMPUTED_VALUE"""),25.31)</f>
        <v>25.31</v>
      </c>
      <c r="F1315" s="1">
        <f>IFERROR(__xludf.DUMMYFUNCTION("""COMPUTED_VALUE"""),272343.0)</f>
        <v>272343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IFERROR(__xludf.DUMMYFUNCTION("""COMPUTED_VALUE"""),25.5)</f>
        <v>25.5</v>
      </c>
      <c r="C1316" s="1">
        <f>IFERROR(__xludf.DUMMYFUNCTION("""COMPUTED_VALUE"""),25.53)</f>
        <v>25.53</v>
      </c>
      <c r="D1316" s="1">
        <f>IFERROR(__xludf.DUMMYFUNCTION("""COMPUTED_VALUE"""),24.96)</f>
        <v>24.96</v>
      </c>
      <c r="E1316" s="1">
        <f>IFERROR(__xludf.DUMMYFUNCTION("""COMPUTED_VALUE"""),24.98)</f>
        <v>24.98</v>
      </c>
      <c r="F1316" s="1">
        <f>IFERROR(__xludf.DUMMYFUNCTION("""COMPUTED_VALUE"""),562095.0)</f>
        <v>562095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IFERROR(__xludf.DUMMYFUNCTION("""COMPUTED_VALUE"""),25.01)</f>
        <v>25.01</v>
      </c>
      <c r="C1317" s="1">
        <f>IFERROR(__xludf.DUMMYFUNCTION("""COMPUTED_VALUE"""),25.11)</f>
        <v>25.11</v>
      </c>
      <c r="D1317" s="1">
        <f>IFERROR(__xludf.DUMMYFUNCTION("""COMPUTED_VALUE"""),24.61)</f>
        <v>24.61</v>
      </c>
      <c r="E1317" s="1">
        <f>IFERROR(__xludf.DUMMYFUNCTION("""COMPUTED_VALUE"""),24.98)</f>
        <v>24.98</v>
      </c>
      <c r="F1317" s="1">
        <f>IFERROR(__xludf.DUMMYFUNCTION("""COMPUTED_VALUE"""),439015.0)</f>
        <v>439015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IFERROR(__xludf.DUMMYFUNCTION("""COMPUTED_VALUE"""),24.95)</f>
        <v>24.95</v>
      </c>
      <c r="C1318" s="1">
        <f>IFERROR(__xludf.DUMMYFUNCTION("""COMPUTED_VALUE"""),25.27)</f>
        <v>25.27</v>
      </c>
      <c r="D1318" s="1">
        <f>IFERROR(__xludf.DUMMYFUNCTION("""COMPUTED_VALUE"""),24.91)</f>
        <v>24.91</v>
      </c>
      <c r="E1318" s="1">
        <f>IFERROR(__xludf.DUMMYFUNCTION("""COMPUTED_VALUE"""),25.13)</f>
        <v>25.13</v>
      </c>
      <c r="F1318" s="1">
        <f>IFERROR(__xludf.DUMMYFUNCTION("""COMPUTED_VALUE"""),428022.0)</f>
        <v>428022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IFERROR(__xludf.DUMMYFUNCTION("""COMPUTED_VALUE"""),25.21)</f>
        <v>25.21</v>
      </c>
      <c r="C1319" s="1">
        <f>IFERROR(__xludf.DUMMYFUNCTION("""COMPUTED_VALUE"""),25.28)</f>
        <v>25.28</v>
      </c>
      <c r="D1319" s="1">
        <f>IFERROR(__xludf.DUMMYFUNCTION("""COMPUTED_VALUE"""),24.95)</f>
        <v>24.95</v>
      </c>
      <c r="E1319" s="1">
        <f>IFERROR(__xludf.DUMMYFUNCTION("""COMPUTED_VALUE"""),25.16)</f>
        <v>25.16</v>
      </c>
      <c r="F1319" s="1">
        <f>IFERROR(__xludf.DUMMYFUNCTION("""COMPUTED_VALUE"""),406354.0)</f>
        <v>406354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IFERROR(__xludf.DUMMYFUNCTION("""COMPUTED_VALUE"""),25.09)</f>
        <v>25.09</v>
      </c>
      <c r="C1320" s="1">
        <f>IFERROR(__xludf.DUMMYFUNCTION("""COMPUTED_VALUE"""),25.29)</f>
        <v>25.29</v>
      </c>
      <c r="D1320" s="1">
        <f>IFERROR(__xludf.DUMMYFUNCTION("""COMPUTED_VALUE"""),24.93)</f>
        <v>24.93</v>
      </c>
      <c r="E1320" s="1">
        <f>IFERROR(__xludf.DUMMYFUNCTION("""COMPUTED_VALUE"""),24.94)</f>
        <v>24.94</v>
      </c>
      <c r="F1320" s="1">
        <f>IFERROR(__xludf.DUMMYFUNCTION("""COMPUTED_VALUE"""),672578.0)</f>
        <v>672578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IFERROR(__xludf.DUMMYFUNCTION("""COMPUTED_VALUE"""),24.95)</f>
        <v>24.95</v>
      </c>
      <c r="C1321" s="1">
        <f>IFERROR(__xludf.DUMMYFUNCTION("""COMPUTED_VALUE"""),25.02)</f>
        <v>25.02</v>
      </c>
      <c r="D1321" s="1">
        <f>IFERROR(__xludf.DUMMYFUNCTION("""COMPUTED_VALUE"""),24.43)</f>
        <v>24.43</v>
      </c>
      <c r="E1321" s="1">
        <f>IFERROR(__xludf.DUMMYFUNCTION("""COMPUTED_VALUE"""),24.84)</f>
        <v>24.84</v>
      </c>
      <c r="F1321" s="1">
        <f>IFERROR(__xludf.DUMMYFUNCTION("""COMPUTED_VALUE"""),721282.0)</f>
        <v>721282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IFERROR(__xludf.DUMMYFUNCTION("""COMPUTED_VALUE"""),24.87)</f>
        <v>24.87</v>
      </c>
      <c r="C1322" s="1">
        <f>IFERROR(__xludf.DUMMYFUNCTION("""COMPUTED_VALUE"""),25.66)</f>
        <v>25.66</v>
      </c>
      <c r="D1322" s="1">
        <f>IFERROR(__xludf.DUMMYFUNCTION("""COMPUTED_VALUE"""),24.87)</f>
        <v>24.87</v>
      </c>
      <c r="E1322" s="1">
        <f>IFERROR(__xludf.DUMMYFUNCTION("""COMPUTED_VALUE"""),25.55)</f>
        <v>25.55</v>
      </c>
      <c r="F1322" s="1">
        <f>IFERROR(__xludf.DUMMYFUNCTION("""COMPUTED_VALUE"""),548814.0)</f>
        <v>548814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IFERROR(__xludf.DUMMYFUNCTION("""COMPUTED_VALUE"""),25.48)</f>
        <v>25.48</v>
      </c>
      <c r="C1323" s="1">
        <f>IFERROR(__xludf.DUMMYFUNCTION("""COMPUTED_VALUE"""),26.05)</f>
        <v>26.05</v>
      </c>
      <c r="D1323" s="1">
        <f>IFERROR(__xludf.DUMMYFUNCTION("""COMPUTED_VALUE"""),25.48)</f>
        <v>25.48</v>
      </c>
      <c r="E1323" s="1">
        <f>IFERROR(__xludf.DUMMYFUNCTION("""COMPUTED_VALUE"""),26.01)</f>
        <v>26.01</v>
      </c>
      <c r="F1323" s="1">
        <f>IFERROR(__xludf.DUMMYFUNCTION("""COMPUTED_VALUE"""),634828.0)</f>
        <v>634828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IFERROR(__xludf.DUMMYFUNCTION("""COMPUTED_VALUE"""),26.01)</f>
        <v>26.01</v>
      </c>
      <c r="C1324" s="1">
        <f>IFERROR(__xludf.DUMMYFUNCTION("""COMPUTED_VALUE"""),26.1)</f>
        <v>26.1</v>
      </c>
      <c r="D1324" s="1">
        <f>IFERROR(__xludf.DUMMYFUNCTION("""COMPUTED_VALUE"""),25.67)</f>
        <v>25.67</v>
      </c>
      <c r="E1324" s="1">
        <f>IFERROR(__xludf.DUMMYFUNCTION("""COMPUTED_VALUE"""),25.68)</f>
        <v>25.68</v>
      </c>
      <c r="F1324" s="1">
        <f>IFERROR(__xludf.DUMMYFUNCTION("""COMPUTED_VALUE"""),363510.0)</f>
        <v>363510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IFERROR(__xludf.DUMMYFUNCTION("""COMPUTED_VALUE"""),25.81)</f>
        <v>25.81</v>
      </c>
      <c r="C1325" s="1">
        <f>IFERROR(__xludf.DUMMYFUNCTION("""COMPUTED_VALUE"""),26.01)</f>
        <v>26.01</v>
      </c>
      <c r="D1325" s="1">
        <f>IFERROR(__xludf.DUMMYFUNCTION("""COMPUTED_VALUE"""),25.28)</f>
        <v>25.28</v>
      </c>
      <c r="E1325" s="1">
        <f>IFERROR(__xludf.DUMMYFUNCTION("""COMPUTED_VALUE"""),25.55)</f>
        <v>25.55</v>
      </c>
      <c r="F1325" s="1">
        <f>IFERROR(__xludf.DUMMYFUNCTION("""COMPUTED_VALUE"""),595142.0)</f>
        <v>595142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IFERROR(__xludf.DUMMYFUNCTION("""COMPUTED_VALUE"""),25.25)</f>
        <v>25.25</v>
      </c>
      <c r="C1326" s="1">
        <f>IFERROR(__xludf.DUMMYFUNCTION("""COMPUTED_VALUE"""),25.95)</f>
        <v>25.95</v>
      </c>
      <c r="D1326" s="1">
        <f>IFERROR(__xludf.DUMMYFUNCTION("""COMPUTED_VALUE"""),25.25)</f>
        <v>25.25</v>
      </c>
      <c r="E1326" s="1">
        <f>IFERROR(__xludf.DUMMYFUNCTION("""COMPUTED_VALUE"""),25.83)</f>
        <v>25.83</v>
      </c>
      <c r="F1326" s="1">
        <f>IFERROR(__xludf.DUMMYFUNCTION("""COMPUTED_VALUE"""),878667.0)</f>
        <v>878667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IFERROR(__xludf.DUMMYFUNCTION("""COMPUTED_VALUE"""),25.95)</f>
        <v>25.95</v>
      </c>
      <c r="C1327" s="1">
        <f>IFERROR(__xludf.DUMMYFUNCTION("""COMPUTED_VALUE"""),26.33)</f>
        <v>26.33</v>
      </c>
      <c r="D1327" s="1">
        <f>IFERROR(__xludf.DUMMYFUNCTION("""COMPUTED_VALUE"""),25.88)</f>
        <v>25.88</v>
      </c>
      <c r="E1327" s="1">
        <f>IFERROR(__xludf.DUMMYFUNCTION("""COMPUTED_VALUE"""),26.23)</f>
        <v>26.23</v>
      </c>
      <c r="F1327" s="1">
        <f>IFERROR(__xludf.DUMMYFUNCTION("""COMPUTED_VALUE"""),718895.0)</f>
        <v>718895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IFERROR(__xludf.DUMMYFUNCTION("""COMPUTED_VALUE"""),26.2)</f>
        <v>26.2</v>
      </c>
      <c r="C1328" s="1">
        <f>IFERROR(__xludf.DUMMYFUNCTION("""COMPUTED_VALUE"""),26.46)</f>
        <v>26.46</v>
      </c>
      <c r="D1328" s="1">
        <f>IFERROR(__xludf.DUMMYFUNCTION("""COMPUTED_VALUE"""),26.16)</f>
        <v>26.16</v>
      </c>
      <c r="E1328" s="1">
        <f>IFERROR(__xludf.DUMMYFUNCTION("""COMPUTED_VALUE"""),26.22)</f>
        <v>26.22</v>
      </c>
      <c r="F1328" s="1">
        <f>IFERROR(__xludf.DUMMYFUNCTION("""COMPUTED_VALUE"""),741551.0)</f>
        <v>741551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IFERROR(__xludf.DUMMYFUNCTION("""COMPUTED_VALUE"""),26.37)</f>
        <v>26.37</v>
      </c>
      <c r="C1329" s="1">
        <f>IFERROR(__xludf.DUMMYFUNCTION("""COMPUTED_VALUE"""),26.4)</f>
        <v>26.4</v>
      </c>
      <c r="D1329" s="1">
        <f>IFERROR(__xludf.DUMMYFUNCTION("""COMPUTED_VALUE"""),25.92)</f>
        <v>25.92</v>
      </c>
      <c r="E1329" s="1">
        <f>IFERROR(__xludf.DUMMYFUNCTION("""COMPUTED_VALUE"""),26.08)</f>
        <v>26.08</v>
      </c>
      <c r="F1329" s="1">
        <f>IFERROR(__xludf.DUMMYFUNCTION("""COMPUTED_VALUE"""),493195.0)</f>
        <v>493195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IFERROR(__xludf.DUMMYFUNCTION("""COMPUTED_VALUE"""),26.09)</f>
        <v>26.09</v>
      </c>
      <c r="C1330" s="1">
        <f>IFERROR(__xludf.DUMMYFUNCTION("""COMPUTED_VALUE"""),26.4)</f>
        <v>26.4</v>
      </c>
      <c r="D1330" s="1">
        <f>IFERROR(__xludf.DUMMYFUNCTION("""COMPUTED_VALUE"""),26.06)</f>
        <v>26.06</v>
      </c>
      <c r="E1330" s="1">
        <f>IFERROR(__xludf.DUMMYFUNCTION("""COMPUTED_VALUE"""),26.35)</f>
        <v>26.35</v>
      </c>
      <c r="F1330" s="1">
        <f>IFERROR(__xludf.DUMMYFUNCTION("""COMPUTED_VALUE"""),594827.0)</f>
        <v>594827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IFERROR(__xludf.DUMMYFUNCTION("""COMPUTED_VALUE"""),26.3)</f>
        <v>26.3</v>
      </c>
      <c r="C1331" s="1">
        <f>IFERROR(__xludf.DUMMYFUNCTION("""COMPUTED_VALUE"""),26.37)</f>
        <v>26.37</v>
      </c>
      <c r="D1331" s="1">
        <f>IFERROR(__xludf.DUMMYFUNCTION("""COMPUTED_VALUE"""),25.12)</f>
        <v>25.12</v>
      </c>
      <c r="E1331" s="1">
        <f>IFERROR(__xludf.DUMMYFUNCTION("""COMPUTED_VALUE"""),25.48)</f>
        <v>25.48</v>
      </c>
      <c r="F1331" s="1">
        <f>IFERROR(__xludf.DUMMYFUNCTION("""COMPUTED_VALUE"""),1089252.0)</f>
        <v>1089252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IFERROR(__xludf.DUMMYFUNCTION("""COMPUTED_VALUE"""),25.42)</f>
        <v>25.42</v>
      </c>
      <c r="C1332" s="1">
        <f>IFERROR(__xludf.DUMMYFUNCTION("""COMPUTED_VALUE"""),25.43)</f>
        <v>25.43</v>
      </c>
      <c r="D1332" s="1">
        <f>IFERROR(__xludf.DUMMYFUNCTION("""COMPUTED_VALUE"""),24.93)</f>
        <v>24.93</v>
      </c>
      <c r="E1332" s="1">
        <f>IFERROR(__xludf.DUMMYFUNCTION("""COMPUTED_VALUE"""),25.04)</f>
        <v>25.04</v>
      </c>
      <c r="F1332" s="1">
        <f>IFERROR(__xludf.DUMMYFUNCTION("""COMPUTED_VALUE"""),397559.0)</f>
        <v>397559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IFERROR(__xludf.DUMMYFUNCTION("""COMPUTED_VALUE"""),25.12)</f>
        <v>25.12</v>
      </c>
      <c r="C1333" s="1">
        <f>IFERROR(__xludf.DUMMYFUNCTION("""COMPUTED_VALUE"""),25.3)</f>
        <v>25.3</v>
      </c>
      <c r="D1333" s="1">
        <f>IFERROR(__xludf.DUMMYFUNCTION("""COMPUTED_VALUE"""),24.93)</f>
        <v>24.93</v>
      </c>
      <c r="E1333" s="1">
        <f>IFERROR(__xludf.DUMMYFUNCTION("""COMPUTED_VALUE"""),25.09)</f>
        <v>25.09</v>
      </c>
      <c r="F1333" s="1">
        <f>IFERROR(__xludf.DUMMYFUNCTION("""COMPUTED_VALUE"""),346722.0)</f>
        <v>346722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IFERROR(__xludf.DUMMYFUNCTION("""COMPUTED_VALUE"""),25.14)</f>
        <v>25.14</v>
      </c>
      <c r="C1334" s="1">
        <f>IFERROR(__xludf.DUMMYFUNCTION("""COMPUTED_VALUE"""),25.29)</f>
        <v>25.29</v>
      </c>
      <c r="D1334" s="1">
        <f>IFERROR(__xludf.DUMMYFUNCTION("""COMPUTED_VALUE"""),24.63)</f>
        <v>24.63</v>
      </c>
      <c r="E1334" s="1">
        <f>IFERROR(__xludf.DUMMYFUNCTION("""COMPUTED_VALUE"""),24.67)</f>
        <v>24.67</v>
      </c>
      <c r="F1334" s="1">
        <f>IFERROR(__xludf.DUMMYFUNCTION("""COMPUTED_VALUE"""),355620.0)</f>
        <v>355620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IFERROR(__xludf.DUMMYFUNCTION("""COMPUTED_VALUE"""),24.72)</f>
        <v>24.72</v>
      </c>
      <c r="C1335" s="1">
        <f>IFERROR(__xludf.DUMMYFUNCTION("""COMPUTED_VALUE"""),24.89)</f>
        <v>24.89</v>
      </c>
      <c r="D1335" s="1">
        <f>IFERROR(__xludf.DUMMYFUNCTION("""COMPUTED_VALUE"""),24.45)</f>
        <v>24.45</v>
      </c>
      <c r="E1335" s="1">
        <f>IFERROR(__xludf.DUMMYFUNCTION("""COMPUTED_VALUE"""),24.64)</f>
        <v>24.64</v>
      </c>
      <c r="F1335" s="1">
        <f>IFERROR(__xludf.DUMMYFUNCTION("""COMPUTED_VALUE"""),511354.0)</f>
        <v>511354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IFERROR(__xludf.DUMMYFUNCTION("""COMPUTED_VALUE"""),24.55)</f>
        <v>24.55</v>
      </c>
      <c r="C1336" s="1">
        <f>IFERROR(__xludf.DUMMYFUNCTION("""COMPUTED_VALUE"""),25.13)</f>
        <v>25.13</v>
      </c>
      <c r="D1336" s="1">
        <f>IFERROR(__xludf.DUMMYFUNCTION("""COMPUTED_VALUE"""),24.49)</f>
        <v>24.49</v>
      </c>
      <c r="E1336" s="1">
        <f>IFERROR(__xludf.DUMMYFUNCTION("""COMPUTED_VALUE"""),25.02)</f>
        <v>25.02</v>
      </c>
      <c r="F1336" s="1">
        <f>IFERROR(__xludf.DUMMYFUNCTION("""COMPUTED_VALUE"""),368589.0)</f>
        <v>368589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IFERROR(__xludf.DUMMYFUNCTION("""COMPUTED_VALUE"""),25.03)</f>
        <v>25.03</v>
      </c>
      <c r="C1337" s="1">
        <f>IFERROR(__xludf.DUMMYFUNCTION("""COMPUTED_VALUE"""),25.33)</f>
        <v>25.33</v>
      </c>
      <c r="D1337" s="1">
        <f>IFERROR(__xludf.DUMMYFUNCTION("""COMPUTED_VALUE"""),24.97)</f>
        <v>24.97</v>
      </c>
      <c r="E1337" s="1">
        <f>IFERROR(__xludf.DUMMYFUNCTION("""COMPUTED_VALUE"""),25.27)</f>
        <v>25.27</v>
      </c>
      <c r="F1337" s="1">
        <f>IFERROR(__xludf.DUMMYFUNCTION("""COMPUTED_VALUE"""),529252.0)</f>
        <v>529252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IFERROR(__xludf.DUMMYFUNCTION("""COMPUTED_VALUE"""),25.37)</f>
        <v>25.37</v>
      </c>
      <c r="C1338" s="1">
        <f>IFERROR(__xludf.DUMMYFUNCTION("""COMPUTED_VALUE"""),25.46)</f>
        <v>25.46</v>
      </c>
      <c r="D1338" s="1">
        <f>IFERROR(__xludf.DUMMYFUNCTION("""COMPUTED_VALUE"""),24.98)</f>
        <v>24.98</v>
      </c>
      <c r="E1338" s="1">
        <f>IFERROR(__xludf.DUMMYFUNCTION("""COMPUTED_VALUE"""),25.16)</f>
        <v>25.16</v>
      </c>
      <c r="F1338" s="1">
        <f>IFERROR(__xludf.DUMMYFUNCTION("""COMPUTED_VALUE"""),390103.0)</f>
        <v>390103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IFERROR(__xludf.DUMMYFUNCTION("""COMPUTED_VALUE"""),25.1)</f>
        <v>25.1</v>
      </c>
      <c r="C1339" s="1">
        <f>IFERROR(__xludf.DUMMYFUNCTION("""COMPUTED_VALUE"""),25.24)</f>
        <v>25.24</v>
      </c>
      <c r="D1339" s="1">
        <f>IFERROR(__xludf.DUMMYFUNCTION("""COMPUTED_VALUE"""),24.91)</f>
        <v>24.91</v>
      </c>
      <c r="E1339" s="1">
        <f>IFERROR(__xludf.DUMMYFUNCTION("""COMPUTED_VALUE"""),24.96)</f>
        <v>24.96</v>
      </c>
      <c r="F1339" s="1">
        <f>IFERROR(__xludf.DUMMYFUNCTION("""COMPUTED_VALUE"""),241704.0)</f>
        <v>241704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IFERROR(__xludf.DUMMYFUNCTION("""COMPUTED_VALUE"""),24.92)</f>
        <v>24.92</v>
      </c>
      <c r="C1340" s="1">
        <f>IFERROR(__xludf.DUMMYFUNCTION("""COMPUTED_VALUE"""),25.66)</f>
        <v>25.66</v>
      </c>
      <c r="D1340" s="1">
        <f>IFERROR(__xludf.DUMMYFUNCTION("""COMPUTED_VALUE"""),24.6)</f>
        <v>24.6</v>
      </c>
      <c r="E1340" s="1">
        <f>IFERROR(__xludf.DUMMYFUNCTION("""COMPUTED_VALUE"""),25.64)</f>
        <v>25.64</v>
      </c>
      <c r="F1340" s="1">
        <f>IFERROR(__xludf.DUMMYFUNCTION("""COMPUTED_VALUE"""),906015.0)</f>
        <v>906015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IFERROR(__xludf.DUMMYFUNCTION("""COMPUTED_VALUE"""),25.61)</f>
        <v>25.61</v>
      </c>
      <c r="C1341" s="1">
        <f>IFERROR(__xludf.DUMMYFUNCTION("""COMPUTED_VALUE"""),25.61)</f>
        <v>25.61</v>
      </c>
      <c r="D1341" s="1">
        <f>IFERROR(__xludf.DUMMYFUNCTION("""COMPUTED_VALUE"""),25.16)</f>
        <v>25.16</v>
      </c>
      <c r="E1341" s="1">
        <f>IFERROR(__xludf.DUMMYFUNCTION("""COMPUTED_VALUE"""),25.29)</f>
        <v>25.29</v>
      </c>
      <c r="F1341" s="1">
        <f>IFERROR(__xludf.DUMMYFUNCTION("""COMPUTED_VALUE"""),680729.0)</f>
        <v>680729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IFERROR(__xludf.DUMMYFUNCTION("""COMPUTED_VALUE"""),25.35)</f>
        <v>25.35</v>
      </c>
      <c r="C1342" s="1">
        <f>IFERROR(__xludf.DUMMYFUNCTION("""COMPUTED_VALUE"""),25.4)</f>
        <v>25.4</v>
      </c>
      <c r="D1342" s="1">
        <f>IFERROR(__xludf.DUMMYFUNCTION("""COMPUTED_VALUE"""),24.97)</f>
        <v>24.97</v>
      </c>
      <c r="E1342" s="1">
        <f>IFERROR(__xludf.DUMMYFUNCTION("""COMPUTED_VALUE"""),25.39)</f>
        <v>25.39</v>
      </c>
      <c r="F1342" s="1">
        <f>IFERROR(__xludf.DUMMYFUNCTION("""COMPUTED_VALUE"""),336001.0)</f>
        <v>336001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IFERROR(__xludf.DUMMYFUNCTION("""COMPUTED_VALUE"""),26.1)</f>
        <v>26.1</v>
      </c>
      <c r="C1343" s="1">
        <f>IFERROR(__xludf.DUMMYFUNCTION("""COMPUTED_VALUE"""),26.62)</f>
        <v>26.62</v>
      </c>
      <c r="D1343" s="1">
        <f>IFERROR(__xludf.DUMMYFUNCTION("""COMPUTED_VALUE"""),25.59)</f>
        <v>25.59</v>
      </c>
      <c r="E1343" s="1">
        <f>IFERROR(__xludf.DUMMYFUNCTION("""COMPUTED_VALUE"""),25.67)</f>
        <v>25.67</v>
      </c>
      <c r="F1343" s="1">
        <f>IFERROR(__xludf.DUMMYFUNCTION("""COMPUTED_VALUE"""),1610347.0)</f>
        <v>1610347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IFERROR(__xludf.DUMMYFUNCTION("""COMPUTED_VALUE"""),25.71)</f>
        <v>25.71</v>
      </c>
      <c r="C1344" s="1">
        <f>IFERROR(__xludf.DUMMYFUNCTION("""COMPUTED_VALUE"""),25.77)</f>
        <v>25.77</v>
      </c>
      <c r="D1344" s="1">
        <f>IFERROR(__xludf.DUMMYFUNCTION("""COMPUTED_VALUE"""),25.41)</f>
        <v>25.41</v>
      </c>
      <c r="E1344" s="1">
        <f>IFERROR(__xludf.DUMMYFUNCTION("""COMPUTED_VALUE"""),25.59)</f>
        <v>25.59</v>
      </c>
      <c r="F1344" s="1">
        <f>IFERROR(__xludf.DUMMYFUNCTION("""COMPUTED_VALUE"""),572596.0)</f>
        <v>572596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IFERROR(__xludf.DUMMYFUNCTION("""COMPUTED_VALUE"""),25.7)</f>
        <v>25.7</v>
      </c>
      <c r="C1345" s="1">
        <f>IFERROR(__xludf.DUMMYFUNCTION("""COMPUTED_VALUE"""),25.88)</f>
        <v>25.88</v>
      </c>
      <c r="D1345" s="1">
        <f>IFERROR(__xludf.DUMMYFUNCTION("""COMPUTED_VALUE"""),25.24)</f>
        <v>25.24</v>
      </c>
      <c r="E1345" s="1">
        <f>IFERROR(__xludf.DUMMYFUNCTION("""COMPUTED_VALUE"""),25.52)</f>
        <v>25.52</v>
      </c>
      <c r="F1345" s="1">
        <f>IFERROR(__xludf.DUMMYFUNCTION("""COMPUTED_VALUE"""),712997.0)</f>
        <v>712997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IFERROR(__xludf.DUMMYFUNCTION("""COMPUTED_VALUE"""),25.39)</f>
        <v>25.39</v>
      </c>
      <c r="C1346" s="1">
        <f>IFERROR(__xludf.DUMMYFUNCTION("""COMPUTED_VALUE"""),25.65)</f>
        <v>25.65</v>
      </c>
      <c r="D1346" s="1">
        <f>IFERROR(__xludf.DUMMYFUNCTION("""COMPUTED_VALUE"""),25.12)</f>
        <v>25.12</v>
      </c>
      <c r="E1346" s="1">
        <f>IFERROR(__xludf.DUMMYFUNCTION("""COMPUTED_VALUE"""),25.5)</f>
        <v>25.5</v>
      </c>
      <c r="F1346" s="1">
        <f>IFERROR(__xludf.DUMMYFUNCTION("""COMPUTED_VALUE"""),652963.0)</f>
        <v>652963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IFERROR(__xludf.DUMMYFUNCTION("""COMPUTED_VALUE"""),27.67)</f>
        <v>27.67</v>
      </c>
      <c r="C1347" s="1">
        <f>IFERROR(__xludf.DUMMYFUNCTION("""COMPUTED_VALUE"""),28.13)</f>
        <v>28.13</v>
      </c>
      <c r="D1347" s="1">
        <f>IFERROR(__xludf.DUMMYFUNCTION("""COMPUTED_VALUE"""),26.95)</f>
        <v>26.95</v>
      </c>
      <c r="E1347" s="1">
        <f>IFERROR(__xludf.DUMMYFUNCTION("""COMPUTED_VALUE"""),27.39)</f>
        <v>27.39</v>
      </c>
      <c r="F1347" s="1">
        <f>IFERROR(__xludf.DUMMYFUNCTION("""COMPUTED_VALUE"""),3281627.0)</f>
        <v>3281627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IFERROR(__xludf.DUMMYFUNCTION("""COMPUTED_VALUE"""),27.68)</f>
        <v>27.68</v>
      </c>
      <c r="C1348" s="1">
        <f>IFERROR(__xludf.DUMMYFUNCTION("""COMPUTED_VALUE"""),28.22)</f>
        <v>28.22</v>
      </c>
      <c r="D1348" s="1">
        <f>IFERROR(__xludf.DUMMYFUNCTION("""COMPUTED_VALUE"""),27.6)</f>
        <v>27.6</v>
      </c>
      <c r="E1348" s="1">
        <f>IFERROR(__xludf.DUMMYFUNCTION("""COMPUTED_VALUE"""),28.0)</f>
        <v>28</v>
      </c>
      <c r="F1348" s="1">
        <f>IFERROR(__xludf.DUMMYFUNCTION("""COMPUTED_VALUE"""),1332671.0)</f>
        <v>1332671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IFERROR(__xludf.DUMMYFUNCTION("""COMPUTED_VALUE"""),28.0)</f>
        <v>28</v>
      </c>
      <c r="C1349" s="1">
        <f>IFERROR(__xludf.DUMMYFUNCTION("""COMPUTED_VALUE"""),28.26)</f>
        <v>28.26</v>
      </c>
      <c r="D1349" s="1">
        <f>IFERROR(__xludf.DUMMYFUNCTION("""COMPUTED_VALUE"""),27.66)</f>
        <v>27.66</v>
      </c>
      <c r="E1349" s="1">
        <f>IFERROR(__xludf.DUMMYFUNCTION("""COMPUTED_VALUE"""),28.15)</f>
        <v>28.15</v>
      </c>
      <c r="F1349" s="1">
        <f>IFERROR(__xludf.DUMMYFUNCTION("""COMPUTED_VALUE"""),848232.0)</f>
        <v>848232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IFERROR(__xludf.DUMMYFUNCTION("""COMPUTED_VALUE"""),28.29)</f>
        <v>28.29</v>
      </c>
      <c r="C1350" s="1">
        <f>IFERROR(__xludf.DUMMYFUNCTION("""COMPUTED_VALUE"""),28.6)</f>
        <v>28.6</v>
      </c>
      <c r="D1350" s="1">
        <f>IFERROR(__xludf.DUMMYFUNCTION("""COMPUTED_VALUE"""),28.28)</f>
        <v>28.28</v>
      </c>
      <c r="E1350" s="1">
        <f>IFERROR(__xludf.DUMMYFUNCTION("""COMPUTED_VALUE"""),28.39)</f>
        <v>28.39</v>
      </c>
      <c r="F1350" s="1">
        <f>IFERROR(__xludf.DUMMYFUNCTION("""COMPUTED_VALUE"""),681432.0)</f>
        <v>681432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IFERROR(__xludf.DUMMYFUNCTION("""COMPUTED_VALUE"""),28.58)</f>
        <v>28.58</v>
      </c>
      <c r="C1351" s="1">
        <f>IFERROR(__xludf.DUMMYFUNCTION("""COMPUTED_VALUE"""),28.68)</f>
        <v>28.68</v>
      </c>
      <c r="D1351" s="1">
        <f>IFERROR(__xludf.DUMMYFUNCTION("""COMPUTED_VALUE"""),28.47)</f>
        <v>28.47</v>
      </c>
      <c r="E1351" s="1">
        <f>IFERROR(__xludf.DUMMYFUNCTION("""COMPUTED_VALUE"""),28.57)</f>
        <v>28.57</v>
      </c>
      <c r="F1351" s="1">
        <f>IFERROR(__xludf.DUMMYFUNCTION("""COMPUTED_VALUE"""),554320.0)</f>
        <v>554320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IFERROR(__xludf.DUMMYFUNCTION("""COMPUTED_VALUE"""),28.6)</f>
        <v>28.6</v>
      </c>
      <c r="C1352" s="1">
        <f>IFERROR(__xludf.DUMMYFUNCTION("""COMPUTED_VALUE"""),28.81)</f>
        <v>28.81</v>
      </c>
      <c r="D1352" s="1">
        <f>IFERROR(__xludf.DUMMYFUNCTION("""COMPUTED_VALUE"""),28.46)</f>
        <v>28.46</v>
      </c>
      <c r="E1352" s="1">
        <f>IFERROR(__xludf.DUMMYFUNCTION("""COMPUTED_VALUE"""),28.55)</f>
        <v>28.55</v>
      </c>
      <c r="F1352" s="1">
        <f>IFERROR(__xludf.DUMMYFUNCTION("""COMPUTED_VALUE"""),964457.0)</f>
        <v>964457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IFERROR(__xludf.DUMMYFUNCTION("""COMPUTED_VALUE"""),28.48)</f>
        <v>28.48</v>
      </c>
      <c r="C1353" s="1">
        <f>IFERROR(__xludf.DUMMYFUNCTION("""COMPUTED_VALUE"""),28.49)</f>
        <v>28.49</v>
      </c>
      <c r="D1353" s="1">
        <f>IFERROR(__xludf.DUMMYFUNCTION("""COMPUTED_VALUE"""),28.07)</f>
        <v>28.07</v>
      </c>
      <c r="E1353" s="1">
        <f>IFERROR(__xludf.DUMMYFUNCTION("""COMPUTED_VALUE"""),28.21)</f>
        <v>28.21</v>
      </c>
      <c r="F1353" s="1">
        <f>IFERROR(__xludf.DUMMYFUNCTION("""COMPUTED_VALUE"""),412987.0)</f>
        <v>412987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IFERROR(__xludf.DUMMYFUNCTION("""COMPUTED_VALUE"""),28.2)</f>
        <v>28.2</v>
      </c>
      <c r="C1354" s="1">
        <f>IFERROR(__xludf.DUMMYFUNCTION("""COMPUTED_VALUE"""),28.49)</f>
        <v>28.49</v>
      </c>
      <c r="D1354" s="1">
        <f>IFERROR(__xludf.DUMMYFUNCTION("""COMPUTED_VALUE"""),28.12)</f>
        <v>28.12</v>
      </c>
      <c r="E1354" s="1">
        <f>IFERROR(__xludf.DUMMYFUNCTION("""COMPUTED_VALUE"""),28.47)</f>
        <v>28.47</v>
      </c>
      <c r="F1354" s="1">
        <f>IFERROR(__xludf.DUMMYFUNCTION("""COMPUTED_VALUE"""),472756.0)</f>
        <v>472756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IFERROR(__xludf.DUMMYFUNCTION("""COMPUTED_VALUE"""),28.52)</f>
        <v>28.52</v>
      </c>
      <c r="C1355" s="1">
        <f>IFERROR(__xludf.DUMMYFUNCTION("""COMPUTED_VALUE"""),29.11)</f>
        <v>29.11</v>
      </c>
      <c r="D1355" s="1">
        <f>IFERROR(__xludf.DUMMYFUNCTION("""COMPUTED_VALUE"""),28.48)</f>
        <v>28.48</v>
      </c>
      <c r="E1355" s="1">
        <f>IFERROR(__xludf.DUMMYFUNCTION("""COMPUTED_VALUE"""),29.05)</f>
        <v>29.05</v>
      </c>
      <c r="F1355" s="1">
        <f>IFERROR(__xludf.DUMMYFUNCTION("""COMPUTED_VALUE"""),711587.0)</f>
        <v>711587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IFERROR(__xludf.DUMMYFUNCTION("""COMPUTED_VALUE"""),29.03)</f>
        <v>29.03</v>
      </c>
      <c r="C1356" s="1">
        <f>IFERROR(__xludf.DUMMYFUNCTION("""COMPUTED_VALUE"""),29.25)</f>
        <v>29.25</v>
      </c>
      <c r="D1356" s="1">
        <f>IFERROR(__xludf.DUMMYFUNCTION("""COMPUTED_VALUE"""),28.6)</f>
        <v>28.6</v>
      </c>
      <c r="E1356" s="1">
        <f>IFERROR(__xludf.DUMMYFUNCTION("""COMPUTED_VALUE"""),28.74)</f>
        <v>28.74</v>
      </c>
      <c r="F1356" s="1">
        <f>IFERROR(__xludf.DUMMYFUNCTION("""COMPUTED_VALUE"""),474627.0)</f>
        <v>474627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IFERROR(__xludf.DUMMYFUNCTION("""COMPUTED_VALUE"""),28.68)</f>
        <v>28.68</v>
      </c>
      <c r="C1357" s="1">
        <f>IFERROR(__xludf.DUMMYFUNCTION("""COMPUTED_VALUE"""),28.75)</f>
        <v>28.75</v>
      </c>
      <c r="D1357" s="1">
        <f>IFERROR(__xludf.DUMMYFUNCTION("""COMPUTED_VALUE"""),28.52)</f>
        <v>28.52</v>
      </c>
      <c r="E1357" s="1">
        <f>IFERROR(__xludf.DUMMYFUNCTION("""COMPUTED_VALUE"""),28.55)</f>
        <v>28.55</v>
      </c>
      <c r="F1357" s="1">
        <f>IFERROR(__xludf.DUMMYFUNCTION("""COMPUTED_VALUE"""),398386.0)</f>
        <v>398386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IFERROR(__xludf.DUMMYFUNCTION("""COMPUTED_VALUE"""),28.54)</f>
        <v>28.54</v>
      </c>
      <c r="C1358" s="1">
        <f>IFERROR(__xludf.DUMMYFUNCTION("""COMPUTED_VALUE"""),28.59)</f>
        <v>28.59</v>
      </c>
      <c r="D1358" s="1">
        <f>IFERROR(__xludf.DUMMYFUNCTION("""COMPUTED_VALUE"""),28.18)</f>
        <v>28.18</v>
      </c>
      <c r="E1358" s="1">
        <f>IFERROR(__xludf.DUMMYFUNCTION("""COMPUTED_VALUE"""),28.53)</f>
        <v>28.53</v>
      </c>
      <c r="F1358" s="1">
        <f>IFERROR(__xludf.DUMMYFUNCTION("""COMPUTED_VALUE"""),626658.0)</f>
        <v>626658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IFERROR(__xludf.DUMMYFUNCTION("""COMPUTED_VALUE"""),28.38)</f>
        <v>28.38</v>
      </c>
      <c r="C1359" s="1">
        <f>IFERROR(__xludf.DUMMYFUNCTION("""COMPUTED_VALUE"""),28.81)</f>
        <v>28.81</v>
      </c>
      <c r="D1359" s="1">
        <f>IFERROR(__xludf.DUMMYFUNCTION("""COMPUTED_VALUE"""),28.29)</f>
        <v>28.29</v>
      </c>
      <c r="E1359" s="1">
        <f>IFERROR(__xludf.DUMMYFUNCTION("""COMPUTED_VALUE"""),28.73)</f>
        <v>28.73</v>
      </c>
      <c r="F1359" s="1">
        <f>IFERROR(__xludf.DUMMYFUNCTION("""COMPUTED_VALUE"""),450507.0)</f>
        <v>450507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IFERROR(__xludf.DUMMYFUNCTION("""COMPUTED_VALUE"""),28.66)</f>
        <v>28.66</v>
      </c>
      <c r="C1360" s="1">
        <f>IFERROR(__xludf.DUMMYFUNCTION("""COMPUTED_VALUE"""),28.76)</f>
        <v>28.76</v>
      </c>
      <c r="D1360" s="1">
        <f>IFERROR(__xludf.DUMMYFUNCTION("""COMPUTED_VALUE"""),28.29)</f>
        <v>28.29</v>
      </c>
      <c r="E1360" s="1">
        <f>IFERROR(__xludf.DUMMYFUNCTION("""COMPUTED_VALUE"""),28.53)</f>
        <v>28.53</v>
      </c>
      <c r="F1360" s="1">
        <f>IFERROR(__xludf.DUMMYFUNCTION("""COMPUTED_VALUE"""),185279.0)</f>
        <v>185279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IFERROR(__xludf.DUMMYFUNCTION("""COMPUTED_VALUE"""),28.57)</f>
        <v>28.57</v>
      </c>
      <c r="C1361" s="1">
        <f>IFERROR(__xludf.DUMMYFUNCTION("""COMPUTED_VALUE"""),28.61)</f>
        <v>28.61</v>
      </c>
      <c r="D1361" s="1">
        <f>IFERROR(__xludf.DUMMYFUNCTION("""COMPUTED_VALUE"""),28.09)</f>
        <v>28.09</v>
      </c>
      <c r="E1361" s="1">
        <f>IFERROR(__xludf.DUMMYFUNCTION("""COMPUTED_VALUE"""),28.26)</f>
        <v>28.26</v>
      </c>
      <c r="F1361" s="1">
        <f>IFERROR(__xludf.DUMMYFUNCTION("""COMPUTED_VALUE"""),496092.0)</f>
        <v>496092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IFERROR(__xludf.DUMMYFUNCTION("""COMPUTED_VALUE"""),28.58)</f>
        <v>28.58</v>
      </c>
      <c r="C1362" s="1">
        <f>IFERROR(__xludf.DUMMYFUNCTION("""COMPUTED_VALUE"""),28.98)</f>
        <v>28.98</v>
      </c>
      <c r="D1362" s="1">
        <f>IFERROR(__xludf.DUMMYFUNCTION("""COMPUTED_VALUE"""),28.32)</f>
        <v>28.32</v>
      </c>
      <c r="E1362" s="1">
        <f>IFERROR(__xludf.DUMMYFUNCTION("""COMPUTED_VALUE"""),28.91)</f>
        <v>28.91</v>
      </c>
      <c r="F1362" s="1">
        <f>IFERROR(__xludf.DUMMYFUNCTION("""COMPUTED_VALUE"""),517829.0)</f>
        <v>517829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IFERROR(__xludf.DUMMYFUNCTION("""COMPUTED_VALUE"""),28.96)</f>
        <v>28.96</v>
      </c>
      <c r="C1363" s="1">
        <f>IFERROR(__xludf.DUMMYFUNCTION("""COMPUTED_VALUE"""),29.54)</f>
        <v>29.54</v>
      </c>
      <c r="D1363" s="1">
        <f>IFERROR(__xludf.DUMMYFUNCTION("""COMPUTED_VALUE"""),28.84)</f>
        <v>28.84</v>
      </c>
      <c r="E1363" s="1">
        <f>IFERROR(__xludf.DUMMYFUNCTION("""COMPUTED_VALUE"""),29.5)</f>
        <v>29.5</v>
      </c>
      <c r="F1363" s="1">
        <f>IFERROR(__xludf.DUMMYFUNCTION("""COMPUTED_VALUE"""),786617.0)</f>
        <v>786617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IFERROR(__xludf.DUMMYFUNCTION("""COMPUTED_VALUE"""),29.49)</f>
        <v>29.49</v>
      </c>
      <c r="C1364" s="1">
        <f>IFERROR(__xludf.DUMMYFUNCTION("""COMPUTED_VALUE"""),29.81)</f>
        <v>29.81</v>
      </c>
      <c r="D1364" s="1">
        <f>IFERROR(__xludf.DUMMYFUNCTION("""COMPUTED_VALUE"""),29.39)</f>
        <v>29.39</v>
      </c>
      <c r="E1364" s="1">
        <f>IFERROR(__xludf.DUMMYFUNCTION("""COMPUTED_VALUE"""),29.64)</f>
        <v>29.64</v>
      </c>
      <c r="F1364" s="1">
        <f>IFERROR(__xludf.DUMMYFUNCTION("""COMPUTED_VALUE"""),540978.0)</f>
        <v>540978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IFERROR(__xludf.DUMMYFUNCTION("""COMPUTED_VALUE"""),29.61)</f>
        <v>29.61</v>
      </c>
      <c r="C1365" s="1">
        <f>IFERROR(__xludf.DUMMYFUNCTION("""COMPUTED_VALUE"""),29.97)</f>
        <v>29.97</v>
      </c>
      <c r="D1365" s="1">
        <f>IFERROR(__xludf.DUMMYFUNCTION("""COMPUTED_VALUE"""),29.6)</f>
        <v>29.6</v>
      </c>
      <c r="E1365" s="1">
        <f>IFERROR(__xludf.DUMMYFUNCTION("""COMPUTED_VALUE"""),29.95)</f>
        <v>29.95</v>
      </c>
      <c r="F1365" s="1">
        <f>IFERROR(__xludf.DUMMYFUNCTION("""COMPUTED_VALUE"""),711925.0)</f>
        <v>711925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IFERROR(__xludf.DUMMYFUNCTION("""COMPUTED_VALUE"""),29.92)</f>
        <v>29.92</v>
      </c>
      <c r="C1366" s="1">
        <f>IFERROR(__xludf.DUMMYFUNCTION("""COMPUTED_VALUE"""),30.19)</f>
        <v>30.19</v>
      </c>
      <c r="D1366" s="1">
        <f>IFERROR(__xludf.DUMMYFUNCTION("""COMPUTED_VALUE"""),29.74)</f>
        <v>29.74</v>
      </c>
      <c r="E1366" s="1">
        <f>IFERROR(__xludf.DUMMYFUNCTION("""COMPUTED_VALUE"""),29.99)</f>
        <v>29.99</v>
      </c>
      <c r="F1366" s="1">
        <f>IFERROR(__xludf.DUMMYFUNCTION("""COMPUTED_VALUE"""),681190.0)</f>
        <v>681190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IFERROR(__xludf.DUMMYFUNCTION("""COMPUTED_VALUE"""),30.02)</f>
        <v>30.02</v>
      </c>
      <c r="C1367" s="1">
        <f>IFERROR(__xludf.DUMMYFUNCTION("""COMPUTED_VALUE"""),30.03)</f>
        <v>30.03</v>
      </c>
      <c r="D1367" s="1">
        <f>IFERROR(__xludf.DUMMYFUNCTION("""COMPUTED_VALUE"""),29.61)</f>
        <v>29.61</v>
      </c>
      <c r="E1367" s="1">
        <f>IFERROR(__xludf.DUMMYFUNCTION("""COMPUTED_VALUE"""),29.93)</f>
        <v>29.93</v>
      </c>
      <c r="F1367" s="1">
        <f>IFERROR(__xludf.DUMMYFUNCTION("""COMPUTED_VALUE"""),470373.0)</f>
        <v>470373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IFERROR(__xludf.DUMMYFUNCTION("""COMPUTED_VALUE"""),29.88)</f>
        <v>29.88</v>
      </c>
      <c r="C1368" s="1">
        <f>IFERROR(__xludf.DUMMYFUNCTION("""COMPUTED_VALUE"""),30.44)</f>
        <v>30.44</v>
      </c>
      <c r="D1368" s="1">
        <f>IFERROR(__xludf.DUMMYFUNCTION("""COMPUTED_VALUE"""),29.81)</f>
        <v>29.81</v>
      </c>
      <c r="E1368" s="1">
        <f>IFERROR(__xludf.DUMMYFUNCTION("""COMPUTED_VALUE"""),30.22)</f>
        <v>30.22</v>
      </c>
      <c r="F1368" s="1">
        <f>IFERROR(__xludf.DUMMYFUNCTION("""COMPUTED_VALUE"""),739081.0)</f>
        <v>739081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IFERROR(__xludf.DUMMYFUNCTION("""COMPUTED_VALUE"""),30.39)</f>
        <v>30.39</v>
      </c>
      <c r="C1369" s="1">
        <f>IFERROR(__xludf.DUMMYFUNCTION("""COMPUTED_VALUE"""),30.85)</f>
        <v>30.85</v>
      </c>
      <c r="D1369" s="1">
        <f>IFERROR(__xludf.DUMMYFUNCTION("""COMPUTED_VALUE"""),30.27)</f>
        <v>30.27</v>
      </c>
      <c r="E1369" s="1">
        <f>IFERROR(__xludf.DUMMYFUNCTION("""COMPUTED_VALUE"""),30.63)</f>
        <v>30.63</v>
      </c>
      <c r="F1369" s="1">
        <f>IFERROR(__xludf.DUMMYFUNCTION("""COMPUTED_VALUE"""),652867.0)</f>
        <v>652867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IFERROR(__xludf.DUMMYFUNCTION("""COMPUTED_VALUE"""),30.46)</f>
        <v>30.46</v>
      </c>
      <c r="C1370" s="1">
        <f>IFERROR(__xludf.DUMMYFUNCTION("""COMPUTED_VALUE"""),30.51)</f>
        <v>30.51</v>
      </c>
      <c r="D1370" s="1">
        <f>IFERROR(__xludf.DUMMYFUNCTION("""COMPUTED_VALUE"""),29.06)</f>
        <v>29.06</v>
      </c>
      <c r="E1370" s="1">
        <f>IFERROR(__xludf.DUMMYFUNCTION("""COMPUTED_VALUE"""),29.18)</f>
        <v>29.18</v>
      </c>
      <c r="F1370" s="1">
        <f>IFERROR(__xludf.DUMMYFUNCTION("""COMPUTED_VALUE"""),1340480.0)</f>
        <v>1340480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IFERROR(__xludf.DUMMYFUNCTION("""COMPUTED_VALUE"""),29.03)</f>
        <v>29.03</v>
      </c>
      <c r="C1371" s="1">
        <f>IFERROR(__xludf.DUMMYFUNCTION("""COMPUTED_VALUE"""),29.25)</f>
        <v>29.25</v>
      </c>
      <c r="D1371" s="1">
        <f>IFERROR(__xludf.DUMMYFUNCTION("""COMPUTED_VALUE"""),28.81)</f>
        <v>28.81</v>
      </c>
      <c r="E1371" s="1">
        <f>IFERROR(__xludf.DUMMYFUNCTION("""COMPUTED_VALUE"""),28.87)</f>
        <v>28.87</v>
      </c>
      <c r="F1371" s="1">
        <f>IFERROR(__xludf.DUMMYFUNCTION("""COMPUTED_VALUE"""),558200.0)</f>
        <v>558200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IFERROR(__xludf.DUMMYFUNCTION("""COMPUTED_VALUE"""),28.78)</f>
        <v>28.78</v>
      </c>
      <c r="C1372" s="1">
        <f>IFERROR(__xludf.DUMMYFUNCTION("""COMPUTED_VALUE"""),29.04)</f>
        <v>29.04</v>
      </c>
      <c r="D1372" s="1">
        <f>IFERROR(__xludf.DUMMYFUNCTION("""COMPUTED_VALUE"""),28.68)</f>
        <v>28.68</v>
      </c>
      <c r="E1372" s="1">
        <f>IFERROR(__xludf.DUMMYFUNCTION("""COMPUTED_VALUE"""),28.89)</f>
        <v>28.89</v>
      </c>
      <c r="F1372" s="1">
        <f>IFERROR(__xludf.DUMMYFUNCTION("""COMPUTED_VALUE"""),400701.0)</f>
        <v>400701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IFERROR(__xludf.DUMMYFUNCTION("""COMPUTED_VALUE"""),28.96)</f>
        <v>28.96</v>
      </c>
      <c r="C1373" s="1">
        <f>IFERROR(__xludf.DUMMYFUNCTION("""COMPUTED_VALUE"""),29.12)</f>
        <v>29.12</v>
      </c>
      <c r="D1373" s="1">
        <f>IFERROR(__xludf.DUMMYFUNCTION("""COMPUTED_VALUE"""),28.74)</f>
        <v>28.74</v>
      </c>
      <c r="E1373" s="1">
        <f>IFERROR(__xludf.DUMMYFUNCTION("""COMPUTED_VALUE"""),28.84)</f>
        <v>28.84</v>
      </c>
      <c r="F1373" s="1">
        <f>IFERROR(__xludf.DUMMYFUNCTION("""COMPUTED_VALUE"""),264374.0)</f>
        <v>264374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IFERROR(__xludf.DUMMYFUNCTION("""COMPUTED_VALUE"""),28.86)</f>
        <v>28.86</v>
      </c>
      <c r="C1374" s="1">
        <f>IFERROR(__xludf.DUMMYFUNCTION("""COMPUTED_VALUE"""),29.11)</f>
        <v>29.11</v>
      </c>
      <c r="D1374" s="1">
        <f>IFERROR(__xludf.DUMMYFUNCTION("""COMPUTED_VALUE"""),28.76)</f>
        <v>28.76</v>
      </c>
      <c r="E1374" s="1">
        <f>IFERROR(__xludf.DUMMYFUNCTION("""COMPUTED_VALUE"""),28.85)</f>
        <v>28.85</v>
      </c>
      <c r="F1374" s="1">
        <f>IFERROR(__xludf.DUMMYFUNCTION("""COMPUTED_VALUE"""),372230.0)</f>
        <v>372230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IFERROR(__xludf.DUMMYFUNCTION("""COMPUTED_VALUE"""),29.14)</f>
        <v>29.14</v>
      </c>
      <c r="C1375" s="1">
        <f>IFERROR(__xludf.DUMMYFUNCTION("""COMPUTED_VALUE"""),29.24)</f>
        <v>29.24</v>
      </c>
      <c r="D1375" s="1">
        <f>IFERROR(__xludf.DUMMYFUNCTION("""COMPUTED_VALUE"""),28.76)</f>
        <v>28.76</v>
      </c>
      <c r="E1375" s="1">
        <f>IFERROR(__xludf.DUMMYFUNCTION("""COMPUTED_VALUE"""),29.05)</f>
        <v>29.05</v>
      </c>
      <c r="F1375" s="1">
        <f>IFERROR(__xludf.DUMMYFUNCTION("""COMPUTED_VALUE"""),735117.0)</f>
        <v>735117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IFERROR(__xludf.DUMMYFUNCTION("""COMPUTED_VALUE"""),29.01)</f>
        <v>29.01</v>
      </c>
      <c r="C1376" s="1">
        <f>IFERROR(__xludf.DUMMYFUNCTION("""COMPUTED_VALUE"""),29.1)</f>
        <v>29.1</v>
      </c>
      <c r="D1376" s="1">
        <f>IFERROR(__xludf.DUMMYFUNCTION("""COMPUTED_VALUE"""),28.55)</f>
        <v>28.55</v>
      </c>
      <c r="E1376" s="1">
        <f>IFERROR(__xludf.DUMMYFUNCTION("""COMPUTED_VALUE"""),28.59)</f>
        <v>28.59</v>
      </c>
      <c r="F1376" s="1">
        <f>IFERROR(__xludf.DUMMYFUNCTION("""COMPUTED_VALUE"""),547773.0)</f>
        <v>547773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IFERROR(__xludf.DUMMYFUNCTION("""COMPUTED_VALUE"""),28.73)</f>
        <v>28.73</v>
      </c>
      <c r="C1377" s="1">
        <f>IFERROR(__xludf.DUMMYFUNCTION("""COMPUTED_VALUE"""),28.99)</f>
        <v>28.99</v>
      </c>
      <c r="D1377" s="1">
        <f>IFERROR(__xludf.DUMMYFUNCTION("""COMPUTED_VALUE"""),28.59)</f>
        <v>28.59</v>
      </c>
      <c r="E1377" s="1">
        <f>IFERROR(__xludf.DUMMYFUNCTION("""COMPUTED_VALUE"""),28.87)</f>
        <v>28.87</v>
      </c>
      <c r="F1377" s="1">
        <f>IFERROR(__xludf.DUMMYFUNCTION("""COMPUTED_VALUE"""),372892.0)</f>
        <v>372892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IFERROR(__xludf.DUMMYFUNCTION("""COMPUTED_VALUE"""),28.91)</f>
        <v>28.91</v>
      </c>
      <c r="C1378" s="1">
        <f>IFERROR(__xludf.DUMMYFUNCTION("""COMPUTED_VALUE"""),29.09)</f>
        <v>29.09</v>
      </c>
      <c r="D1378" s="1">
        <f>IFERROR(__xludf.DUMMYFUNCTION("""COMPUTED_VALUE"""),28.6)</f>
        <v>28.6</v>
      </c>
      <c r="E1378" s="1">
        <f>IFERROR(__xludf.DUMMYFUNCTION("""COMPUTED_VALUE"""),28.88)</f>
        <v>28.88</v>
      </c>
      <c r="F1378" s="1">
        <f>IFERROR(__xludf.DUMMYFUNCTION("""COMPUTED_VALUE"""),351993.0)</f>
        <v>351993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IFERROR(__xludf.DUMMYFUNCTION("""COMPUTED_VALUE"""),28.81)</f>
        <v>28.81</v>
      </c>
      <c r="C1379" s="1">
        <f>IFERROR(__xludf.DUMMYFUNCTION("""COMPUTED_VALUE"""),28.99)</f>
        <v>28.99</v>
      </c>
      <c r="D1379" s="1">
        <f>IFERROR(__xludf.DUMMYFUNCTION("""COMPUTED_VALUE"""),28.7)</f>
        <v>28.7</v>
      </c>
      <c r="E1379" s="1">
        <f>IFERROR(__xludf.DUMMYFUNCTION("""COMPUTED_VALUE"""),28.74)</f>
        <v>28.74</v>
      </c>
      <c r="F1379" s="1">
        <f>IFERROR(__xludf.DUMMYFUNCTION("""COMPUTED_VALUE"""),193887.0)</f>
        <v>193887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IFERROR(__xludf.DUMMYFUNCTION("""COMPUTED_VALUE"""),28.76)</f>
        <v>28.76</v>
      </c>
      <c r="C1380" s="1">
        <f>IFERROR(__xludf.DUMMYFUNCTION("""COMPUTED_VALUE"""),28.83)</f>
        <v>28.83</v>
      </c>
      <c r="D1380" s="1">
        <f>IFERROR(__xludf.DUMMYFUNCTION("""COMPUTED_VALUE"""),28.46)</f>
        <v>28.46</v>
      </c>
      <c r="E1380" s="1">
        <f>IFERROR(__xludf.DUMMYFUNCTION("""COMPUTED_VALUE"""),28.74)</f>
        <v>28.74</v>
      </c>
      <c r="F1380" s="1">
        <f>IFERROR(__xludf.DUMMYFUNCTION("""COMPUTED_VALUE"""),228780.0)</f>
        <v>228780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IFERROR(__xludf.DUMMYFUNCTION("""COMPUTED_VALUE"""),28.72)</f>
        <v>28.72</v>
      </c>
      <c r="C1381" s="1">
        <f>IFERROR(__xludf.DUMMYFUNCTION("""COMPUTED_VALUE"""),28.89)</f>
        <v>28.89</v>
      </c>
      <c r="D1381" s="1">
        <f>IFERROR(__xludf.DUMMYFUNCTION("""COMPUTED_VALUE"""),28.54)</f>
        <v>28.54</v>
      </c>
      <c r="E1381" s="1">
        <f>IFERROR(__xludf.DUMMYFUNCTION("""COMPUTED_VALUE"""),28.59)</f>
        <v>28.59</v>
      </c>
      <c r="F1381" s="1">
        <f>IFERROR(__xludf.DUMMYFUNCTION("""COMPUTED_VALUE"""),253876.0)</f>
        <v>253876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IFERROR(__xludf.DUMMYFUNCTION("""COMPUTED_VALUE"""),28.4)</f>
        <v>28.4</v>
      </c>
      <c r="C1382" s="1">
        <f>IFERROR(__xludf.DUMMYFUNCTION("""COMPUTED_VALUE"""),28.46)</f>
        <v>28.46</v>
      </c>
      <c r="D1382" s="1">
        <f>IFERROR(__xludf.DUMMYFUNCTION("""COMPUTED_VALUE"""),28.08)</f>
        <v>28.08</v>
      </c>
      <c r="E1382" s="1">
        <f>IFERROR(__xludf.DUMMYFUNCTION("""COMPUTED_VALUE"""),28.09)</f>
        <v>28.09</v>
      </c>
      <c r="F1382" s="1">
        <f>IFERROR(__xludf.DUMMYFUNCTION("""COMPUTED_VALUE"""),384234.0)</f>
        <v>384234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IFERROR(__xludf.DUMMYFUNCTION("""COMPUTED_VALUE"""),28.27)</f>
        <v>28.27</v>
      </c>
      <c r="C1383" s="1">
        <f>IFERROR(__xludf.DUMMYFUNCTION("""COMPUTED_VALUE"""),28.27)</f>
        <v>28.27</v>
      </c>
      <c r="D1383" s="1">
        <f>IFERROR(__xludf.DUMMYFUNCTION("""COMPUTED_VALUE"""),27.85)</f>
        <v>27.85</v>
      </c>
      <c r="E1383" s="1">
        <f>IFERROR(__xludf.DUMMYFUNCTION("""COMPUTED_VALUE"""),27.92)</f>
        <v>27.92</v>
      </c>
      <c r="F1383" s="1">
        <f>IFERROR(__xludf.DUMMYFUNCTION("""COMPUTED_VALUE"""),456593.0)</f>
        <v>456593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IFERROR(__xludf.DUMMYFUNCTION("""COMPUTED_VALUE"""),28.07)</f>
        <v>28.07</v>
      </c>
      <c r="C1384" s="1">
        <f>IFERROR(__xludf.DUMMYFUNCTION("""COMPUTED_VALUE"""),28.43)</f>
        <v>28.43</v>
      </c>
      <c r="D1384" s="1">
        <f>IFERROR(__xludf.DUMMYFUNCTION("""COMPUTED_VALUE"""),27.94)</f>
        <v>27.94</v>
      </c>
      <c r="E1384" s="1">
        <f>IFERROR(__xludf.DUMMYFUNCTION("""COMPUTED_VALUE"""),28.4)</f>
        <v>28.4</v>
      </c>
      <c r="F1384" s="1">
        <f>IFERROR(__xludf.DUMMYFUNCTION("""COMPUTED_VALUE"""),489764.0)</f>
        <v>489764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IFERROR(__xludf.DUMMYFUNCTION("""COMPUTED_VALUE"""),28.27)</f>
        <v>28.27</v>
      </c>
      <c r="C1385" s="1">
        <f>IFERROR(__xludf.DUMMYFUNCTION("""COMPUTED_VALUE"""),28.75)</f>
        <v>28.75</v>
      </c>
      <c r="D1385" s="1">
        <f>IFERROR(__xludf.DUMMYFUNCTION("""COMPUTED_VALUE"""),28.21)</f>
        <v>28.21</v>
      </c>
      <c r="E1385" s="1">
        <f>IFERROR(__xludf.DUMMYFUNCTION("""COMPUTED_VALUE"""),28.7)</f>
        <v>28.7</v>
      </c>
      <c r="F1385" s="1">
        <f>IFERROR(__xludf.DUMMYFUNCTION("""COMPUTED_VALUE"""),609383.0)</f>
        <v>609383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IFERROR(__xludf.DUMMYFUNCTION("""COMPUTED_VALUE"""),28.47)</f>
        <v>28.47</v>
      </c>
      <c r="C1386" s="1">
        <f>IFERROR(__xludf.DUMMYFUNCTION("""COMPUTED_VALUE"""),28.56)</f>
        <v>28.56</v>
      </c>
      <c r="D1386" s="1">
        <f>IFERROR(__xludf.DUMMYFUNCTION("""COMPUTED_VALUE"""),28.24)</f>
        <v>28.24</v>
      </c>
      <c r="E1386" s="1">
        <f>IFERROR(__xludf.DUMMYFUNCTION("""COMPUTED_VALUE"""),28.53)</f>
        <v>28.53</v>
      </c>
      <c r="F1386" s="1">
        <f>IFERROR(__xludf.DUMMYFUNCTION("""COMPUTED_VALUE"""),548386.0)</f>
        <v>548386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IFERROR(__xludf.DUMMYFUNCTION("""COMPUTED_VALUE"""),28.5)</f>
        <v>28.5</v>
      </c>
      <c r="C1387" s="1">
        <f>IFERROR(__xludf.DUMMYFUNCTION("""COMPUTED_VALUE"""),28.56)</f>
        <v>28.56</v>
      </c>
      <c r="D1387" s="1">
        <f>IFERROR(__xludf.DUMMYFUNCTION("""COMPUTED_VALUE"""),28.18)</f>
        <v>28.18</v>
      </c>
      <c r="E1387" s="1">
        <f>IFERROR(__xludf.DUMMYFUNCTION("""COMPUTED_VALUE"""),28.53)</f>
        <v>28.53</v>
      </c>
      <c r="F1387" s="1">
        <f>IFERROR(__xludf.DUMMYFUNCTION("""COMPUTED_VALUE"""),526416.0)</f>
        <v>526416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IFERROR(__xludf.DUMMYFUNCTION("""COMPUTED_VALUE"""),28.34)</f>
        <v>28.34</v>
      </c>
      <c r="C1388" s="1">
        <f>IFERROR(__xludf.DUMMYFUNCTION("""COMPUTED_VALUE"""),28.57)</f>
        <v>28.57</v>
      </c>
      <c r="D1388" s="1">
        <f>IFERROR(__xludf.DUMMYFUNCTION("""COMPUTED_VALUE"""),28.19)</f>
        <v>28.19</v>
      </c>
      <c r="E1388" s="1">
        <f>IFERROR(__xludf.DUMMYFUNCTION("""COMPUTED_VALUE"""),28.48)</f>
        <v>28.48</v>
      </c>
      <c r="F1388" s="1">
        <f>IFERROR(__xludf.DUMMYFUNCTION("""COMPUTED_VALUE"""),544183.0)</f>
        <v>544183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IFERROR(__xludf.DUMMYFUNCTION("""COMPUTED_VALUE"""),28.71)</f>
        <v>28.71</v>
      </c>
      <c r="C1389" s="1">
        <f>IFERROR(__xludf.DUMMYFUNCTION("""COMPUTED_VALUE"""),28.72)</f>
        <v>28.72</v>
      </c>
      <c r="D1389" s="1">
        <f>IFERROR(__xludf.DUMMYFUNCTION("""COMPUTED_VALUE"""),26.96)</f>
        <v>26.96</v>
      </c>
      <c r="E1389" s="1">
        <f>IFERROR(__xludf.DUMMYFUNCTION("""COMPUTED_VALUE"""),27.0)</f>
        <v>27</v>
      </c>
      <c r="F1389" s="1">
        <f>IFERROR(__xludf.DUMMYFUNCTION("""COMPUTED_VALUE"""),1147891.0)</f>
        <v>1147891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IFERROR(__xludf.DUMMYFUNCTION("""COMPUTED_VALUE"""),27.11)</f>
        <v>27.11</v>
      </c>
      <c r="C1390" s="1">
        <f>IFERROR(__xludf.DUMMYFUNCTION("""COMPUTED_VALUE"""),27.45)</f>
        <v>27.45</v>
      </c>
      <c r="D1390" s="1">
        <f>IFERROR(__xludf.DUMMYFUNCTION("""COMPUTED_VALUE"""),27.02)</f>
        <v>27.02</v>
      </c>
      <c r="E1390" s="1">
        <f>IFERROR(__xludf.DUMMYFUNCTION("""COMPUTED_VALUE"""),27.33)</f>
        <v>27.33</v>
      </c>
      <c r="F1390" s="1">
        <f>IFERROR(__xludf.DUMMYFUNCTION("""COMPUTED_VALUE"""),1421623.0)</f>
        <v>1421623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IFERROR(__xludf.DUMMYFUNCTION("""COMPUTED_VALUE"""),27.27)</f>
        <v>27.27</v>
      </c>
      <c r="C1391" s="1">
        <f>IFERROR(__xludf.DUMMYFUNCTION("""COMPUTED_VALUE"""),27.43)</f>
        <v>27.43</v>
      </c>
      <c r="D1391" s="1">
        <f>IFERROR(__xludf.DUMMYFUNCTION("""COMPUTED_VALUE"""),27.13)</f>
        <v>27.13</v>
      </c>
      <c r="E1391" s="1">
        <f>IFERROR(__xludf.DUMMYFUNCTION("""COMPUTED_VALUE"""),27.17)</f>
        <v>27.17</v>
      </c>
      <c r="F1391" s="1">
        <f>IFERROR(__xludf.DUMMYFUNCTION("""COMPUTED_VALUE"""),866443.0)</f>
        <v>866443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IFERROR(__xludf.DUMMYFUNCTION("""COMPUTED_VALUE"""),27.17)</f>
        <v>27.17</v>
      </c>
      <c r="C1392" s="1">
        <f>IFERROR(__xludf.DUMMYFUNCTION("""COMPUTED_VALUE"""),27.36)</f>
        <v>27.36</v>
      </c>
      <c r="D1392" s="1">
        <f>IFERROR(__xludf.DUMMYFUNCTION("""COMPUTED_VALUE"""),26.69)</f>
        <v>26.69</v>
      </c>
      <c r="E1392" s="1">
        <f>IFERROR(__xludf.DUMMYFUNCTION("""COMPUTED_VALUE"""),27.32)</f>
        <v>27.32</v>
      </c>
      <c r="F1392" s="1">
        <f>IFERROR(__xludf.DUMMYFUNCTION("""COMPUTED_VALUE"""),1048442.0)</f>
        <v>1048442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IFERROR(__xludf.DUMMYFUNCTION("""COMPUTED_VALUE"""),27.19)</f>
        <v>27.19</v>
      </c>
      <c r="C1393" s="1">
        <f>IFERROR(__xludf.DUMMYFUNCTION("""COMPUTED_VALUE"""),27.33)</f>
        <v>27.33</v>
      </c>
      <c r="D1393" s="1">
        <f>IFERROR(__xludf.DUMMYFUNCTION("""COMPUTED_VALUE"""),26.85)</f>
        <v>26.85</v>
      </c>
      <c r="E1393" s="1">
        <f>IFERROR(__xludf.DUMMYFUNCTION("""COMPUTED_VALUE"""),26.87)</f>
        <v>26.87</v>
      </c>
      <c r="F1393" s="1">
        <f>IFERROR(__xludf.DUMMYFUNCTION("""COMPUTED_VALUE"""),490253.0)</f>
        <v>490253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IFERROR(__xludf.DUMMYFUNCTION("""COMPUTED_VALUE"""),27.0)</f>
        <v>27</v>
      </c>
      <c r="C1394" s="1">
        <f>IFERROR(__xludf.DUMMYFUNCTION("""COMPUTED_VALUE"""),27.22)</f>
        <v>27.22</v>
      </c>
      <c r="D1394" s="1">
        <f>IFERROR(__xludf.DUMMYFUNCTION("""COMPUTED_VALUE"""),26.9)</f>
        <v>26.9</v>
      </c>
      <c r="E1394" s="1">
        <f>IFERROR(__xludf.DUMMYFUNCTION("""COMPUTED_VALUE"""),26.97)</f>
        <v>26.97</v>
      </c>
      <c r="F1394" s="1">
        <f>IFERROR(__xludf.DUMMYFUNCTION("""COMPUTED_VALUE"""),400353.0)</f>
        <v>400353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IFERROR(__xludf.DUMMYFUNCTION("""COMPUTED_VALUE"""),26.96)</f>
        <v>26.96</v>
      </c>
      <c r="C1395" s="1">
        <f>IFERROR(__xludf.DUMMYFUNCTION("""COMPUTED_VALUE"""),27.2)</f>
        <v>27.2</v>
      </c>
      <c r="D1395" s="1">
        <f>IFERROR(__xludf.DUMMYFUNCTION("""COMPUTED_VALUE"""),26.85)</f>
        <v>26.85</v>
      </c>
      <c r="E1395" s="1">
        <f>IFERROR(__xludf.DUMMYFUNCTION("""COMPUTED_VALUE"""),27.04)</f>
        <v>27.04</v>
      </c>
      <c r="F1395" s="1">
        <f>IFERROR(__xludf.DUMMYFUNCTION("""COMPUTED_VALUE"""),386209.0)</f>
        <v>386209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IFERROR(__xludf.DUMMYFUNCTION("""COMPUTED_VALUE"""),27.05)</f>
        <v>27.05</v>
      </c>
      <c r="C1396" s="1">
        <f>IFERROR(__xludf.DUMMYFUNCTION("""COMPUTED_VALUE"""),27.09)</f>
        <v>27.09</v>
      </c>
      <c r="D1396" s="1">
        <f>IFERROR(__xludf.DUMMYFUNCTION("""COMPUTED_VALUE"""),26.47)</f>
        <v>26.47</v>
      </c>
      <c r="E1396" s="1">
        <f>IFERROR(__xludf.DUMMYFUNCTION("""COMPUTED_VALUE"""),26.5)</f>
        <v>26.5</v>
      </c>
      <c r="F1396" s="1">
        <f>IFERROR(__xludf.DUMMYFUNCTION("""COMPUTED_VALUE"""),501807.0)</f>
        <v>501807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IFERROR(__xludf.DUMMYFUNCTION("""COMPUTED_VALUE"""),26.45)</f>
        <v>26.45</v>
      </c>
      <c r="C1397" s="1">
        <f>IFERROR(__xludf.DUMMYFUNCTION("""COMPUTED_VALUE"""),26.55)</f>
        <v>26.55</v>
      </c>
      <c r="D1397" s="1">
        <f>IFERROR(__xludf.DUMMYFUNCTION("""COMPUTED_VALUE"""),26.29)</f>
        <v>26.29</v>
      </c>
      <c r="E1397" s="1">
        <f>IFERROR(__xludf.DUMMYFUNCTION("""COMPUTED_VALUE"""),26.48)</f>
        <v>26.48</v>
      </c>
      <c r="F1397" s="1">
        <f>IFERROR(__xludf.DUMMYFUNCTION("""COMPUTED_VALUE"""),490135.0)</f>
        <v>490135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IFERROR(__xludf.DUMMYFUNCTION("""COMPUTED_VALUE"""),26.29)</f>
        <v>26.29</v>
      </c>
      <c r="C1398" s="1">
        <f>IFERROR(__xludf.DUMMYFUNCTION("""COMPUTED_VALUE"""),26.45)</f>
        <v>26.45</v>
      </c>
      <c r="D1398" s="1">
        <f>IFERROR(__xludf.DUMMYFUNCTION("""COMPUTED_VALUE"""),26.09)</f>
        <v>26.09</v>
      </c>
      <c r="E1398" s="1">
        <f>IFERROR(__xludf.DUMMYFUNCTION("""COMPUTED_VALUE"""),26.18)</f>
        <v>26.18</v>
      </c>
      <c r="F1398" s="1">
        <f>IFERROR(__xludf.DUMMYFUNCTION("""COMPUTED_VALUE"""),341877.0)</f>
        <v>341877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IFERROR(__xludf.DUMMYFUNCTION("""COMPUTED_VALUE"""),26.22)</f>
        <v>26.22</v>
      </c>
      <c r="C1399" s="1">
        <f>IFERROR(__xludf.DUMMYFUNCTION("""COMPUTED_VALUE"""),26.44)</f>
        <v>26.44</v>
      </c>
      <c r="D1399" s="1">
        <f>IFERROR(__xludf.DUMMYFUNCTION("""COMPUTED_VALUE"""),26.07)</f>
        <v>26.07</v>
      </c>
      <c r="E1399" s="1">
        <f>IFERROR(__xludf.DUMMYFUNCTION("""COMPUTED_VALUE"""),26.16)</f>
        <v>26.16</v>
      </c>
      <c r="F1399" s="1">
        <f>IFERROR(__xludf.DUMMYFUNCTION("""COMPUTED_VALUE"""),475731.0)</f>
        <v>475731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IFERROR(__xludf.DUMMYFUNCTION("""COMPUTED_VALUE"""),26.18)</f>
        <v>26.18</v>
      </c>
      <c r="C1400" s="1">
        <f>IFERROR(__xludf.DUMMYFUNCTION("""COMPUTED_VALUE"""),26.28)</f>
        <v>26.28</v>
      </c>
      <c r="D1400" s="1">
        <f>IFERROR(__xludf.DUMMYFUNCTION("""COMPUTED_VALUE"""),25.65)</f>
        <v>25.65</v>
      </c>
      <c r="E1400" s="1">
        <f>IFERROR(__xludf.DUMMYFUNCTION("""COMPUTED_VALUE"""),25.83)</f>
        <v>25.83</v>
      </c>
      <c r="F1400" s="1">
        <f>IFERROR(__xludf.DUMMYFUNCTION("""COMPUTED_VALUE"""),340201.0)</f>
        <v>340201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IFERROR(__xludf.DUMMYFUNCTION("""COMPUTED_VALUE"""),25.69)</f>
        <v>25.69</v>
      </c>
      <c r="C1401" s="1">
        <f>IFERROR(__xludf.DUMMYFUNCTION("""COMPUTED_VALUE"""),26.03)</f>
        <v>26.03</v>
      </c>
      <c r="D1401" s="1">
        <f>IFERROR(__xludf.DUMMYFUNCTION("""COMPUTED_VALUE"""),25.68)</f>
        <v>25.68</v>
      </c>
      <c r="E1401" s="1">
        <f>IFERROR(__xludf.DUMMYFUNCTION("""COMPUTED_VALUE"""),25.91)</f>
        <v>25.91</v>
      </c>
      <c r="F1401" s="1">
        <f>IFERROR(__xludf.DUMMYFUNCTION("""COMPUTED_VALUE"""),546387.0)</f>
        <v>546387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IFERROR(__xludf.DUMMYFUNCTION("""COMPUTED_VALUE"""),26.0)</f>
        <v>26</v>
      </c>
      <c r="C1402" s="1">
        <f>IFERROR(__xludf.DUMMYFUNCTION("""COMPUTED_VALUE"""),26.37)</f>
        <v>26.37</v>
      </c>
      <c r="D1402" s="1">
        <f>IFERROR(__xludf.DUMMYFUNCTION("""COMPUTED_VALUE"""),25.89)</f>
        <v>25.89</v>
      </c>
      <c r="E1402" s="1">
        <f>IFERROR(__xludf.DUMMYFUNCTION("""COMPUTED_VALUE"""),26.26)</f>
        <v>26.26</v>
      </c>
      <c r="F1402" s="1">
        <f>IFERROR(__xludf.DUMMYFUNCTION("""COMPUTED_VALUE"""),989034.0)</f>
        <v>989034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IFERROR(__xludf.DUMMYFUNCTION("""COMPUTED_VALUE"""),26.3)</f>
        <v>26.3</v>
      </c>
      <c r="C1403" s="1">
        <f>IFERROR(__xludf.DUMMYFUNCTION("""COMPUTED_VALUE"""),26.65)</f>
        <v>26.65</v>
      </c>
      <c r="D1403" s="1">
        <f>IFERROR(__xludf.DUMMYFUNCTION("""COMPUTED_VALUE"""),26.3)</f>
        <v>26.3</v>
      </c>
      <c r="E1403" s="1">
        <f>IFERROR(__xludf.DUMMYFUNCTION("""COMPUTED_VALUE"""),26.57)</f>
        <v>26.57</v>
      </c>
      <c r="F1403" s="1">
        <f>IFERROR(__xludf.DUMMYFUNCTION("""COMPUTED_VALUE"""),501752.0)</f>
        <v>501752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IFERROR(__xludf.DUMMYFUNCTION("""COMPUTED_VALUE"""),26.51)</f>
        <v>26.51</v>
      </c>
      <c r="C1404" s="1">
        <f>IFERROR(__xludf.DUMMYFUNCTION("""COMPUTED_VALUE"""),27.08)</f>
        <v>27.08</v>
      </c>
      <c r="D1404" s="1">
        <f>IFERROR(__xludf.DUMMYFUNCTION("""COMPUTED_VALUE"""),26.38)</f>
        <v>26.38</v>
      </c>
      <c r="E1404" s="1">
        <f>IFERROR(__xludf.DUMMYFUNCTION("""COMPUTED_VALUE"""),27.0)</f>
        <v>27</v>
      </c>
      <c r="F1404" s="1">
        <f>IFERROR(__xludf.DUMMYFUNCTION("""COMPUTED_VALUE"""),558704.0)</f>
        <v>558704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IFERROR(__xludf.DUMMYFUNCTION("""COMPUTED_VALUE"""),27.1)</f>
        <v>27.1</v>
      </c>
      <c r="C1405" s="1">
        <f>IFERROR(__xludf.DUMMYFUNCTION("""COMPUTED_VALUE"""),27.12)</f>
        <v>27.12</v>
      </c>
      <c r="D1405" s="1">
        <f>IFERROR(__xludf.DUMMYFUNCTION("""COMPUTED_VALUE"""),26.89)</f>
        <v>26.89</v>
      </c>
      <c r="E1405" s="1">
        <f>IFERROR(__xludf.DUMMYFUNCTION("""COMPUTED_VALUE"""),27.02)</f>
        <v>27.02</v>
      </c>
      <c r="F1405" s="1">
        <f>IFERROR(__xludf.DUMMYFUNCTION("""COMPUTED_VALUE"""),490980.0)</f>
        <v>490980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IFERROR(__xludf.DUMMYFUNCTION("""COMPUTED_VALUE"""),27.03)</f>
        <v>27.03</v>
      </c>
      <c r="C1406" s="1">
        <f>IFERROR(__xludf.DUMMYFUNCTION("""COMPUTED_VALUE"""),27.03)</f>
        <v>27.03</v>
      </c>
      <c r="D1406" s="1">
        <f>IFERROR(__xludf.DUMMYFUNCTION("""COMPUTED_VALUE"""),26.42)</f>
        <v>26.42</v>
      </c>
      <c r="E1406" s="1">
        <f>IFERROR(__xludf.DUMMYFUNCTION("""COMPUTED_VALUE"""),26.48)</f>
        <v>26.48</v>
      </c>
      <c r="F1406" s="1">
        <f>IFERROR(__xludf.DUMMYFUNCTION("""COMPUTED_VALUE"""),285166.0)</f>
        <v>285166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IFERROR(__xludf.DUMMYFUNCTION("""COMPUTED_VALUE"""),26.43)</f>
        <v>26.43</v>
      </c>
      <c r="C1407" s="1">
        <f>IFERROR(__xludf.DUMMYFUNCTION("""COMPUTED_VALUE"""),26.81)</f>
        <v>26.81</v>
      </c>
      <c r="D1407" s="1">
        <f>IFERROR(__xludf.DUMMYFUNCTION("""COMPUTED_VALUE"""),26.28)</f>
        <v>26.28</v>
      </c>
      <c r="E1407" s="1">
        <f>IFERROR(__xludf.DUMMYFUNCTION("""COMPUTED_VALUE"""),26.49)</f>
        <v>26.49</v>
      </c>
      <c r="F1407" s="1">
        <f>IFERROR(__xludf.DUMMYFUNCTION("""COMPUTED_VALUE"""),354086.0)</f>
        <v>354086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IFERROR(__xludf.DUMMYFUNCTION("""COMPUTED_VALUE"""),26.59)</f>
        <v>26.59</v>
      </c>
      <c r="C1408" s="1">
        <f>IFERROR(__xludf.DUMMYFUNCTION("""COMPUTED_VALUE"""),26.73)</f>
        <v>26.73</v>
      </c>
      <c r="D1408" s="1">
        <f>IFERROR(__xludf.DUMMYFUNCTION("""COMPUTED_VALUE"""),26.26)</f>
        <v>26.26</v>
      </c>
      <c r="E1408" s="1">
        <f>IFERROR(__xludf.DUMMYFUNCTION("""COMPUTED_VALUE"""),26.43)</f>
        <v>26.43</v>
      </c>
      <c r="F1408" s="1">
        <f>IFERROR(__xludf.DUMMYFUNCTION("""COMPUTED_VALUE"""),904451.0)</f>
        <v>904451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IFERROR(__xludf.DUMMYFUNCTION("""COMPUTED_VALUE"""),26.41)</f>
        <v>26.41</v>
      </c>
      <c r="C1409" s="1">
        <f>IFERROR(__xludf.DUMMYFUNCTION("""COMPUTED_VALUE"""),26.53)</f>
        <v>26.53</v>
      </c>
      <c r="D1409" s="1">
        <f>IFERROR(__xludf.DUMMYFUNCTION("""COMPUTED_VALUE"""),25.98)</f>
        <v>25.98</v>
      </c>
      <c r="E1409" s="1">
        <f>IFERROR(__xludf.DUMMYFUNCTION("""COMPUTED_VALUE"""),25.98)</f>
        <v>25.98</v>
      </c>
      <c r="F1409" s="1">
        <f>IFERROR(__xludf.DUMMYFUNCTION("""COMPUTED_VALUE"""),807778.0)</f>
        <v>807778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IFERROR(__xludf.DUMMYFUNCTION("""COMPUTED_VALUE"""),26.89)</f>
        <v>26.89</v>
      </c>
      <c r="C1410" s="1">
        <f>IFERROR(__xludf.DUMMYFUNCTION("""COMPUTED_VALUE"""),27.84)</f>
        <v>27.84</v>
      </c>
      <c r="D1410" s="1">
        <f>IFERROR(__xludf.DUMMYFUNCTION("""COMPUTED_VALUE"""),26.53)</f>
        <v>26.53</v>
      </c>
      <c r="E1410" s="1">
        <f>IFERROR(__xludf.DUMMYFUNCTION("""COMPUTED_VALUE"""),27.77)</f>
        <v>27.77</v>
      </c>
      <c r="F1410" s="1">
        <f>IFERROR(__xludf.DUMMYFUNCTION("""COMPUTED_VALUE"""),2276099.0)</f>
        <v>2276099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IFERROR(__xludf.DUMMYFUNCTION("""COMPUTED_VALUE"""),28.52)</f>
        <v>28.52</v>
      </c>
      <c r="C1411" s="1">
        <f>IFERROR(__xludf.DUMMYFUNCTION("""COMPUTED_VALUE"""),29.6)</f>
        <v>29.6</v>
      </c>
      <c r="D1411" s="1">
        <f>IFERROR(__xludf.DUMMYFUNCTION("""COMPUTED_VALUE"""),28.42)</f>
        <v>28.42</v>
      </c>
      <c r="E1411" s="1">
        <f>IFERROR(__xludf.DUMMYFUNCTION("""COMPUTED_VALUE"""),29.31)</f>
        <v>29.31</v>
      </c>
      <c r="F1411" s="1">
        <f>IFERROR(__xludf.DUMMYFUNCTION("""COMPUTED_VALUE"""),2601867.0)</f>
        <v>2601867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IFERROR(__xludf.DUMMYFUNCTION("""COMPUTED_VALUE"""),29.29)</f>
        <v>29.29</v>
      </c>
      <c r="C1412" s="1">
        <f>IFERROR(__xludf.DUMMYFUNCTION("""COMPUTED_VALUE"""),29.63)</f>
        <v>29.63</v>
      </c>
      <c r="D1412" s="1">
        <f>IFERROR(__xludf.DUMMYFUNCTION("""COMPUTED_VALUE"""),29.12)</f>
        <v>29.12</v>
      </c>
      <c r="E1412" s="1">
        <f>IFERROR(__xludf.DUMMYFUNCTION("""COMPUTED_VALUE"""),29.51)</f>
        <v>29.51</v>
      </c>
      <c r="F1412" s="1">
        <f>IFERROR(__xludf.DUMMYFUNCTION("""COMPUTED_VALUE"""),1205610.0)</f>
        <v>1205610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IFERROR(__xludf.DUMMYFUNCTION("""COMPUTED_VALUE"""),29.36)</f>
        <v>29.36</v>
      </c>
      <c r="C1413" s="1">
        <f>IFERROR(__xludf.DUMMYFUNCTION("""COMPUTED_VALUE"""),30.18)</f>
        <v>30.18</v>
      </c>
      <c r="D1413" s="1">
        <f>IFERROR(__xludf.DUMMYFUNCTION("""COMPUTED_VALUE"""),29.36)</f>
        <v>29.36</v>
      </c>
      <c r="E1413" s="1">
        <f>IFERROR(__xludf.DUMMYFUNCTION("""COMPUTED_VALUE"""),30.17)</f>
        <v>30.17</v>
      </c>
      <c r="F1413" s="1">
        <f>IFERROR(__xludf.DUMMYFUNCTION("""COMPUTED_VALUE"""),847655.0)</f>
        <v>847655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IFERROR(__xludf.DUMMYFUNCTION("""COMPUTED_VALUE"""),30.1)</f>
        <v>30.1</v>
      </c>
      <c r="C1414" s="1">
        <f>IFERROR(__xludf.DUMMYFUNCTION("""COMPUTED_VALUE"""),30.11)</f>
        <v>30.11</v>
      </c>
      <c r="D1414" s="1">
        <f>IFERROR(__xludf.DUMMYFUNCTION("""COMPUTED_VALUE"""),29.71)</f>
        <v>29.71</v>
      </c>
      <c r="E1414" s="1">
        <f>IFERROR(__xludf.DUMMYFUNCTION("""COMPUTED_VALUE"""),29.89)</f>
        <v>29.89</v>
      </c>
      <c r="F1414" s="1">
        <f>IFERROR(__xludf.DUMMYFUNCTION("""COMPUTED_VALUE"""),499956.0)</f>
        <v>499956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IFERROR(__xludf.DUMMYFUNCTION("""COMPUTED_VALUE"""),29.93)</f>
        <v>29.93</v>
      </c>
      <c r="C1415" s="1">
        <f>IFERROR(__xludf.DUMMYFUNCTION("""COMPUTED_VALUE"""),30.47)</f>
        <v>30.47</v>
      </c>
      <c r="D1415" s="1">
        <f>IFERROR(__xludf.DUMMYFUNCTION("""COMPUTED_VALUE"""),29.78)</f>
        <v>29.78</v>
      </c>
      <c r="E1415" s="1">
        <f>IFERROR(__xludf.DUMMYFUNCTION("""COMPUTED_VALUE"""),30.4)</f>
        <v>30.4</v>
      </c>
      <c r="F1415" s="1">
        <f>IFERROR(__xludf.DUMMYFUNCTION("""COMPUTED_VALUE"""),357393.0)</f>
        <v>357393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IFERROR(__xludf.DUMMYFUNCTION("""COMPUTED_VALUE"""),30.34)</f>
        <v>30.34</v>
      </c>
      <c r="C1416" s="1">
        <f>IFERROR(__xludf.DUMMYFUNCTION("""COMPUTED_VALUE"""),30.5)</f>
        <v>30.5</v>
      </c>
      <c r="D1416" s="1">
        <f>IFERROR(__xludf.DUMMYFUNCTION("""COMPUTED_VALUE"""),29.96)</f>
        <v>29.96</v>
      </c>
      <c r="E1416" s="1">
        <f>IFERROR(__xludf.DUMMYFUNCTION("""COMPUTED_VALUE"""),30.37)</f>
        <v>30.37</v>
      </c>
      <c r="F1416" s="1">
        <f>IFERROR(__xludf.DUMMYFUNCTION("""COMPUTED_VALUE"""),524413.0)</f>
        <v>524413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IFERROR(__xludf.DUMMYFUNCTION("""COMPUTED_VALUE"""),30.26)</f>
        <v>30.26</v>
      </c>
      <c r="C1417" s="1">
        <f>IFERROR(__xludf.DUMMYFUNCTION("""COMPUTED_VALUE"""),30.57)</f>
        <v>30.57</v>
      </c>
      <c r="D1417" s="1">
        <f>IFERROR(__xludf.DUMMYFUNCTION("""COMPUTED_VALUE"""),30.21)</f>
        <v>30.21</v>
      </c>
      <c r="E1417" s="1">
        <f>IFERROR(__xludf.DUMMYFUNCTION("""COMPUTED_VALUE"""),30.34)</f>
        <v>30.34</v>
      </c>
      <c r="F1417" s="1">
        <f>IFERROR(__xludf.DUMMYFUNCTION("""COMPUTED_VALUE"""),829975.0)</f>
        <v>829975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IFERROR(__xludf.DUMMYFUNCTION("""COMPUTED_VALUE"""),30.22)</f>
        <v>30.22</v>
      </c>
      <c r="C1418" s="1">
        <f>IFERROR(__xludf.DUMMYFUNCTION("""COMPUTED_VALUE"""),30.3)</f>
        <v>30.3</v>
      </c>
      <c r="D1418" s="1">
        <f>IFERROR(__xludf.DUMMYFUNCTION("""COMPUTED_VALUE"""),29.64)</f>
        <v>29.64</v>
      </c>
      <c r="E1418" s="1">
        <f>IFERROR(__xludf.DUMMYFUNCTION("""COMPUTED_VALUE"""),30.05)</f>
        <v>30.05</v>
      </c>
      <c r="F1418" s="1">
        <f>IFERROR(__xludf.DUMMYFUNCTION("""COMPUTED_VALUE"""),729855.0)</f>
        <v>729855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IFERROR(__xludf.DUMMYFUNCTION("""COMPUTED_VALUE"""),29.79)</f>
        <v>29.79</v>
      </c>
      <c r="C1419" s="1">
        <f>IFERROR(__xludf.DUMMYFUNCTION("""COMPUTED_VALUE"""),29.96)</f>
        <v>29.96</v>
      </c>
      <c r="D1419" s="1">
        <f>IFERROR(__xludf.DUMMYFUNCTION("""COMPUTED_VALUE"""),29.31)</f>
        <v>29.31</v>
      </c>
      <c r="E1419" s="1">
        <f>IFERROR(__xludf.DUMMYFUNCTION("""COMPUTED_VALUE"""),29.32)</f>
        <v>29.32</v>
      </c>
      <c r="F1419" s="1">
        <f>IFERROR(__xludf.DUMMYFUNCTION("""COMPUTED_VALUE"""),731429.0)</f>
        <v>731429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IFERROR(__xludf.DUMMYFUNCTION("""COMPUTED_VALUE"""),29.04)</f>
        <v>29.04</v>
      </c>
      <c r="C1420" s="1">
        <f>IFERROR(__xludf.DUMMYFUNCTION("""COMPUTED_VALUE"""),29.22)</f>
        <v>29.22</v>
      </c>
      <c r="D1420" s="1">
        <f>IFERROR(__xludf.DUMMYFUNCTION("""COMPUTED_VALUE"""),28.38)</f>
        <v>28.38</v>
      </c>
      <c r="E1420" s="1">
        <f>IFERROR(__xludf.DUMMYFUNCTION("""COMPUTED_VALUE"""),28.48)</f>
        <v>28.48</v>
      </c>
      <c r="F1420" s="1">
        <f>IFERROR(__xludf.DUMMYFUNCTION("""COMPUTED_VALUE"""),951356.0)</f>
        <v>951356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IFERROR(__xludf.DUMMYFUNCTION("""COMPUTED_VALUE"""),27.14)</f>
        <v>27.14</v>
      </c>
      <c r="C1421" s="1">
        <f>IFERROR(__xludf.DUMMYFUNCTION("""COMPUTED_VALUE"""),28.4)</f>
        <v>28.4</v>
      </c>
      <c r="D1421" s="1">
        <f>IFERROR(__xludf.DUMMYFUNCTION("""COMPUTED_VALUE"""),27.14)</f>
        <v>27.14</v>
      </c>
      <c r="E1421" s="1">
        <f>IFERROR(__xludf.DUMMYFUNCTION("""COMPUTED_VALUE"""),27.87)</f>
        <v>27.87</v>
      </c>
      <c r="F1421" s="1">
        <f>IFERROR(__xludf.DUMMYFUNCTION("""COMPUTED_VALUE"""),1633787.0)</f>
        <v>1633787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IFERROR(__xludf.DUMMYFUNCTION("""COMPUTED_VALUE"""),28.62)</f>
        <v>28.62</v>
      </c>
      <c r="C1422" s="1">
        <f>IFERROR(__xludf.DUMMYFUNCTION("""COMPUTED_VALUE"""),28.63)</f>
        <v>28.63</v>
      </c>
      <c r="D1422" s="1">
        <f>IFERROR(__xludf.DUMMYFUNCTION("""COMPUTED_VALUE"""),27.5)</f>
        <v>27.5</v>
      </c>
      <c r="E1422" s="1">
        <f>IFERROR(__xludf.DUMMYFUNCTION("""COMPUTED_VALUE"""),27.51)</f>
        <v>27.51</v>
      </c>
      <c r="F1422" s="1">
        <f>IFERROR(__xludf.DUMMYFUNCTION("""COMPUTED_VALUE"""),1683200.0)</f>
        <v>1683200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IFERROR(__xludf.DUMMYFUNCTION("""COMPUTED_VALUE"""),27.99)</f>
        <v>27.99</v>
      </c>
      <c r="C1423" s="1">
        <f>IFERROR(__xludf.DUMMYFUNCTION("""COMPUTED_VALUE"""),28.1)</f>
        <v>28.1</v>
      </c>
      <c r="D1423" s="1">
        <f>IFERROR(__xludf.DUMMYFUNCTION("""COMPUTED_VALUE"""),27.47)</f>
        <v>27.47</v>
      </c>
      <c r="E1423" s="1">
        <f>IFERROR(__xludf.DUMMYFUNCTION("""COMPUTED_VALUE"""),27.91)</f>
        <v>27.91</v>
      </c>
      <c r="F1423" s="1">
        <f>IFERROR(__xludf.DUMMYFUNCTION("""COMPUTED_VALUE"""),1665367.0)</f>
        <v>1665367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IFERROR(__xludf.DUMMYFUNCTION("""COMPUTED_VALUE"""),28.28)</f>
        <v>28.28</v>
      </c>
      <c r="C1424" s="1">
        <f>IFERROR(__xludf.DUMMYFUNCTION("""COMPUTED_VALUE"""),28.67)</f>
        <v>28.67</v>
      </c>
      <c r="D1424" s="1">
        <f>IFERROR(__xludf.DUMMYFUNCTION("""COMPUTED_VALUE"""),28.04)</f>
        <v>28.04</v>
      </c>
      <c r="E1424" s="1">
        <f>IFERROR(__xludf.DUMMYFUNCTION("""COMPUTED_VALUE"""),28.57)</f>
        <v>28.57</v>
      </c>
      <c r="F1424" s="1">
        <f>IFERROR(__xludf.DUMMYFUNCTION("""COMPUTED_VALUE"""),897524.0)</f>
        <v>897524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IFERROR(__xludf.DUMMYFUNCTION("""COMPUTED_VALUE"""),28.42)</f>
        <v>28.42</v>
      </c>
      <c r="C1425" s="1">
        <f>IFERROR(__xludf.DUMMYFUNCTION("""COMPUTED_VALUE"""),28.58)</f>
        <v>28.58</v>
      </c>
      <c r="D1425" s="1">
        <f>IFERROR(__xludf.DUMMYFUNCTION("""COMPUTED_VALUE"""),27.55)</f>
        <v>27.55</v>
      </c>
      <c r="E1425" s="1">
        <f>IFERROR(__xludf.DUMMYFUNCTION("""COMPUTED_VALUE"""),27.83)</f>
        <v>27.83</v>
      </c>
      <c r="F1425" s="1">
        <f>IFERROR(__xludf.DUMMYFUNCTION("""COMPUTED_VALUE"""),1016009.0)</f>
        <v>1016009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IFERROR(__xludf.DUMMYFUNCTION("""COMPUTED_VALUE"""),27.67)</f>
        <v>27.67</v>
      </c>
      <c r="C1426" s="1">
        <f>IFERROR(__xludf.DUMMYFUNCTION("""COMPUTED_VALUE"""),27.87)</f>
        <v>27.87</v>
      </c>
      <c r="D1426" s="1">
        <f>IFERROR(__xludf.DUMMYFUNCTION("""COMPUTED_VALUE"""),27.42)</f>
        <v>27.42</v>
      </c>
      <c r="E1426" s="1">
        <f>IFERROR(__xludf.DUMMYFUNCTION("""COMPUTED_VALUE"""),27.58)</f>
        <v>27.58</v>
      </c>
      <c r="F1426" s="1">
        <f>IFERROR(__xludf.DUMMYFUNCTION("""COMPUTED_VALUE"""),989070.0)</f>
        <v>989070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IFERROR(__xludf.DUMMYFUNCTION("""COMPUTED_VALUE"""),27.2)</f>
        <v>27.2</v>
      </c>
      <c r="C1427" s="1">
        <f>IFERROR(__xludf.DUMMYFUNCTION("""COMPUTED_VALUE"""),27.4)</f>
        <v>27.4</v>
      </c>
      <c r="D1427" s="1">
        <f>IFERROR(__xludf.DUMMYFUNCTION("""COMPUTED_VALUE"""),26.3)</f>
        <v>26.3</v>
      </c>
      <c r="E1427" s="1">
        <f>IFERROR(__xludf.DUMMYFUNCTION("""COMPUTED_VALUE"""),26.48)</f>
        <v>26.48</v>
      </c>
      <c r="F1427" s="1">
        <f>IFERROR(__xludf.DUMMYFUNCTION("""COMPUTED_VALUE"""),1283650.0)</f>
        <v>1283650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IFERROR(__xludf.DUMMYFUNCTION("""COMPUTED_VALUE"""),26.58)</f>
        <v>26.58</v>
      </c>
      <c r="C1428" s="1">
        <f>IFERROR(__xludf.DUMMYFUNCTION("""COMPUTED_VALUE"""),26.82)</f>
        <v>26.82</v>
      </c>
      <c r="D1428" s="1">
        <f>IFERROR(__xludf.DUMMYFUNCTION("""COMPUTED_VALUE"""),26.36)</f>
        <v>26.36</v>
      </c>
      <c r="E1428" s="1">
        <f>IFERROR(__xludf.DUMMYFUNCTION("""COMPUTED_VALUE"""),26.68)</f>
        <v>26.68</v>
      </c>
      <c r="F1428" s="1">
        <f>IFERROR(__xludf.DUMMYFUNCTION("""COMPUTED_VALUE"""),1268403.0)</f>
        <v>1268403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IFERROR(__xludf.DUMMYFUNCTION("""COMPUTED_VALUE"""),26.77)</f>
        <v>26.77</v>
      </c>
      <c r="C1429" s="1">
        <f>IFERROR(__xludf.DUMMYFUNCTION("""COMPUTED_VALUE"""),27.44)</f>
        <v>27.44</v>
      </c>
      <c r="D1429" s="1">
        <f>IFERROR(__xludf.DUMMYFUNCTION("""COMPUTED_VALUE"""),26.69)</f>
        <v>26.69</v>
      </c>
      <c r="E1429" s="1">
        <f>IFERROR(__xludf.DUMMYFUNCTION("""COMPUTED_VALUE"""),27.36)</f>
        <v>27.36</v>
      </c>
      <c r="F1429" s="1">
        <f>IFERROR(__xludf.DUMMYFUNCTION("""COMPUTED_VALUE"""),792611.0)</f>
        <v>792611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IFERROR(__xludf.DUMMYFUNCTION("""COMPUTED_VALUE"""),27.14)</f>
        <v>27.14</v>
      </c>
      <c r="C1430" s="1">
        <f>IFERROR(__xludf.DUMMYFUNCTION("""COMPUTED_VALUE"""),27.26)</f>
        <v>27.26</v>
      </c>
      <c r="D1430" s="1">
        <f>IFERROR(__xludf.DUMMYFUNCTION("""COMPUTED_VALUE"""),26.68)</f>
        <v>26.68</v>
      </c>
      <c r="E1430" s="1">
        <f>IFERROR(__xludf.DUMMYFUNCTION("""COMPUTED_VALUE"""),26.77)</f>
        <v>26.77</v>
      </c>
      <c r="F1430" s="1">
        <f>IFERROR(__xludf.DUMMYFUNCTION("""COMPUTED_VALUE"""),730960.0)</f>
        <v>730960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IFERROR(__xludf.DUMMYFUNCTION("""COMPUTED_VALUE"""),27.12)</f>
        <v>27.12</v>
      </c>
      <c r="C1431" s="1">
        <f>IFERROR(__xludf.DUMMYFUNCTION("""COMPUTED_VALUE"""),27.23)</f>
        <v>27.23</v>
      </c>
      <c r="D1431" s="1">
        <f>IFERROR(__xludf.DUMMYFUNCTION("""COMPUTED_VALUE"""),26.94)</f>
        <v>26.94</v>
      </c>
      <c r="E1431" s="1">
        <f>IFERROR(__xludf.DUMMYFUNCTION("""COMPUTED_VALUE"""),27.15)</f>
        <v>27.15</v>
      </c>
      <c r="F1431" s="1">
        <f>IFERROR(__xludf.DUMMYFUNCTION("""COMPUTED_VALUE"""),890241.0)</f>
        <v>890241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IFERROR(__xludf.DUMMYFUNCTION("""COMPUTED_VALUE"""),27.33)</f>
        <v>27.33</v>
      </c>
      <c r="C1432" s="1">
        <f>IFERROR(__xludf.DUMMYFUNCTION("""COMPUTED_VALUE"""),27.52)</f>
        <v>27.52</v>
      </c>
      <c r="D1432" s="1">
        <f>IFERROR(__xludf.DUMMYFUNCTION("""COMPUTED_VALUE"""),26.94)</f>
        <v>26.94</v>
      </c>
      <c r="E1432" s="1">
        <f>IFERROR(__xludf.DUMMYFUNCTION("""COMPUTED_VALUE"""),26.99)</f>
        <v>26.99</v>
      </c>
      <c r="F1432" s="1">
        <f>IFERROR(__xludf.DUMMYFUNCTION("""COMPUTED_VALUE"""),1017321.0)</f>
        <v>1017321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IFERROR(__xludf.DUMMYFUNCTION("""COMPUTED_VALUE"""),26.97)</f>
        <v>26.97</v>
      </c>
      <c r="C1433" s="1">
        <f>IFERROR(__xludf.DUMMYFUNCTION("""COMPUTED_VALUE"""),27.25)</f>
        <v>27.25</v>
      </c>
      <c r="D1433" s="1">
        <f>IFERROR(__xludf.DUMMYFUNCTION("""COMPUTED_VALUE"""),26.74)</f>
        <v>26.74</v>
      </c>
      <c r="E1433" s="1">
        <f>IFERROR(__xludf.DUMMYFUNCTION("""COMPUTED_VALUE"""),26.77)</f>
        <v>26.77</v>
      </c>
      <c r="F1433" s="1">
        <f>IFERROR(__xludf.DUMMYFUNCTION("""COMPUTED_VALUE"""),597021.0)</f>
        <v>597021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IFERROR(__xludf.DUMMYFUNCTION("""COMPUTED_VALUE"""),26.67)</f>
        <v>26.67</v>
      </c>
      <c r="C1434" s="1">
        <f>IFERROR(__xludf.DUMMYFUNCTION("""COMPUTED_VALUE"""),26.77)</f>
        <v>26.77</v>
      </c>
      <c r="D1434" s="1">
        <f>IFERROR(__xludf.DUMMYFUNCTION("""COMPUTED_VALUE"""),26.54)</f>
        <v>26.54</v>
      </c>
      <c r="E1434" s="1">
        <f>IFERROR(__xludf.DUMMYFUNCTION("""COMPUTED_VALUE"""),26.66)</f>
        <v>26.66</v>
      </c>
      <c r="F1434" s="1">
        <f>IFERROR(__xludf.DUMMYFUNCTION("""COMPUTED_VALUE"""),787185.0)</f>
        <v>787185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IFERROR(__xludf.DUMMYFUNCTION("""COMPUTED_VALUE"""),26.69)</f>
        <v>26.69</v>
      </c>
      <c r="C1435" s="1">
        <f>IFERROR(__xludf.DUMMYFUNCTION("""COMPUTED_VALUE"""),26.74)</f>
        <v>26.74</v>
      </c>
      <c r="D1435" s="1">
        <f>IFERROR(__xludf.DUMMYFUNCTION("""COMPUTED_VALUE"""),26.03)</f>
        <v>26.03</v>
      </c>
      <c r="E1435" s="1">
        <f>IFERROR(__xludf.DUMMYFUNCTION("""COMPUTED_VALUE"""),26.25)</f>
        <v>26.25</v>
      </c>
      <c r="F1435" s="1">
        <f>IFERROR(__xludf.DUMMYFUNCTION("""COMPUTED_VALUE"""),1181403.0)</f>
        <v>1181403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IFERROR(__xludf.DUMMYFUNCTION("""COMPUTED_VALUE"""),26.3)</f>
        <v>26.3</v>
      </c>
      <c r="C1436" s="1">
        <f>IFERROR(__xludf.DUMMYFUNCTION("""COMPUTED_VALUE"""),26.74)</f>
        <v>26.74</v>
      </c>
      <c r="D1436" s="1">
        <f>IFERROR(__xludf.DUMMYFUNCTION("""COMPUTED_VALUE"""),26.17)</f>
        <v>26.17</v>
      </c>
      <c r="E1436" s="1">
        <f>IFERROR(__xludf.DUMMYFUNCTION("""COMPUTED_VALUE"""),26.72)</f>
        <v>26.72</v>
      </c>
      <c r="F1436" s="1">
        <f>IFERROR(__xludf.DUMMYFUNCTION("""COMPUTED_VALUE"""),831665.0)</f>
        <v>831665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IFERROR(__xludf.DUMMYFUNCTION("""COMPUTED_VALUE"""),26.78)</f>
        <v>26.78</v>
      </c>
      <c r="C1437" s="1">
        <f>IFERROR(__xludf.DUMMYFUNCTION("""COMPUTED_VALUE"""),27.25)</f>
        <v>27.25</v>
      </c>
      <c r="D1437" s="1">
        <f>IFERROR(__xludf.DUMMYFUNCTION("""COMPUTED_VALUE"""),26.74)</f>
        <v>26.74</v>
      </c>
      <c r="E1437" s="1">
        <f>IFERROR(__xludf.DUMMYFUNCTION("""COMPUTED_VALUE"""),27.2)</f>
        <v>27.2</v>
      </c>
      <c r="F1437" s="1">
        <f>IFERROR(__xludf.DUMMYFUNCTION("""COMPUTED_VALUE"""),979076.0)</f>
        <v>979076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IFERROR(__xludf.DUMMYFUNCTION("""COMPUTED_VALUE"""),27.21)</f>
        <v>27.21</v>
      </c>
      <c r="C1438" s="1">
        <f>IFERROR(__xludf.DUMMYFUNCTION("""COMPUTED_VALUE"""),27.38)</f>
        <v>27.38</v>
      </c>
      <c r="D1438" s="1">
        <f>IFERROR(__xludf.DUMMYFUNCTION("""COMPUTED_VALUE"""),26.73)</f>
        <v>26.73</v>
      </c>
      <c r="E1438" s="1">
        <f>IFERROR(__xludf.DUMMYFUNCTION("""COMPUTED_VALUE"""),26.76)</f>
        <v>26.76</v>
      </c>
      <c r="F1438" s="1">
        <f>IFERROR(__xludf.DUMMYFUNCTION("""COMPUTED_VALUE"""),668215.0)</f>
        <v>668215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IFERROR(__xludf.DUMMYFUNCTION("""COMPUTED_VALUE"""),26.49)</f>
        <v>26.49</v>
      </c>
      <c r="C1439" s="1">
        <f>IFERROR(__xludf.DUMMYFUNCTION("""COMPUTED_VALUE"""),26.74)</f>
        <v>26.74</v>
      </c>
      <c r="D1439" s="1">
        <f>IFERROR(__xludf.DUMMYFUNCTION("""COMPUTED_VALUE"""),26.02)</f>
        <v>26.02</v>
      </c>
      <c r="E1439" s="1">
        <f>IFERROR(__xludf.DUMMYFUNCTION("""COMPUTED_VALUE"""),26.06)</f>
        <v>26.06</v>
      </c>
      <c r="F1439" s="1">
        <f>IFERROR(__xludf.DUMMYFUNCTION("""COMPUTED_VALUE"""),1065635.0)</f>
        <v>1065635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IFERROR(__xludf.DUMMYFUNCTION("""COMPUTED_VALUE"""),26.17)</f>
        <v>26.17</v>
      </c>
      <c r="C1440" s="1">
        <f>IFERROR(__xludf.DUMMYFUNCTION("""COMPUTED_VALUE"""),26.23)</f>
        <v>26.23</v>
      </c>
      <c r="D1440" s="1">
        <f>IFERROR(__xludf.DUMMYFUNCTION("""COMPUTED_VALUE"""),25.81)</f>
        <v>25.81</v>
      </c>
      <c r="E1440" s="1">
        <f>IFERROR(__xludf.DUMMYFUNCTION("""COMPUTED_VALUE"""),25.94)</f>
        <v>25.94</v>
      </c>
      <c r="F1440" s="1">
        <f>IFERROR(__xludf.DUMMYFUNCTION("""COMPUTED_VALUE"""),851866.0)</f>
        <v>851866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IFERROR(__xludf.DUMMYFUNCTION("""COMPUTED_VALUE"""),25.66)</f>
        <v>25.66</v>
      </c>
      <c r="C1441" s="1">
        <f>IFERROR(__xludf.DUMMYFUNCTION("""COMPUTED_VALUE"""),26.17)</f>
        <v>26.17</v>
      </c>
      <c r="D1441" s="1">
        <f>IFERROR(__xludf.DUMMYFUNCTION("""COMPUTED_VALUE"""),25.45)</f>
        <v>25.45</v>
      </c>
      <c r="E1441" s="1">
        <f>IFERROR(__xludf.DUMMYFUNCTION("""COMPUTED_VALUE"""),26.12)</f>
        <v>26.12</v>
      </c>
      <c r="F1441" s="1">
        <f>IFERROR(__xludf.DUMMYFUNCTION("""COMPUTED_VALUE"""),1116666.0)</f>
        <v>1116666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IFERROR(__xludf.DUMMYFUNCTION("""COMPUTED_VALUE"""),26.15)</f>
        <v>26.15</v>
      </c>
      <c r="C1442" s="1">
        <f>IFERROR(__xludf.DUMMYFUNCTION("""COMPUTED_VALUE"""),26.47)</f>
        <v>26.47</v>
      </c>
      <c r="D1442" s="1">
        <f>IFERROR(__xludf.DUMMYFUNCTION("""COMPUTED_VALUE"""),26.08)</f>
        <v>26.08</v>
      </c>
      <c r="E1442" s="1">
        <f>IFERROR(__xludf.DUMMYFUNCTION("""COMPUTED_VALUE"""),26.33)</f>
        <v>26.33</v>
      </c>
      <c r="F1442" s="1">
        <f>IFERROR(__xludf.DUMMYFUNCTION("""COMPUTED_VALUE"""),878078.0)</f>
        <v>878078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IFERROR(__xludf.DUMMYFUNCTION("""COMPUTED_VALUE"""),26.16)</f>
        <v>26.16</v>
      </c>
      <c r="C1443" s="1">
        <f>IFERROR(__xludf.DUMMYFUNCTION("""COMPUTED_VALUE"""),26.18)</f>
        <v>26.18</v>
      </c>
      <c r="D1443" s="1">
        <f>IFERROR(__xludf.DUMMYFUNCTION("""COMPUTED_VALUE"""),25.36)</f>
        <v>25.36</v>
      </c>
      <c r="E1443" s="1">
        <f>IFERROR(__xludf.DUMMYFUNCTION("""COMPUTED_VALUE"""),25.77)</f>
        <v>25.77</v>
      </c>
      <c r="F1443" s="1">
        <f>IFERROR(__xludf.DUMMYFUNCTION("""COMPUTED_VALUE"""),1024984.0)</f>
        <v>1024984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IFERROR(__xludf.DUMMYFUNCTION("""COMPUTED_VALUE"""),25.9)</f>
        <v>25.9</v>
      </c>
      <c r="C1444" s="1">
        <f>IFERROR(__xludf.DUMMYFUNCTION("""COMPUTED_VALUE"""),26.16)</f>
        <v>26.16</v>
      </c>
      <c r="D1444" s="1">
        <f>IFERROR(__xludf.DUMMYFUNCTION("""COMPUTED_VALUE"""),25.83)</f>
        <v>25.83</v>
      </c>
      <c r="E1444" s="1">
        <f>IFERROR(__xludf.DUMMYFUNCTION("""COMPUTED_VALUE"""),26.01)</f>
        <v>26.01</v>
      </c>
      <c r="F1444" s="1">
        <f>IFERROR(__xludf.DUMMYFUNCTION("""COMPUTED_VALUE"""),758595.0)</f>
        <v>758595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IFERROR(__xludf.DUMMYFUNCTION("""COMPUTED_VALUE"""),25.82)</f>
        <v>25.82</v>
      </c>
      <c r="C1445" s="1">
        <f>IFERROR(__xludf.DUMMYFUNCTION("""COMPUTED_VALUE"""),25.94)</f>
        <v>25.94</v>
      </c>
      <c r="D1445" s="1">
        <f>IFERROR(__xludf.DUMMYFUNCTION("""COMPUTED_VALUE"""),25.36)</f>
        <v>25.36</v>
      </c>
      <c r="E1445" s="1">
        <f>IFERROR(__xludf.DUMMYFUNCTION("""COMPUTED_VALUE"""),25.6)</f>
        <v>25.6</v>
      </c>
      <c r="F1445" s="1">
        <f>IFERROR(__xludf.DUMMYFUNCTION("""COMPUTED_VALUE"""),574936.0)</f>
        <v>574936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IFERROR(__xludf.DUMMYFUNCTION("""COMPUTED_VALUE"""),25.61)</f>
        <v>25.61</v>
      </c>
      <c r="C1446" s="1">
        <f>IFERROR(__xludf.DUMMYFUNCTION("""COMPUTED_VALUE"""),26.22)</f>
        <v>26.22</v>
      </c>
      <c r="D1446" s="1">
        <f>IFERROR(__xludf.DUMMYFUNCTION("""COMPUTED_VALUE"""),25.51)</f>
        <v>25.51</v>
      </c>
      <c r="E1446" s="1">
        <f>IFERROR(__xludf.DUMMYFUNCTION("""COMPUTED_VALUE"""),25.94)</f>
        <v>25.94</v>
      </c>
      <c r="F1446" s="1">
        <f>IFERROR(__xludf.DUMMYFUNCTION("""COMPUTED_VALUE"""),862412.0)</f>
        <v>862412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IFERROR(__xludf.DUMMYFUNCTION("""COMPUTED_VALUE"""),26.13)</f>
        <v>26.13</v>
      </c>
      <c r="C1447" s="1">
        <f>IFERROR(__xludf.DUMMYFUNCTION("""COMPUTED_VALUE"""),26.34)</f>
        <v>26.34</v>
      </c>
      <c r="D1447" s="1">
        <f>IFERROR(__xludf.DUMMYFUNCTION("""COMPUTED_VALUE"""),25.74)</f>
        <v>25.74</v>
      </c>
      <c r="E1447" s="1">
        <f>IFERROR(__xludf.DUMMYFUNCTION("""COMPUTED_VALUE"""),25.88)</f>
        <v>25.88</v>
      </c>
      <c r="F1447" s="1">
        <f>IFERROR(__xludf.DUMMYFUNCTION("""COMPUTED_VALUE"""),927585.0)</f>
        <v>927585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IFERROR(__xludf.DUMMYFUNCTION("""COMPUTED_VALUE"""),25.92)</f>
        <v>25.92</v>
      </c>
      <c r="C1448" s="1">
        <f>IFERROR(__xludf.DUMMYFUNCTION("""COMPUTED_VALUE"""),26.36)</f>
        <v>26.36</v>
      </c>
      <c r="D1448" s="1">
        <f>IFERROR(__xludf.DUMMYFUNCTION("""COMPUTED_VALUE"""),25.85)</f>
        <v>25.85</v>
      </c>
      <c r="E1448" s="1">
        <f>IFERROR(__xludf.DUMMYFUNCTION("""COMPUTED_VALUE"""),26.03)</f>
        <v>26.03</v>
      </c>
      <c r="F1448" s="1">
        <f>IFERROR(__xludf.DUMMYFUNCTION("""COMPUTED_VALUE"""),719092.0)</f>
        <v>719092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IFERROR(__xludf.DUMMYFUNCTION("""COMPUTED_VALUE"""),25.74)</f>
        <v>25.74</v>
      </c>
      <c r="C1449" s="1">
        <f>IFERROR(__xludf.DUMMYFUNCTION("""COMPUTED_VALUE"""),26.38)</f>
        <v>26.38</v>
      </c>
      <c r="D1449" s="1">
        <f>IFERROR(__xludf.DUMMYFUNCTION("""COMPUTED_VALUE"""),25.7)</f>
        <v>25.7</v>
      </c>
      <c r="E1449" s="1">
        <f>IFERROR(__xludf.DUMMYFUNCTION("""COMPUTED_VALUE"""),26.38)</f>
        <v>26.38</v>
      </c>
      <c r="F1449" s="1">
        <f>IFERROR(__xludf.DUMMYFUNCTION("""COMPUTED_VALUE"""),946881.0)</f>
        <v>946881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IFERROR(__xludf.DUMMYFUNCTION("""COMPUTED_VALUE"""),26.53)</f>
        <v>26.53</v>
      </c>
      <c r="C1450" s="1">
        <f>IFERROR(__xludf.DUMMYFUNCTION("""COMPUTED_VALUE"""),27.39)</f>
        <v>27.39</v>
      </c>
      <c r="D1450" s="1">
        <f>IFERROR(__xludf.DUMMYFUNCTION("""COMPUTED_VALUE"""),26.46)</f>
        <v>26.46</v>
      </c>
      <c r="E1450" s="1">
        <f>IFERROR(__xludf.DUMMYFUNCTION("""COMPUTED_VALUE"""),27.24)</f>
        <v>27.24</v>
      </c>
      <c r="F1450" s="1">
        <f>IFERROR(__xludf.DUMMYFUNCTION("""COMPUTED_VALUE"""),598809.0)</f>
        <v>598809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IFERROR(__xludf.DUMMYFUNCTION("""COMPUTED_VALUE"""),27.24)</f>
        <v>27.24</v>
      </c>
      <c r="C1451" s="1">
        <f>IFERROR(__xludf.DUMMYFUNCTION("""COMPUTED_VALUE"""),27.35)</f>
        <v>27.35</v>
      </c>
      <c r="D1451" s="1">
        <f>IFERROR(__xludf.DUMMYFUNCTION("""COMPUTED_VALUE"""),26.68)</f>
        <v>26.68</v>
      </c>
      <c r="E1451" s="1">
        <f>IFERROR(__xludf.DUMMYFUNCTION("""COMPUTED_VALUE"""),26.82)</f>
        <v>26.82</v>
      </c>
      <c r="F1451" s="1">
        <f>IFERROR(__xludf.DUMMYFUNCTION("""COMPUTED_VALUE"""),487621.0)</f>
        <v>487621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IFERROR(__xludf.DUMMYFUNCTION("""COMPUTED_VALUE"""),26.95)</f>
        <v>26.95</v>
      </c>
      <c r="C1452" s="1">
        <f>IFERROR(__xludf.DUMMYFUNCTION("""COMPUTED_VALUE"""),27.19)</f>
        <v>27.19</v>
      </c>
      <c r="D1452" s="1">
        <f>IFERROR(__xludf.DUMMYFUNCTION("""COMPUTED_VALUE"""),26.4)</f>
        <v>26.4</v>
      </c>
      <c r="E1452" s="1">
        <f>IFERROR(__xludf.DUMMYFUNCTION("""COMPUTED_VALUE"""),26.44)</f>
        <v>26.44</v>
      </c>
      <c r="F1452" s="1">
        <f>IFERROR(__xludf.DUMMYFUNCTION("""COMPUTED_VALUE"""),1174078.0)</f>
        <v>1174078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IFERROR(__xludf.DUMMYFUNCTION("""COMPUTED_VALUE"""),26.33)</f>
        <v>26.33</v>
      </c>
      <c r="C1453" s="1">
        <f>IFERROR(__xludf.DUMMYFUNCTION("""COMPUTED_VALUE"""),26.35)</f>
        <v>26.35</v>
      </c>
      <c r="D1453" s="1">
        <f>IFERROR(__xludf.DUMMYFUNCTION("""COMPUTED_VALUE"""),25.79)</f>
        <v>25.79</v>
      </c>
      <c r="E1453" s="1">
        <f>IFERROR(__xludf.DUMMYFUNCTION("""COMPUTED_VALUE"""),25.87)</f>
        <v>25.87</v>
      </c>
      <c r="F1453" s="1">
        <f>IFERROR(__xludf.DUMMYFUNCTION("""COMPUTED_VALUE"""),888816.0)</f>
        <v>888816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IFERROR(__xludf.DUMMYFUNCTION("""COMPUTED_VALUE"""),25.87)</f>
        <v>25.87</v>
      </c>
      <c r="C1454" s="1">
        <f>IFERROR(__xludf.DUMMYFUNCTION("""COMPUTED_VALUE"""),26.03)</f>
        <v>26.03</v>
      </c>
      <c r="D1454" s="1">
        <f>IFERROR(__xludf.DUMMYFUNCTION("""COMPUTED_VALUE"""),25.71)</f>
        <v>25.71</v>
      </c>
      <c r="E1454" s="1">
        <f>IFERROR(__xludf.DUMMYFUNCTION("""COMPUTED_VALUE"""),25.78)</f>
        <v>25.78</v>
      </c>
      <c r="F1454" s="1">
        <f>IFERROR(__xludf.DUMMYFUNCTION("""COMPUTED_VALUE"""),494266.0)</f>
        <v>494266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IFERROR(__xludf.DUMMYFUNCTION("""COMPUTED_VALUE"""),25.73)</f>
        <v>25.73</v>
      </c>
      <c r="C1455" s="1">
        <f>IFERROR(__xludf.DUMMYFUNCTION("""COMPUTED_VALUE"""),25.73)</f>
        <v>25.73</v>
      </c>
      <c r="D1455" s="1">
        <f>IFERROR(__xludf.DUMMYFUNCTION("""COMPUTED_VALUE"""),24.59)</f>
        <v>24.59</v>
      </c>
      <c r="E1455" s="1">
        <f>IFERROR(__xludf.DUMMYFUNCTION("""COMPUTED_VALUE"""),25.15)</f>
        <v>25.15</v>
      </c>
      <c r="F1455" s="1">
        <f>IFERROR(__xludf.DUMMYFUNCTION("""COMPUTED_VALUE"""),763861.0)</f>
        <v>763861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IFERROR(__xludf.DUMMYFUNCTION("""COMPUTED_VALUE"""),25.21)</f>
        <v>25.21</v>
      </c>
      <c r="C1456" s="1">
        <f>IFERROR(__xludf.DUMMYFUNCTION("""COMPUTED_VALUE"""),25.81)</f>
        <v>25.81</v>
      </c>
      <c r="D1456" s="1">
        <f>IFERROR(__xludf.DUMMYFUNCTION("""COMPUTED_VALUE"""),24.97)</f>
        <v>24.97</v>
      </c>
      <c r="E1456" s="1">
        <f>IFERROR(__xludf.DUMMYFUNCTION("""COMPUTED_VALUE"""),25.62)</f>
        <v>25.62</v>
      </c>
      <c r="F1456" s="1">
        <f>IFERROR(__xludf.DUMMYFUNCTION("""COMPUTED_VALUE"""),668463.0)</f>
        <v>668463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IFERROR(__xludf.DUMMYFUNCTION("""COMPUTED_VALUE"""),25.61)</f>
        <v>25.61</v>
      </c>
      <c r="C1457" s="1">
        <f>IFERROR(__xludf.DUMMYFUNCTION("""COMPUTED_VALUE"""),25.72)</f>
        <v>25.72</v>
      </c>
      <c r="D1457" s="1">
        <f>IFERROR(__xludf.DUMMYFUNCTION("""COMPUTED_VALUE"""),25.05)</f>
        <v>25.05</v>
      </c>
      <c r="E1457" s="1">
        <f>IFERROR(__xludf.DUMMYFUNCTION("""COMPUTED_VALUE"""),25.11)</f>
        <v>25.11</v>
      </c>
      <c r="F1457" s="1">
        <f>IFERROR(__xludf.DUMMYFUNCTION("""COMPUTED_VALUE"""),700467.0)</f>
        <v>700467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IFERROR(__xludf.DUMMYFUNCTION("""COMPUTED_VALUE"""),25.16)</f>
        <v>25.16</v>
      </c>
      <c r="C1458" s="1">
        <f>IFERROR(__xludf.DUMMYFUNCTION("""COMPUTED_VALUE"""),25.39)</f>
        <v>25.39</v>
      </c>
      <c r="D1458" s="1">
        <f>IFERROR(__xludf.DUMMYFUNCTION("""COMPUTED_VALUE"""),25.09)</f>
        <v>25.09</v>
      </c>
      <c r="E1458" s="1">
        <f>IFERROR(__xludf.DUMMYFUNCTION("""COMPUTED_VALUE"""),25.2)</f>
        <v>25.2</v>
      </c>
      <c r="F1458" s="1">
        <f>IFERROR(__xludf.DUMMYFUNCTION("""COMPUTED_VALUE"""),260583.0)</f>
        <v>260583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IFERROR(__xludf.DUMMYFUNCTION("""COMPUTED_VALUE"""),25.21)</f>
        <v>25.21</v>
      </c>
      <c r="C1459" s="1">
        <f>IFERROR(__xludf.DUMMYFUNCTION("""COMPUTED_VALUE"""),25.37)</f>
        <v>25.37</v>
      </c>
      <c r="D1459" s="1">
        <f>IFERROR(__xludf.DUMMYFUNCTION("""COMPUTED_VALUE"""),24.94)</f>
        <v>24.94</v>
      </c>
      <c r="E1459" s="1">
        <f>IFERROR(__xludf.DUMMYFUNCTION("""COMPUTED_VALUE"""),25.2)</f>
        <v>25.2</v>
      </c>
      <c r="F1459" s="1">
        <f>IFERROR(__xludf.DUMMYFUNCTION("""COMPUTED_VALUE"""),464724.0)</f>
        <v>464724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IFERROR(__xludf.DUMMYFUNCTION("""COMPUTED_VALUE"""),25.07)</f>
        <v>25.07</v>
      </c>
      <c r="C1460" s="1">
        <f>IFERROR(__xludf.DUMMYFUNCTION("""COMPUTED_VALUE"""),25.16)</f>
        <v>25.16</v>
      </c>
      <c r="D1460" s="1">
        <f>IFERROR(__xludf.DUMMYFUNCTION("""COMPUTED_VALUE"""),24.74)</f>
        <v>24.74</v>
      </c>
      <c r="E1460" s="1">
        <f>IFERROR(__xludf.DUMMYFUNCTION("""COMPUTED_VALUE"""),24.99)</f>
        <v>24.99</v>
      </c>
      <c r="F1460" s="1">
        <f>IFERROR(__xludf.DUMMYFUNCTION("""COMPUTED_VALUE"""),416774.0)</f>
        <v>416774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IFERROR(__xludf.DUMMYFUNCTION("""COMPUTED_VALUE"""),24.95)</f>
        <v>24.95</v>
      </c>
      <c r="C1461" s="1">
        <f>IFERROR(__xludf.DUMMYFUNCTION("""COMPUTED_VALUE"""),25.21)</f>
        <v>25.21</v>
      </c>
      <c r="D1461" s="1">
        <f>IFERROR(__xludf.DUMMYFUNCTION("""COMPUTED_VALUE"""),24.78)</f>
        <v>24.78</v>
      </c>
      <c r="E1461" s="1">
        <f>IFERROR(__xludf.DUMMYFUNCTION("""COMPUTED_VALUE"""),25.06)</f>
        <v>25.06</v>
      </c>
      <c r="F1461" s="1">
        <f>IFERROR(__xludf.DUMMYFUNCTION("""COMPUTED_VALUE"""),652273.0)</f>
        <v>652273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IFERROR(__xludf.DUMMYFUNCTION("""COMPUTED_VALUE"""),25.12)</f>
        <v>25.12</v>
      </c>
      <c r="C1462" s="1">
        <f>IFERROR(__xludf.DUMMYFUNCTION("""COMPUTED_VALUE"""),25.29)</f>
        <v>25.29</v>
      </c>
      <c r="D1462" s="1">
        <f>IFERROR(__xludf.DUMMYFUNCTION("""COMPUTED_VALUE"""),24.96)</f>
        <v>24.96</v>
      </c>
      <c r="E1462" s="1">
        <f>IFERROR(__xludf.DUMMYFUNCTION("""COMPUTED_VALUE"""),25.16)</f>
        <v>25.16</v>
      </c>
      <c r="F1462" s="1">
        <f>IFERROR(__xludf.DUMMYFUNCTION("""COMPUTED_VALUE"""),435377.0)</f>
        <v>435377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IFERROR(__xludf.DUMMYFUNCTION("""COMPUTED_VALUE"""),25.27)</f>
        <v>25.27</v>
      </c>
      <c r="C1463" s="1">
        <f>IFERROR(__xludf.DUMMYFUNCTION("""COMPUTED_VALUE"""),26.08)</f>
        <v>26.08</v>
      </c>
      <c r="D1463" s="1">
        <f>IFERROR(__xludf.DUMMYFUNCTION("""COMPUTED_VALUE"""),25.27)</f>
        <v>25.27</v>
      </c>
      <c r="E1463" s="1">
        <f>IFERROR(__xludf.DUMMYFUNCTION("""COMPUTED_VALUE"""),25.87)</f>
        <v>25.87</v>
      </c>
      <c r="F1463" s="1">
        <f>IFERROR(__xludf.DUMMYFUNCTION("""COMPUTED_VALUE"""),883003.0)</f>
        <v>883003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IFERROR(__xludf.DUMMYFUNCTION("""COMPUTED_VALUE"""),25.99)</f>
        <v>25.99</v>
      </c>
      <c r="C1464" s="1">
        <f>IFERROR(__xludf.DUMMYFUNCTION("""COMPUTED_VALUE"""),26.15)</f>
        <v>26.15</v>
      </c>
      <c r="D1464" s="1">
        <f>IFERROR(__xludf.DUMMYFUNCTION("""COMPUTED_VALUE"""),25.82)</f>
        <v>25.82</v>
      </c>
      <c r="E1464" s="1">
        <f>IFERROR(__xludf.DUMMYFUNCTION("""COMPUTED_VALUE"""),26.07)</f>
        <v>26.07</v>
      </c>
      <c r="F1464" s="1">
        <f>IFERROR(__xludf.DUMMYFUNCTION("""COMPUTED_VALUE"""),635928.0)</f>
        <v>635928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IFERROR(__xludf.DUMMYFUNCTION("""COMPUTED_VALUE"""),26.02)</f>
        <v>26.02</v>
      </c>
      <c r="C1465" s="1">
        <f>IFERROR(__xludf.DUMMYFUNCTION("""COMPUTED_VALUE"""),26.09)</f>
        <v>26.09</v>
      </c>
      <c r="D1465" s="1">
        <f>IFERROR(__xludf.DUMMYFUNCTION("""COMPUTED_VALUE"""),25.55)</f>
        <v>25.55</v>
      </c>
      <c r="E1465" s="1">
        <f>IFERROR(__xludf.DUMMYFUNCTION("""COMPUTED_VALUE"""),25.58)</f>
        <v>25.58</v>
      </c>
      <c r="F1465" s="1">
        <f>IFERROR(__xludf.DUMMYFUNCTION("""COMPUTED_VALUE"""),565582.0)</f>
        <v>565582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IFERROR(__xludf.DUMMYFUNCTION("""COMPUTED_VALUE"""),25.48)</f>
        <v>25.48</v>
      </c>
      <c r="C1466" s="1">
        <f>IFERROR(__xludf.DUMMYFUNCTION("""COMPUTED_VALUE"""),25.53)</f>
        <v>25.53</v>
      </c>
      <c r="D1466" s="1">
        <f>IFERROR(__xludf.DUMMYFUNCTION("""COMPUTED_VALUE"""),24.98)</f>
        <v>24.98</v>
      </c>
      <c r="E1466" s="1">
        <f>IFERROR(__xludf.DUMMYFUNCTION("""COMPUTED_VALUE"""),25.02)</f>
        <v>25.02</v>
      </c>
      <c r="F1466" s="1">
        <f>IFERROR(__xludf.DUMMYFUNCTION("""COMPUTED_VALUE"""),444889.0)</f>
        <v>444889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IFERROR(__xludf.DUMMYFUNCTION("""COMPUTED_VALUE"""),25.07)</f>
        <v>25.07</v>
      </c>
      <c r="C1467" s="1">
        <f>IFERROR(__xludf.DUMMYFUNCTION("""COMPUTED_VALUE"""),25.99)</f>
        <v>25.99</v>
      </c>
      <c r="D1467" s="1">
        <f>IFERROR(__xludf.DUMMYFUNCTION("""COMPUTED_VALUE"""),25.07)</f>
        <v>25.07</v>
      </c>
      <c r="E1467" s="1">
        <f>IFERROR(__xludf.DUMMYFUNCTION("""COMPUTED_VALUE"""),25.87)</f>
        <v>25.87</v>
      </c>
      <c r="F1467" s="1">
        <f>IFERROR(__xludf.DUMMYFUNCTION("""COMPUTED_VALUE"""),522755.0)</f>
        <v>522755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IFERROR(__xludf.DUMMYFUNCTION("""COMPUTED_VALUE"""),25.76)</f>
        <v>25.76</v>
      </c>
      <c r="C1468" s="1">
        <f>IFERROR(__xludf.DUMMYFUNCTION("""COMPUTED_VALUE"""),26.0)</f>
        <v>26</v>
      </c>
      <c r="D1468" s="1">
        <f>IFERROR(__xludf.DUMMYFUNCTION("""COMPUTED_VALUE"""),25.61)</f>
        <v>25.61</v>
      </c>
      <c r="E1468" s="1">
        <f>IFERROR(__xludf.DUMMYFUNCTION("""COMPUTED_VALUE"""),25.92)</f>
        <v>25.92</v>
      </c>
      <c r="F1468" s="1">
        <f>IFERROR(__xludf.DUMMYFUNCTION("""COMPUTED_VALUE"""),423339.0)</f>
        <v>423339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IFERROR(__xludf.DUMMYFUNCTION("""COMPUTED_VALUE"""),25.91)</f>
        <v>25.91</v>
      </c>
      <c r="C1469" s="1">
        <f>IFERROR(__xludf.DUMMYFUNCTION("""COMPUTED_VALUE"""),26.09)</f>
        <v>26.09</v>
      </c>
      <c r="D1469" s="1">
        <f>IFERROR(__xludf.DUMMYFUNCTION("""COMPUTED_VALUE"""),25.83)</f>
        <v>25.83</v>
      </c>
      <c r="E1469" s="1">
        <f>IFERROR(__xludf.DUMMYFUNCTION("""COMPUTED_VALUE"""),25.97)</f>
        <v>25.97</v>
      </c>
      <c r="F1469" s="1">
        <f>IFERROR(__xludf.DUMMYFUNCTION("""COMPUTED_VALUE"""),875654.0)</f>
        <v>875654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IFERROR(__xludf.DUMMYFUNCTION("""COMPUTED_VALUE"""),25.96)</f>
        <v>25.96</v>
      </c>
      <c r="C1470" s="1">
        <f>IFERROR(__xludf.DUMMYFUNCTION("""COMPUTED_VALUE"""),26.02)</f>
        <v>26.02</v>
      </c>
      <c r="D1470" s="1">
        <f>IFERROR(__xludf.DUMMYFUNCTION("""COMPUTED_VALUE"""),25.74)</f>
        <v>25.74</v>
      </c>
      <c r="E1470" s="1">
        <f>IFERROR(__xludf.DUMMYFUNCTION("""COMPUTED_VALUE"""),25.87)</f>
        <v>25.87</v>
      </c>
      <c r="F1470" s="1">
        <f>IFERROR(__xludf.DUMMYFUNCTION("""COMPUTED_VALUE"""),606870.0)</f>
        <v>606870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IFERROR(__xludf.DUMMYFUNCTION("""COMPUTED_VALUE"""),25.87)</f>
        <v>25.87</v>
      </c>
      <c r="C1471" s="1">
        <f>IFERROR(__xludf.DUMMYFUNCTION("""COMPUTED_VALUE"""),25.96)</f>
        <v>25.96</v>
      </c>
      <c r="D1471" s="1">
        <f>IFERROR(__xludf.DUMMYFUNCTION("""COMPUTED_VALUE"""),25.64)</f>
        <v>25.64</v>
      </c>
      <c r="E1471" s="1">
        <f>IFERROR(__xludf.DUMMYFUNCTION("""COMPUTED_VALUE"""),25.8)</f>
        <v>25.8</v>
      </c>
      <c r="F1471" s="1">
        <f>IFERROR(__xludf.DUMMYFUNCTION("""COMPUTED_VALUE"""),265769.0)</f>
        <v>265769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IFERROR(__xludf.DUMMYFUNCTION("""COMPUTED_VALUE"""),25.79)</f>
        <v>25.79</v>
      </c>
      <c r="C1472" s="1">
        <f>IFERROR(__xludf.DUMMYFUNCTION("""COMPUTED_VALUE"""),25.95)</f>
        <v>25.95</v>
      </c>
      <c r="D1472" s="1">
        <f>IFERROR(__xludf.DUMMYFUNCTION("""COMPUTED_VALUE"""),25.56)</f>
        <v>25.56</v>
      </c>
      <c r="E1472" s="1">
        <f>IFERROR(__xludf.DUMMYFUNCTION("""COMPUTED_VALUE"""),25.75)</f>
        <v>25.75</v>
      </c>
      <c r="F1472" s="1">
        <f>IFERROR(__xludf.DUMMYFUNCTION("""COMPUTED_VALUE"""),561068.0)</f>
        <v>561068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IFERROR(__xludf.DUMMYFUNCTION("""COMPUTED_VALUE"""),25.68)</f>
        <v>25.68</v>
      </c>
      <c r="C1473" s="1">
        <f>IFERROR(__xludf.DUMMYFUNCTION("""COMPUTED_VALUE"""),25.88)</f>
        <v>25.88</v>
      </c>
      <c r="D1473" s="1">
        <f>IFERROR(__xludf.DUMMYFUNCTION("""COMPUTED_VALUE"""),25.38)</f>
        <v>25.38</v>
      </c>
      <c r="E1473" s="1">
        <f>IFERROR(__xludf.DUMMYFUNCTION("""COMPUTED_VALUE"""),25.52)</f>
        <v>25.52</v>
      </c>
      <c r="F1473" s="1">
        <f>IFERROR(__xludf.DUMMYFUNCTION("""COMPUTED_VALUE"""),1171738.0)</f>
        <v>1171738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IFERROR(__xludf.DUMMYFUNCTION("""COMPUTED_VALUE"""),25.75)</f>
        <v>25.75</v>
      </c>
      <c r="C1474" s="1">
        <f>IFERROR(__xludf.DUMMYFUNCTION("""COMPUTED_VALUE"""),27.33)</f>
        <v>27.33</v>
      </c>
      <c r="D1474" s="1">
        <f>IFERROR(__xludf.DUMMYFUNCTION("""COMPUTED_VALUE"""),25.52)</f>
        <v>25.52</v>
      </c>
      <c r="E1474" s="1">
        <f>IFERROR(__xludf.DUMMYFUNCTION("""COMPUTED_VALUE"""),27.04)</f>
        <v>27.04</v>
      </c>
      <c r="F1474" s="1">
        <f>IFERROR(__xludf.DUMMYFUNCTION("""COMPUTED_VALUE"""),1605535.0)</f>
        <v>1605535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IFERROR(__xludf.DUMMYFUNCTION("""COMPUTED_VALUE"""),26.99)</f>
        <v>26.99</v>
      </c>
      <c r="C1475" s="1">
        <f>IFERROR(__xludf.DUMMYFUNCTION("""COMPUTED_VALUE"""),27.05)</f>
        <v>27.05</v>
      </c>
      <c r="D1475" s="1">
        <f>IFERROR(__xludf.DUMMYFUNCTION("""COMPUTED_VALUE"""),26.79)</f>
        <v>26.79</v>
      </c>
      <c r="E1475" s="1">
        <f>IFERROR(__xludf.DUMMYFUNCTION("""COMPUTED_VALUE"""),26.91)</f>
        <v>26.91</v>
      </c>
      <c r="F1475" s="1">
        <f>IFERROR(__xludf.DUMMYFUNCTION("""COMPUTED_VALUE"""),859780.0)</f>
        <v>859780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IFERROR(__xludf.DUMMYFUNCTION("""COMPUTED_VALUE"""),26.84)</f>
        <v>26.84</v>
      </c>
      <c r="C1476" s="1">
        <f>IFERROR(__xludf.DUMMYFUNCTION("""COMPUTED_VALUE"""),27.51)</f>
        <v>27.51</v>
      </c>
      <c r="D1476" s="1">
        <f>IFERROR(__xludf.DUMMYFUNCTION("""COMPUTED_VALUE"""),26.84)</f>
        <v>26.84</v>
      </c>
      <c r="E1476" s="1">
        <f>IFERROR(__xludf.DUMMYFUNCTION("""COMPUTED_VALUE"""),27.49)</f>
        <v>27.49</v>
      </c>
      <c r="F1476" s="1">
        <f>IFERROR(__xludf.DUMMYFUNCTION("""COMPUTED_VALUE"""),731820.0)</f>
        <v>731820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IFERROR(__xludf.DUMMYFUNCTION("""COMPUTED_VALUE"""),27.56)</f>
        <v>27.56</v>
      </c>
      <c r="C1477" s="1">
        <f>IFERROR(__xludf.DUMMYFUNCTION("""COMPUTED_VALUE"""),27.66)</f>
        <v>27.66</v>
      </c>
      <c r="D1477" s="1">
        <f>IFERROR(__xludf.DUMMYFUNCTION("""COMPUTED_VALUE"""),27.19)</f>
        <v>27.19</v>
      </c>
      <c r="E1477" s="1">
        <f>IFERROR(__xludf.DUMMYFUNCTION("""COMPUTED_VALUE"""),27.5)</f>
        <v>27.5</v>
      </c>
      <c r="F1477" s="1">
        <f>IFERROR(__xludf.DUMMYFUNCTION("""COMPUTED_VALUE"""),448494.0)</f>
        <v>448494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IFERROR(__xludf.DUMMYFUNCTION("""COMPUTED_VALUE"""),27.32)</f>
        <v>27.32</v>
      </c>
      <c r="C1478" s="1">
        <f>IFERROR(__xludf.DUMMYFUNCTION("""COMPUTED_VALUE"""),27.58)</f>
        <v>27.58</v>
      </c>
      <c r="D1478" s="1">
        <f>IFERROR(__xludf.DUMMYFUNCTION("""COMPUTED_VALUE"""),26.98)</f>
        <v>26.98</v>
      </c>
      <c r="E1478" s="1">
        <f>IFERROR(__xludf.DUMMYFUNCTION("""COMPUTED_VALUE"""),27.0)</f>
        <v>27</v>
      </c>
      <c r="F1478" s="1">
        <f>IFERROR(__xludf.DUMMYFUNCTION("""COMPUTED_VALUE"""),362026.0)</f>
        <v>362026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IFERROR(__xludf.DUMMYFUNCTION("""COMPUTED_VALUE"""),26.91)</f>
        <v>26.91</v>
      </c>
      <c r="C1479" s="1">
        <f>IFERROR(__xludf.DUMMYFUNCTION("""COMPUTED_VALUE"""),27.25)</f>
        <v>27.25</v>
      </c>
      <c r="D1479" s="1">
        <f>IFERROR(__xludf.DUMMYFUNCTION("""COMPUTED_VALUE"""),26.81)</f>
        <v>26.81</v>
      </c>
      <c r="E1479" s="1">
        <f>IFERROR(__xludf.DUMMYFUNCTION("""COMPUTED_VALUE"""),27.08)</f>
        <v>27.08</v>
      </c>
      <c r="F1479" s="1">
        <f>IFERROR(__xludf.DUMMYFUNCTION("""COMPUTED_VALUE"""),495113.0)</f>
        <v>495113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IFERROR(__xludf.DUMMYFUNCTION("""COMPUTED_VALUE"""),27.05)</f>
        <v>27.05</v>
      </c>
      <c r="C1480" s="1">
        <f>IFERROR(__xludf.DUMMYFUNCTION("""COMPUTED_VALUE"""),27.29)</f>
        <v>27.29</v>
      </c>
      <c r="D1480" s="1">
        <f>IFERROR(__xludf.DUMMYFUNCTION("""COMPUTED_VALUE"""),26.88)</f>
        <v>26.88</v>
      </c>
      <c r="E1480" s="1">
        <f>IFERROR(__xludf.DUMMYFUNCTION("""COMPUTED_VALUE"""),27.29)</f>
        <v>27.29</v>
      </c>
      <c r="F1480" s="1">
        <f>IFERROR(__xludf.DUMMYFUNCTION("""COMPUTED_VALUE"""),436002.0)</f>
        <v>436002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IFERROR(__xludf.DUMMYFUNCTION("""COMPUTED_VALUE"""),27.32)</f>
        <v>27.32</v>
      </c>
      <c r="C1481" s="1">
        <f>IFERROR(__xludf.DUMMYFUNCTION("""COMPUTED_VALUE"""),27.58)</f>
        <v>27.58</v>
      </c>
      <c r="D1481" s="1">
        <f>IFERROR(__xludf.DUMMYFUNCTION("""COMPUTED_VALUE"""),27.06)</f>
        <v>27.06</v>
      </c>
      <c r="E1481" s="1">
        <f>IFERROR(__xludf.DUMMYFUNCTION("""COMPUTED_VALUE"""),27.17)</f>
        <v>27.17</v>
      </c>
      <c r="F1481" s="1">
        <f>IFERROR(__xludf.DUMMYFUNCTION("""COMPUTED_VALUE"""),785451.0)</f>
        <v>785451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IFERROR(__xludf.DUMMYFUNCTION("""COMPUTED_VALUE"""),27.25)</f>
        <v>27.25</v>
      </c>
      <c r="C1482" s="1">
        <f>IFERROR(__xludf.DUMMYFUNCTION("""COMPUTED_VALUE"""),27.36)</f>
        <v>27.36</v>
      </c>
      <c r="D1482" s="1">
        <f>IFERROR(__xludf.DUMMYFUNCTION("""COMPUTED_VALUE"""),26.86)</f>
        <v>26.86</v>
      </c>
      <c r="E1482" s="1">
        <f>IFERROR(__xludf.DUMMYFUNCTION("""COMPUTED_VALUE"""),27.13)</f>
        <v>27.13</v>
      </c>
      <c r="F1482" s="1">
        <f>IFERROR(__xludf.DUMMYFUNCTION("""COMPUTED_VALUE"""),336828.0)</f>
        <v>336828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IFERROR(__xludf.DUMMYFUNCTION("""COMPUTED_VALUE"""),27.12)</f>
        <v>27.12</v>
      </c>
      <c r="C1483" s="1">
        <f>IFERROR(__xludf.DUMMYFUNCTION("""COMPUTED_VALUE"""),27.28)</f>
        <v>27.28</v>
      </c>
      <c r="D1483" s="1">
        <f>IFERROR(__xludf.DUMMYFUNCTION("""COMPUTED_VALUE"""),26.72)</f>
        <v>26.72</v>
      </c>
      <c r="E1483" s="1">
        <f>IFERROR(__xludf.DUMMYFUNCTION("""COMPUTED_VALUE"""),26.79)</f>
        <v>26.79</v>
      </c>
      <c r="F1483" s="1">
        <f>IFERROR(__xludf.DUMMYFUNCTION("""COMPUTED_VALUE"""),591217.0)</f>
        <v>591217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IFERROR(__xludf.DUMMYFUNCTION("""COMPUTED_VALUE"""),26.85)</f>
        <v>26.85</v>
      </c>
      <c r="C1484" s="1">
        <f>IFERROR(__xludf.DUMMYFUNCTION("""COMPUTED_VALUE"""),27.04)</f>
        <v>27.04</v>
      </c>
      <c r="D1484" s="1">
        <f>IFERROR(__xludf.DUMMYFUNCTION("""COMPUTED_VALUE"""),26.75)</f>
        <v>26.75</v>
      </c>
      <c r="E1484" s="1">
        <f>IFERROR(__xludf.DUMMYFUNCTION("""COMPUTED_VALUE"""),26.87)</f>
        <v>26.87</v>
      </c>
      <c r="F1484" s="1">
        <f>IFERROR(__xludf.DUMMYFUNCTION("""COMPUTED_VALUE"""),457857.0)</f>
        <v>457857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IFERROR(__xludf.DUMMYFUNCTION("""COMPUTED_VALUE"""),26.81)</f>
        <v>26.81</v>
      </c>
      <c r="C1485" s="1">
        <f>IFERROR(__xludf.DUMMYFUNCTION("""COMPUTED_VALUE"""),26.95)</f>
        <v>26.95</v>
      </c>
      <c r="D1485" s="1">
        <f>IFERROR(__xludf.DUMMYFUNCTION("""COMPUTED_VALUE"""),26.62)</f>
        <v>26.62</v>
      </c>
      <c r="E1485" s="1">
        <f>IFERROR(__xludf.DUMMYFUNCTION("""COMPUTED_VALUE"""),26.88)</f>
        <v>26.88</v>
      </c>
      <c r="F1485" s="1">
        <f>IFERROR(__xludf.DUMMYFUNCTION("""COMPUTED_VALUE"""),363242.0)</f>
        <v>363242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IFERROR(__xludf.DUMMYFUNCTION("""COMPUTED_VALUE"""),26.62)</f>
        <v>26.62</v>
      </c>
      <c r="C1486" s="1">
        <f>IFERROR(__xludf.DUMMYFUNCTION("""COMPUTED_VALUE"""),26.91)</f>
        <v>26.91</v>
      </c>
      <c r="D1486" s="1">
        <f>IFERROR(__xludf.DUMMYFUNCTION("""COMPUTED_VALUE"""),26.33)</f>
        <v>26.33</v>
      </c>
      <c r="E1486" s="1">
        <f>IFERROR(__xludf.DUMMYFUNCTION("""COMPUTED_VALUE"""),26.83)</f>
        <v>26.83</v>
      </c>
      <c r="F1486" s="1">
        <f>IFERROR(__xludf.DUMMYFUNCTION("""COMPUTED_VALUE"""),496552.0)</f>
        <v>496552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IFERROR(__xludf.DUMMYFUNCTION("""COMPUTED_VALUE"""),26.88)</f>
        <v>26.88</v>
      </c>
      <c r="C1487" s="1">
        <f>IFERROR(__xludf.DUMMYFUNCTION("""COMPUTED_VALUE"""),27.17)</f>
        <v>27.17</v>
      </c>
      <c r="D1487" s="1">
        <f>IFERROR(__xludf.DUMMYFUNCTION("""COMPUTED_VALUE"""),26.82)</f>
        <v>26.82</v>
      </c>
      <c r="E1487" s="1">
        <f>IFERROR(__xludf.DUMMYFUNCTION("""COMPUTED_VALUE"""),26.87)</f>
        <v>26.87</v>
      </c>
      <c r="F1487" s="1">
        <f>IFERROR(__xludf.DUMMYFUNCTION("""COMPUTED_VALUE"""),332586.0)</f>
        <v>332586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IFERROR(__xludf.DUMMYFUNCTION("""COMPUTED_VALUE"""),26.86)</f>
        <v>26.86</v>
      </c>
      <c r="C1488" s="1">
        <f>IFERROR(__xludf.DUMMYFUNCTION("""COMPUTED_VALUE"""),26.86)</f>
        <v>26.86</v>
      </c>
      <c r="D1488" s="1">
        <f>IFERROR(__xludf.DUMMYFUNCTION("""COMPUTED_VALUE"""),26.54)</f>
        <v>26.54</v>
      </c>
      <c r="E1488" s="1">
        <f>IFERROR(__xludf.DUMMYFUNCTION("""COMPUTED_VALUE"""),26.69)</f>
        <v>26.69</v>
      </c>
      <c r="F1488" s="1">
        <f>IFERROR(__xludf.DUMMYFUNCTION("""COMPUTED_VALUE"""),110484.0)</f>
        <v>110484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IFERROR(__xludf.DUMMYFUNCTION("""COMPUTED_VALUE"""),26.73)</f>
        <v>26.73</v>
      </c>
      <c r="C1489" s="1">
        <f>IFERROR(__xludf.DUMMYFUNCTION("""COMPUTED_VALUE"""),26.83)</f>
        <v>26.83</v>
      </c>
      <c r="D1489" s="1">
        <f>IFERROR(__xludf.DUMMYFUNCTION("""COMPUTED_VALUE"""),26.57)</f>
        <v>26.57</v>
      </c>
      <c r="E1489" s="1">
        <f>IFERROR(__xludf.DUMMYFUNCTION("""COMPUTED_VALUE"""),26.79)</f>
        <v>26.79</v>
      </c>
      <c r="F1489" s="1">
        <f>IFERROR(__xludf.DUMMYFUNCTION("""COMPUTED_VALUE"""),721824.0)</f>
        <v>721824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IFERROR(__xludf.DUMMYFUNCTION("""COMPUTED_VALUE"""),26.81)</f>
        <v>26.81</v>
      </c>
      <c r="C1490" s="1">
        <f>IFERROR(__xludf.DUMMYFUNCTION("""COMPUTED_VALUE"""),26.87)</f>
        <v>26.87</v>
      </c>
      <c r="D1490" s="1">
        <f>IFERROR(__xludf.DUMMYFUNCTION("""COMPUTED_VALUE"""),26.11)</f>
        <v>26.11</v>
      </c>
      <c r="E1490" s="1">
        <f>IFERROR(__xludf.DUMMYFUNCTION("""COMPUTED_VALUE"""),26.4)</f>
        <v>26.4</v>
      </c>
      <c r="F1490" s="1">
        <f>IFERROR(__xludf.DUMMYFUNCTION("""COMPUTED_VALUE"""),700165.0)</f>
        <v>700165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IFERROR(__xludf.DUMMYFUNCTION("""COMPUTED_VALUE"""),26.38)</f>
        <v>26.38</v>
      </c>
      <c r="C1491" s="1">
        <f>IFERROR(__xludf.DUMMYFUNCTION("""COMPUTED_VALUE"""),26.38)</f>
        <v>26.38</v>
      </c>
      <c r="D1491" s="1">
        <f>IFERROR(__xludf.DUMMYFUNCTION("""COMPUTED_VALUE"""),25.63)</f>
        <v>25.63</v>
      </c>
      <c r="E1491" s="1">
        <f>IFERROR(__xludf.DUMMYFUNCTION("""COMPUTED_VALUE"""),25.95)</f>
        <v>25.95</v>
      </c>
      <c r="F1491" s="1">
        <f>IFERROR(__xludf.DUMMYFUNCTION("""COMPUTED_VALUE"""),926420.0)</f>
        <v>926420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IFERROR(__xludf.DUMMYFUNCTION("""COMPUTED_VALUE"""),26.06)</f>
        <v>26.06</v>
      </c>
      <c r="C1492" s="1">
        <f>IFERROR(__xludf.DUMMYFUNCTION("""COMPUTED_VALUE"""),26.06)</f>
        <v>26.06</v>
      </c>
      <c r="D1492" s="1">
        <f>IFERROR(__xludf.DUMMYFUNCTION("""COMPUTED_VALUE"""),25.23)</f>
        <v>25.23</v>
      </c>
      <c r="E1492" s="1">
        <f>IFERROR(__xludf.DUMMYFUNCTION("""COMPUTED_VALUE"""),25.28)</f>
        <v>25.28</v>
      </c>
      <c r="F1492" s="1">
        <f>IFERROR(__xludf.DUMMYFUNCTION("""COMPUTED_VALUE"""),455131.0)</f>
        <v>455131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IFERROR(__xludf.DUMMYFUNCTION("""COMPUTED_VALUE"""),25.25)</f>
        <v>25.25</v>
      </c>
      <c r="C1493" s="1">
        <f>IFERROR(__xludf.DUMMYFUNCTION("""COMPUTED_VALUE"""),26.13)</f>
        <v>26.13</v>
      </c>
      <c r="D1493" s="1">
        <f>IFERROR(__xludf.DUMMYFUNCTION("""COMPUTED_VALUE"""),25.2)</f>
        <v>25.2</v>
      </c>
      <c r="E1493" s="1">
        <f>IFERROR(__xludf.DUMMYFUNCTION("""COMPUTED_VALUE"""),25.92)</f>
        <v>25.92</v>
      </c>
      <c r="F1493" s="1">
        <f>IFERROR(__xludf.DUMMYFUNCTION("""COMPUTED_VALUE"""),513381.0)</f>
        <v>513381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IFERROR(__xludf.DUMMYFUNCTION("""COMPUTED_VALUE"""),25.83)</f>
        <v>25.83</v>
      </c>
      <c r="C1494" s="1">
        <f>IFERROR(__xludf.DUMMYFUNCTION("""COMPUTED_VALUE"""),25.9)</f>
        <v>25.9</v>
      </c>
      <c r="D1494" s="1">
        <f>IFERROR(__xludf.DUMMYFUNCTION("""COMPUTED_VALUE"""),25.42)</f>
        <v>25.42</v>
      </c>
      <c r="E1494" s="1">
        <f>IFERROR(__xludf.DUMMYFUNCTION("""COMPUTED_VALUE"""),25.8)</f>
        <v>25.8</v>
      </c>
      <c r="F1494" s="1">
        <f>IFERROR(__xludf.DUMMYFUNCTION("""COMPUTED_VALUE"""),670267.0)</f>
        <v>670267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IFERROR(__xludf.DUMMYFUNCTION("""COMPUTED_VALUE"""),25.54)</f>
        <v>25.54</v>
      </c>
      <c r="C1495" s="1">
        <f>IFERROR(__xludf.DUMMYFUNCTION("""COMPUTED_VALUE"""),25.65)</f>
        <v>25.65</v>
      </c>
      <c r="D1495" s="1">
        <f>IFERROR(__xludf.DUMMYFUNCTION("""COMPUTED_VALUE"""),24.61)</f>
        <v>24.61</v>
      </c>
      <c r="E1495" s="1">
        <f>IFERROR(__xludf.DUMMYFUNCTION("""COMPUTED_VALUE"""),24.78)</f>
        <v>24.78</v>
      </c>
      <c r="F1495" s="1">
        <f>IFERROR(__xludf.DUMMYFUNCTION("""COMPUTED_VALUE"""),637752.0)</f>
        <v>637752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IFERROR(__xludf.DUMMYFUNCTION("""COMPUTED_VALUE"""),24.69)</f>
        <v>24.69</v>
      </c>
      <c r="C1496" s="1">
        <f>IFERROR(__xludf.DUMMYFUNCTION("""COMPUTED_VALUE"""),24.86)</f>
        <v>24.86</v>
      </c>
      <c r="D1496" s="1">
        <f>IFERROR(__xludf.DUMMYFUNCTION("""COMPUTED_VALUE"""),24.11)</f>
        <v>24.11</v>
      </c>
      <c r="E1496" s="1">
        <f>IFERROR(__xludf.DUMMYFUNCTION("""COMPUTED_VALUE"""),24.33)</f>
        <v>24.33</v>
      </c>
      <c r="F1496" s="1">
        <f>IFERROR(__xludf.DUMMYFUNCTION("""COMPUTED_VALUE"""),691066.0)</f>
        <v>691066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IFERROR(__xludf.DUMMYFUNCTION("""COMPUTED_VALUE"""),24.36)</f>
        <v>24.36</v>
      </c>
      <c r="C1497" s="1">
        <f>IFERROR(__xludf.DUMMYFUNCTION("""COMPUTED_VALUE"""),24.51)</f>
        <v>24.51</v>
      </c>
      <c r="D1497" s="1">
        <f>IFERROR(__xludf.DUMMYFUNCTION("""COMPUTED_VALUE"""),24.15)</f>
        <v>24.15</v>
      </c>
      <c r="E1497" s="1">
        <f>IFERROR(__xludf.DUMMYFUNCTION("""COMPUTED_VALUE"""),24.41)</f>
        <v>24.41</v>
      </c>
      <c r="F1497" s="1">
        <f>IFERROR(__xludf.DUMMYFUNCTION("""COMPUTED_VALUE"""),332990.0)</f>
        <v>332990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IFERROR(__xludf.DUMMYFUNCTION("""COMPUTED_VALUE"""),24.14)</f>
        <v>24.14</v>
      </c>
      <c r="C1498" s="1">
        <f>IFERROR(__xludf.DUMMYFUNCTION("""COMPUTED_VALUE"""),24.29)</f>
        <v>24.29</v>
      </c>
      <c r="D1498" s="1">
        <f>IFERROR(__xludf.DUMMYFUNCTION("""COMPUTED_VALUE"""),23.52)</f>
        <v>23.52</v>
      </c>
      <c r="E1498" s="1">
        <f>IFERROR(__xludf.DUMMYFUNCTION("""COMPUTED_VALUE"""),23.61)</f>
        <v>23.61</v>
      </c>
      <c r="F1498" s="1">
        <f>IFERROR(__xludf.DUMMYFUNCTION("""COMPUTED_VALUE"""),386548.0)</f>
        <v>386548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IFERROR(__xludf.DUMMYFUNCTION("""COMPUTED_VALUE"""),23.61)</f>
        <v>23.61</v>
      </c>
      <c r="C1499" s="1">
        <f>IFERROR(__xludf.DUMMYFUNCTION("""COMPUTED_VALUE"""),23.89)</f>
        <v>23.89</v>
      </c>
      <c r="D1499" s="1">
        <f>IFERROR(__xludf.DUMMYFUNCTION("""COMPUTED_VALUE"""),23.12)</f>
        <v>23.12</v>
      </c>
      <c r="E1499" s="1">
        <f>IFERROR(__xludf.DUMMYFUNCTION("""COMPUTED_VALUE"""),23.46)</f>
        <v>23.46</v>
      </c>
      <c r="F1499" s="1">
        <f>IFERROR(__xludf.DUMMYFUNCTION("""COMPUTED_VALUE"""),796310.0)</f>
        <v>796310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IFERROR(__xludf.DUMMYFUNCTION("""COMPUTED_VALUE"""),23.63)</f>
        <v>23.63</v>
      </c>
      <c r="C1500" s="1">
        <f>IFERROR(__xludf.DUMMYFUNCTION("""COMPUTED_VALUE"""),23.95)</f>
        <v>23.95</v>
      </c>
      <c r="D1500" s="1">
        <f>IFERROR(__xludf.DUMMYFUNCTION("""COMPUTED_VALUE"""),23.51)</f>
        <v>23.51</v>
      </c>
      <c r="E1500" s="1">
        <f>IFERROR(__xludf.DUMMYFUNCTION("""COMPUTED_VALUE"""),23.87)</f>
        <v>23.87</v>
      </c>
      <c r="F1500" s="1">
        <f>IFERROR(__xludf.DUMMYFUNCTION("""COMPUTED_VALUE"""),689241.0)</f>
        <v>689241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IFERROR(__xludf.DUMMYFUNCTION("""COMPUTED_VALUE"""),24.03)</f>
        <v>24.03</v>
      </c>
      <c r="C1501" s="1">
        <f>IFERROR(__xludf.DUMMYFUNCTION("""COMPUTED_VALUE"""),24.25)</f>
        <v>24.25</v>
      </c>
      <c r="D1501" s="1">
        <f>IFERROR(__xludf.DUMMYFUNCTION("""COMPUTED_VALUE"""),23.78)</f>
        <v>23.78</v>
      </c>
      <c r="E1501" s="1">
        <f>IFERROR(__xludf.DUMMYFUNCTION("""COMPUTED_VALUE"""),24.07)</f>
        <v>24.07</v>
      </c>
      <c r="F1501" s="1">
        <f>IFERROR(__xludf.DUMMYFUNCTION("""COMPUTED_VALUE"""),562001.0)</f>
        <v>562001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IFERROR(__xludf.DUMMYFUNCTION("""COMPUTED_VALUE"""),24.09)</f>
        <v>24.09</v>
      </c>
      <c r="C1502" s="1">
        <f>IFERROR(__xludf.DUMMYFUNCTION("""COMPUTED_VALUE"""),24.38)</f>
        <v>24.38</v>
      </c>
      <c r="D1502" s="1">
        <f>IFERROR(__xludf.DUMMYFUNCTION("""COMPUTED_VALUE"""),23.89)</f>
        <v>23.89</v>
      </c>
      <c r="E1502" s="1">
        <f>IFERROR(__xludf.DUMMYFUNCTION("""COMPUTED_VALUE"""),24.19)</f>
        <v>24.19</v>
      </c>
      <c r="F1502" s="1">
        <f>IFERROR(__xludf.DUMMYFUNCTION("""COMPUTED_VALUE"""),790414.0)</f>
        <v>790414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IFERROR(__xludf.DUMMYFUNCTION("""COMPUTED_VALUE"""),24.11)</f>
        <v>24.11</v>
      </c>
      <c r="C1503" s="1">
        <f>IFERROR(__xludf.DUMMYFUNCTION("""COMPUTED_VALUE"""),24.47)</f>
        <v>24.47</v>
      </c>
      <c r="D1503" s="1">
        <f>IFERROR(__xludf.DUMMYFUNCTION("""COMPUTED_VALUE"""),24.0)</f>
        <v>24</v>
      </c>
      <c r="E1503" s="1">
        <f>IFERROR(__xludf.DUMMYFUNCTION("""COMPUTED_VALUE"""),24.38)</f>
        <v>24.38</v>
      </c>
      <c r="F1503" s="1">
        <f>IFERROR(__xludf.DUMMYFUNCTION("""COMPUTED_VALUE"""),1219423.0)</f>
        <v>1219423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IFERROR(__xludf.DUMMYFUNCTION("""COMPUTED_VALUE"""),24.53)</f>
        <v>24.53</v>
      </c>
      <c r="C1504" s="1">
        <f>IFERROR(__xludf.DUMMYFUNCTION("""COMPUTED_VALUE"""),24.58)</f>
        <v>24.58</v>
      </c>
      <c r="D1504" s="1">
        <f>IFERROR(__xludf.DUMMYFUNCTION("""COMPUTED_VALUE"""),23.38)</f>
        <v>23.38</v>
      </c>
      <c r="E1504" s="1">
        <f>IFERROR(__xludf.DUMMYFUNCTION("""COMPUTED_VALUE"""),23.77)</f>
        <v>23.77</v>
      </c>
      <c r="F1504" s="1">
        <f>IFERROR(__xludf.DUMMYFUNCTION("""COMPUTED_VALUE"""),1355607.0)</f>
        <v>1355607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IFERROR(__xludf.DUMMYFUNCTION("""COMPUTED_VALUE"""),23.89)</f>
        <v>23.89</v>
      </c>
      <c r="C1505" s="1">
        <f>IFERROR(__xludf.DUMMYFUNCTION("""COMPUTED_VALUE"""),24.11)</f>
        <v>24.11</v>
      </c>
      <c r="D1505" s="1">
        <f>IFERROR(__xludf.DUMMYFUNCTION("""COMPUTED_VALUE"""),23.7)</f>
        <v>23.7</v>
      </c>
      <c r="E1505" s="1">
        <f>IFERROR(__xludf.DUMMYFUNCTION("""COMPUTED_VALUE"""),23.97)</f>
        <v>23.97</v>
      </c>
      <c r="F1505" s="1">
        <f>IFERROR(__xludf.DUMMYFUNCTION("""COMPUTED_VALUE"""),793178.0)</f>
        <v>793178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IFERROR(__xludf.DUMMYFUNCTION("""COMPUTED_VALUE"""),24.02)</f>
        <v>24.02</v>
      </c>
      <c r="C1506" s="1">
        <f>IFERROR(__xludf.DUMMYFUNCTION("""COMPUTED_VALUE"""),24.57)</f>
        <v>24.57</v>
      </c>
      <c r="D1506" s="1">
        <f>IFERROR(__xludf.DUMMYFUNCTION("""COMPUTED_VALUE"""),23.96)</f>
        <v>23.96</v>
      </c>
      <c r="E1506" s="1">
        <f>IFERROR(__xludf.DUMMYFUNCTION("""COMPUTED_VALUE"""),24.48)</f>
        <v>24.48</v>
      </c>
      <c r="F1506" s="1">
        <f>IFERROR(__xludf.DUMMYFUNCTION("""COMPUTED_VALUE"""),587757.0)</f>
        <v>587757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IFERROR(__xludf.DUMMYFUNCTION("""COMPUTED_VALUE"""),24.25)</f>
        <v>24.25</v>
      </c>
      <c r="C1507" s="1">
        <f>IFERROR(__xludf.DUMMYFUNCTION("""COMPUTED_VALUE"""),24.36)</f>
        <v>24.36</v>
      </c>
      <c r="D1507" s="1">
        <f>IFERROR(__xludf.DUMMYFUNCTION("""COMPUTED_VALUE"""),24.02)</f>
        <v>24.02</v>
      </c>
      <c r="E1507" s="1">
        <f>IFERROR(__xludf.DUMMYFUNCTION("""COMPUTED_VALUE"""),24.23)</f>
        <v>24.23</v>
      </c>
      <c r="F1507" s="1">
        <f>IFERROR(__xludf.DUMMYFUNCTION("""COMPUTED_VALUE"""),379889.0)</f>
        <v>379889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IFERROR(__xludf.DUMMYFUNCTION("""COMPUTED_VALUE"""),24.14)</f>
        <v>24.14</v>
      </c>
      <c r="C1508" s="1">
        <f>IFERROR(__xludf.DUMMYFUNCTION("""COMPUTED_VALUE"""),24.71)</f>
        <v>24.71</v>
      </c>
      <c r="D1508" s="1">
        <f>IFERROR(__xludf.DUMMYFUNCTION("""COMPUTED_VALUE"""),24.05)</f>
        <v>24.05</v>
      </c>
      <c r="E1508" s="1">
        <f>IFERROR(__xludf.DUMMYFUNCTION("""COMPUTED_VALUE"""),24.52)</f>
        <v>24.52</v>
      </c>
      <c r="F1508" s="1">
        <f>IFERROR(__xludf.DUMMYFUNCTION("""COMPUTED_VALUE"""),552237.0)</f>
        <v>552237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IFERROR(__xludf.DUMMYFUNCTION("""COMPUTED_VALUE"""),24.59)</f>
        <v>24.59</v>
      </c>
      <c r="C1509" s="1">
        <f>IFERROR(__xludf.DUMMYFUNCTION("""COMPUTED_VALUE"""),24.98)</f>
        <v>24.98</v>
      </c>
      <c r="D1509" s="1">
        <f>IFERROR(__xludf.DUMMYFUNCTION("""COMPUTED_VALUE"""),24.52)</f>
        <v>24.52</v>
      </c>
      <c r="E1509" s="1">
        <f>IFERROR(__xludf.DUMMYFUNCTION("""COMPUTED_VALUE"""),24.74)</f>
        <v>24.74</v>
      </c>
      <c r="F1509" s="1">
        <f>IFERROR(__xludf.DUMMYFUNCTION("""COMPUTED_VALUE"""),529657.0)</f>
        <v>529657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IFERROR(__xludf.DUMMYFUNCTION("""COMPUTED_VALUE"""),24.68)</f>
        <v>24.68</v>
      </c>
      <c r="C1510" s="1">
        <f>IFERROR(__xludf.DUMMYFUNCTION("""COMPUTED_VALUE"""),24.9)</f>
        <v>24.9</v>
      </c>
      <c r="D1510" s="1">
        <f>IFERROR(__xludf.DUMMYFUNCTION("""COMPUTED_VALUE"""),24.52)</f>
        <v>24.52</v>
      </c>
      <c r="E1510" s="1">
        <f>IFERROR(__xludf.DUMMYFUNCTION("""COMPUTED_VALUE"""),24.69)</f>
        <v>24.69</v>
      </c>
      <c r="F1510" s="1">
        <f>IFERROR(__xludf.DUMMYFUNCTION("""COMPUTED_VALUE"""),386426.0)</f>
        <v>386426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IFERROR(__xludf.DUMMYFUNCTION("""COMPUTED_VALUE"""),24.58)</f>
        <v>24.58</v>
      </c>
      <c r="C1511" s="1">
        <f>IFERROR(__xludf.DUMMYFUNCTION("""COMPUTED_VALUE"""),24.68)</f>
        <v>24.68</v>
      </c>
      <c r="D1511" s="1">
        <f>IFERROR(__xludf.DUMMYFUNCTION("""COMPUTED_VALUE"""),24.08)</f>
        <v>24.08</v>
      </c>
      <c r="E1511" s="1">
        <f>IFERROR(__xludf.DUMMYFUNCTION("""COMPUTED_VALUE"""),24.11)</f>
        <v>24.11</v>
      </c>
      <c r="F1511" s="1">
        <f>IFERROR(__xludf.DUMMYFUNCTION("""COMPUTED_VALUE"""),448962.0)</f>
        <v>448962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IFERROR(__xludf.DUMMYFUNCTION("""COMPUTED_VALUE"""),23.6)</f>
        <v>23.6</v>
      </c>
      <c r="C1512" s="1">
        <f>IFERROR(__xludf.DUMMYFUNCTION("""COMPUTED_VALUE"""),23.65)</f>
        <v>23.65</v>
      </c>
      <c r="D1512" s="1">
        <f>IFERROR(__xludf.DUMMYFUNCTION("""COMPUTED_VALUE"""),22.86)</f>
        <v>22.86</v>
      </c>
      <c r="E1512" s="1">
        <f>IFERROR(__xludf.DUMMYFUNCTION("""COMPUTED_VALUE"""),23.24)</f>
        <v>23.24</v>
      </c>
      <c r="F1512" s="1">
        <f>IFERROR(__xludf.DUMMYFUNCTION("""COMPUTED_VALUE"""),1040955.0)</f>
        <v>1040955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IFERROR(__xludf.DUMMYFUNCTION("""COMPUTED_VALUE"""),23.26)</f>
        <v>23.26</v>
      </c>
      <c r="C1513" s="1">
        <f>IFERROR(__xludf.DUMMYFUNCTION("""COMPUTED_VALUE"""),23.33)</f>
        <v>23.33</v>
      </c>
      <c r="D1513" s="1">
        <f>IFERROR(__xludf.DUMMYFUNCTION("""COMPUTED_VALUE"""),22.82)</f>
        <v>22.82</v>
      </c>
      <c r="E1513" s="1">
        <f>IFERROR(__xludf.DUMMYFUNCTION("""COMPUTED_VALUE"""),23.02)</f>
        <v>23.02</v>
      </c>
      <c r="F1513" s="1">
        <f>IFERROR(__xludf.DUMMYFUNCTION("""COMPUTED_VALUE"""),913830.0)</f>
        <v>913830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IFERROR(__xludf.DUMMYFUNCTION("""COMPUTED_VALUE"""),22.81)</f>
        <v>22.81</v>
      </c>
      <c r="C1514" s="1">
        <f>IFERROR(__xludf.DUMMYFUNCTION("""COMPUTED_VALUE"""),22.87)</f>
        <v>22.87</v>
      </c>
      <c r="D1514" s="1">
        <f>IFERROR(__xludf.DUMMYFUNCTION("""COMPUTED_VALUE"""),21.87)</f>
        <v>21.87</v>
      </c>
      <c r="E1514" s="1">
        <f>IFERROR(__xludf.DUMMYFUNCTION("""COMPUTED_VALUE"""),22.0)</f>
        <v>22</v>
      </c>
      <c r="F1514" s="1">
        <f>IFERROR(__xludf.DUMMYFUNCTION("""COMPUTED_VALUE"""),980100.0)</f>
        <v>980100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IFERROR(__xludf.DUMMYFUNCTION("""COMPUTED_VALUE"""),21.63)</f>
        <v>21.63</v>
      </c>
      <c r="C1515" s="1">
        <f>IFERROR(__xludf.DUMMYFUNCTION("""COMPUTED_VALUE"""),22.12)</f>
        <v>22.12</v>
      </c>
      <c r="D1515" s="1">
        <f>IFERROR(__xludf.DUMMYFUNCTION("""COMPUTED_VALUE"""),21.55)</f>
        <v>21.55</v>
      </c>
      <c r="E1515" s="1">
        <f>IFERROR(__xludf.DUMMYFUNCTION("""COMPUTED_VALUE"""),22.01)</f>
        <v>22.01</v>
      </c>
      <c r="F1515" s="1">
        <f>IFERROR(__xludf.DUMMYFUNCTION("""COMPUTED_VALUE"""),701562.0)</f>
        <v>701562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IFERROR(__xludf.DUMMYFUNCTION("""COMPUTED_VALUE"""),22.13)</f>
        <v>22.13</v>
      </c>
      <c r="C1516" s="1">
        <f>IFERROR(__xludf.DUMMYFUNCTION("""COMPUTED_VALUE"""),22.17)</f>
        <v>22.17</v>
      </c>
      <c r="D1516" s="1">
        <f>IFERROR(__xludf.DUMMYFUNCTION("""COMPUTED_VALUE"""),21.75)</f>
        <v>21.75</v>
      </c>
      <c r="E1516" s="1">
        <f>IFERROR(__xludf.DUMMYFUNCTION("""COMPUTED_VALUE"""),21.89)</f>
        <v>21.89</v>
      </c>
      <c r="F1516" s="1">
        <f>IFERROR(__xludf.DUMMYFUNCTION("""COMPUTED_VALUE"""),1217940.0)</f>
        <v>1217940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IFERROR(__xludf.DUMMYFUNCTION("""COMPUTED_VALUE"""),21.96)</f>
        <v>21.96</v>
      </c>
      <c r="C1517" s="1">
        <f>IFERROR(__xludf.DUMMYFUNCTION("""COMPUTED_VALUE"""),22.24)</f>
        <v>22.24</v>
      </c>
      <c r="D1517" s="1">
        <f>IFERROR(__xludf.DUMMYFUNCTION("""COMPUTED_VALUE"""),21.85)</f>
        <v>21.85</v>
      </c>
      <c r="E1517" s="1">
        <f>IFERROR(__xludf.DUMMYFUNCTION("""COMPUTED_VALUE"""),22.23)</f>
        <v>22.23</v>
      </c>
      <c r="F1517" s="1">
        <f>IFERROR(__xludf.DUMMYFUNCTION("""COMPUTED_VALUE"""),742120.0)</f>
        <v>742120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IFERROR(__xludf.DUMMYFUNCTION("""COMPUTED_VALUE"""),22.26)</f>
        <v>22.26</v>
      </c>
      <c r="C1518" s="1">
        <f>IFERROR(__xludf.DUMMYFUNCTION("""COMPUTED_VALUE"""),22.38)</f>
        <v>22.38</v>
      </c>
      <c r="D1518" s="1">
        <f>IFERROR(__xludf.DUMMYFUNCTION("""COMPUTED_VALUE"""),21.58)</f>
        <v>21.58</v>
      </c>
      <c r="E1518" s="1">
        <f>IFERROR(__xludf.DUMMYFUNCTION("""COMPUTED_VALUE"""),21.92)</f>
        <v>21.92</v>
      </c>
      <c r="F1518" s="1">
        <f>IFERROR(__xludf.DUMMYFUNCTION("""COMPUTED_VALUE"""),1393698.0)</f>
        <v>1393698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IFERROR(__xludf.DUMMYFUNCTION("""COMPUTED_VALUE"""),22.02)</f>
        <v>22.02</v>
      </c>
      <c r="C1519" s="1">
        <f>IFERROR(__xludf.DUMMYFUNCTION("""COMPUTED_VALUE"""),22.11)</f>
        <v>22.11</v>
      </c>
      <c r="D1519" s="1">
        <f>IFERROR(__xludf.DUMMYFUNCTION("""COMPUTED_VALUE"""),21.61)</f>
        <v>21.61</v>
      </c>
      <c r="E1519" s="1">
        <f>IFERROR(__xludf.DUMMYFUNCTION("""COMPUTED_VALUE"""),21.77)</f>
        <v>21.77</v>
      </c>
      <c r="F1519" s="1">
        <f>IFERROR(__xludf.DUMMYFUNCTION("""COMPUTED_VALUE"""),659336.0)</f>
        <v>659336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IFERROR(__xludf.DUMMYFUNCTION("""COMPUTED_VALUE"""),21.77)</f>
        <v>21.77</v>
      </c>
      <c r="C1520" s="1">
        <f>IFERROR(__xludf.DUMMYFUNCTION("""COMPUTED_VALUE"""),22.31)</f>
        <v>22.31</v>
      </c>
      <c r="D1520" s="1">
        <f>IFERROR(__xludf.DUMMYFUNCTION("""COMPUTED_VALUE"""),21.57)</f>
        <v>21.57</v>
      </c>
      <c r="E1520" s="1">
        <f>IFERROR(__xludf.DUMMYFUNCTION("""COMPUTED_VALUE"""),22.2)</f>
        <v>22.2</v>
      </c>
      <c r="F1520" s="1">
        <f>IFERROR(__xludf.DUMMYFUNCTION("""COMPUTED_VALUE"""),552882.0)</f>
        <v>552882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IFERROR(__xludf.DUMMYFUNCTION("""COMPUTED_VALUE"""),21.72)</f>
        <v>21.72</v>
      </c>
      <c r="C1521" s="1">
        <f>IFERROR(__xludf.DUMMYFUNCTION("""COMPUTED_VALUE"""),22.08)</f>
        <v>22.08</v>
      </c>
      <c r="D1521" s="1">
        <f>IFERROR(__xludf.DUMMYFUNCTION("""COMPUTED_VALUE"""),21.62)</f>
        <v>21.62</v>
      </c>
      <c r="E1521" s="1">
        <f>IFERROR(__xludf.DUMMYFUNCTION("""COMPUTED_VALUE"""),21.89)</f>
        <v>21.89</v>
      </c>
      <c r="F1521" s="1">
        <f>IFERROR(__xludf.DUMMYFUNCTION("""COMPUTED_VALUE"""),950927.0)</f>
        <v>950927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IFERROR(__xludf.DUMMYFUNCTION("""COMPUTED_VALUE"""),21.76)</f>
        <v>21.76</v>
      </c>
      <c r="C1522" s="1">
        <f>IFERROR(__xludf.DUMMYFUNCTION("""COMPUTED_VALUE"""),22.22)</f>
        <v>22.22</v>
      </c>
      <c r="D1522" s="1">
        <f>IFERROR(__xludf.DUMMYFUNCTION("""COMPUTED_VALUE"""),21.51)</f>
        <v>21.51</v>
      </c>
      <c r="E1522" s="1">
        <f>IFERROR(__xludf.DUMMYFUNCTION("""COMPUTED_VALUE"""),21.78)</f>
        <v>21.78</v>
      </c>
      <c r="F1522" s="1">
        <f>IFERROR(__xludf.DUMMYFUNCTION("""COMPUTED_VALUE"""),553598.0)</f>
        <v>553598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IFERROR(__xludf.DUMMYFUNCTION("""COMPUTED_VALUE"""),21.48)</f>
        <v>21.48</v>
      </c>
      <c r="C1523" s="1">
        <f>IFERROR(__xludf.DUMMYFUNCTION("""COMPUTED_VALUE"""),21.88)</f>
        <v>21.88</v>
      </c>
      <c r="D1523" s="1">
        <f>IFERROR(__xludf.DUMMYFUNCTION("""COMPUTED_VALUE"""),21.03)</f>
        <v>21.03</v>
      </c>
      <c r="E1523" s="1">
        <f>IFERROR(__xludf.DUMMYFUNCTION("""COMPUTED_VALUE"""),21.74)</f>
        <v>21.74</v>
      </c>
      <c r="F1523" s="1">
        <f>IFERROR(__xludf.DUMMYFUNCTION("""COMPUTED_VALUE"""),1073119.0)</f>
        <v>1073119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IFERROR(__xludf.DUMMYFUNCTION("""COMPUTED_VALUE"""),21.8)</f>
        <v>21.8</v>
      </c>
      <c r="C1524" s="1">
        <f>IFERROR(__xludf.DUMMYFUNCTION("""COMPUTED_VALUE"""),22.29)</f>
        <v>22.29</v>
      </c>
      <c r="D1524" s="1">
        <f>IFERROR(__xludf.DUMMYFUNCTION("""COMPUTED_VALUE"""),21.48)</f>
        <v>21.48</v>
      </c>
      <c r="E1524" s="1">
        <f>IFERROR(__xludf.DUMMYFUNCTION("""COMPUTED_VALUE"""),22.12)</f>
        <v>22.12</v>
      </c>
      <c r="F1524" s="1">
        <f>IFERROR(__xludf.DUMMYFUNCTION("""COMPUTED_VALUE"""),694341.0)</f>
        <v>694341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IFERROR(__xludf.DUMMYFUNCTION("""COMPUTED_VALUE"""),22.39)</f>
        <v>22.39</v>
      </c>
      <c r="C1525" s="1">
        <f>IFERROR(__xludf.DUMMYFUNCTION("""COMPUTED_VALUE"""),22.88)</f>
        <v>22.88</v>
      </c>
      <c r="D1525" s="1">
        <f>IFERROR(__xludf.DUMMYFUNCTION("""COMPUTED_VALUE"""),22.32)</f>
        <v>22.32</v>
      </c>
      <c r="E1525" s="1">
        <f>IFERROR(__xludf.DUMMYFUNCTION("""COMPUTED_VALUE"""),22.63)</f>
        <v>22.63</v>
      </c>
      <c r="F1525" s="1">
        <f>IFERROR(__xludf.DUMMYFUNCTION("""COMPUTED_VALUE"""),527891.0)</f>
        <v>527891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IFERROR(__xludf.DUMMYFUNCTION("""COMPUTED_VALUE"""),22.56)</f>
        <v>22.56</v>
      </c>
      <c r="C1526" s="1">
        <f>IFERROR(__xludf.DUMMYFUNCTION("""COMPUTED_VALUE"""),22.68)</f>
        <v>22.68</v>
      </c>
      <c r="D1526" s="1">
        <f>IFERROR(__xludf.DUMMYFUNCTION("""COMPUTED_VALUE"""),21.64)</f>
        <v>21.64</v>
      </c>
      <c r="E1526" s="1">
        <f>IFERROR(__xludf.DUMMYFUNCTION("""COMPUTED_VALUE"""),21.7)</f>
        <v>21.7</v>
      </c>
      <c r="F1526" s="1">
        <f>IFERROR(__xludf.DUMMYFUNCTION("""COMPUTED_VALUE"""),1407032.0)</f>
        <v>1407032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IFERROR(__xludf.DUMMYFUNCTION("""COMPUTED_VALUE"""),21.84)</f>
        <v>21.84</v>
      </c>
      <c r="C1527" s="1">
        <f>IFERROR(__xludf.DUMMYFUNCTION("""COMPUTED_VALUE"""),22.21)</f>
        <v>22.21</v>
      </c>
      <c r="D1527" s="1">
        <f>IFERROR(__xludf.DUMMYFUNCTION("""COMPUTED_VALUE"""),21.72)</f>
        <v>21.72</v>
      </c>
      <c r="E1527" s="1">
        <f>IFERROR(__xludf.DUMMYFUNCTION("""COMPUTED_VALUE"""),22.18)</f>
        <v>22.18</v>
      </c>
      <c r="F1527" s="1">
        <f>IFERROR(__xludf.DUMMYFUNCTION("""COMPUTED_VALUE"""),507525.0)</f>
        <v>507525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IFERROR(__xludf.DUMMYFUNCTION("""COMPUTED_VALUE"""),22.12)</f>
        <v>22.12</v>
      </c>
      <c r="C1528" s="1">
        <f>IFERROR(__xludf.DUMMYFUNCTION("""COMPUTED_VALUE"""),22.74)</f>
        <v>22.74</v>
      </c>
      <c r="D1528" s="1">
        <f>IFERROR(__xludf.DUMMYFUNCTION("""COMPUTED_VALUE"""),22.05)</f>
        <v>22.05</v>
      </c>
      <c r="E1528" s="1">
        <f>IFERROR(__xludf.DUMMYFUNCTION("""COMPUTED_VALUE"""),22.71)</f>
        <v>22.71</v>
      </c>
      <c r="F1528" s="1">
        <f>IFERROR(__xludf.DUMMYFUNCTION("""COMPUTED_VALUE"""),1061823.0)</f>
        <v>1061823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IFERROR(__xludf.DUMMYFUNCTION("""COMPUTED_VALUE"""),22.99)</f>
        <v>22.99</v>
      </c>
      <c r="C1529" s="1">
        <f>IFERROR(__xludf.DUMMYFUNCTION("""COMPUTED_VALUE"""),23.0)</f>
        <v>23</v>
      </c>
      <c r="D1529" s="1">
        <f>IFERROR(__xludf.DUMMYFUNCTION("""COMPUTED_VALUE"""),22.1)</f>
        <v>22.1</v>
      </c>
      <c r="E1529" s="1">
        <f>IFERROR(__xludf.DUMMYFUNCTION("""COMPUTED_VALUE"""),22.16)</f>
        <v>22.16</v>
      </c>
      <c r="F1529" s="1">
        <f>IFERROR(__xludf.DUMMYFUNCTION("""COMPUTED_VALUE"""),841090.0)</f>
        <v>841090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IFERROR(__xludf.DUMMYFUNCTION("""COMPUTED_VALUE"""),22.24)</f>
        <v>22.24</v>
      </c>
      <c r="C1530" s="1">
        <f>IFERROR(__xludf.DUMMYFUNCTION("""COMPUTED_VALUE"""),22.89)</f>
        <v>22.89</v>
      </c>
      <c r="D1530" s="1">
        <f>IFERROR(__xludf.DUMMYFUNCTION("""COMPUTED_VALUE"""),22.24)</f>
        <v>22.24</v>
      </c>
      <c r="E1530" s="1">
        <f>IFERROR(__xludf.DUMMYFUNCTION("""COMPUTED_VALUE"""),22.88)</f>
        <v>22.88</v>
      </c>
      <c r="F1530" s="1">
        <f>IFERROR(__xludf.DUMMYFUNCTION("""COMPUTED_VALUE"""),630654.0)</f>
        <v>630654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IFERROR(__xludf.DUMMYFUNCTION("""COMPUTED_VALUE"""),22.73)</f>
        <v>22.73</v>
      </c>
      <c r="C1531" s="1">
        <f>IFERROR(__xludf.DUMMYFUNCTION("""COMPUTED_VALUE"""),23.23)</f>
        <v>23.23</v>
      </c>
      <c r="D1531" s="1">
        <f>IFERROR(__xludf.DUMMYFUNCTION("""COMPUTED_VALUE"""),22.37)</f>
        <v>22.37</v>
      </c>
      <c r="E1531" s="1">
        <f>IFERROR(__xludf.DUMMYFUNCTION("""COMPUTED_VALUE"""),23.16)</f>
        <v>23.16</v>
      </c>
      <c r="F1531" s="1">
        <f>IFERROR(__xludf.DUMMYFUNCTION("""COMPUTED_VALUE"""),726304.0)</f>
        <v>726304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IFERROR(__xludf.DUMMYFUNCTION("""COMPUTED_VALUE"""),22.85)</f>
        <v>22.85</v>
      </c>
      <c r="C1532" s="1">
        <f>IFERROR(__xludf.DUMMYFUNCTION("""COMPUTED_VALUE"""),22.95)</f>
        <v>22.95</v>
      </c>
      <c r="D1532" s="1">
        <f>IFERROR(__xludf.DUMMYFUNCTION("""COMPUTED_VALUE"""),22.39)</f>
        <v>22.39</v>
      </c>
      <c r="E1532" s="1">
        <f>IFERROR(__xludf.DUMMYFUNCTION("""COMPUTED_VALUE"""),22.65)</f>
        <v>22.65</v>
      </c>
      <c r="F1532" s="1">
        <f>IFERROR(__xludf.DUMMYFUNCTION("""COMPUTED_VALUE"""),790050.0)</f>
        <v>790050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IFERROR(__xludf.DUMMYFUNCTION("""COMPUTED_VALUE"""),22.83)</f>
        <v>22.83</v>
      </c>
      <c r="C1533" s="1">
        <f>IFERROR(__xludf.DUMMYFUNCTION("""COMPUTED_VALUE"""),22.83)</f>
        <v>22.83</v>
      </c>
      <c r="D1533" s="1">
        <f>IFERROR(__xludf.DUMMYFUNCTION("""COMPUTED_VALUE"""),22.07)</f>
        <v>22.07</v>
      </c>
      <c r="E1533" s="1">
        <f>IFERROR(__xludf.DUMMYFUNCTION("""COMPUTED_VALUE"""),22.73)</f>
        <v>22.73</v>
      </c>
      <c r="F1533" s="1">
        <f>IFERROR(__xludf.DUMMYFUNCTION("""COMPUTED_VALUE"""),1129138.0)</f>
        <v>1129138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IFERROR(__xludf.DUMMYFUNCTION("""COMPUTED_VALUE"""),22.86)</f>
        <v>22.86</v>
      </c>
      <c r="C1534" s="1">
        <f>IFERROR(__xludf.DUMMYFUNCTION("""COMPUTED_VALUE"""),22.93)</f>
        <v>22.93</v>
      </c>
      <c r="D1534" s="1">
        <f>IFERROR(__xludf.DUMMYFUNCTION("""COMPUTED_VALUE"""),22.49)</f>
        <v>22.49</v>
      </c>
      <c r="E1534" s="1">
        <f>IFERROR(__xludf.DUMMYFUNCTION("""COMPUTED_VALUE"""),22.58)</f>
        <v>22.58</v>
      </c>
      <c r="F1534" s="1">
        <f>IFERROR(__xludf.DUMMYFUNCTION("""COMPUTED_VALUE"""),562198.0)</f>
        <v>562198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IFERROR(__xludf.DUMMYFUNCTION("""COMPUTED_VALUE"""),22.57)</f>
        <v>22.57</v>
      </c>
      <c r="C1535" s="1">
        <f>IFERROR(__xludf.DUMMYFUNCTION("""COMPUTED_VALUE"""),23.06)</f>
        <v>23.06</v>
      </c>
      <c r="D1535" s="1">
        <f>IFERROR(__xludf.DUMMYFUNCTION("""COMPUTED_VALUE"""),22.54)</f>
        <v>22.54</v>
      </c>
      <c r="E1535" s="1">
        <f>IFERROR(__xludf.DUMMYFUNCTION("""COMPUTED_VALUE"""),23.03)</f>
        <v>23.03</v>
      </c>
      <c r="F1535" s="1">
        <f>IFERROR(__xludf.DUMMYFUNCTION("""COMPUTED_VALUE"""),805179.0)</f>
        <v>805179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IFERROR(__xludf.DUMMYFUNCTION("""COMPUTED_VALUE"""),23.01)</f>
        <v>23.01</v>
      </c>
      <c r="C1536" s="1">
        <f>IFERROR(__xludf.DUMMYFUNCTION("""COMPUTED_VALUE"""),23.69)</f>
        <v>23.69</v>
      </c>
      <c r="D1536" s="1">
        <f>IFERROR(__xludf.DUMMYFUNCTION("""COMPUTED_VALUE"""),22.79)</f>
        <v>22.79</v>
      </c>
      <c r="E1536" s="1">
        <f>IFERROR(__xludf.DUMMYFUNCTION("""COMPUTED_VALUE"""),23.57)</f>
        <v>23.57</v>
      </c>
      <c r="F1536" s="1">
        <f>IFERROR(__xludf.DUMMYFUNCTION("""COMPUTED_VALUE"""),990290.0)</f>
        <v>990290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IFERROR(__xludf.DUMMYFUNCTION("""COMPUTED_VALUE"""),23.47)</f>
        <v>23.47</v>
      </c>
      <c r="C1537" s="1">
        <f>IFERROR(__xludf.DUMMYFUNCTION("""COMPUTED_VALUE"""),23.9)</f>
        <v>23.9</v>
      </c>
      <c r="D1537" s="1">
        <f>IFERROR(__xludf.DUMMYFUNCTION("""COMPUTED_VALUE"""),23.19)</f>
        <v>23.19</v>
      </c>
      <c r="E1537" s="1">
        <f>IFERROR(__xludf.DUMMYFUNCTION("""COMPUTED_VALUE"""),23.53)</f>
        <v>23.53</v>
      </c>
      <c r="F1537" s="1">
        <f>IFERROR(__xludf.DUMMYFUNCTION("""COMPUTED_VALUE"""),860768.0)</f>
        <v>860768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IFERROR(__xludf.DUMMYFUNCTION("""COMPUTED_VALUE"""),23.49)</f>
        <v>23.49</v>
      </c>
      <c r="C1538" s="1">
        <f>IFERROR(__xludf.DUMMYFUNCTION("""COMPUTED_VALUE"""),24.02)</f>
        <v>24.02</v>
      </c>
      <c r="D1538" s="1">
        <f>IFERROR(__xludf.DUMMYFUNCTION("""COMPUTED_VALUE"""),22.74)</f>
        <v>22.74</v>
      </c>
      <c r="E1538" s="1">
        <f>IFERROR(__xludf.DUMMYFUNCTION("""COMPUTED_VALUE"""),22.77)</f>
        <v>22.77</v>
      </c>
      <c r="F1538" s="1">
        <f>IFERROR(__xludf.DUMMYFUNCTION("""COMPUTED_VALUE"""),996564.0)</f>
        <v>996564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IFERROR(__xludf.DUMMYFUNCTION("""COMPUTED_VALUE"""),22.4)</f>
        <v>22.4</v>
      </c>
      <c r="C1539" s="1">
        <f>IFERROR(__xludf.DUMMYFUNCTION("""COMPUTED_VALUE"""),22.79)</f>
        <v>22.79</v>
      </c>
      <c r="D1539" s="1">
        <f>IFERROR(__xludf.DUMMYFUNCTION("""COMPUTED_VALUE"""),22.23)</f>
        <v>22.23</v>
      </c>
      <c r="E1539" s="1">
        <f>IFERROR(__xludf.DUMMYFUNCTION("""COMPUTED_VALUE"""),22.36)</f>
        <v>22.36</v>
      </c>
      <c r="F1539" s="1">
        <f>IFERROR(__xludf.DUMMYFUNCTION("""COMPUTED_VALUE"""),582460.0)</f>
        <v>582460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IFERROR(__xludf.DUMMYFUNCTION("""COMPUTED_VALUE"""),22.64)</f>
        <v>22.64</v>
      </c>
      <c r="C1540" s="1">
        <f>IFERROR(__xludf.DUMMYFUNCTION("""COMPUTED_VALUE"""),23.06)</f>
        <v>23.06</v>
      </c>
      <c r="D1540" s="1">
        <f>IFERROR(__xludf.DUMMYFUNCTION("""COMPUTED_VALUE"""),22.38)</f>
        <v>22.38</v>
      </c>
      <c r="E1540" s="1">
        <f>IFERROR(__xludf.DUMMYFUNCTION("""COMPUTED_VALUE"""),22.67)</f>
        <v>22.67</v>
      </c>
      <c r="F1540" s="1">
        <f>IFERROR(__xludf.DUMMYFUNCTION("""COMPUTED_VALUE"""),637139.0)</f>
        <v>637139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IFERROR(__xludf.DUMMYFUNCTION("""COMPUTED_VALUE"""),22.89)</f>
        <v>22.89</v>
      </c>
      <c r="C1541" s="1">
        <f>IFERROR(__xludf.DUMMYFUNCTION("""COMPUTED_VALUE"""),23.24)</f>
        <v>23.24</v>
      </c>
      <c r="D1541" s="1">
        <f>IFERROR(__xludf.DUMMYFUNCTION("""COMPUTED_VALUE"""),22.51)</f>
        <v>22.51</v>
      </c>
      <c r="E1541" s="1">
        <f>IFERROR(__xludf.DUMMYFUNCTION("""COMPUTED_VALUE"""),23.19)</f>
        <v>23.19</v>
      </c>
      <c r="F1541" s="1">
        <f>IFERROR(__xludf.DUMMYFUNCTION("""COMPUTED_VALUE"""),813413.0)</f>
        <v>813413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IFERROR(__xludf.DUMMYFUNCTION("""COMPUTED_VALUE"""),23.33)</f>
        <v>23.33</v>
      </c>
      <c r="C1542" s="1">
        <f>IFERROR(__xludf.DUMMYFUNCTION("""COMPUTED_VALUE"""),23.59)</f>
        <v>23.59</v>
      </c>
      <c r="D1542" s="1">
        <f>IFERROR(__xludf.DUMMYFUNCTION("""COMPUTED_VALUE"""),23.22)</f>
        <v>23.22</v>
      </c>
      <c r="E1542" s="1">
        <f>IFERROR(__xludf.DUMMYFUNCTION("""COMPUTED_VALUE"""),23.41)</f>
        <v>23.41</v>
      </c>
      <c r="F1542" s="1">
        <f>IFERROR(__xludf.DUMMYFUNCTION("""COMPUTED_VALUE"""),865716.0)</f>
        <v>865716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IFERROR(__xludf.DUMMYFUNCTION("""COMPUTED_VALUE"""),23.49)</f>
        <v>23.49</v>
      </c>
      <c r="C1543" s="1">
        <f>IFERROR(__xludf.DUMMYFUNCTION("""COMPUTED_VALUE"""),23.98)</f>
        <v>23.98</v>
      </c>
      <c r="D1543" s="1">
        <f>IFERROR(__xludf.DUMMYFUNCTION("""COMPUTED_VALUE"""),23.38)</f>
        <v>23.38</v>
      </c>
      <c r="E1543" s="1">
        <f>IFERROR(__xludf.DUMMYFUNCTION("""COMPUTED_VALUE"""),23.77)</f>
        <v>23.77</v>
      </c>
      <c r="F1543" s="1">
        <f>IFERROR(__xludf.DUMMYFUNCTION("""COMPUTED_VALUE"""),764901.0)</f>
        <v>764901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IFERROR(__xludf.DUMMYFUNCTION("""COMPUTED_VALUE"""),23.65)</f>
        <v>23.65</v>
      </c>
      <c r="C1544" s="1">
        <f>IFERROR(__xludf.DUMMYFUNCTION("""COMPUTED_VALUE"""),23.7)</f>
        <v>23.7</v>
      </c>
      <c r="D1544" s="1">
        <f>IFERROR(__xludf.DUMMYFUNCTION("""COMPUTED_VALUE"""),22.84)</f>
        <v>22.84</v>
      </c>
      <c r="E1544" s="1">
        <f>IFERROR(__xludf.DUMMYFUNCTION("""COMPUTED_VALUE"""),22.98)</f>
        <v>22.98</v>
      </c>
      <c r="F1544" s="1">
        <f>IFERROR(__xludf.DUMMYFUNCTION("""COMPUTED_VALUE"""),806830.0)</f>
        <v>806830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IFERROR(__xludf.DUMMYFUNCTION("""COMPUTED_VALUE"""),23.28)</f>
        <v>23.28</v>
      </c>
      <c r="C1545" s="1">
        <f>IFERROR(__xludf.DUMMYFUNCTION("""COMPUTED_VALUE"""),23.35)</f>
        <v>23.35</v>
      </c>
      <c r="D1545" s="1">
        <f>IFERROR(__xludf.DUMMYFUNCTION("""COMPUTED_VALUE"""),22.85)</f>
        <v>22.85</v>
      </c>
      <c r="E1545" s="1">
        <f>IFERROR(__xludf.DUMMYFUNCTION("""COMPUTED_VALUE"""),22.99)</f>
        <v>22.99</v>
      </c>
      <c r="F1545" s="1">
        <f>IFERROR(__xludf.DUMMYFUNCTION("""COMPUTED_VALUE"""),589974.0)</f>
        <v>589974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IFERROR(__xludf.DUMMYFUNCTION("""COMPUTED_VALUE"""),22.83)</f>
        <v>22.83</v>
      </c>
      <c r="C1546" s="1">
        <f>IFERROR(__xludf.DUMMYFUNCTION("""COMPUTED_VALUE"""),23.12)</f>
        <v>23.12</v>
      </c>
      <c r="D1546" s="1">
        <f>IFERROR(__xludf.DUMMYFUNCTION("""COMPUTED_VALUE"""),22.69)</f>
        <v>22.69</v>
      </c>
      <c r="E1546" s="1">
        <f>IFERROR(__xludf.DUMMYFUNCTION("""COMPUTED_VALUE"""),22.88)</f>
        <v>22.88</v>
      </c>
      <c r="F1546" s="1">
        <f>IFERROR(__xludf.DUMMYFUNCTION("""COMPUTED_VALUE"""),1566442.0)</f>
        <v>1566442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IFERROR(__xludf.DUMMYFUNCTION("""COMPUTED_VALUE"""),22.69)</f>
        <v>22.69</v>
      </c>
      <c r="C1547" s="1">
        <f>IFERROR(__xludf.DUMMYFUNCTION("""COMPUTED_VALUE"""),23.05)</f>
        <v>23.05</v>
      </c>
      <c r="D1547" s="1">
        <f>IFERROR(__xludf.DUMMYFUNCTION("""COMPUTED_VALUE"""),22.55)</f>
        <v>22.55</v>
      </c>
      <c r="E1547" s="1">
        <f>IFERROR(__xludf.DUMMYFUNCTION("""COMPUTED_VALUE"""),22.92)</f>
        <v>22.92</v>
      </c>
      <c r="F1547" s="1">
        <f>IFERROR(__xludf.DUMMYFUNCTION("""COMPUTED_VALUE"""),500924.0)</f>
        <v>500924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IFERROR(__xludf.DUMMYFUNCTION("""COMPUTED_VALUE"""),23.1)</f>
        <v>23.1</v>
      </c>
      <c r="C1548" s="1">
        <f>IFERROR(__xludf.DUMMYFUNCTION("""COMPUTED_VALUE"""),23.41)</f>
        <v>23.41</v>
      </c>
      <c r="D1548" s="1">
        <f>IFERROR(__xludf.DUMMYFUNCTION("""COMPUTED_VALUE"""),22.93)</f>
        <v>22.93</v>
      </c>
      <c r="E1548" s="1">
        <f>IFERROR(__xludf.DUMMYFUNCTION("""COMPUTED_VALUE"""),23.19)</f>
        <v>23.19</v>
      </c>
      <c r="F1548" s="1">
        <f>IFERROR(__xludf.DUMMYFUNCTION("""COMPUTED_VALUE"""),714995.0)</f>
        <v>714995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IFERROR(__xludf.DUMMYFUNCTION("""COMPUTED_VALUE"""),23.14)</f>
        <v>23.14</v>
      </c>
      <c r="C1549" s="1">
        <f>IFERROR(__xludf.DUMMYFUNCTION("""COMPUTED_VALUE"""),23.71)</f>
        <v>23.71</v>
      </c>
      <c r="D1549" s="1">
        <f>IFERROR(__xludf.DUMMYFUNCTION("""COMPUTED_VALUE"""),21.97)</f>
        <v>21.97</v>
      </c>
      <c r="E1549" s="1">
        <f>IFERROR(__xludf.DUMMYFUNCTION("""COMPUTED_VALUE"""),23.52)</f>
        <v>23.52</v>
      </c>
      <c r="F1549" s="1">
        <f>IFERROR(__xludf.DUMMYFUNCTION("""COMPUTED_VALUE"""),1444483.0)</f>
        <v>1444483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IFERROR(__xludf.DUMMYFUNCTION("""COMPUTED_VALUE"""),23.47)</f>
        <v>23.47</v>
      </c>
      <c r="C1550" s="1">
        <f>IFERROR(__xludf.DUMMYFUNCTION("""COMPUTED_VALUE"""),24.92)</f>
        <v>24.92</v>
      </c>
      <c r="D1550" s="1">
        <f>IFERROR(__xludf.DUMMYFUNCTION("""COMPUTED_VALUE"""),23.44)</f>
        <v>23.44</v>
      </c>
      <c r="E1550" s="1">
        <f>IFERROR(__xludf.DUMMYFUNCTION("""COMPUTED_VALUE"""),23.91)</f>
        <v>23.91</v>
      </c>
      <c r="F1550" s="1">
        <f>IFERROR(__xludf.DUMMYFUNCTION("""COMPUTED_VALUE"""),1533632.0)</f>
        <v>1533632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IFERROR(__xludf.DUMMYFUNCTION("""COMPUTED_VALUE"""),24.11)</f>
        <v>24.11</v>
      </c>
      <c r="C1551" s="1">
        <f>IFERROR(__xludf.DUMMYFUNCTION("""COMPUTED_VALUE"""),24.12)</f>
        <v>24.12</v>
      </c>
      <c r="D1551" s="1">
        <f>IFERROR(__xludf.DUMMYFUNCTION("""COMPUTED_VALUE"""),23.53)</f>
        <v>23.53</v>
      </c>
      <c r="E1551" s="1">
        <f>IFERROR(__xludf.DUMMYFUNCTION("""COMPUTED_VALUE"""),23.9)</f>
        <v>23.9</v>
      </c>
      <c r="F1551" s="1">
        <f>IFERROR(__xludf.DUMMYFUNCTION("""COMPUTED_VALUE"""),1066170.0)</f>
        <v>1066170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IFERROR(__xludf.DUMMYFUNCTION("""COMPUTED_VALUE"""),23.75)</f>
        <v>23.75</v>
      </c>
      <c r="C1552" s="1">
        <f>IFERROR(__xludf.DUMMYFUNCTION("""COMPUTED_VALUE"""),24.21)</f>
        <v>24.21</v>
      </c>
      <c r="D1552" s="1">
        <f>IFERROR(__xludf.DUMMYFUNCTION("""COMPUTED_VALUE"""),23.67)</f>
        <v>23.67</v>
      </c>
      <c r="E1552" s="1">
        <f>IFERROR(__xludf.DUMMYFUNCTION("""COMPUTED_VALUE"""),24.07)</f>
        <v>24.07</v>
      </c>
      <c r="F1552" s="1">
        <f>IFERROR(__xludf.DUMMYFUNCTION("""COMPUTED_VALUE"""),955441.0)</f>
        <v>955441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IFERROR(__xludf.DUMMYFUNCTION("""COMPUTED_VALUE"""),24.06)</f>
        <v>24.06</v>
      </c>
      <c r="C1553" s="1">
        <f>IFERROR(__xludf.DUMMYFUNCTION("""COMPUTED_VALUE"""),24.46)</f>
        <v>24.46</v>
      </c>
      <c r="D1553" s="1">
        <f>IFERROR(__xludf.DUMMYFUNCTION("""COMPUTED_VALUE"""),23.98)</f>
        <v>23.98</v>
      </c>
      <c r="E1553" s="1">
        <f>IFERROR(__xludf.DUMMYFUNCTION("""COMPUTED_VALUE"""),24.26)</f>
        <v>24.26</v>
      </c>
      <c r="F1553" s="1">
        <f>IFERROR(__xludf.DUMMYFUNCTION("""COMPUTED_VALUE"""),618063.0)</f>
        <v>618063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IFERROR(__xludf.DUMMYFUNCTION("""COMPUTED_VALUE"""),24.33)</f>
        <v>24.33</v>
      </c>
      <c r="C1554" s="1">
        <f>IFERROR(__xludf.DUMMYFUNCTION("""COMPUTED_VALUE"""),24.95)</f>
        <v>24.95</v>
      </c>
      <c r="D1554" s="1">
        <f>IFERROR(__xludf.DUMMYFUNCTION("""COMPUTED_VALUE"""),24.3)</f>
        <v>24.3</v>
      </c>
      <c r="E1554" s="1">
        <f>IFERROR(__xludf.DUMMYFUNCTION("""COMPUTED_VALUE"""),24.62)</f>
        <v>24.62</v>
      </c>
      <c r="F1554" s="1">
        <f>IFERROR(__xludf.DUMMYFUNCTION("""COMPUTED_VALUE"""),789187.0)</f>
        <v>789187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IFERROR(__xludf.DUMMYFUNCTION("""COMPUTED_VALUE"""),24.86)</f>
        <v>24.86</v>
      </c>
      <c r="C1555" s="1">
        <f>IFERROR(__xludf.DUMMYFUNCTION("""COMPUTED_VALUE"""),25.95)</f>
        <v>25.95</v>
      </c>
      <c r="D1555" s="1">
        <f>IFERROR(__xludf.DUMMYFUNCTION("""COMPUTED_VALUE"""),24.76)</f>
        <v>24.76</v>
      </c>
      <c r="E1555" s="1">
        <f>IFERROR(__xludf.DUMMYFUNCTION("""COMPUTED_VALUE"""),25.52)</f>
        <v>25.52</v>
      </c>
      <c r="F1555" s="1">
        <f>IFERROR(__xludf.DUMMYFUNCTION("""COMPUTED_VALUE"""),1028833.0)</f>
        <v>1028833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IFERROR(__xludf.DUMMYFUNCTION("""COMPUTED_VALUE"""),25.31)</f>
        <v>25.31</v>
      </c>
      <c r="C1556" s="1">
        <f>IFERROR(__xludf.DUMMYFUNCTION("""COMPUTED_VALUE"""),25.52)</f>
        <v>25.52</v>
      </c>
      <c r="D1556" s="1">
        <f>IFERROR(__xludf.DUMMYFUNCTION("""COMPUTED_VALUE"""),24.62)</f>
        <v>24.62</v>
      </c>
      <c r="E1556" s="1">
        <f>IFERROR(__xludf.DUMMYFUNCTION("""COMPUTED_VALUE"""),25.12)</f>
        <v>25.12</v>
      </c>
      <c r="F1556" s="1">
        <f>IFERROR(__xludf.DUMMYFUNCTION("""COMPUTED_VALUE"""),1023096.0)</f>
        <v>1023096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IFERROR(__xludf.DUMMYFUNCTION("""COMPUTED_VALUE"""),25.22)</f>
        <v>25.22</v>
      </c>
      <c r="C1557" s="1">
        <f>IFERROR(__xludf.DUMMYFUNCTION("""COMPUTED_VALUE"""),25.6)</f>
        <v>25.6</v>
      </c>
      <c r="D1557" s="1">
        <f>IFERROR(__xludf.DUMMYFUNCTION("""COMPUTED_VALUE"""),25.06)</f>
        <v>25.06</v>
      </c>
      <c r="E1557" s="1">
        <f>IFERROR(__xludf.DUMMYFUNCTION("""COMPUTED_VALUE"""),25.38)</f>
        <v>25.38</v>
      </c>
      <c r="F1557" s="1">
        <f>IFERROR(__xludf.DUMMYFUNCTION("""COMPUTED_VALUE"""),751088.0)</f>
        <v>751088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IFERROR(__xludf.DUMMYFUNCTION("""COMPUTED_VALUE"""),25.33)</f>
        <v>25.33</v>
      </c>
      <c r="C1558" s="1">
        <f>IFERROR(__xludf.DUMMYFUNCTION("""COMPUTED_VALUE"""),25.68)</f>
        <v>25.68</v>
      </c>
      <c r="D1558" s="1">
        <f>IFERROR(__xludf.DUMMYFUNCTION("""COMPUTED_VALUE"""),24.32)</f>
        <v>24.32</v>
      </c>
      <c r="E1558" s="1">
        <f>IFERROR(__xludf.DUMMYFUNCTION("""COMPUTED_VALUE"""),24.44)</f>
        <v>24.44</v>
      </c>
      <c r="F1558" s="1">
        <f>IFERROR(__xludf.DUMMYFUNCTION("""COMPUTED_VALUE"""),678877.0)</f>
        <v>678877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IFERROR(__xludf.DUMMYFUNCTION("""COMPUTED_VALUE"""),24.5)</f>
        <v>24.5</v>
      </c>
      <c r="C1559" s="1">
        <f>IFERROR(__xludf.DUMMYFUNCTION("""COMPUTED_VALUE"""),24.72)</f>
        <v>24.72</v>
      </c>
      <c r="D1559" s="1">
        <f>IFERROR(__xludf.DUMMYFUNCTION("""COMPUTED_VALUE"""),24.34)</f>
        <v>24.34</v>
      </c>
      <c r="E1559" s="1">
        <f>IFERROR(__xludf.DUMMYFUNCTION("""COMPUTED_VALUE"""),24.59)</f>
        <v>24.59</v>
      </c>
      <c r="F1559" s="1">
        <f>IFERROR(__xludf.DUMMYFUNCTION("""COMPUTED_VALUE"""),883021.0)</f>
        <v>883021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IFERROR(__xludf.DUMMYFUNCTION("""COMPUTED_VALUE"""),24.59)</f>
        <v>24.59</v>
      </c>
      <c r="C1560" s="1">
        <f>IFERROR(__xludf.DUMMYFUNCTION("""COMPUTED_VALUE"""),25.04)</f>
        <v>25.04</v>
      </c>
      <c r="D1560" s="1">
        <f>IFERROR(__xludf.DUMMYFUNCTION("""COMPUTED_VALUE"""),24.59)</f>
        <v>24.59</v>
      </c>
      <c r="E1560" s="1">
        <f>IFERROR(__xludf.DUMMYFUNCTION("""COMPUTED_VALUE"""),24.88)</f>
        <v>24.88</v>
      </c>
      <c r="F1560" s="1">
        <f>IFERROR(__xludf.DUMMYFUNCTION("""COMPUTED_VALUE"""),563967.0)</f>
        <v>563967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IFERROR(__xludf.DUMMYFUNCTION("""COMPUTED_VALUE"""),24.77)</f>
        <v>24.77</v>
      </c>
      <c r="C1561" s="1">
        <f>IFERROR(__xludf.DUMMYFUNCTION("""COMPUTED_VALUE"""),24.86)</f>
        <v>24.86</v>
      </c>
      <c r="D1561" s="1">
        <f>IFERROR(__xludf.DUMMYFUNCTION("""COMPUTED_VALUE"""),24.48)</f>
        <v>24.48</v>
      </c>
      <c r="E1561" s="1">
        <f>IFERROR(__xludf.DUMMYFUNCTION("""COMPUTED_VALUE"""),24.59)</f>
        <v>24.59</v>
      </c>
      <c r="F1561" s="1">
        <f>IFERROR(__xludf.DUMMYFUNCTION("""COMPUTED_VALUE"""),431933.0)</f>
        <v>431933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IFERROR(__xludf.DUMMYFUNCTION("""COMPUTED_VALUE"""),24.54)</f>
        <v>24.54</v>
      </c>
      <c r="C1562" s="1">
        <f>IFERROR(__xludf.DUMMYFUNCTION("""COMPUTED_VALUE"""),24.87)</f>
        <v>24.87</v>
      </c>
      <c r="D1562" s="1">
        <f>IFERROR(__xludf.DUMMYFUNCTION("""COMPUTED_VALUE"""),24.37)</f>
        <v>24.37</v>
      </c>
      <c r="E1562" s="1">
        <f>IFERROR(__xludf.DUMMYFUNCTION("""COMPUTED_VALUE"""),24.85)</f>
        <v>24.85</v>
      </c>
      <c r="F1562" s="1">
        <f>IFERROR(__xludf.DUMMYFUNCTION("""COMPUTED_VALUE"""),362532.0)</f>
        <v>362532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IFERROR(__xludf.DUMMYFUNCTION("""COMPUTED_VALUE"""),24.93)</f>
        <v>24.93</v>
      </c>
      <c r="C1563" s="1">
        <f>IFERROR(__xludf.DUMMYFUNCTION("""COMPUTED_VALUE"""),25.56)</f>
        <v>25.56</v>
      </c>
      <c r="D1563" s="1">
        <f>IFERROR(__xludf.DUMMYFUNCTION("""COMPUTED_VALUE"""),24.92)</f>
        <v>24.92</v>
      </c>
      <c r="E1563" s="1">
        <f>IFERROR(__xludf.DUMMYFUNCTION("""COMPUTED_VALUE"""),25.36)</f>
        <v>25.36</v>
      </c>
      <c r="F1563" s="1">
        <f>IFERROR(__xludf.DUMMYFUNCTION("""COMPUTED_VALUE"""),34944.0)</f>
        <v>34944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IFERROR(__xludf.DUMMYFUNCTION("""COMPUTED_VALUE"""),25.36)</f>
        <v>25.36</v>
      </c>
      <c r="C1564" s="1">
        <f>IFERROR(__xludf.DUMMYFUNCTION("""COMPUTED_VALUE"""),25.43)</f>
        <v>25.43</v>
      </c>
      <c r="D1564" s="1">
        <f>IFERROR(__xludf.DUMMYFUNCTION("""COMPUTED_VALUE"""),25.09)</f>
        <v>25.09</v>
      </c>
      <c r="E1564" s="1">
        <f>IFERROR(__xludf.DUMMYFUNCTION("""COMPUTED_VALUE"""),25.21)</f>
        <v>25.21</v>
      </c>
      <c r="F1564" s="1">
        <f>IFERROR(__xludf.DUMMYFUNCTION("""COMPUTED_VALUE"""),268566.0)</f>
        <v>268566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IFERROR(__xludf.DUMMYFUNCTION("""COMPUTED_VALUE"""),25.23)</f>
        <v>25.23</v>
      </c>
      <c r="C1565" s="1">
        <f>IFERROR(__xludf.DUMMYFUNCTION("""COMPUTED_VALUE"""),25.46)</f>
        <v>25.46</v>
      </c>
      <c r="D1565" s="1">
        <f>IFERROR(__xludf.DUMMYFUNCTION("""COMPUTED_VALUE"""),24.99)</f>
        <v>24.99</v>
      </c>
      <c r="E1565" s="1">
        <f>IFERROR(__xludf.DUMMYFUNCTION("""COMPUTED_VALUE"""),25.4)</f>
        <v>25.4</v>
      </c>
      <c r="F1565" s="1">
        <f>IFERROR(__xludf.DUMMYFUNCTION("""COMPUTED_VALUE"""),352003.0)</f>
        <v>352003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IFERROR(__xludf.DUMMYFUNCTION("""COMPUTED_VALUE"""),25.29)</f>
        <v>25.29</v>
      </c>
      <c r="C1566" s="1">
        <f>IFERROR(__xludf.DUMMYFUNCTION("""COMPUTED_VALUE"""),25.79)</f>
        <v>25.79</v>
      </c>
      <c r="D1566" s="1">
        <f>IFERROR(__xludf.DUMMYFUNCTION("""COMPUTED_VALUE"""),25.29)</f>
        <v>25.29</v>
      </c>
      <c r="E1566" s="1">
        <f>IFERROR(__xludf.DUMMYFUNCTION("""COMPUTED_VALUE"""),25.65)</f>
        <v>25.65</v>
      </c>
      <c r="F1566" s="1">
        <f>IFERROR(__xludf.DUMMYFUNCTION("""COMPUTED_VALUE"""),566121.0)</f>
        <v>566121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IFERROR(__xludf.DUMMYFUNCTION("""COMPUTED_VALUE"""),25.59)</f>
        <v>25.59</v>
      </c>
      <c r="C1567" s="1">
        <f>IFERROR(__xludf.DUMMYFUNCTION("""COMPUTED_VALUE"""),25.85)</f>
        <v>25.85</v>
      </c>
      <c r="D1567" s="1">
        <f>IFERROR(__xludf.DUMMYFUNCTION("""COMPUTED_VALUE"""),25.39)</f>
        <v>25.39</v>
      </c>
      <c r="E1567" s="1">
        <f>IFERROR(__xludf.DUMMYFUNCTION("""COMPUTED_VALUE"""),25.84)</f>
        <v>25.84</v>
      </c>
      <c r="F1567" s="1">
        <f>IFERROR(__xludf.DUMMYFUNCTION("""COMPUTED_VALUE"""),760808.0)</f>
        <v>760808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IFERROR(__xludf.DUMMYFUNCTION("""COMPUTED_VALUE"""),25.72)</f>
        <v>25.72</v>
      </c>
      <c r="C1568" s="1">
        <f>IFERROR(__xludf.DUMMYFUNCTION("""COMPUTED_VALUE"""),25.92)</f>
        <v>25.92</v>
      </c>
      <c r="D1568" s="1">
        <f>IFERROR(__xludf.DUMMYFUNCTION("""COMPUTED_VALUE"""),25.25)</f>
        <v>25.25</v>
      </c>
      <c r="E1568" s="1">
        <f>IFERROR(__xludf.DUMMYFUNCTION("""COMPUTED_VALUE"""),25.71)</f>
        <v>25.71</v>
      </c>
      <c r="F1568" s="1">
        <f>IFERROR(__xludf.DUMMYFUNCTION("""COMPUTED_VALUE"""),507138.0)</f>
        <v>507138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IFERROR(__xludf.DUMMYFUNCTION("""COMPUTED_VALUE"""),25.81)</f>
        <v>25.81</v>
      </c>
      <c r="C1569" s="1">
        <f>IFERROR(__xludf.DUMMYFUNCTION("""COMPUTED_VALUE"""),26.14)</f>
        <v>26.14</v>
      </c>
      <c r="D1569" s="1">
        <f>IFERROR(__xludf.DUMMYFUNCTION("""COMPUTED_VALUE"""),25.72)</f>
        <v>25.72</v>
      </c>
      <c r="E1569" s="1">
        <f>IFERROR(__xludf.DUMMYFUNCTION("""COMPUTED_VALUE"""),26.04)</f>
        <v>26.04</v>
      </c>
      <c r="F1569" s="1">
        <f>IFERROR(__xludf.DUMMYFUNCTION("""COMPUTED_VALUE"""),377586.0)</f>
        <v>377586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IFERROR(__xludf.DUMMYFUNCTION("""COMPUTED_VALUE"""),26.05)</f>
        <v>26.05</v>
      </c>
      <c r="C1570" s="1">
        <f>IFERROR(__xludf.DUMMYFUNCTION("""COMPUTED_VALUE"""),26.68)</f>
        <v>26.68</v>
      </c>
      <c r="D1570" s="1">
        <f>IFERROR(__xludf.DUMMYFUNCTION("""COMPUTED_VALUE"""),25.88)</f>
        <v>25.88</v>
      </c>
      <c r="E1570" s="1">
        <f>IFERROR(__xludf.DUMMYFUNCTION("""COMPUTED_VALUE"""),26.59)</f>
        <v>26.59</v>
      </c>
      <c r="F1570" s="1">
        <f>IFERROR(__xludf.DUMMYFUNCTION("""COMPUTED_VALUE"""),469161.0)</f>
        <v>469161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IFERROR(__xludf.DUMMYFUNCTION("""COMPUTED_VALUE"""),26.72)</f>
        <v>26.72</v>
      </c>
      <c r="C1571" s="1">
        <f>IFERROR(__xludf.DUMMYFUNCTION("""COMPUTED_VALUE"""),27.57)</f>
        <v>27.57</v>
      </c>
      <c r="D1571" s="1">
        <f>IFERROR(__xludf.DUMMYFUNCTION("""COMPUTED_VALUE"""),26.65)</f>
        <v>26.65</v>
      </c>
      <c r="E1571" s="1">
        <f>IFERROR(__xludf.DUMMYFUNCTION("""COMPUTED_VALUE"""),27.43)</f>
        <v>27.43</v>
      </c>
      <c r="F1571" s="1">
        <f>IFERROR(__xludf.DUMMYFUNCTION("""COMPUTED_VALUE"""),900039.0)</f>
        <v>900039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IFERROR(__xludf.DUMMYFUNCTION("""COMPUTED_VALUE"""),27.44)</f>
        <v>27.44</v>
      </c>
      <c r="C1572" s="1">
        <f>IFERROR(__xludf.DUMMYFUNCTION("""COMPUTED_VALUE"""),27.59)</f>
        <v>27.59</v>
      </c>
      <c r="D1572" s="1">
        <f>IFERROR(__xludf.DUMMYFUNCTION("""COMPUTED_VALUE"""),26.97)</f>
        <v>26.97</v>
      </c>
      <c r="E1572" s="1">
        <f>IFERROR(__xludf.DUMMYFUNCTION("""COMPUTED_VALUE"""),27.08)</f>
        <v>27.08</v>
      </c>
      <c r="F1572" s="1">
        <f>IFERROR(__xludf.DUMMYFUNCTION("""COMPUTED_VALUE"""),543872.0)</f>
        <v>543872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IFERROR(__xludf.DUMMYFUNCTION("""COMPUTED_VALUE"""),26.98)</f>
        <v>26.98</v>
      </c>
      <c r="C1573" s="1">
        <f>IFERROR(__xludf.DUMMYFUNCTION("""COMPUTED_VALUE"""),27.24)</f>
        <v>27.24</v>
      </c>
      <c r="D1573" s="1">
        <f>IFERROR(__xludf.DUMMYFUNCTION("""COMPUTED_VALUE"""),26.43)</f>
        <v>26.43</v>
      </c>
      <c r="E1573" s="1">
        <f>IFERROR(__xludf.DUMMYFUNCTION("""COMPUTED_VALUE"""),27.18)</f>
        <v>27.18</v>
      </c>
      <c r="F1573" s="1">
        <f>IFERROR(__xludf.DUMMYFUNCTION("""COMPUTED_VALUE"""),808531.0)</f>
        <v>808531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IFERROR(__xludf.DUMMYFUNCTION("""COMPUTED_VALUE"""),27.17)</f>
        <v>27.17</v>
      </c>
      <c r="C1574" s="1">
        <f>IFERROR(__xludf.DUMMYFUNCTION("""COMPUTED_VALUE"""),27.23)</f>
        <v>27.23</v>
      </c>
      <c r="D1574" s="1">
        <f>IFERROR(__xludf.DUMMYFUNCTION("""COMPUTED_VALUE"""),26.86)</f>
        <v>26.86</v>
      </c>
      <c r="E1574" s="1">
        <f>IFERROR(__xludf.DUMMYFUNCTION("""COMPUTED_VALUE"""),26.99)</f>
        <v>26.99</v>
      </c>
      <c r="F1574" s="1">
        <f>IFERROR(__xludf.DUMMYFUNCTION("""COMPUTED_VALUE"""),463047.0)</f>
        <v>463047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IFERROR(__xludf.DUMMYFUNCTION("""COMPUTED_VALUE"""),26.7)</f>
        <v>26.7</v>
      </c>
      <c r="C1575" s="1">
        <f>IFERROR(__xludf.DUMMYFUNCTION("""COMPUTED_VALUE"""),27.06)</f>
        <v>27.06</v>
      </c>
      <c r="D1575" s="1">
        <f>IFERROR(__xludf.DUMMYFUNCTION("""COMPUTED_VALUE"""),26.65)</f>
        <v>26.65</v>
      </c>
      <c r="E1575" s="1">
        <f>IFERROR(__xludf.DUMMYFUNCTION("""COMPUTED_VALUE"""),26.73)</f>
        <v>26.73</v>
      </c>
      <c r="F1575" s="1">
        <f>IFERROR(__xludf.DUMMYFUNCTION("""COMPUTED_VALUE"""),322379.0)</f>
        <v>322379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IFERROR(__xludf.DUMMYFUNCTION("""COMPUTED_VALUE"""),26.72)</f>
        <v>26.72</v>
      </c>
      <c r="C1576" s="1">
        <f>IFERROR(__xludf.DUMMYFUNCTION("""COMPUTED_VALUE"""),26.89)</f>
        <v>26.89</v>
      </c>
      <c r="D1576" s="1">
        <f>IFERROR(__xludf.DUMMYFUNCTION("""COMPUTED_VALUE"""),26.54)</f>
        <v>26.54</v>
      </c>
      <c r="E1576" s="1">
        <f>IFERROR(__xludf.DUMMYFUNCTION("""COMPUTED_VALUE"""),26.88)</f>
        <v>26.88</v>
      </c>
      <c r="F1576" s="1">
        <f>IFERROR(__xludf.DUMMYFUNCTION("""COMPUTED_VALUE"""),331932.0)</f>
        <v>331932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IFERROR(__xludf.DUMMYFUNCTION("""COMPUTED_VALUE"""),26.78)</f>
        <v>26.78</v>
      </c>
      <c r="C1577" s="1">
        <f>IFERROR(__xludf.DUMMYFUNCTION("""COMPUTED_VALUE"""),26.99)</f>
        <v>26.99</v>
      </c>
      <c r="D1577" s="1">
        <f>IFERROR(__xludf.DUMMYFUNCTION("""COMPUTED_VALUE"""),26.41)</f>
        <v>26.41</v>
      </c>
      <c r="E1577" s="1">
        <f>IFERROR(__xludf.DUMMYFUNCTION("""COMPUTED_VALUE"""),26.86)</f>
        <v>26.86</v>
      </c>
      <c r="F1577" s="1">
        <f>IFERROR(__xludf.DUMMYFUNCTION("""COMPUTED_VALUE"""),519102.0)</f>
        <v>519102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IFERROR(__xludf.DUMMYFUNCTION("""COMPUTED_VALUE"""),27.12)</f>
        <v>27.12</v>
      </c>
      <c r="C1578" s="1">
        <f>IFERROR(__xludf.DUMMYFUNCTION("""COMPUTED_VALUE"""),27.67)</f>
        <v>27.67</v>
      </c>
      <c r="D1578" s="1">
        <f>IFERROR(__xludf.DUMMYFUNCTION("""COMPUTED_VALUE"""),26.96)</f>
        <v>26.96</v>
      </c>
      <c r="E1578" s="1">
        <f>IFERROR(__xludf.DUMMYFUNCTION("""COMPUTED_VALUE"""),27.1)</f>
        <v>27.1</v>
      </c>
      <c r="F1578" s="1">
        <f>IFERROR(__xludf.DUMMYFUNCTION("""COMPUTED_VALUE"""),535275.0)</f>
        <v>535275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IFERROR(__xludf.DUMMYFUNCTION("""COMPUTED_VALUE"""),27.19)</f>
        <v>27.19</v>
      </c>
      <c r="C1579" s="1">
        <f>IFERROR(__xludf.DUMMYFUNCTION("""COMPUTED_VALUE"""),27.86)</f>
        <v>27.86</v>
      </c>
      <c r="D1579" s="1">
        <f>IFERROR(__xludf.DUMMYFUNCTION("""COMPUTED_VALUE"""),27.1)</f>
        <v>27.1</v>
      </c>
      <c r="E1579" s="1">
        <f>IFERROR(__xludf.DUMMYFUNCTION("""COMPUTED_VALUE"""),27.51)</f>
        <v>27.51</v>
      </c>
      <c r="F1579" s="1">
        <f>IFERROR(__xludf.DUMMYFUNCTION("""COMPUTED_VALUE"""),510649.0)</f>
        <v>510649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IFERROR(__xludf.DUMMYFUNCTION("""COMPUTED_VALUE"""),27.63)</f>
        <v>27.63</v>
      </c>
      <c r="C1580" s="1">
        <f>IFERROR(__xludf.DUMMYFUNCTION("""COMPUTED_VALUE"""),27.82)</f>
        <v>27.82</v>
      </c>
      <c r="D1580" s="1">
        <f>IFERROR(__xludf.DUMMYFUNCTION("""COMPUTED_VALUE"""),27.42)</f>
        <v>27.42</v>
      </c>
      <c r="E1580" s="1">
        <f>IFERROR(__xludf.DUMMYFUNCTION("""COMPUTED_VALUE"""),27.8)</f>
        <v>27.8</v>
      </c>
      <c r="F1580" s="1">
        <f>IFERROR(__xludf.DUMMYFUNCTION("""COMPUTED_VALUE"""),364200.0)</f>
        <v>364200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IFERROR(__xludf.DUMMYFUNCTION("""COMPUTED_VALUE"""),27.93)</f>
        <v>27.93</v>
      </c>
      <c r="C1581" s="1">
        <f>IFERROR(__xludf.DUMMYFUNCTION("""COMPUTED_VALUE"""),28.26)</f>
        <v>28.26</v>
      </c>
      <c r="D1581" s="1">
        <f>IFERROR(__xludf.DUMMYFUNCTION("""COMPUTED_VALUE"""),27.85)</f>
        <v>27.85</v>
      </c>
      <c r="E1581" s="1">
        <f>IFERROR(__xludf.DUMMYFUNCTION("""COMPUTED_VALUE"""),27.99)</f>
        <v>27.99</v>
      </c>
      <c r="F1581" s="1">
        <f>IFERROR(__xludf.DUMMYFUNCTION("""COMPUTED_VALUE"""),519097.0)</f>
        <v>519097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IFERROR(__xludf.DUMMYFUNCTION("""COMPUTED_VALUE"""),28.04)</f>
        <v>28.04</v>
      </c>
      <c r="C1582" s="1">
        <f>IFERROR(__xludf.DUMMYFUNCTION("""COMPUTED_VALUE"""),28.64)</f>
        <v>28.64</v>
      </c>
      <c r="D1582" s="1">
        <f>IFERROR(__xludf.DUMMYFUNCTION("""COMPUTED_VALUE"""),27.94)</f>
        <v>27.94</v>
      </c>
      <c r="E1582" s="1">
        <f>IFERROR(__xludf.DUMMYFUNCTION("""COMPUTED_VALUE"""),28.57)</f>
        <v>28.57</v>
      </c>
      <c r="F1582" s="1">
        <f>IFERROR(__xludf.DUMMYFUNCTION("""COMPUTED_VALUE"""),444343.0)</f>
        <v>444343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IFERROR(__xludf.DUMMYFUNCTION("""COMPUTED_VALUE"""),28.5)</f>
        <v>28.5</v>
      </c>
      <c r="C1583" s="1">
        <f>IFERROR(__xludf.DUMMYFUNCTION("""COMPUTED_VALUE"""),28.66)</f>
        <v>28.66</v>
      </c>
      <c r="D1583" s="1">
        <f>IFERROR(__xludf.DUMMYFUNCTION("""COMPUTED_VALUE"""),28.27)</f>
        <v>28.27</v>
      </c>
      <c r="E1583" s="1">
        <f>IFERROR(__xludf.DUMMYFUNCTION("""COMPUTED_VALUE"""),28.65)</f>
        <v>28.65</v>
      </c>
      <c r="F1583" s="1">
        <f>IFERROR(__xludf.DUMMYFUNCTION("""COMPUTED_VALUE"""),241438.0)</f>
        <v>241438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IFERROR(__xludf.DUMMYFUNCTION("""COMPUTED_VALUE"""),28.53)</f>
        <v>28.53</v>
      </c>
      <c r="C1584" s="1">
        <f>IFERROR(__xludf.DUMMYFUNCTION("""COMPUTED_VALUE"""),28.75)</f>
        <v>28.75</v>
      </c>
      <c r="D1584" s="1">
        <f>IFERROR(__xludf.DUMMYFUNCTION("""COMPUTED_VALUE"""),28.45)</f>
        <v>28.45</v>
      </c>
      <c r="E1584" s="1">
        <f>IFERROR(__xludf.DUMMYFUNCTION("""COMPUTED_VALUE"""),28.7)</f>
        <v>28.7</v>
      </c>
      <c r="F1584" s="1">
        <f>IFERROR(__xludf.DUMMYFUNCTION("""COMPUTED_VALUE"""),328820.0)</f>
        <v>328820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IFERROR(__xludf.DUMMYFUNCTION("""COMPUTED_VALUE"""),28.76)</f>
        <v>28.76</v>
      </c>
      <c r="C1585" s="1">
        <f>IFERROR(__xludf.DUMMYFUNCTION("""COMPUTED_VALUE"""),28.97)</f>
        <v>28.97</v>
      </c>
      <c r="D1585" s="1">
        <f>IFERROR(__xludf.DUMMYFUNCTION("""COMPUTED_VALUE"""),28.47)</f>
        <v>28.47</v>
      </c>
      <c r="E1585" s="1">
        <f>IFERROR(__xludf.DUMMYFUNCTION("""COMPUTED_VALUE"""),28.91)</f>
        <v>28.91</v>
      </c>
      <c r="F1585" s="1">
        <f>IFERROR(__xludf.DUMMYFUNCTION("""COMPUTED_VALUE"""),352425.0)</f>
        <v>352425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IFERROR(__xludf.DUMMYFUNCTION("""COMPUTED_VALUE"""),28.81)</f>
        <v>28.81</v>
      </c>
      <c r="C1586" s="1">
        <f>IFERROR(__xludf.DUMMYFUNCTION("""COMPUTED_VALUE"""),29.04)</f>
        <v>29.04</v>
      </c>
      <c r="D1586" s="1">
        <f>IFERROR(__xludf.DUMMYFUNCTION("""COMPUTED_VALUE"""),28.42)</f>
        <v>28.42</v>
      </c>
      <c r="E1586" s="1">
        <f>IFERROR(__xludf.DUMMYFUNCTION("""COMPUTED_VALUE"""),28.77)</f>
        <v>28.77</v>
      </c>
      <c r="F1586" s="1">
        <f>IFERROR(__xludf.DUMMYFUNCTION("""COMPUTED_VALUE"""),573718.0)</f>
        <v>573718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IFERROR(__xludf.DUMMYFUNCTION("""COMPUTED_VALUE"""),28.75)</f>
        <v>28.75</v>
      </c>
      <c r="C1587" s="1">
        <f>IFERROR(__xludf.DUMMYFUNCTION("""COMPUTED_VALUE"""),28.9)</f>
        <v>28.9</v>
      </c>
      <c r="D1587" s="1">
        <f>IFERROR(__xludf.DUMMYFUNCTION("""COMPUTED_VALUE"""),28.56)</f>
        <v>28.56</v>
      </c>
      <c r="E1587" s="1">
        <f>IFERROR(__xludf.DUMMYFUNCTION("""COMPUTED_VALUE"""),28.68)</f>
        <v>28.68</v>
      </c>
      <c r="F1587" s="1">
        <f>IFERROR(__xludf.DUMMYFUNCTION("""COMPUTED_VALUE"""),237619.0)</f>
        <v>237619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IFERROR(__xludf.DUMMYFUNCTION("""COMPUTED_VALUE"""),28.78)</f>
        <v>28.78</v>
      </c>
      <c r="C1588" s="1">
        <f>IFERROR(__xludf.DUMMYFUNCTION("""COMPUTED_VALUE"""),29.21)</f>
        <v>29.21</v>
      </c>
      <c r="D1588" s="1">
        <f>IFERROR(__xludf.DUMMYFUNCTION("""COMPUTED_VALUE"""),28.67)</f>
        <v>28.67</v>
      </c>
      <c r="E1588" s="1">
        <f>IFERROR(__xludf.DUMMYFUNCTION("""COMPUTED_VALUE"""),29.04)</f>
        <v>29.04</v>
      </c>
      <c r="F1588" s="1">
        <f>IFERROR(__xludf.DUMMYFUNCTION("""COMPUTED_VALUE"""),470813.0)</f>
        <v>470813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IFERROR(__xludf.DUMMYFUNCTION("""COMPUTED_VALUE"""),28.96)</f>
        <v>28.96</v>
      </c>
      <c r="C1589" s="1">
        <f>IFERROR(__xludf.DUMMYFUNCTION("""COMPUTED_VALUE"""),29.0)</f>
        <v>29</v>
      </c>
      <c r="D1589" s="1">
        <f>IFERROR(__xludf.DUMMYFUNCTION("""COMPUTED_VALUE"""),28.48)</f>
        <v>28.48</v>
      </c>
      <c r="E1589" s="1">
        <f>IFERROR(__xludf.DUMMYFUNCTION("""COMPUTED_VALUE"""),28.59)</f>
        <v>28.59</v>
      </c>
      <c r="F1589" s="1">
        <f>IFERROR(__xludf.DUMMYFUNCTION("""COMPUTED_VALUE"""),265171.0)</f>
        <v>265171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IFERROR(__xludf.DUMMYFUNCTION("""COMPUTED_VALUE"""),28.72)</f>
        <v>28.72</v>
      </c>
      <c r="C1590" s="1">
        <f>IFERROR(__xludf.DUMMYFUNCTION("""COMPUTED_VALUE"""),29.08)</f>
        <v>29.08</v>
      </c>
      <c r="D1590" s="1">
        <f>IFERROR(__xludf.DUMMYFUNCTION("""COMPUTED_VALUE"""),28.58)</f>
        <v>28.58</v>
      </c>
      <c r="E1590" s="1">
        <f>IFERROR(__xludf.DUMMYFUNCTION("""COMPUTED_VALUE"""),29.04)</f>
        <v>29.04</v>
      </c>
      <c r="F1590" s="1">
        <f>IFERROR(__xludf.DUMMYFUNCTION("""COMPUTED_VALUE"""),276421.0)</f>
        <v>276421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IFERROR(__xludf.DUMMYFUNCTION("""COMPUTED_VALUE"""),29.03)</f>
        <v>29.03</v>
      </c>
      <c r="C1591" s="1">
        <f>IFERROR(__xludf.DUMMYFUNCTION("""COMPUTED_VALUE"""),29.22)</f>
        <v>29.22</v>
      </c>
      <c r="D1591" s="1">
        <f>IFERROR(__xludf.DUMMYFUNCTION("""COMPUTED_VALUE"""),28.89)</f>
        <v>28.89</v>
      </c>
      <c r="E1591" s="1">
        <f>IFERROR(__xludf.DUMMYFUNCTION("""COMPUTED_VALUE"""),29.13)</f>
        <v>29.13</v>
      </c>
      <c r="F1591" s="1">
        <f>IFERROR(__xludf.DUMMYFUNCTION("""COMPUTED_VALUE"""),205470.0)</f>
        <v>205470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IFERROR(__xludf.DUMMYFUNCTION("""COMPUTED_VALUE"""),29.12)</f>
        <v>29.12</v>
      </c>
      <c r="C1592" s="1">
        <f>IFERROR(__xludf.DUMMYFUNCTION("""COMPUTED_VALUE"""),29.25)</f>
        <v>29.25</v>
      </c>
      <c r="D1592" s="1">
        <f>IFERROR(__xludf.DUMMYFUNCTION("""COMPUTED_VALUE"""),28.79)</f>
        <v>28.79</v>
      </c>
      <c r="E1592" s="1">
        <f>IFERROR(__xludf.DUMMYFUNCTION("""COMPUTED_VALUE"""),28.79)</f>
        <v>28.79</v>
      </c>
      <c r="F1592" s="1">
        <f>IFERROR(__xludf.DUMMYFUNCTION("""COMPUTED_VALUE"""),658510.0)</f>
        <v>658510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IFERROR(__xludf.DUMMYFUNCTION("""COMPUTED_VALUE"""),28.79)</f>
        <v>28.79</v>
      </c>
      <c r="C1593" s="1">
        <f>IFERROR(__xludf.DUMMYFUNCTION("""COMPUTED_VALUE"""),28.93)</f>
        <v>28.93</v>
      </c>
      <c r="D1593" s="1">
        <f>IFERROR(__xludf.DUMMYFUNCTION("""COMPUTED_VALUE"""),28.6)</f>
        <v>28.6</v>
      </c>
      <c r="E1593" s="1">
        <f>IFERROR(__xludf.DUMMYFUNCTION("""COMPUTED_VALUE"""),28.69)</f>
        <v>28.69</v>
      </c>
      <c r="F1593" s="1">
        <f>IFERROR(__xludf.DUMMYFUNCTION("""COMPUTED_VALUE"""),408992.0)</f>
        <v>408992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IFERROR(__xludf.DUMMYFUNCTION("""COMPUTED_VALUE"""),29.03)</f>
        <v>29.03</v>
      </c>
      <c r="C1594" s="1">
        <f>IFERROR(__xludf.DUMMYFUNCTION("""COMPUTED_VALUE"""),29.25)</f>
        <v>29.25</v>
      </c>
      <c r="D1594" s="1">
        <f>IFERROR(__xludf.DUMMYFUNCTION("""COMPUTED_VALUE"""),28.67)</f>
        <v>28.67</v>
      </c>
      <c r="E1594" s="1">
        <f>IFERROR(__xludf.DUMMYFUNCTION("""COMPUTED_VALUE"""),28.91)</f>
        <v>28.91</v>
      </c>
      <c r="F1594" s="1">
        <f>IFERROR(__xludf.DUMMYFUNCTION("""COMPUTED_VALUE"""),570777.0)</f>
        <v>570777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IFERROR(__xludf.DUMMYFUNCTION("""COMPUTED_VALUE"""),28.74)</f>
        <v>28.74</v>
      </c>
      <c r="C1595" s="1">
        <f>IFERROR(__xludf.DUMMYFUNCTION("""COMPUTED_VALUE"""),29.0)</f>
        <v>29</v>
      </c>
      <c r="D1595" s="1">
        <f>IFERROR(__xludf.DUMMYFUNCTION("""COMPUTED_VALUE"""),28.33)</f>
        <v>28.33</v>
      </c>
      <c r="E1595" s="1">
        <f>IFERROR(__xludf.DUMMYFUNCTION("""COMPUTED_VALUE"""),28.9)</f>
        <v>28.9</v>
      </c>
      <c r="F1595" s="1">
        <f>IFERROR(__xludf.DUMMYFUNCTION("""COMPUTED_VALUE"""),471577.0)</f>
        <v>471577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IFERROR(__xludf.DUMMYFUNCTION("""COMPUTED_VALUE"""),28.72)</f>
        <v>28.72</v>
      </c>
      <c r="C1596" s="1">
        <f>IFERROR(__xludf.DUMMYFUNCTION("""COMPUTED_VALUE"""),29.0)</f>
        <v>29</v>
      </c>
      <c r="D1596" s="1">
        <f>IFERROR(__xludf.DUMMYFUNCTION("""COMPUTED_VALUE"""),28.69)</f>
        <v>28.69</v>
      </c>
      <c r="E1596" s="1">
        <f>IFERROR(__xludf.DUMMYFUNCTION("""COMPUTED_VALUE"""),28.91)</f>
        <v>28.91</v>
      </c>
      <c r="F1596" s="1">
        <f>IFERROR(__xludf.DUMMYFUNCTION("""COMPUTED_VALUE"""),405948.0)</f>
        <v>405948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IFERROR(__xludf.DUMMYFUNCTION("""COMPUTED_VALUE"""),28.98)</f>
        <v>28.98</v>
      </c>
      <c r="C1597" s="1">
        <f>IFERROR(__xludf.DUMMYFUNCTION("""COMPUTED_VALUE"""),29.03)</f>
        <v>29.03</v>
      </c>
      <c r="D1597" s="1">
        <f>IFERROR(__xludf.DUMMYFUNCTION("""COMPUTED_VALUE"""),28.69)</f>
        <v>28.69</v>
      </c>
      <c r="E1597" s="1">
        <f>IFERROR(__xludf.DUMMYFUNCTION("""COMPUTED_VALUE"""),28.95)</f>
        <v>28.95</v>
      </c>
      <c r="F1597" s="1">
        <f>IFERROR(__xludf.DUMMYFUNCTION("""COMPUTED_VALUE"""),332486.0)</f>
        <v>332486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IFERROR(__xludf.DUMMYFUNCTION("""COMPUTED_VALUE"""),28.79)</f>
        <v>28.79</v>
      </c>
      <c r="C1598" s="1">
        <f>IFERROR(__xludf.DUMMYFUNCTION("""COMPUTED_VALUE"""),29.2)</f>
        <v>29.2</v>
      </c>
      <c r="D1598" s="1">
        <f>IFERROR(__xludf.DUMMYFUNCTION("""COMPUTED_VALUE"""),28.57)</f>
        <v>28.57</v>
      </c>
      <c r="E1598" s="1">
        <f>IFERROR(__xludf.DUMMYFUNCTION("""COMPUTED_VALUE"""),29.15)</f>
        <v>29.15</v>
      </c>
      <c r="F1598" s="1">
        <f>IFERROR(__xludf.DUMMYFUNCTION("""COMPUTED_VALUE"""),482920.0)</f>
        <v>482920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IFERROR(__xludf.DUMMYFUNCTION("""COMPUTED_VALUE"""),29.25)</f>
        <v>29.25</v>
      </c>
      <c r="C1599" s="1">
        <f>IFERROR(__xludf.DUMMYFUNCTION("""COMPUTED_VALUE"""),31.14)</f>
        <v>31.14</v>
      </c>
      <c r="D1599" s="1">
        <f>IFERROR(__xludf.DUMMYFUNCTION("""COMPUTED_VALUE"""),28.93)</f>
        <v>28.93</v>
      </c>
      <c r="E1599" s="1">
        <f>IFERROR(__xludf.DUMMYFUNCTION("""COMPUTED_VALUE"""),30.69)</f>
        <v>30.69</v>
      </c>
      <c r="F1599" s="1">
        <f>IFERROR(__xludf.DUMMYFUNCTION("""COMPUTED_VALUE"""),945749.0)</f>
        <v>945749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IFERROR(__xludf.DUMMYFUNCTION("""COMPUTED_VALUE"""),30.72)</f>
        <v>30.72</v>
      </c>
      <c r="C1600" s="1">
        <f>IFERROR(__xludf.DUMMYFUNCTION("""COMPUTED_VALUE"""),31.33)</f>
        <v>31.33</v>
      </c>
      <c r="D1600" s="1">
        <f>IFERROR(__xludf.DUMMYFUNCTION("""COMPUTED_VALUE"""),30.4)</f>
        <v>30.4</v>
      </c>
      <c r="E1600" s="1">
        <f>IFERROR(__xludf.DUMMYFUNCTION("""COMPUTED_VALUE"""),30.79)</f>
        <v>30.79</v>
      </c>
      <c r="F1600" s="1">
        <f>IFERROR(__xludf.DUMMYFUNCTION("""COMPUTED_VALUE"""),636175.0)</f>
        <v>636175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IFERROR(__xludf.DUMMYFUNCTION("""COMPUTED_VALUE"""),30.79)</f>
        <v>30.79</v>
      </c>
      <c r="C1601" s="1">
        <f>IFERROR(__xludf.DUMMYFUNCTION("""COMPUTED_VALUE"""),32.03)</f>
        <v>32.03</v>
      </c>
      <c r="D1601" s="1">
        <f>IFERROR(__xludf.DUMMYFUNCTION("""COMPUTED_VALUE"""),30.79)</f>
        <v>30.79</v>
      </c>
      <c r="E1601" s="1">
        <f>IFERROR(__xludf.DUMMYFUNCTION("""COMPUTED_VALUE"""),31.94)</f>
        <v>31.94</v>
      </c>
      <c r="F1601" s="1">
        <f>IFERROR(__xludf.DUMMYFUNCTION("""COMPUTED_VALUE"""),672538.0)</f>
        <v>672538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IFERROR(__xludf.DUMMYFUNCTION("""COMPUTED_VALUE"""),32.0)</f>
        <v>32</v>
      </c>
      <c r="C1602" s="1">
        <f>IFERROR(__xludf.DUMMYFUNCTION("""COMPUTED_VALUE"""),32.31)</f>
        <v>32.31</v>
      </c>
      <c r="D1602" s="1">
        <f>IFERROR(__xludf.DUMMYFUNCTION("""COMPUTED_VALUE"""),31.56)</f>
        <v>31.56</v>
      </c>
      <c r="E1602" s="1">
        <f>IFERROR(__xludf.DUMMYFUNCTION("""COMPUTED_VALUE"""),31.82)</f>
        <v>31.82</v>
      </c>
      <c r="F1602" s="1">
        <f>IFERROR(__xludf.DUMMYFUNCTION("""COMPUTED_VALUE"""),511775.0)</f>
        <v>511775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IFERROR(__xludf.DUMMYFUNCTION("""COMPUTED_VALUE"""),31.84)</f>
        <v>31.84</v>
      </c>
      <c r="C1603" s="1">
        <f>IFERROR(__xludf.DUMMYFUNCTION("""COMPUTED_VALUE"""),31.97)</f>
        <v>31.97</v>
      </c>
      <c r="D1603" s="1">
        <f>IFERROR(__xludf.DUMMYFUNCTION("""COMPUTED_VALUE"""),31.31)</f>
        <v>31.31</v>
      </c>
      <c r="E1603" s="1">
        <f>IFERROR(__xludf.DUMMYFUNCTION("""COMPUTED_VALUE"""),31.51)</f>
        <v>31.51</v>
      </c>
      <c r="F1603" s="1">
        <f>IFERROR(__xludf.DUMMYFUNCTION("""COMPUTED_VALUE"""),411249.0)</f>
        <v>411249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IFERROR(__xludf.DUMMYFUNCTION("""COMPUTED_VALUE"""),31.5)</f>
        <v>31.5</v>
      </c>
      <c r="C1604" s="1">
        <f>IFERROR(__xludf.DUMMYFUNCTION("""COMPUTED_VALUE"""),32.06)</f>
        <v>32.06</v>
      </c>
      <c r="D1604" s="1">
        <f>IFERROR(__xludf.DUMMYFUNCTION("""COMPUTED_VALUE"""),31.5)</f>
        <v>31.5</v>
      </c>
      <c r="E1604" s="1">
        <f>IFERROR(__xludf.DUMMYFUNCTION("""COMPUTED_VALUE"""),31.97)</f>
        <v>31.97</v>
      </c>
      <c r="F1604" s="1">
        <f>IFERROR(__xludf.DUMMYFUNCTION("""COMPUTED_VALUE"""),334002.0)</f>
        <v>334002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IFERROR(__xludf.DUMMYFUNCTION("""COMPUTED_VALUE"""),31.76)</f>
        <v>31.76</v>
      </c>
      <c r="C1605" s="1">
        <f>IFERROR(__xludf.DUMMYFUNCTION("""COMPUTED_VALUE"""),32.16)</f>
        <v>32.16</v>
      </c>
      <c r="D1605" s="1">
        <f>IFERROR(__xludf.DUMMYFUNCTION("""COMPUTED_VALUE"""),31.6)</f>
        <v>31.6</v>
      </c>
      <c r="E1605" s="1">
        <f>IFERROR(__xludf.DUMMYFUNCTION("""COMPUTED_VALUE"""),32.11)</f>
        <v>32.11</v>
      </c>
      <c r="F1605" s="1">
        <f>IFERROR(__xludf.DUMMYFUNCTION("""COMPUTED_VALUE"""),471494.0)</f>
        <v>471494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IFERROR(__xludf.DUMMYFUNCTION("""COMPUTED_VALUE"""),31.95)</f>
        <v>31.95</v>
      </c>
      <c r="C1606" s="1">
        <f>IFERROR(__xludf.DUMMYFUNCTION("""COMPUTED_VALUE"""),32.2)</f>
        <v>32.2</v>
      </c>
      <c r="D1606" s="1">
        <f>IFERROR(__xludf.DUMMYFUNCTION("""COMPUTED_VALUE"""),31.62)</f>
        <v>31.62</v>
      </c>
      <c r="E1606" s="1">
        <f>IFERROR(__xludf.DUMMYFUNCTION("""COMPUTED_VALUE"""),31.74)</f>
        <v>31.74</v>
      </c>
      <c r="F1606" s="1">
        <f>IFERROR(__xludf.DUMMYFUNCTION("""COMPUTED_VALUE"""),583656.0)</f>
        <v>583656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IFERROR(__xludf.DUMMYFUNCTION("""COMPUTED_VALUE"""),31.67)</f>
        <v>31.67</v>
      </c>
      <c r="C1607" s="1">
        <f>IFERROR(__xludf.DUMMYFUNCTION("""COMPUTED_VALUE"""),32.01)</f>
        <v>32.01</v>
      </c>
      <c r="D1607" s="1">
        <f>IFERROR(__xludf.DUMMYFUNCTION("""COMPUTED_VALUE"""),31.46)</f>
        <v>31.46</v>
      </c>
      <c r="E1607" s="1">
        <f>IFERROR(__xludf.DUMMYFUNCTION("""COMPUTED_VALUE"""),31.95)</f>
        <v>31.95</v>
      </c>
      <c r="F1607" s="1">
        <f>IFERROR(__xludf.DUMMYFUNCTION("""COMPUTED_VALUE"""),446591.0)</f>
        <v>446591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IFERROR(__xludf.DUMMYFUNCTION("""COMPUTED_VALUE"""),31.75)</f>
        <v>31.75</v>
      </c>
      <c r="C1608" s="1">
        <f>IFERROR(__xludf.DUMMYFUNCTION("""COMPUTED_VALUE"""),32.01)</f>
        <v>32.01</v>
      </c>
      <c r="D1608" s="1">
        <f>IFERROR(__xludf.DUMMYFUNCTION("""COMPUTED_VALUE"""),31.66)</f>
        <v>31.66</v>
      </c>
      <c r="E1608" s="1">
        <f>IFERROR(__xludf.DUMMYFUNCTION("""COMPUTED_VALUE"""),31.89)</f>
        <v>31.89</v>
      </c>
      <c r="F1608" s="1">
        <f>IFERROR(__xludf.DUMMYFUNCTION("""COMPUTED_VALUE"""),264515.0)</f>
        <v>264515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IFERROR(__xludf.DUMMYFUNCTION("""COMPUTED_VALUE"""),31.76)</f>
        <v>31.76</v>
      </c>
      <c r="C1609" s="1">
        <f>IFERROR(__xludf.DUMMYFUNCTION("""COMPUTED_VALUE"""),32.01)</f>
        <v>32.01</v>
      </c>
      <c r="D1609" s="1">
        <f>IFERROR(__xludf.DUMMYFUNCTION("""COMPUTED_VALUE"""),31.71)</f>
        <v>31.71</v>
      </c>
      <c r="E1609" s="1">
        <f>IFERROR(__xludf.DUMMYFUNCTION("""COMPUTED_VALUE"""),31.87)</f>
        <v>31.87</v>
      </c>
      <c r="F1609" s="1">
        <f>IFERROR(__xludf.DUMMYFUNCTION("""COMPUTED_VALUE"""),191798.0)</f>
        <v>191798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IFERROR(__xludf.DUMMYFUNCTION("""COMPUTED_VALUE"""),31.93)</f>
        <v>31.93</v>
      </c>
      <c r="C1610" s="1">
        <f>IFERROR(__xludf.DUMMYFUNCTION("""COMPUTED_VALUE"""),32.67)</f>
        <v>32.67</v>
      </c>
      <c r="D1610" s="1">
        <f>IFERROR(__xludf.DUMMYFUNCTION("""COMPUTED_VALUE"""),31.93)</f>
        <v>31.93</v>
      </c>
      <c r="E1610" s="1">
        <f>IFERROR(__xludf.DUMMYFUNCTION("""COMPUTED_VALUE"""),32.66)</f>
        <v>32.66</v>
      </c>
      <c r="F1610" s="1">
        <f>IFERROR(__xludf.DUMMYFUNCTION("""COMPUTED_VALUE"""),457557.0)</f>
        <v>457557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IFERROR(__xludf.DUMMYFUNCTION("""COMPUTED_VALUE"""),32.68)</f>
        <v>32.68</v>
      </c>
      <c r="C1611" s="1">
        <f>IFERROR(__xludf.DUMMYFUNCTION("""COMPUTED_VALUE"""),33.1)</f>
        <v>33.1</v>
      </c>
      <c r="D1611" s="1">
        <f>IFERROR(__xludf.DUMMYFUNCTION("""COMPUTED_VALUE"""),32.55)</f>
        <v>32.55</v>
      </c>
      <c r="E1611" s="1">
        <f>IFERROR(__xludf.DUMMYFUNCTION("""COMPUTED_VALUE"""),32.58)</f>
        <v>32.58</v>
      </c>
      <c r="F1611" s="1">
        <f>IFERROR(__xludf.DUMMYFUNCTION("""COMPUTED_VALUE"""),442058.0)</f>
        <v>442058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IFERROR(__xludf.DUMMYFUNCTION("""COMPUTED_VALUE"""),32.67)</f>
        <v>32.67</v>
      </c>
      <c r="C1612" s="1">
        <f>IFERROR(__xludf.DUMMYFUNCTION("""COMPUTED_VALUE"""),32.96)</f>
        <v>32.96</v>
      </c>
      <c r="D1612" s="1">
        <f>IFERROR(__xludf.DUMMYFUNCTION("""COMPUTED_VALUE"""),32.58)</f>
        <v>32.58</v>
      </c>
      <c r="E1612" s="1">
        <f>IFERROR(__xludf.DUMMYFUNCTION("""COMPUTED_VALUE"""),32.59)</f>
        <v>32.59</v>
      </c>
      <c r="F1612" s="1">
        <f>IFERROR(__xludf.DUMMYFUNCTION("""COMPUTED_VALUE"""),276097.0)</f>
        <v>276097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IFERROR(__xludf.DUMMYFUNCTION("""COMPUTED_VALUE"""),32.52)</f>
        <v>32.52</v>
      </c>
      <c r="C1613" s="1">
        <f>IFERROR(__xludf.DUMMYFUNCTION("""COMPUTED_VALUE"""),32.77)</f>
        <v>32.77</v>
      </c>
      <c r="D1613" s="1">
        <f>IFERROR(__xludf.DUMMYFUNCTION("""COMPUTED_VALUE"""),32.41)</f>
        <v>32.41</v>
      </c>
      <c r="E1613" s="1">
        <f>IFERROR(__xludf.DUMMYFUNCTION("""COMPUTED_VALUE"""),32.57)</f>
        <v>32.57</v>
      </c>
      <c r="F1613" s="1">
        <f>IFERROR(__xludf.DUMMYFUNCTION("""COMPUTED_VALUE"""),235691.0)</f>
        <v>235691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IFERROR(__xludf.DUMMYFUNCTION("""COMPUTED_VALUE"""),32.8)</f>
        <v>32.8</v>
      </c>
      <c r="C1614" s="1">
        <f>IFERROR(__xludf.DUMMYFUNCTION("""COMPUTED_VALUE"""),32.88)</f>
        <v>32.88</v>
      </c>
      <c r="D1614" s="1">
        <f>IFERROR(__xludf.DUMMYFUNCTION("""COMPUTED_VALUE"""),32.46)</f>
        <v>32.46</v>
      </c>
      <c r="E1614" s="1">
        <f>IFERROR(__xludf.DUMMYFUNCTION("""COMPUTED_VALUE"""),32.72)</f>
        <v>32.72</v>
      </c>
      <c r="F1614" s="1">
        <f>IFERROR(__xludf.DUMMYFUNCTION("""COMPUTED_VALUE"""),413580.0)</f>
        <v>413580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IFERROR(__xludf.DUMMYFUNCTION("""COMPUTED_VALUE"""),32.73)</f>
        <v>32.73</v>
      </c>
      <c r="C1615" s="1">
        <f>IFERROR(__xludf.DUMMYFUNCTION("""COMPUTED_VALUE"""),32.84)</f>
        <v>32.84</v>
      </c>
      <c r="D1615" s="1">
        <f>IFERROR(__xludf.DUMMYFUNCTION("""COMPUTED_VALUE"""),32.38)</f>
        <v>32.38</v>
      </c>
      <c r="E1615" s="1">
        <f>IFERROR(__xludf.DUMMYFUNCTION("""COMPUTED_VALUE"""),32.74)</f>
        <v>32.74</v>
      </c>
      <c r="F1615" s="1">
        <f>IFERROR(__xludf.DUMMYFUNCTION("""COMPUTED_VALUE"""),208900.0)</f>
        <v>208900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IFERROR(__xludf.DUMMYFUNCTION("""COMPUTED_VALUE"""),32.74)</f>
        <v>32.74</v>
      </c>
      <c r="C1616" s="1">
        <f>IFERROR(__xludf.DUMMYFUNCTION("""COMPUTED_VALUE"""),32.88)</f>
        <v>32.88</v>
      </c>
      <c r="D1616" s="1">
        <f>IFERROR(__xludf.DUMMYFUNCTION("""COMPUTED_VALUE"""),32.56)</f>
        <v>32.56</v>
      </c>
      <c r="E1616" s="1">
        <f>IFERROR(__xludf.DUMMYFUNCTION("""COMPUTED_VALUE"""),32.77)</f>
        <v>32.77</v>
      </c>
      <c r="F1616" s="1">
        <f>IFERROR(__xludf.DUMMYFUNCTION("""COMPUTED_VALUE"""),340922.0)</f>
        <v>340922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IFERROR(__xludf.DUMMYFUNCTION("""COMPUTED_VALUE"""),33.03)</f>
        <v>33.03</v>
      </c>
      <c r="C1617" s="1">
        <f>IFERROR(__xludf.DUMMYFUNCTION("""COMPUTED_VALUE"""),33.3)</f>
        <v>33.3</v>
      </c>
      <c r="D1617" s="1">
        <f>IFERROR(__xludf.DUMMYFUNCTION("""COMPUTED_VALUE"""),32.72)</f>
        <v>32.72</v>
      </c>
      <c r="E1617" s="1">
        <f>IFERROR(__xludf.DUMMYFUNCTION("""COMPUTED_VALUE"""),33.21)</f>
        <v>33.21</v>
      </c>
      <c r="F1617" s="1">
        <f>IFERROR(__xludf.DUMMYFUNCTION("""COMPUTED_VALUE"""),464500.0)</f>
        <v>464500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IFERROR(__xludf.DUMMYFUNCTION("""COMPUTED_VALUE"""),33.26)</f>
        <v>33.26</v>
      </c>
      <c r="C1618" s="1">
        <f>IFERROR(__xludf.DUMMYFUNCTION("""COMPUTED_VALUE"""),33.79)</f>
        <v>33.79</v>
      </c>
      <c r="D1618" s="1">
        <f>IFERROR(__xludf.DUMMYFUNCTION("""COMPUTED_VALUE"""),33.26)</f>
        <v>33.26</v>
      </c>
      <c r="E1618" s="1">
        <f>IFERROR(__xludf.DUMMYFUNCTION("""COMPUTED_VALUE"""),33.74)</f>
        <v>33.74</v>
      </c>
      <c r="F1618" s="1">
        <f>IFERROR(__xludf.DUMMYFUNCTION("""COMPUTED_VALUE"""),431258.0)</f>
        <v>431258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IFERROR(__xludf.DUMMYFUNCTION("""COMPUTED_VALUE"""),33.62)</f>
        <v>33.62</v>
      </c>
      <c r="C1619" s="1">
        <f>IFERROR(__xludf.DUMMYFUNCTION("""COMPUTED_VALUE"""),34.23)</f>
        <v>34.23</v>
      </c>
      <c r="D1619" s="1">
        <f>IFERROR(__xludf.DUMMYFUNCTION("""COMPUTED_VALUE"""),33.59)</f>
        <v>33.59</v>
      </c>
      <c r="E1619" s="1">
        <f>IFERROR(__xludf.DUMMYFUNCTION("""COMPUTED_VALUE"""),34.01)</f>
        <v>34.01</v>
      </c>
      <c r="F1619" s="1">
        <f>IFERROR(__xludf.DUMMYFUNCTION("""COMPUTED_VALUE"""),451001.0)</f>
        <v>451001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IFERROR(__xludf.DUMMYFUNCTION("""COMPUTED_VALUE"""),34.11)</f>
        <v>34.11</v>
      </c>
      <c r="C1620" s="1">
        <f>IFERROR(__xludf.DUMMYFUNCTION("""COMPUTED_VALUE"""),34.69)</f>
        <v>34.69</v>
      </c>
      <c r="D1620" s="1">
        <f>IFERROR(__xludf.DUMMYFUNCTION("""COMPUTED_VALUE"""),34.01)</f>
        <v>34.01</v>
      </c>
      <c r="E1620" s="1">
        <f>IFERROR(__xludf.DUMMYFUNCTION("""COMPUTED_VALUE"""),34.53)</f>
        <v>34.53</v>
      </c>
      <c r="F1620" s="1">
        <f>IFERROR(__xludf.DUMMYFUNCTION("""COMPUTED_VALUE"""),649174.0)</f>
        <v>649174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IFERROR(__xludf.DUMMYFUNCTION("""COMPUTED_VALUE"""),34.41)</f>
        <v>34.41</v>
      </c>
      <c r="C1621" s="1">
        <f>IFERROR(__xludf.DUMMYFUNCTION("""COMPUTED_VALUE"""),34.67)</f>
        <v>34.67</v>
      </c>
      <c r="D1621" s="1">
        <f>IFERROR(__xludf.DUMMYFUNCTION("""COMPUTED_VALUE"""),34.27)</f>
        <v>34.27</v>
      </c>
      <c r="E1621" s="1">
        <f>IFERROR(__xludf.DUMMYFUNCTION("""COMPUTED_VALUE"""),34.63)</f>
        <v>34.63</v>
      </c>
      <c r="F1621" s="1">
        <f>IFERROR(__xludf.DUMMYFUNCTION("""COMPUTED_VALUE"""),240788.0)</f>
        <v>240788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IFERROR(__xludf.DUMMYFUNCTION("""COMPUTED_VALUE"""),34.63)</f>
        <v>34.63</v>
      </c>
      <c r="C1622" s="1">
        <f>IFERROR(__xludf.DUMMYFUNCTION("""COMPUTED_VALUE"""),34.64)</f>
        <v>34.64</v>
      </c>
      <c r="D1622" s="1">
        <f>IFERROR(__xludf.DUMMYFUNCTION("""COMPUTED_VALUE"""),33.32)</f>
        <v>33.32</v>
      </c>
      <c r="E1622" s="1">
        <f>IFERROR(__xludf.DUMMYFUNCTION("""COMPUTED_VALUE"""),33.5)</f>
        <v>33.5</v>
      </c>
      <c r="F1622" s="1">
        <f>IFERROR(__xludf.DUMMYFUNCTION("""COMPUTED_VALUE"""),664597.0)</f>
        <v>664597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IFERROR(__xludf.DUMMYFUNCTION("""COMPUTED_VALUE"""),33.4)</f>
        <v>33.4</v>
      </c>
      <c r="C1623" s="1">
        <f>IFERROR(__xludf.DUMMYFUNCTION("""COMPUTED_VALUE"""),33.7)</f>
        <v>33.7</v>
      </c>
      <c r="D1623" s="1">
        <f>IFERROR(__xludf.DUMMYFUNCTION("""COMPUTED_VALUE"""),33.29)</f>
        <v>33.29</v>
      </c>
      <c r="E1623" s="1">
        <f>IFERROR(__xludf.DUMMYFUNCTION("""COMPUTED_VALUE"""),33.42)</f>
        <v>33.42</v>
      </c>
      <c r="F1623" s="1">
        <f>IFERROR(__xludf.DUMMYFUNCTION("""COMPUTED_VALUE"""),190608.0)</f>
        <v>190608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IFERROR(__xludf.DUMMYFUNCTION("""COMPUTED_VALUE"""),33.4)</f>
        <v>33.4</v>
      </c>
      <c r="C1624" s="1">
        <f>IFERROR(__xludf.DUMMYFUNCTION("""COMPUTED_VALUE"""),33.55)</f>
        <v>33.55</v>
      </c>
      <c r="D1624" s="1">
        <f>IFERROR(__xludf.DUMMYFUNCTION("""COMPUTED_VALUE"""),32.91)</f>
        <v>32.91</v>
      </c>
      <c r="E1624" s="1">
        <f>IFERROR(__xludf.DUMMYFUNCTION("""COMPUTED_VALUE"""),33.08)</f>
        <v>33.08</v>
      </c>
      <c r="F1624" s="1">
        <f>IFERROR(__xludf.DUMMYFUNCTION("""COMPUTED_VALUE"""),285908.0)</f>
        <v>285908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IFERROR(__xludf.DUMMYFUNCTION("""COMPUTED_VALUE"""),33.11)</f>
        <v>33.11</v>
      </c>
      <c r="C1625" s="1">
        <f>IFERROR(__xludf.DUMMYFUNCTION("""COMPUTED_VALUE"""),33.2)</f>
        <v>33.2</v>
      </c>
      <c r="D1625" s="1">
        <f>IFERROR(__xludf.DUMMYFUNCTION("""COMPUTED_VALUE"""),32.88)</f>
        <v>32.88</v>
      </c>
      <c r="E1625" s="1">
        <f>IFERROR(__xludf.DUMMYFUNCTION("""COMPUTED_VALUE"""),33.01)</f>
        <v>33.01</v>
      </c>
      <c r="F1625" s="1">
        <f>IFERROR(__xludf.DUMMYFUNCTION("""COMPUTED_VALUE"""),339874.0)</f>
        <v>339874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IFERROR(__xludf.DUMMYFUNCTION("""COMPUTED_VALUE"""),32.75)</f>
        <v>32.75</v>
      </c>
      <c r="C1626" s="1">
        <f>IFERROR(__xludf.DUMMYFUNCTION("""COMPUTED_VALUE"""),33.08)</f>
        <v>33.08</v>
      </c>
      <c r="D1626" s="1">
        <f>IFERROR(__xludf.DUMMYFUNCTION("""COMPUTED_VALUE"""),32.59)</f>
        <v>32.59</v>
      </c>
      <c r="E1626" s="1">
        <f>IFERROR(__xludf.DUMMYFUNCTION("""COMPUTED_VALUE"""),32.99)</f>
        <v>32.99</v>
      </c>
      <c r="F1626" s="1">
        <f>IFERROR(__xludf.DUMMYFUNCTION("""COMPUTED_VALUE"""),433755.0)</f>
        <v>433755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IFERROR(__xludf.DUMMYFUNCTION("""COMPUTED_VALUE"""),33.0)</f>
        <v>33</v>
      </c>
      <c r="C1627" s="1">
        <f>IFERROR(__xludf.DUMMYFUNCTION("""COMPUTED_VALUE"""),33.23)</f>
        <v>33.23</v>
      </c>
      <c r="D1627" s="1">
        <f>IFERROR(__xludf.DUMMYFUNCTION("""COMPUTED_VALUE"""),32.77)</f>
        <v>32.77</v>
      </c>
      <c r="E1627" s="1">
        <f>IFERROR(__xludf.DUMMYFUNCTION("""COMPUTED_VALUE"""),32.93)</f>
        <v>32.93</v>
      </c>
      <c r="F1627" s="1">
        <f>IFERROR(__xludf.DUMMYFUNCTION("""COMPUTED_VALUE"""),379884.0)</f>
        <v>379884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IFERROR(__xludf.DUMMYFUNCTION("""COMPUTED_VALUE"""),33.18)</f>
        <v>33.18</v>
      </c>
      <c r="C1628" s="1">
        <f>IFERROR(__xludf.DUMMYFUNCTION("""COMPUTED_VALUE"""),34.11)</f>
        <v>34.11</v>
      </c>
      <c r="D1628" s="1">
        <f>IFERROR(__xludf.DUMMYFUNCTION("""COMPUTED_VALUE"""),33.18)</f>
        <v>33.18</v>
      </c>
      <c r="E1628" s="1">
        <f>IFERROR(__xludf.DUMMYFUNCTION("""COMPUTED_VALUE"""),33.87)</f>
        <v>33.87</v>
      </c>
      <c r="F1628" s="1">
        <f>IFERROR(__xludf.DUMMYFUNCTION("""COMPUTED_VALUE"""),429468.0)</f>
        <v>429468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IFERROR(__xludf.DUMMYFUNCTION("""COMPUTED_VALUE"""),33.85)</f>
        <v>33.85</v>
      </c>
      <c r="C1629" s="1">
        <f>IFERROR(__xludf.DUMMYFUNCTION("""COMPUTED_VALUE"""),34.15)</f>
        <v>34.15</v>
      </c>
      <c r="D1629" s="1">
        <f>IFERROR(__xludf.DUMMYFUNCTION("""COMPUTED_VALUE"""),33.8)</f>
        <v>33.8</v>
      </c>
      <c r="E1629" s="1">
        <f>IFERROR(__xludf.DUMMYFUNCTION("""COMPUTED_VALUE"""),34.05)</f>
        <v>34.05</v>
      </c>
      <c r="F1629" s="1">
        <f>IFERROR(__xludf.DUMMYFUNCTION("""COMPUTED_VALUE"""),464561.0)</f>
        <v>464561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IFERROR(__xludf.DUMMYFUNCTION("""COMPUTED_VALUE"""),34.19)</f>
        <v>34.19</v>
      </c>
      <c r="C1630" s="1">
        <f>IFERROR(__xludf.DUMMYFUNCTION("""COMPUTED_VALUE"""),34.45)</f>
        <v>34.45</v>
      </c>
      <c r="D1630" s="1">
        <f>IFERROR(__xludf.DUMMYFUNCTION("""COMPUTED_VALUE"""),34.04)</f>
        <v>34.04</v>
      </c>
      <c r="E1630" s="1">
        <f>IFERROR(__xludf.DUMMYFUNCTION("""COMPUTED_VALUE"""),34.24)</f>
        <v>34.24</v>
      </c>
      <c r="F1630" s="1">
        <f>IFERROR(__xludf.DUMMYFUNCTION("""COMPUTED_VALUE"""),336649.0)</f>
        <v>336649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IFERROR(__xludf.DUMMYFUNCTION("""COMPUTED_VALUE"""),34.39)</f>
        <v>34.39</v>
      </c>
      <c r="C1631" s="1">
        <f>IFERROR(__xludf.DUMMYFUNCTION("""COMPUTED_VALUE"""),34.63)</f>
        <v>34.63</v>
      </c>
      <c r="D1631" s="1">
        <f>IFERROR(__xludf.DUMMYFUNCTION("""COMPUTED_VALUE"""),34.09)</f>
        <v>34.09</v>
      </c>
      <c r="E1631" s="1">
        <f>IFERROR(__xludf.DUMMYFUNCTION("""COMPUTED_VALUE"""),34.21)</f>
        <v>34.21</v>
      </c>
      <c r="F1631" s="1">
        <f>IFERROR(__xludf.DUMMYFUNCTION("""COMPUTED_VALUE"""),363027.0)</f>
        <v>363027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IFERROR(__xludf.DUMMYFUNCTION("""COMPUTED_VALUE"""),32.82)</f>
        <v>32.82</v>
      </c>
      <c r="C1632" s="1">
        <f>IFERROR(__xludf.DUMMYFUNCTION("""COMPUTED_VALUE"""),33.5)</f>
        <v>33.5</v>
      </c>
      <c r="D1632" s="1">
        <f>IFERROR(__xludf.DUMMYFUNCTION("""COMPUTED_VALUE"""),32.79)</f>
        <v>32.79</v>
      </c>
      <c r="E1632" s="1">
        <f>IFERROR(__xludf.DUMMYFUNCTION("""COMPUTED_VALUE"""),32.79)</f>
        <v>32.79</v>
      </c>
      <c r="F1632" s="1">
        <f>IFERROR(__xludf.DUMMYFUNCTION("""COMPUTED_VALUE"""),407522.0)</f>
        <v>407522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IFERROR(__xludf.DUMMYFUNCTION("""COMPUTED_VALUE"""),32.74)</f>
        <v>32.74</v>
      </c>
      <c r="C1633" s="1">
        <f>IFERROR(__xludf.DUMMYFUNCTION("""COMPUTED_VALUE"""),32.74)</f>
        <v>32.74</v>
      </c>
      <c r="D1633" s="1">
        <f>IFERROR(__xludf.DUMMYFUNCTION("""COMPUTED_VALUE"""),31.74)</f>
        <v>31.74</v>
      </c>
      <c r="E1633" s="1">
        <f>IFERROR(__xludf.DUMMYFUNCTION("""COMPUTED_VALUE"""),31.98)</f>
        <v>31.98</v>
      </c>
      <c r="F1633" s="1">
        <f>IFERROR(__xludf.DUMMYFUNCTION("""COMPUTED_VALUE"""),447152.0)</f>
        <v>447152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IFERROR(__xludf.DUMMYFUNCTION("""COMPUTED_VALUE"""),32.22)</f>
        <v>32.22</v>
      </c>
      <c r="C1634" s="1">
        <f>IFERROR(__xludf.DUMMYFUNCTION("""COMPUTED_VALUE"""),33.02)</f>
        <v>33.02</v>
      </c>
      <c r="D1634" s="1">
        <f>IFERROR(__xludf.DUMMYFUNCTION("""COMPUTED_VALUE"""),32.21)</f>
        <v>32.21</v>
      </c>
      <c r="E1634" s="1">
        <f>IFERROR(__xludf.DUMMYFUNCTION("""COMPUTED_VALUE"""),32.8)</f>
        <v>32.8</v>
      </c>
      <c r="F1634" s="1">
        <f>IFERROR(__xludf.DUMMYFUNCTION("""COMPUTED_VALUE"""),443872.0)</f>
        <v>443872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IFERROR(__xludf.DUMMYFUNCTION("""COMPUTED_VALUE"""),33.02)</f>
        <v>33.02</v>
      </c>
      <c r="C1635" s="1">
        <f>IFERROR(__xludf.DUMMYFUNCTION("""COMPUTED_VALUE"""),33.5)</f>
        <v>33.5</v>
      </c>
      <c r="D1635" s="1">
        <f>IFERROR(__xludf.DUMMYFUNCTION("""COMPUTED_VALUE"""),32.98)</f>
        <v>32.98</v>
      </c>
      <c r="E1635" s="1">
        <f>IFERROR(__xludf.DUMMYFUNCTION("""COMPUTED_VALUE"""),33.27)</f>
        <v>33.27</v>
      </c>
      <c r="F1635" s="1">
        <f>IFERROR(__xludf.DUMMYFUNCTION("""COMPUTED_VALUE"""),254533.0)</f>
        <v>254533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IFERROR(__xludf.DUMMYFUNCTION("""COMPUTED_VALUE"""),33.4)</f>
        <v>33.4</v>
      </c>
      <c r="C1636" s="1">
        <f>IFERROR(__xludf.DUMMYFUNCTION("""COMPUTED_VALUE"""),33.8)</f>
        <v>33.8</v>
      </c>
      <c r="D1636" s="1">
        <f>IFERROR(__xludf.DUMMYFUNCTION("""COMPUTED_VALUE"""),33.14)</f>
        <v>33.14</v>
      </c>
      <c r="E1636" s="1">
        <f>IFERROR(__xludf.DUMMYFUNCTION("""COMPUTED_VALUE"""),33.78)</f>
        <v>33.78</v>
      </c>
      <c r="F1636" s="1">
        <f>IFERROR(__xludf.DUMMYFUNCTION("""COMPUTED_VALUE"""),394536.0)</f>
        <v>394536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IFERROR(__xludf.DUMMYFUNCTION("""COMPUTED_VALUE"""),33.66)</f>
        <v>33.66</v>
      </c>
      <c r="C1637" s="1">
        <f>IFERROR(__xludf.DUMMYFUNCTION("""COMPUTED_VALUE"""),33.98)</f>
        <v>33.98</v>
      </c>
      <c r="D1637" s="1">
        <f>IFERROR(__xludf.DUMMYFUNCTION("""COMPUTED_VALUE"""),33.5)</f>
        <v>33.5</v>
      </c>
      <c r="E1637" s="1">
        <f>IFERROR(__xludf.DUMMYFUNCTION("""COMPUTED_VALUE"""),33.83)</f>
        <v>33.83</v>
      </c>
      <c r="F1637" s="1">
        <f>IFERROR(__xludf.DUMMYFUNCTION("""COMPUTED_VALUE"""),220370.0)</f>
        <v>220370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IFERROR(__xludf.DUMMYFUNCTION("""COMPUTED_VALUE"""),33.53)</f>
        <v>33.53</v>
      </c>
      <c r="C1638" s="1">
        <f>IFERROR(__xludf.DUMMYFUNCTION("""COMPUTED_VALUE"""),33.87)</f>
        <v>33.87</v>
      </c>
      <c r="D1638" s="1">
        <f>IFERROR(__xludf.DUMMYFUNCTION("""COMPUTED_VALUE"""),33.46)</f>
        <v>33.46</v>
      </c>
      <c r="E1638" s="1">
        <f>IFERROR(__xludf.DUMMYFUNCTION("""COMPUTED_VALUE"""),33.8)</f>
        <v>33.8</v>
      </c>
      <c r="F1638" s="1">
        <f>IFERROR(__xludf.DUMMYFUNCTION("""COMPUTED_VALUE"""),238335.0)</f>
        <v>238335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IFERROR(__xludf.DUMMYFUNCTION("""COMPUTED_VALUE"""),33.81)</f>
        <v>33.81</v>
      </c>
      <c r="C1639" s="1">
        <f>IFERROR(__xludf.DUMMYFUNCTION("""COMPUTED_VALUE"""),33.95)</f>
        <v>33.95</v>
      </c>
      <c r="D1639" s="1">
        <f>IFERROR(__xludf.DUMMYFUNCTION("""COMPUTED_VALUE"""),33.26)</f>
        <v>33.26</v>
      </c>
      <c r="E1639" s="1">
        <f>IFERROR(__xludf.DUMMYFUNCTION("""COMPUTED_VALUE"""),33.83)</f>
        <v>33.83</v>
      </c>
      <c r="F1639" s="1">
        <f>IFERROR(__xludf.DUMMYFUNCTION("""COMPUTED_VALUE"""),268074.0)</f>
        <v>268074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IFERROR(__xludf.DUMMYFUNCTION("""COMPUTED_VALUE"""),33.98)</f>
        <v>33.98</v>
      </c>
      <c r="C1640" s="1">
        <f>IFERROR(__xludf.DUMMYFUNCTION("""COMPUTED_VALUE"""),34.03)</f>
        <v>34.03</v>
      </c>
      <c r="D1640" s="1">
        <f>IFERROR(__xludf.DUMMYFUNCTION("""COMPUTED_VALUE"""),33.6)</f>
        <v>33.6</v>
      </c>
      <c r="E1640" s="1">
        <f>IFERROR(__xludf.DUMMYFUNCTION("""COMPUTED_VALUE"""),34.01)</f>
        <v>34.01</v>
      </c>
      <c r="F1640" s="1">
        <f>IFERROR(__xludf.DUMMYFUNCTION("""COMPUTED_VALUE"""),290453.0)</f>
        <v>290453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IFERROR(__xludf.DUMMYFUNCTION("""COMPUTED_VALUE"""),34.11)</f>
        <v>34.11</v>
      </c>
      <c r="C1641" s="1">
        <f>IFERROR(__xludf.DUMMYFUNCTION("""COMPUTED_VALUE"""),34.97)</f>
        <v>34.97</v>
      </c>
      <c r="D1641" s="1">
        <f>IFERROR(__xludf.DUMMYFUNCTION("""COMPUTED_VALUE"""),34.06)</f>
        <v>34.06</v>
      </c>
      <c r="E1641" s="1">
        <f>IFERROR(__xludf.DUMMYFUNCTION("""COMPUTED_VALUE"""),34.93)</f>
        <v>34.93</v>
      </c>
      <c r="F1641" s="1">
        <f>IFERROR(__xludf.DUMMYFUNCTION("""COMPUTED_VALUE"""),510420.0)</f>
        <v>510420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IFERROR(__xludf.DUMMYFUNCTION("""COMPUTED_VALUE"""),34.91)</f>
        <v>34.91</v>
      </c>
      <c r="C1642" s="1">
        <f>IFERROR(__xludf.DUMMYFUNCTION("""COMPUTED_VALUE"""),35.11)</f>
        <v>35.11</v>
      </c>
      <c r="D1642" s="1">
        <f>IFERROR(__xludf.DUMMYFUNCTION("""COMPUTED_VALUE"""),34.64)</f>
        <v>34.64</v>
      </c>
      <c r="E1642" s="1">
        <f>IFERROR(__xludf.DUMMYFUNCTION("""COMPUTED_VALUE"""),34.88)</f>
        <v>34.88</v>
      </c>
      <c r="F1642" s="1">
        <f>IFERROR(__xludf.DUMMYFUNCTION("""COMPUTED_VALUE"""),740655.0)</f>
        <v>740655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IFERROR(__xludf.DUMMYFUNCTION("""COMPUTED_VALUE"""),35.0)</f>
        <v>35</v>
      </c>
      <c r="C1643" s="1">
        <f>IFERROR(__xludf.DUMMYFUNCTION("""COMPUTED_VALUE"""),35.24)</f>
        <v>35.24</v>
      </c>
      <c r="D1643" s="1">
        <f>IFERROR(__xludf.DUMMYFUNCTION("""COMPUTED_VALUE"""),34.73)</f>
        <v>34.73</v>
      </c>
      <c r="E1643" s="1">
        <f>IFERROR(__xludf.DUMMYFUNCTION("""COMPUTED_VALUE"""),34.81)</f>
        <v>34.81</v>
      </c>
      <c r="F1643" s="1">
        <f>IFERROR(__xludf.DUMMYFUNCTION("""COMPUTED_VALUE"""),429528.0)</f>
        <v>429528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IFERROR(__xludf.DUMMYFUNCTION("""COMPUTED_VALUE"""),34.71)</f>
        <v>34.71</v>
      </c>
      <c r="C1644" s="1">
        <f>IFERROR(__xludf.DUMMYFUNCTION("""COMPUTED_VALUE"""),34.99)</f>
        <v>34.99</v>
      </c>
      <c r="D1644" s="1">
        <f>IFERROR(__xludf.DUMMYFUNCTION("""COMPUTED_VALUE"""),34.58)</f>
        <v>34.58</v>
      </c>
      <c r="E1644" s="1">
        <f>IFERROR(__xludf.DUMMYFUNCTION("""COMPUTED_VALUE"""),34.67)</f>
        <v>34.67</v>
      </c>
      <c r="F1644" s="1">
        <f>IFERROR(__xludf.DUMMYFUNCTION("""COMPUTED_VALUE"""),349845.0)</f>
        <v>349845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IFERROR(__xludf.DUMMYFUNCTION("""COMPUTED_VALUE"""),34.63)</f>
        <v>34.63</v>
      </c>
      <c r="C1645" s="1">
        <f>IFERROR(__xludf.DUMMYFUNCTION("""COMPUTED_VALUE"""),34.85)</f>
        <v>34.85</v>
      </c>
      <c r="D1645" s="1">
        <f>IFERROR(__xludf.DUMMYFUNCTION("""COMPUTED_VALUE"""),34.54)</f>
        <v>34.54</v>
      </c>
      <c r="E1645" s="1">
        <f>IFERROR(__xludf.DUMMYFUNCTION("""COMPUTED_VALUE"""),34.69)</f>
        <v>34.69</v>
      </c>
      <c r="F1645" s="1">
        <f>IFERROR(__xludf.DUMMYFUNCTION("""COMPUTED_VALUE"""),344342.0)</f>
        <v>344342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IFERROR(__xludf.DUMMYFUNCTION("""COMPUTED_VALUE"""),34.37)</f>
        <v>34.37</v>
      </c>
      <c r="C1646" s="1">
        <f>IFERROR(__xludf.DUMMYFUNCTION("""COMPUTED_VALUE"""),34.47)</f>
        <v>34.47</v>
      </c>
      <c r="D1646" s="1">
        <f>IFERROR(__xludf.DUMMYFUNCTION("""COMPUTED_VALUE"""),33.41)</f>
        <v>33.41</v>
      </c>
      <c r="E1646" s="1">
        <f>IFERROR(__xludf.DUMMYFUNCTION("""COMPUTED_VALUE"""),33.49)</f>
        <v>33.49</v>
      </c>
      <c r="F1646" s="1">
        <f>IFERROR(__xludf.DUMMYFUNCTION("""COMPUTED_VALUE"""),637005.0)</f>
        <v>637005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IFERROR(__xludf.DUMMYFUNCTION("""COMPUTED_VALUE"""),33.45)</f>
        <v>33.45</v>
      </c>
      <c r="C1647" s="1">
        <f>IFERROR(__xludf.DUMMYFUNCTION("""COMPUTED_VALUE"""),33.74)</f>
        <v>33.74</v>
      </c>
      <c r="D1647" s="1">
        <f>IFERROR(__xludf.DUMMYFUNCTION("""COMPUTED_VALUE"""),33.22)</f>
        <v>33.22</v>
      </c>
      <c r="E1647" s="1">
        <f>IFERROR(__xludf.DUMMYFUNCTION("""COMPUTED_VALUE"""),33.7)</f>
        <v>33.7</v>
      </c>
      <c r="F1647" s="1">
        <f>IFERROR(__xludf.DUMMYFUNCTION("""COMPUTED_VALUE"""),342180.0)</f>
        <v>342180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IFERROR(__xludf.DUMMYFUNCTION("""COMPUTED_VALUE"""),33.6)</f>
        <v>33.6</v>
      </c>
      <c r="C1648" s="1">
        <f>IFERROR(__xludf.DUMMYFUNCTION("""COMPUTED_VALUE"""),33.69)</f>
        <v>33.69</v>
      </c>
      <c r="D1648" s="1">
        <f>IFERROR(__xludf.DUMMYFUNCTION("""COMPUTED_VALUE"""),33.03)</f>
        <v>33.03</v>
      </c>
      <c r="E1648" s="1">
        <f>IFERROR(__xludf.DUMMYFUNCTION("""COMPUTED_VALUE"""),33.08)</f>
        <v>33.08</v>
      </c>
      <c r="F1648" s="1">
        <f>IFERROR(__xludf.DUMMYFUNCTION("""COMPUTED_VALUE"""),323037.0)</f>
        <v>323037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IFERROR(__xludf.DUMMYFUNCTION("""COMPUTED_VALUE"""),33.14)</f>
        <v>33.14</v>
      </c>
      <c r="C1649" s="1">
        <f>IFERROR(__xludf.DUMMYFUNCTION("""COMPUTED_VALUE"""),33.48)</f>
        <v>33.48</v>
      </c>
      <c r="D1649" s="1">
        <f>IFERROR(__xludf.DUMMYFUNCTION("""COMPUTED_VALUE"""),32.98)</f>
        <v>32.98</v>
      </c>
      <c r="E1649" s="1">
        <f>IFERROR(__xludf.DUMMYFUNCTION("""COMPUTED_VALUE"""),33.38)</f>
        <v>33.38</v>
      </c>
      <c r="F1649" s="1">
        <f>IFERROR(__xludf.DUMMYFUNCTION("""COMPUTED_VALUE"""),391913.0)</f>
        <v>391913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IFERROR(__xludf.DUMMYFUNCTION("""COMPUTED_VALUE"""),33.43)</f>
        <v>33.43</v>
      </c>
      <c r="C1650" s="1">
        <f>IFERROR(__xludf.DUMMYFUNCTION("""COMPUTED_VALUE"""),33.84)</f>
        <v>33.84</v>
      </c>
      <c r="D1650" s="1">
        <f>IFERROR(__xludf.DUMMYFUNCTION("""COMPUTED_VALUE"""),33.35)</f>
        <v>33.35</v>
      </c>
      <c r="E1650" s="1">
        <f>IFERROR(__xludf.DUMMYFUNCTION("""COMPUTED_VALUE"""),33.76)</f>
        <v>33.76</v>
      </c>
      <c r="F1650" s="1">
        <f>IFERROR(__xludf.DUMMYFUNCTION("""COMPUTED_VALUE"""),432051.0)</f>
        <v>432051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IFERROR(__xludf.DUMMYFUNCTION("""COMPUTED_VALUE"""),33.33)</f>
        <v>33.33</v>
      </c>
      <c r="C1651" s="1">
        <f>IFERROR(__xludf.DUMMYFUNCTION("""COMPUTED_VALUE"""),33.54)</f>
        <v>33.54</v>
      </c>
      <c r="D1651" s="1">
        <f>IFERROR(__xludf.DUMMYFUNCTION("""COMPUTED_VALUE"""),32.67)</f>
        <v>32.67</v>
      </c>
      <c r="E1651" s="1">
        <f>IFERROR(__xludf.DUMMYFUNCTION("""COMPUTED_VALUE"""),33.22)</f>
        <v>33.22</v>
      </c>
      <c r="F1651" s="1">
        <f>IFERROR(__xludf.DUMMYFUNCTION("""COMPUTED_VALUE"""),706824.0)</f>
        <v>706824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IFERROR(__xludf.DUMMYFUNCTION("""COMPUTED_VALUE"""),33.14)</f>
        <v>33.14</v>
      </c>
      <c r="C1652" s="1">
        <f>IFERROR(__xludf.DUMMYFUNCTION("""COMPUTED_VALUE"""),33.27)</f>
        <v>33.27</v>
      </c>
      <c r="D1652" s="1">
        <f>IFERROR(__xludf.DUMMYFUNCTION("""COMPUTED_VALUE"""),32.67)</f>
        <v>32.67</v>
      </c>
      <c r="E1652" s="1">
        <f>IFERROR(__xludf.DUMMYFUNCTION("""COMPUTED_VALUE"""),32.82)</f>
        <v>32.82</v>
      </c>
      <c r="F1652" s="1">
        <f>IFERROR(__xludf.DUMMYFUNCTION("""COMPUTED_VALUE"""),439641.0)</f>
        <v>439641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IFERROR(__xludf.DUMMYFUNCTION("""COMPUTED_VALUE"""),32.96)</f>
        <v>32.96</v>
      </c>
      <c r="C1653" s="1">
        <f>IFERROR(__xludf.DUMMYFUNCTION("""COMPUTED_VALUE"""),33.44)</f>
        <v>33.44</v>
      </c>
      <c r="D1653" s="1">
        <f>IFERROR(__xludf.DUMMYFUNCTION("""COMPUTED_VALUE"""),32.86)</f>
        <v>32.86</v>
      </c>
      <c r="E1653" s="1">
        <f>IFERROR(__xludf.DUMMYFUNCTION("""COMPUTED_VALUE"""),33.25)</f>
        <v>33.25</v>
      </c>
      <c r="F1653" s="1">
        <f>IFERROR(__xludf.DUMMYFUNCTION("""COMPUTED_VALUE"""),293412.0)</f>
        <v>293412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IFERROR(__xludf.DUMMYFUNCTION("""COMPUTED_VALUE"""),33.34)</f>
        <v>33.34</v>
      </c>
      <c r="C1654" s="1">
        <f>IFERROR(__xludf.DUMMYFUNCTION("""COMPUTED_VALUE"""),33.34)</f>
        <v>33.34</v>
      </c>
      <c r="D1654" s="1">
        <f>IFERROR(__xludf.DUMMYFUNCTION("""COMPUTED_VALUE"""),32.67)</f>
        <v>32.67</v>
      </c>
      <c r="E1654" s="1">
        <f>IFERROR(__xludf.DUMMYFUNCTION("""COMPUTED_VALUE"""),32.83)</f>
        <v>32.83</v>
      </c>
      <c r="F1654" s="1">
        <f>IFERROR(__xludf.DUMMYFUNCTION("""COMPUTED_VALUE"""),341647.0)</f>
        <v>341647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IFERROR(__xludf.DUMMYFUNCTION("""COMPUTED_VALUE"""),32.82)</f>
        <v>32.82</v>
      </c>
      <c r="C1655" s="1">
        <f>IFERROR(__xludf.DUMMYFUNCTION("""COMPUTED_VALUE"""),33.03)</f>
        <v>33.03</v>
      </c>
      <c r="D1655" s="1">
        <f>IFERROR(__xludf.DUMMYFUNCTION("""COMPUTED_VALUE"""),32.72)</f>
        <v>32.72</v>
      </c>
      <c r="E1655" s="1">
        <f>IFERROR(__xludf.DUMMYFUNCTION("""COMPUTED_VALUE"""),32.95)</f>
        <v>32.95</v>
      </c>
      <c r="F1655" s="1">
        <f>IFERROR(__xludf.DUMMYFUNCTION("""COMPUTED_VALUE"""),198530.0)</f>
        <v>198530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IFERROR(__xludf.DUMMYFUNCTION("""COMPUTED_VALUE"""),32.99)</f>
        <v>32.99</v>
      </c>
      <c r="C1656" s="1">
        <f>IFERROR(__xludf.DUMMYFUNCTION("""COMPUTED_VALUE"""),33.35)</f>
        <v>33.35</v>
      </c>
      <c r="D1656" s="1">
        <f>IFERROR(__xludf.DUMMYFUNCTION("""COMPUTED_VALUE"""),32.84)</f>
        <v>32.84</v>
      </c>
      <c r="E1656" s="1">
        <f>IFERROR(__xludf.DUMMYFUNCTION("""COMPUTED_VALUE"""),33.2)</f>
        <v>33.2</v>
      </c>
      <c r="F1656" s="1">
        <f>IFERROR(__xludf.DUMMYFUNCTION("""COMPUTED_VALUE"""),432604.0)</f>
        <v>432604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IFERROR(__xludf.DUMMYFUNCTION("""COMPUTED_VALUE"""),33.2)</f>
        <v>33.2</v>
      </c>
      <c r="C1657" s="1">
        <f>IFERROR(__xludf.DUMMYFUNCTION("""COMPUTED_VALUE"""),33.21)</f>
        <v>33.21</v>
      </c>
      <c r="D1657" s="1">
        <f>IFERROR(__xludf.DUMMYFUNCTION("""COMPUTED_VALUE"""),32.8)</f>
        <v>32.8</v>
      </c>
      <c r="E1657" s="1">
        <f>IFERROR(__xludf.DUMMYFUNCTION("""COMPUTED_VALUE"""),32.9)</f>
        <v>32.9</v>
      </c>
      <c r="F1657" s="1">
        <f>IFERROR(__xludf.DUMMYFUNCTION("""COMPUTED_VALUE"""),168414.0)</f>
        <v>168414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IFERROR(__xludf.DUMMYFUNCTION("""COMPUTED_VALUE"""),33.0)</f>
        <v>33</v>
      </c>
      <c r="C1658" s="1">
        <f>IFERROR(__xludf.DUMMYFUNCTION("""COMPUTED_VALUE"""),33.06)</f>
        <v>33.06</v>
      </c>
      <c r="D1658" s="1">
        <f>IFERROR(__xludf.DUMMYFUNCTION("""COMPUTED_VALUE"""),32.43)</f>
        <v>32.43</v>
      </c>
      <c r="E1658" s="1">
        <f>IFERROR(__xludf.DUMMYFUNCTION("""COMPUTED_VALUE"""),32.67)</f>
        <v>32.67</v>
      </c>
      <c r="F1658" s="1">
        <f>IFERROR(__xludf.DUMMYFUNCTION("""COMPUTED_VALUE"""),640073.0)</f>
        <v>640073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IFERROR(__xludf.DUMMYFUNCTION("""COMPUTED_VALUE"""),32.59)</f>
        <v>32.59</v>
      </c>
      <c r="C1659" s="1">
        <f>IFERROR(__xludf.DUMMYFUNCTION("""COMPUTED_VALUE"""),32.94)</f>
        <v>32.94</v>
      </c>
      <c r="D1659" s="1">
        <f>IFERROR(__xludf.DUMMYFUNCTION("""COMPUTED_VALUE"""),32.39)</f>
        <v>32.39</v>
      </c>
      <c r="E1659" s="1">
        <f>IFERROR(__xludf.DUMMYFUNCTION("""COMPUTED_VALUE"""),32.76)</f>
        <v>32.76</v>
      </c>
      <c r="F1659" s="1">
        <f>IFERROR(__xludf.DUMMYFUNCTION("""COMPUTED_VALUE"""),958678.0)</f>
        <v>958678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IFERROR(__xludf.DUMMYFUNCTION("""COMPUTED_VALUE"""),32.85)</f>
        <v>32.85</v>
      </c>
      <c r="C1660" s="1">
        <f>IFERROR(__xludf.DUMMYFUNCTION("""COMPUTED_VALUE"""),32.97)</f>
        <v>32.97</v>
      </c>
      <c r="D1660" s="1">
        <f>IFERROR(__xludf.DUMMYFUNCTION("""COMPUTED_VALUE"""),32.23)</f>
        <v>32.23</v>
      </c>
      <c r="E1660" s="1">
        <f>IFERROR(__xludf.DUMMYFUNCTION("""COMPUTED_VALUE"""),32.85)</f>
        <v>32.85</v>
      </c>
      <c r="F1660" s="1">
        <f>IFERROR(__xludf.DUMMYFUNCTION("""COMPUTED_VALUE"""),556174.0)</f>
        <v>556174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IFERROR(__xludf.DUMMYFUNCTION("""COMPUTED_VALUE"""),32.8)</f>
        <v>32.8</v>
      </c>
      <c r="C1661" s="1">
        <f>IFERROR(__xludf.DUMMYFUNCTION("""COMPUTED_VALUE"""),33.24)</f>
        <v>33.24</v>
      </c>
      <c r="D1661" s="1">
        <f>IFERROR(__xludf.DUMMYFUNCTION("""COMPUTED_VALUE"""),32.78)</f>
        <v>32.78</v>
      </c>
      <c r="E1661" s="1">
        <f>IFERROR(__xludf.DUMMYFUNCTION("""COMPUTED_VALUE"""),32.81)</f>
        <v>32.81</v>
      </c>
      <c r="F1661" s="1">
        <f>IFERROR(__xludf.DUMMYFUNCTION("""COMPUTED_VALUE"""),677287.0)</f>
        <v>677287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IFERROR(__xludf.DUMMYFUNCTION("""COMPUTED_VALUE"""),33.0)</f>
        <v>33</v>
      </c>
      <c r="C1662" s="1">
        <f>IFERROR(__xludf.DUMMYFUNCTION("""COMPUTED_VALUE"""),33.1)</f>
        <v>33.1</v>
      </c>
      <c r="D1662" s="1">
        <f>IFERROR(__xludf.DUMMYFUNCTION("""COMPUTED_VALUE"""),32.5)</f>
        <v>32.5</v>
      </c>
      <c r="E1662" s="1">
        <f>IFERROR(__xludf.DUMMYFUNCTION("""COMPUTED_VALUE"""),32.85)</f>
        <v>32.85</v>
      </c>
      <c r="F1662" s="1">
        <f>IFERROR(__xludf.DUMMYFUNCTION("""COMPUTED_VALUE"""),596089.0)</f>
        <v>596089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IFERROR(__xludf.DUMMYFUNCTION("""COMPUTED_VALUE"""),31.1)</f>
        <v>31.1</v>
      </c>
      <c r="C1663" s="1">
        <f>IFERROR(__xludf.DUMMYFUNCTION("""COMPUTED_VALUE"""),31.12)</f>
        <v>31.12</v>
      </c>
      <c r="D1663" s="1">
        <f>IFERROR(__xludf.DUMMYFUNCTION("""COMPUTED_VALUE"""),27.83)</f>
        <v>27.83</v>
      </c>
      <c r="E1663" s="1">
        <f>IFERROR(__xludf.DUMMYFUNCTION("""COMPUTED_VALUE"""),29.35)</f>
        <v>29.35</v>
      </c>
      <c r="F1663" s="1">
        <f>IFERROR(__xludf.DUMMYFUNCTION("""COMPUTED_VALUE"""),2740923.0)</f>
        <v>2740923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IFERROR(__xludf.DUMMYFUNCTION("""COMPUTED_VALUE"""),29.61)</f>
        <v>29.61</v>
      </c>
      <c r="C1664" s="1">
        <f>IFERROR(__xludf.DUMMYFUNCTION("""COMPUTED_VALUE"""),29.61)</f>
        <v>29.61</v>
      </c>
      <c r="D1664" s="1">
        <f>IFERROR(__xludf.DUMMYFUNCTION("""COMPUTED_VALUE"""),28.61)</f>
        <v>28.61</v>
      </c>
      <c r="E1664" s="1">
        <f>IFERROR(__xludf.DUMMYFUNCTION("""COMPUTED_VALUE"""),28.77)</f>
        <v>28.77</v>
      </c>
      <c r="F1664" s="1">
        <f>IFERROR(__xludf.DUMMYFUNCTION("""COMPUTED_VALUE"""),798224.0)</f>
        <v>798224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IFERROR(__xludf.DUMMYFUNCTION("""COMPUTED_VALUE"""),28.77)</f>
        <v>28.77</v>
      </c>
      <c r="C1665" s="1">
        <f>IFERROR(__xludf.DUMMYFUNCTION("""COMPUTED_VALUE"""),28.77)</f>
        <v>28.77</v>
      </c>
      <c r="D1665" s="1">
        <f>IFERROR(__xludf.DUMMYFUNCTION("""COMPUTED_VALUE"""),28.17)</f>
        <v>28.17</v>
      </c>
      <c r="E1665" s="1">
        <f>IFERROR(__xludf.DUMMYFUNCTION("""COMPUTED_VALUE"""),28.3)</f>
        <v>28.3</v>
      </c>
      <c r="F1665" s="1">
        <f>IFERROR(__xludf.DUMMYFUNCTION("""COMPUTED_VALUE"""),689538.0)</f>
        <v>689538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IFERROR(__xludf.DUMMYFUNCTION("""COMPUTED_VALUE"""),28.27)</f>
        <v>28.27</v>
      </c>
      <c r="C1666" s="1">
        <f>IFERROR(__xludf.DUMMYFUNCTION("""COMPUTED_VALUE"""),28.45)</f>
        <v>28.45</v>
      </c>
      <c r="D1666" s="1">
        <f>IFERROR(__xludf.DUMMYFUNCTION("""COMPUTED_VALUE"""),27.9)</f>
        <v>27.9</v>
      </c>
      <c r="E1666" s="1">
        <f>IFERROR(__xludf.DUMMYFUNCTION("""COMPUTED_VALUE"""),28.05)</f>
        <v>28.05</v>
      </c>
      <c r="F1666" s="1">
        <f>IFERROR(__xludf.DUMMYFUNCTION("""COMPUTED_VALUE"""),518064.0)</f>
        <v>518064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IFERROR(__xludf.DUMMYFUNCTION("""COMPUTED_VALUE"""),28.47)</f>
        <v>28.47</v>
      </c>
      <c r="C1667" s="1">
        <f>IFERROR(__xludf.DUMMYFUNCTION("""COMPUTED_VALUE"""),28.63)</f>
        <v>28.63</v>
      </c>
      <c r="D1667" s="1">
        <f>IFERROR(__xludf.DUMMYFUNCTION("""COMPUTED_VALUE"""),27.89)</f>
        <v>27.89</v>
      </c>
      <c r="E1667" s="1">
        <f>IFERROR(__xludf.DUMMYFUNCTION("""COMPUTED_VALUE"""),28.51)</f>
        <v>28.51</v>
      </c>
      <c r="F1667" s="1">
        <f>IFERROR(__xludf.DUMMYFUNCTION("""COMPUTED_VALUE"""),1036909.0)</f>
        <v>1036909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IFERROR(__xludf.DUMMYFUNCTION("""COMPUTED_VALUE"""),28.5)</f>
        <v>28.5</v>
      </c>
      <c r="C1668" s="1">
        <f>IFERROR(__xludf.DUMMYFUNCTION("""COMPUTED_VALUE"""),28.58)</f>
        <v>28.58</v>
      </c>
      <c r="D1668" s="1">
        <f>IFERROR(__xludf.DUMMYFUNCTION("""COMPUTED_VALUE"""),28.11)</f>
        <v>28.11</v>
      </c>
      <c r="E1668" s="1">
        <f>IFERROR(__xludf.DUMMYFUNCTION("""COMPUTED_VALUE"""),28.11)</f>
        <v>28.11</v>
      </c>
      <c r="F1668" s="1">
        <f>IFERROR(__xludf.DUMMYFUNCTION("""COMPUTED_VALUE"""),482662.0)</f>
        <v>482662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IFERROR(__xludf.DUMMYFUNCTION("""COMPUTED_VALUE"""),28.02)</f>
        <v>28.02</v>
      </c>
      <c r="C1669" s="1">
        <f>IFERROR(__xludf.DUMMYFUNCTION("""COMPUTED_VALUE"""),28.07)</f>
        <v>28.07</v>
      </c>
      <c r="D1669" s="1">
        <f>IFERROR(__xludf.DUMMYFUNCTION("""COMPUTED_VALUE"""),27.31)</f>
        <v>27.31</v>
      </c>
      <c r="E1669" s="1">
        <f>IFERROR(__xludf.DUMMYFUNCTION("""COMPUTED_VALUE"""),27.68)</f>
        <v>27.68</v>
      </c>
      <c r="F1669" s="1">
        <f>IFERROR(__xludf.DUMMYFUNCTION("""COMPUTED_VALUE"""),970541.0)</f>
        <v>970541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IFERROR(__xludf.DUMMYFUNCTION("""COMPUTED_VALUE"""),27.59)</f>
        <v>27.59</v>
      </c>
      <c r="C1670" s="1">
        <f>IFERROR(__xludf.DUMMYFUNCTION("""COMPUTED_VALUE"""),27.81)</f>
        <v>27.81</v>
      </c>
      <c r="D1670" s="1">
        <f>IFERROR(__xludf.DUMMYFUNCTION("""COMPUTED_VALUE"""),27.23)</f>
        <v>27.23</v>
      </c>
      <c r="E1670" s="1">
        <f>IFERROR(__xludf.DUMMYFUNCTION("""COMPUTED_VALUE"""),27.63)</f>
        <v>27.63</v>
      </c>
      <c r="F1670" s="1">
        <f>IFERROR(__xludf.DUMMYFUNCTION("""COMPUTED_VALUE"""),684782.0)</f>
        <v>684782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IFERROR(__xludf.DUMMYFUNCTION("""COMPUTED_VALUE"""),27.5)</f>
        <v>27.5</v>
      </c>
      <c r="C1671" s="1">
        <f>IFERROR(__xludf.DUMMYFUNCTION("""COMPUTED_VALUE"""),27.6)</f>
        <v>27.6</v>
      </c>
      <c r="D1671" s="1">
        <f>IFERROR(__xludf.DUMMYFUNCTION("""COMPUTED_VALUE"""),27.22)</f>
        <v>27.22</v>
      </c>
      <c r="E1671" s="1">
        <f>IFERROR(__xludf.DUMMYFUNCTION("""COMPUTED_VALUE"""),27.43)</f>
        <v>27.43</v>
      </c>
      <c r="F1671" s="1">
        <f>IFERROR(__xludf.DUMMYFUNCTION("""COMPUTED_VALUE"""),502052.0)</f>
        <v>502052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IFERROR(__xludf.DUMMYFUNCTION("""COMPUTED_VALUE"""),27.35)</f>
        <v>27.35</v>
      </c>
      <c r="C1672" s="1">
        <f>IFERROR(__xludf.DUMMYFUNCTION("""COMPUTED_VALUE"""),27.51)</f>
        <v>27.51</v>
      </c>
      <c r="D1672" s="1">
        <f>IFERROR(__xludf.DUMMYFUNCTION("""COMPUTED_VALUE"""),27.13)</f>
        <v>27.13</v>
      </c>
      <c r="E1672" s="1">
        <f>IFERROR(__xludf.DUMMYFUNCTION("""COMPUTED_VALUE"""),27.27)</f>
        <v>27.27</v>
      </c>
      <c r="F1672" s="1">
        <f>IFERROR(__xludf.DUMMYFUNCTION("""COMPUTED_VALUE"""),438944.0)</f>
        <v>438944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IFERROR(__xludf.DUMMYFUNCTION("""COMPUTED_VALUE"""),27.3)</f>
        <v>27.3</v>
      </c>
      <c r="C1673" s="1">
        <f>IFERROR(__xludf.DUMMYFUNCTION("""COMPUTED_VALUE"""),27.7)</f>
        <v>27.7</v>
      </c>
      <c r="D1673" s="1">
        <f>IFERROR(__xludf.DUMMYFUNCTION("""COMPUTED_VALUE"""),27.25)</f>
        <v>27.25</v>
      </c>
      <c r="E1673" s="1">
        <f>IFERROR(__xludf.DUMMYFUNCTION("""COMPUTED_VALUE"""),27.69)</f>
        <v>27.69</v>
      </c>
      <c r="F1673" s="1">
        <f>IFERROR(__xludf.DUMMYFUNCTION("""COMPUTED_VALUE"""),617080.0)</f>
        <v>617080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IFERROR(__xludf.DUMMYFUNCTION("""COMPUTED_VALUE"""),27.56)</f>
        <v>27.56</v>
      </c>
      <c r="C1674" s="1">
        <f>IFERROR(__xludf.DUMMYFUNCTION("""COMPUTED_VALUE"""),28.17)</f>
        <v>28.17</v>
      </c>
      <c r="D1674" s="1">
        <f>IFERROR(__xludf.DUMMYFUNCTION("""COMPUTED_VALUE"""),27.55)</f>
        <v>27.55</v>
      </c>
      <c r="E1674" s="1">
        <f>IFERROR(__xludf.DUMMYFUNCTION("""COMPUTED_VALUE"""),27.8)</f>
        <v>27.8</v>
      </c>
      <c r="F1674" s="1">
        <f>IFERROR(__xludf.DUMMYFUNCTION("""COMPUTED_VALUE"""),634563.0)</f>
        <v>634563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IFERROR(__xludf.DUMMYFUNCTION("""COMPUTED_VALUE"""),27.74)</f>
        <v>27.74</v>
      </c>
      <c r="C1675" s="1">
        <f>IFERROR(__xludf.DUMMYFUNCTION("""COMPUTED_VALUE"""),28.0)</f>
        <v>28</v>
      </c>
      <c r="D1675" s="1">
        <f>IFERROR(__xludf.DUMMYFUNCTION("""COMPUTED_VALUE"""),27.54)</f>
        <v>27.54</v>
      </c>
      <c r="E1675" s="1">
        <f>IFERROR(__xludf.DUMMYFUNCTION("""COMPUTED_VALUE"""),27.96)</f>
        <v>27.96</v>
      </c>
      <c r="F1675" s="1">
        <f>IFERROR(__xludf.DUMMYFUNCTION("""COMPUTED_VALUE"""),419204.0)</f>
        <v>419204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IFERROR(__xludf.DUMMYFUNCTION("""COMPUTED_VALUE"""),28.11)</f>
        <v>28.11</v>
      </c>
      <c r="C1676" s="1">
        <f>IFERROR(__xludf.DUMMYFUNCTION("""COMPUTED_VALUE"""),28.53)</f>
        <v>28.53</v>
      </c>
      <c r="D1676" s="1">
        <f>IFERROR(__xludf.DUMMYFUNCTION("""COMPUTED_VALUE"""),28.09)</f>
        <v>28.09</v>
      </c>
      <c r="E1676" s="1">
        <f>IFERROR(__xludf.DUMMYFUNCTION("""COMPUTED_VALUE"""),28.46)</f>
        <v>28.46</v>
      </c>
      <c r="F1676" s="1">
        <f>IFERROR(__xludf.DUMMYFUNCTION("""COMPUTED_VALUE"""),572163.0)</f>
        <v>572163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IFERROR(__xludf.DUMMYFUNCTION("""COMPUTED_VALUE"""),28.61)</f>
        <v>28.61</v>
      </c>
      <c r="C1677" s="1">
        <f>IFERROR(__xludf.DUMMYFUNCTION("""COMPUTED_VALUE"""),29.01)</f>
        <v>29.01</v>
      </c>
      <c r="D1677" s="1">
        <f>IFERROR(__xludf.DUMMYFUNCTION("""COMPUTED_VALUE"""),28.46)</f>
        <v>28.46</v>
      </c>
      <c r="E1677" s="1">
        <f>IFERROR(__xludf.DUMMYFUNCTION("""COMPUTED_VALUE"""),28.89)</f>
        <v>28.89</v>
      </c>
      <c r="F1677" s="1">
        <f>IFERROR(__xludf.DUMMYFUNCTION("""COMPUTED_VALUE"""),638727.0)</f>
        <v>638727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IFERROR(__xludf.DUMMYFUNCTION("""COMPUTED_VALUE"""),34.19)</f>
        <v>34.19</v>
      </c>
      <c r="C1678" s="1">
        <f>IFERROR(__xludf.DUMMYFUNCTION("""COMPUTED_VALUE"""),35.94)</f>
        <v>35.94</v>
      </c>
      <c r="D1678" s="1">
        <f>IFERROR(__xludf.DUMMYFUNCTION("""COMPUTED_VALUE"""),33.33)</f>
        <v>33.33</v>
      </c>
      <c r="E1678" s="1">
        <f>IFERROR(__xludf.DUMMYFUNCTION("""COMPUTED_VALUE"""),35.71)</f>
        <v>35.71</v>
      </c>
      <c r="F1678" s="1">
        <f>IFERROR(__xludf.DUMMYFUNCTION("""COMPUTED_VALUE"""),5279136.0)</f>
        <v>5279136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IFERROR(__xludf.DUMMYFUNCTION("""COMPUTED_VALUE"""),35.81)</f>
        <v>35.81</v>
      </c>
      <c r="C1679" s="1">
        <f>IFERROR(__xludf.DUMMYFUNCTION("""COMPUTED_VALUE"""),36.79)</f>
        <v>36.79</v>
      </c>
      <c r="D1679" s="1">
        <f>IFERROR(__xludf.DUMMYFUNCTION("""COMPUTED_VALUE"""),34.25)</f>
        <v>34.25</v>
      </c>
      <c r="E1679" s="1">
        <f>IFERROR(__xludf.DUMMYFUNCTION("""COMPUTED_VALUE"""),34.83)</f>
        <v>34.83</v>
      </c>
      <c r="F1679" s="1">
        <f>IFERROR(__xludf.DUMMYFUNCTION("""COMPUTED_VALUE"""),3212058.0)</f>
        <v>3212058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IFERROR(__xludf.DUMMYFUNCTION("""COMPUTED_VALUE"""),34.83)</f>
        <v>34.83</v>
      </c>
      <c r="C1680" s="1">
        <f>IFERROR(__xludf.DUMMYFUNCTION("""COMPUTED_VALUE"""),34.9)</f>
        <v>34.9</v>
      </c>
      <c r="D1680" s="1">
        <f>IFERROR(__xludf.DUMMYFUNCTION("""COMPUTED_VALUE"""),34.3)</f>
        <v>34.3</v>
      </c>
      <c r="E1680" s="1">
        <f>IFERROR(__xludf.DUMMYFUNCTION("""COMPUTED_VALUE"""),34.72)</f>
        <v>34.72</v>
      </c>
      <c r="F1680" s="1">
        <f>IFERROR(__xludf.DUMMYFUNCTION("""COMPUTED_VALUE"""),1012192.0)</f>
        <v>1012192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IFERROR(__xludf.DUMMYFUNCTION("""COMPUTED_VALUE"""),34.93)</f>
        <v>34.93</v>
      </c>
      <c r="C1681" s="1">
        <f>IFERROR(__xludf.DUMMYFUNCTION("""COMPUTED_VALUE"""),35.39)</f>
        <v>35.39</v>
      </c>
      <c r="D1681" s="1">
        <f>IFERROR(__xludf.DUMMYFUNCTION("""COMPUTED_VALUE"""),34.93)</f>
        <v>34.93</v>
      </c>
      <c r="E1681" s="1">
        <f>IFERROR(__xludf.DUMMYFUNCTION("""COMPUTED_VALUE"""),35.08)</f>
        <v>35.08</v>
      </c>
      <c r="F1681" s="1">
        <f>IFERROR(__xludf.DUMMYFUNCTION("""COMPUTED_VALUE"""),890937.0)</f>
        <v>890937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IFERROR(__xludf.DUMMYFUNCTION("""COMPUTED_VALUE"""),35.03)</f>
        <v>35.03</v>
      </c>
      <c r="C1682" s="1">
        <f>IFERROR(__xludf.DUMMYFUNCTION("""COMPUTED_VALUE"""),35.56)</f>
        <v>35.56</v>
      </c>
      <c r="D1682" s="1">
        <f>IFERROR(__xludf.DUMMYFUNCTION("""COMPUTED_VALUE"""),34.95)</f>
        <v>34.95</v>
      </c>
      <c r="E1682" s="1">
        <f>IFERROR(__xludf.DUMMYFUNCTION("""COMPUTED_VALUE"""),35.26)</f>
        <v>35.26</v>
      </c>
      <c r="F1682" s="1">
        <f>IFERROR(__xludf.DUMMYFUNCTION("""COMPUTED_VALUE"""),751008.0)</f>
        <v>751008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IFERROR(__xludf.DUMMYFUNCTION("""COMPUTED_VALUE"""),35.25)</f>
        <v>35.25</v>
      </c>
      <c r="C1683" s="1">
        <f>IFERROR(__xludf.DUMMYFUNCTION("""COMPUTED_VALUE"""),35.5)</f>
        <v>35.5</v>
      </c>
      <c r="D1683" s="1">
        <f>IFERROR(__xludf.DUMMYFUNCTION("""COMPUTED_VALUE"""),34.95)</f>
        <v>34.95</v>
      </c>
      <c r="E1683" s="1">
        <f>IFERROR(__xludf.DUMMYFUNCTION("""COMPUTED_VALUE"""),35.13)</f>
        <v>35.13</v>
      </c>
      <c r="F1683" s="1">
        <f>IFERROR(__xludf.DUMMYFUNCTION("""COMPUTED_VALUE"""),822952.0)</f>
        <v>822952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IFERROR(__xludf.DUMMYFUNCTION("""COMPUTED_VALUE"""),34.94)</f>
        <v>34.94</v>
      </c>
      <c r="C1684" s="1">
        <f>IFERROR(__xludf.DUMMYFUNCTION("""COMPUTED_VALUE"""),35.05)</f>
        <v>35.05</v>
      </c>
      <c r="D1684" s="1">
        <f>IFERROR(__xludf.DUMMYFUNCTION("""COMPUTED_VALUE"""),34.01)</f>
        <v>34.01</v>
      </c>
      <c r="E1684" s="1">
        <f>IFERROR(__xludf.DUMMYFUNCTION("""COMPUTED_VALUE"""),34.09)</f>
        <v>34.09</v>
      </c>
      <c r="F1684" s="1">
        <f>IFERROR(__xludf.DUMMYFUNCTION("""COMPUTED_VALUE"""),866484.0)</f>
        <v>866484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IFERROR(__xludf.DUMMYFUNCTION("""COMPUTED_VALUE"""),33.91)</f>
        <v>33.91</v>
      </c>
      <c r="C1685" s="1">
        <f>IFERROR(__xludf.DUMMYFUNCTION("""COMPUTED_VALUE"""),34.09)</f>
        <v>34.09</v>
      </c>
      <c r="D1685" s="1">
        <f>IFERROR(__xludf.DUMMYFUNCTION("""COMPUTED_VALUE"""),32.98)</f>
        <v>32.98</v>
      </c>
      <c r="E1685" s="1">
        <f>IFERROR(__xludf.DUMMYFUNCTION("""COMPUTED_VALUE"""),33.27)</f>
        <v>33.27</v>
      </c>
      <c r="F1685" s="1">
        <f>IFERROR(__xludf.DUMMYFUNCTION("""COMPUTED_VALUE"""),858337.0)</f>
        <v>858337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IFERROR(__xludf.DUMMYFUNCTION("""COMPUTED_VALUE"""),32.89)</f>
        <v>32.89</v>
      </c>
      <c r="C1686" s="1">
        <f>IFERROR(__xludf.DUMMYFUNCTION("""COMPUTED_VALUE"""),33.8)</f>
        <v>33.8</v>
      </c>
      <c r="D1686" s="1">
        <f>IFERROR(__xludf.DUMMYFUNCTION("""COMPUTED_VALUE"""),32.87)</f>
        <v>32.87</v>
      </c>
      <c r="E1686" s="1">
        <f>IFERROR(__xludf.DUMMYFUNCTION("""COMPUTED_VALUE"""),33.61)</f>
        <v>33.61</v>
      </c>
      <c r="F1686" s="1">
        <f>IFERROR(__xludf.DUMMYFUNCTION("""COMPUTED_VALUE"""),540520.0)</f>
        <v>540520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IFERROR(__xludf.DUMMYFUNCTION("""COMPUTED_VALUE"""),33.22)</f>
        <v>33.22</v>
      </c>
      <c r="C1687" s="1">
        <f>IFERROR(__xludf.DUMMYFUNCTION("""COMPUTED_VALUE"""),33.54)</f>
        <v>33.54</v>
      </c>
      <c r="D1687" s="1">
        <f>IFERROR(__xludf.DUMMYFUNCTION("""COMPUTED_VALUE"""),33.03)</f>
        <v>33.03</v>
      </c>
      <c r="E1687" s="1">
        <f>IFERROR(__xludf.DUMMYFUNCTION("""COMPUTED_VALUE"""),33.28)</f>
        <v>33.28</v>
      </c>
      <c r="F1687" s="1">
        <f>IFERROR(__xludf.DUMMYFUNCTION("""COMPUTED_VALUE"""),454353.0)</f>
        <v>454353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IFERROR(__xludf.DUMMYFUNCTION("""COMPUTED_VALUE"""),33.4)</f>
        <v>33.4</v>
      </c>
      <c r="C1688" s="1">
        <f>IFERROR(__xludf.DUMMYFUNCTION("""COMPUTED_VALUE"""),33.69)</f>
        <v>33.69</v>
      </c>
      <c r="D1688" s="1">
        <f>IFERROR(__xludf.DUMMYFUNCTION("""COMPUTED_VALUE"""),33.28)</f>
        <v>33.28</v>
      </c>
      <c r="E1688" s="1">
        <f>IFERROR(__xludf.DUMMYFUNCTION("""COMPUTED_VALUE"""),33.61)</f>
        <v>33.61</v>
      </c>
      <c r="F1688" s="1">
        <f>IFERROR(__xludf.DUMMYFUNCTION("""COMPUTED_VALUE"""),536925.0)</f>
        <v>536925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IFERROR(__xludf.DUMMYFUNCTION("""COMPUTED_VALUE"""),33.67)</f>
        <v>33.67</v>
      </c>
      <c r="C1689" s="1">
        <f>IFERROR(__xludf.DUMMYFUNCTION("""COMPUTED_VALUE"""),34.42)</f>
        <v>34.42</v>
      </c>
      <c r="D1689" s="1">
        <f>IFERROR(__xludf.DUMMYFUNCTION("""COMPUTED_VALUE"""),33.67)</f>
        <v>33.67</v>
      </c>
      <c r="E1689" s="1">
        <f>IFERROR(__xludf.DUMMYFUNCTION("""COMPUTED_VALUE"""),34.08)</f>
        <v>34.08</v>
      </c>
      <c r="F1689" s="1">
        <f>IFERROR(__xludf.DUMMYFUNCTION("""COMPUTED_VALUE"""),484146.0)</f>
        <v>484146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IFERROR(__xludf.DUMMYFUNCTION("""COMPUTED_VALUE"""),33.74)</f>
        <v>33.74</v>
      </c>
      <c r="C1690" s="1">
        <f>IFERROR(__xludf.DUMMYFUNCTION("""COMPUTED_VALUE"""),34.11)</f>
        <v>34.11</v>
      </c>
      <c r="D1690" s="1">
        <f>IFERROR(__xludf.DUMMYFUNCTION("""COMPUTED_VALUE"""),33.74)</f>
        <v>33.74</v>
      </c>
      <c r="E1690" s="1">
        <f>IFERROR(__xludf.DUMMYFUNCTION("""COMPUTED_VALUE"""),34.05)</f>
        <v>34.05</v>
      </c>
      <c r="F1690" s="1">
        <f>IFERROR(__xludf.DUMMYFUNCTION("""COMPUTED_VALUE"""),587957.0)</f>
        <v>587957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IFERROR(__xludf.DUMMYFUNCTION("""COMPUTED_VALUE"""),34.23)</f>
        <v>34.23</v>
      </c>
      <c r="C1691" s="1">
        <f>IFERROR(__xludf.DUMMYFUNCTION("""COMPUTED_VALUE"""),34.9)</f>
        <v>34.9</v>
      </c>
      <c r="D1691" s="1">
        <f>IFERROR(__xludf.DUMMYFUNCTION("""COMPUTED_VALUE"""),34.16)</f>
        <v>34.16</v>
      </c>
      <c r="E1691" s="1">
        <f>IFERROR(__xludf.DUMMYFUNCTION("""COMPUTED_VALUE"""),34.51)</f>
        <v>34.51</v>
      </c>
      <c r="F1691" s="1">
        <f>IFERROR(__xludf.DUMMYFUNCTION("""COMPUTED_VALUE"""),451245.0)</f>
        <v>451245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IFERROR(__xludf.DUMMYFUNCTION("""COMPUTED_VALUE"""),34.56)</f>
        <v>34.56</v>
      </c>
      <c r="C1692" s="1">
        <f>IFERROR(__xludf.DUMMYFUNCTION("""COMPUTED_VALUE"""),34.89)</f>
        <v>34.89</v>
      </c>
      <c r="D1692" s="1">
        <f>IFERROR(__xludf.DUMMYFUNCTION("""COMPUTED_VALUE"""),34.34)</f>
        <v>34.34</v>
      </c>
      <c r="E1692" s="1">
        <f>IFERROR(__xludf.DUMMYFUNCTION("""COMPUTED_VALUE"""),34.82)</f>
        <v>34.82</v>
      </c>
      <c r="F1692" s="1">
        <f>IFERROR(__xludf.DUMMYFUNCTION("""COMPUTED_VALUE"""),289847.0)</f>
        <v>289847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IFERROR(__xludf.DUMMYFUNCTION("""COMPUTED_VALUE"""),35.03)</f>
        <v>35.03</v>
      </c>
      <c r="C1693" s="1">
        <f>IFERROR(__xludf.DUMMYFUNCTION("""COMPUTED_VALUE"""),35.2)</f>
        <v>35.2</v>
      </c>
      <c r="D1693" s="1">
        <f>IFERROR(__xludf.DUMMYFUNCTION("""COMPUTED_VALUE"""),34.8)</f>
        <v>34.8</v>
      </c>
      <c r="E1693" s="1">
        <f>IFERROR(__xludf.DUMMYFUNCTION("""COMPUTED_VALUE"""),35.08)</f>
        <v>35.08</v>
      </c>
      <c r="F1693" s="1">
        <f>IFERROR(__xludf.DUMMYFUNCTION("""COMPUTED_VALUE"""),314473.0)</f>
        <v>314473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IFERROR(__xludf.DUMMYFUNCTION("""COMPUTED_VALUE"""),35.24)</f>
        <v>35.24</v>
      </c>
      <c r="C1694" s="1">
        <f>IFERROR(__xludf.DUMMYFUNCTION("""COMPUTED_VALUE"""),35.58)</f>
        <v>35.58</v>
      </c>
      <c r="D1694" s="1">
        <f>IFERROR(__xludf.DUMMYFUNCTION("""COMPUTED_VALUE"""),35.13)</f>
        <v>35.13</v>
      </c>
      <c r="E1694" s="1">
        <f>IFERROR(__xludf.DUMMYFUNCTION("""COMPUTED_VALUE"""),35.34)</f>
        <v>35.34</v>
      </c>
      <c r="F1694" s="1">
        <f>IFERROR(__xludf.DUMMYFUNCTION("""COMPUTED_VALUE"""),488335.0)</f>
        <v>488335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IFERROR(__xludf.DUMMYFUNCTION("""COMPUTED_VALUE"""),35.31)</f>
        <v>35.31</v>
      </c>
      <c r="C1695" s="1">
        <f>IFERROR(__xludf.DUMMYFUNCTION("""COMPUTED_VALUE"""),35.34)</f>
        <v>35.34</v>
      </c>
      <c r="D1695" s="1">
        <f>IFERROR(__xludf.DUMMYFUNCTION("""COMPUTED_VALUE"""),34.93)</f>
        <v>34.93</v>
      </c>
      <c r="E1695" s="1">
        <f>IFERROR(__xludf.DUMMYFUNCTION("""COMPUTED_VALUE"""),35.0)</f>
        <v>35</v>
      </c>
      <c r="F1695" s="1">
        <f>IFERROR(__xludf.DUMMYFUNCTION("""COMPUTED_VALUE"""),275042.0)</f>
        <v>275042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IFERROR(__xludf.DUMMYFUNCTION("""COMPUTED_VALUE"""),34.8)</f>
        <v>34.8</v>
      </c>
      <c r="C1696" s="1">
        <f>IFERROR(__xludf.DUMMYFUNCTION("""COMPUTED_VALUE"""),35.02)</f>
        <v>35.02</v>
      </c>
      <c r="D1696" s="1">
        <f>IFERROR(__xludf.DUMMYFUNCTION("""COMPUTED_VALUE"""),34.43)</f>
        <v>34.43</v>
      </c>
      <c r="E1696" s="1">
        <f>IFERROR(__xludf.DUMMYFUNCTION("""COMPUTED_VALUE"""),34.55)</f>
        <v>34.55</v>
      </c>
      <c r="F1696" s="1">
        <f>IFERROR(__xludf.DUMMYFUNCTION("""COMPUTED_VALUE"""),310386.0)</f>
        <v>310386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IFERROR(__xludf.DUMMYFUNCTION("""COMPUTED_VALUE"""),34.52)</f>
        <v>34.52</v>
      </c>
      <c r="C1697" s="1">
        <f>IFERROR(__xludf.DUMMYFUNCTION("""COMPUTED_VALUE"""),34.63)</f>
        <v>34.63</v>
      </c>
      <c r="D1697" s="1">
        <f>IFERROR(__xludf.DUMMYFUNCTION("""COMPUTED_VALUE"""),34.17)</f>
        <v>34.17</v>
      </c>
      <c r="E1697" s="1">
        <f>IFERROR(__xludf.DUMMYFUNCTION("""COMPUTED_VALUE"""),34.23)</f>
        <v>34.23</v>
      </c>
      <c r="F1697" s="1">
        <f>IFERROR(__xludf.DUMMYFUNCTION("""COMPUTED_VALUE"""),644393.0)</f>
        <v>644393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IFERROR(__xludf.DUMMYFUNCTION("""COMPUTED_VALUE"""),34.31)</f>
        <v>34.31</v>
      </c>
      <c r="C1698" s="1">
        <f>IFERROR(__xludf.DUMMYFUNCTION("""COMPUTED_VALUE"""),34.37)</f>
        <v>34.37</v>
      </c>
      <c r="D1698" s="1">
        <f>IFERROR(__xludf.DUMMYFUNCTION("""COMPUTED_VALUE"""),33.94)</f>
        <v>33.94</v>
      </c>
      <c r="E1698" s="1">
        <f>IFERROR(__xludf.DUMMYFUNCTION("""COMPUTED_VALUE"""),34.2)</f>
        <v>34.2</v>
      </c>
      <c r="F1698" s="1">
        <f>IFERROR(__xludf.DUMMYFUNCTION("""COMPUTED_VALUE"""),920381.0)</f>
        <v>920381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IFERROR(__xludf.DUMMYFUNCTION("""COMPUTED_VALUE"""),34.24)</f>
        <v>34.24</v>
      </c>
      <c r="C1699" s="1">
        <f>IFERROR(__xludf.DUMMYFUNCTION("""COMPUTED_VALUE"""),34.42)</f>
        <v>34.42</v>
      </c>
      <c r="D1699" s="1">
        <f>IFERROR(__xludf.DUMMYFUNCTION("""COMPUTED_VALUE"""),34.08)</f>
        <v>34.08</v>
      </c>
      <c r="E1699" s="1">
        <f>IFERROR(__xludf.DUMMYFUNCTION("""COMPUTED_VALUE"""),34.21)</f>
        <v>34.21</v>
      </c>
      <c r="F1699" s="1">
        <f>IFERROR(__xludf.DUMMYFUNCTION("""COMPUTED_VALUE"""),521297.0)</f>
        <v>521297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IFERROR(__xludf.DUMMYFUNCTION("""COMPUTED_VALUE"""),34.43)</f>
        <v>34.43</v>
      </c>
      <c r="C1700" s="1">
        <f>IFERROR(__xludf.DUMMYFUNCTION("""COMPUTED_VALUE"""),35.26)</f>
        <v>35.26</v>
      </c>
      <c r="D1700" s="1">
        <f>IFERROR(__xludf.DUMMYFUNCTION("""COMPUTED_VALUE"""),34.35)</f>
        <v>34.35</v>
      </c>
      <c r="E1700" s="1">
        <f>IFERROR(__xludf.DUMMYFUNCTION("""COMPUTED_VALUE"""),35.07)</f>
        <v>35.07</v>
      </c>
      <c r="F1700" s="1">
        <f>IFERROR(__xludf.DUMMYFUNCTION("""COMPUTED_VALUE"""),490998.0)</f>
        <v>490998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IFERROR(__xludf.DUMMYFUNCTION("""COMPUTED_VALUE"""),35.14)</f>
        <v>35.14</v>
      </c>
      <c r="C1701" s="1">
        <f>IFERROR(__xludf.DUMMYFUNCTION("""COMPUTED_VALUE"""),37.23)</f>
        <v>37.23</v>
      </c>
      <c r="D1701" s="1">
        <f>IFERROR(__xludf.DUMMYFUNCTION("""COMPUTED_VALUE"""),35.07)</f>
        <v>35.07</v>
      </c>
      <c r="E1701" s="1">
        <f>IFERROR(__xludf.DUMMYFUNCTION("""COMPUTED_VALUE"""),36.0)</f>
        <v>36</v>
      </c>
      <c r="F1701" s="1">
        <f>IFERROR(__xludf.DUMMYFUNCTION("""COMPUTED_VALUE"""),1457851.0)</f>
        <v>1457851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IFERROR(__xludf.DUMMYFUNCTION("""COMPUTED_VALUE"""),36.06)</f>
        <v>36.06</v>
      </c>
      <c r="C1702" s="1">
        <f>IFERROR(__xludf.DUMMYFUNCTION("""COMPUTED_VALUE"""),36.34)</f>
        <v>36.34</v>
      </c>
      <c r="D1702" s="1">
        <f>IFERROR(__xludf.DUMMYFUNCTION("""COMPUTED_VALUE"""),35.21)</f>
        <v>35.21</v>
      </c>
      <c r="E1702" s="1">
        <f>IFERROR(__xludf.DUMMYFUNCTION("""COMPUTED_VALUE"""),35.25)</f>
        <v>35.25</v>
      </c>
      <c r="F1702" s="1">
        <f>IFERROR(__xludf.DUMMYFUNCTION("""COMPUTED_VALUE"""),622364.0)</f>
        <v>622364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IFERROR(__xludf.DUMMYFUNCTION("""COMPUTED_VALUE"""),35.34)</f>
        <v>35.34</v>
      </c>
      <c r="C1703" s="1">
        <f>IFERROR(__xludf.DUMMYFUNCTION("""COMPUTED_VALUE"""),35.68)</f>
        <v>35.68</v>
      </c>
      <c r="D1703" s="1">
        <f>IFERROR(__xludf.DUMMYFUNCTION("""COMPUTED_VALUE"""),35.18)</f>
        <v>35.18</v>
      </c>
      <c r="E1703" s="1">
        <f>IFERROR(__xludf.DUMMYFUNCTION("""COMPUTED_VALUE"""),35.5)</f>
        <v>35.5</v>
      </c>
      <c r="F1703" s="1">
        <f>IFERROR(__xludf.DUMMYFUNCTION("""COMPUTED_VALUE"""),367772.0)</f>
        <v>367772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IFERROR(__xludf.DUMMYFUNCTION("""COMPUTED_VALUE"""),35.33)</f>
        <v>35.33</v>
      </c>
      <c r="C1704" s="1">
        <f>IFERROR(__xludf.DUMMYFUNCTION("""COMPUTED_VALUE"""),35.66)</f>
        <v>35.66</v>
      </c>
      <c r="D1704" s="1">
        <f>IFERROR(__xludf.DUMMYFUNCTION("""COMPUTED_VALUE"""),35.3)</f>
        <v>35.3</v>
      </c>
      <c r="E1704" s="1">
        <f>IFERROR(__xludf.DUMMYFUNCTION("""COMPUTED_VALUE"""),35.58)</f>
        <v>35.58</v>
      </c>
      <c r="F1704" s="1">
        <f>IFERROR(__xludf.DUMMYFUNCTION("""COMPUTED_VALUE"""),231871.0)</f>
        <v>231871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IFERROR(__xludf.DUMMYFUNCTION("""COMPUTED_VALUE"""),35.61)</f>
        <v>35.61</v>
      </c>
      <c r="C1705" s="1">
        <f>IFERROR(__xludf.DUMMYFUNCTION("""COMPUTED_VALUE"""),35.61)</f>
        <v>35.61</v>
      </c>
      <c r="D1705" s="1">
        <f>IFERROR(__xludf.DUMMYFUNCTION("""COMPUTED_VALUE"""),35.0)</f>
        <v>35</v>
      </c>
      <c r="E1705" s="1">
        <f>IFERROR(__xludf.DUMMYFUNCTION("""COMPUTED_VALUE"""),35.17)</f>
        <v>35.17</v>
      </c>
      <c r="F1705" s="1">
        <f>IFERROR(__xludf.DUMMYFUNCTION("""COMPUTED_VALUE"""),329594.0)</f>
        <v>329594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IFERROR(__xludf.DUMMYFUNCTION("""COMPUTED_VALUE"""),35.58)</f>
        <v>35.58</v>
      </c>
      <c r="C1706" s="1">
        <f>IFERROR(__xludf.DUMMYFUNCTION("""COMPUTED_VALUE"""),36.29)</f>
        <v>36.29</v>
      </c>
      <c r="D1706" s="1">
        <f>IFERROR(__xludf.DUMMYFUNCTION("""COMPUTED_VALUE"""),35.55)</f>
        <v>35.55</v>
      </c>
      <c r="E1706" s="1">
        <f>IFERROR(__xludf.DUMMYFUNCTION("""COMPUTED_VALUE"""),35.88)</f>
        <v>35.88</v>
      </c>
      <c r="F1706" s="1">
        <f>IFERROR(__xludf.DUMMYFUNCTION("""COMPUTED_VALUE"""),357501.0)</f>
        <v>357501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IFERROR(__xludf.DUMMYFUNCTION("""COMPUTED_VALUE"""),35.52)</f>
        <v>35.52</v>
      </c>
      <c r="C1707" s="1">
        <f>IFERROR(__xludf.DUMMYFUNCTION("""COMPUTED_VALUE"""),35.63)</f>
        <v>35.63</v>
      </c>
      <c r="D1707" s="1">
        <f>IFERROR(__xludf.DUMMYFUNCTION("""COMPUTED_VALUE"""),35.23)</f>
        <v>35.23</v>
      </c>
      <c r="E1707" s="1">
        <f>IFERROR(__xludf.DUMMYFUNCTION("""COMPUTED_VALUE"""),35.59)</f>
        <v>35.59</v>
      </c>
      <c r="F1707" s="1">
        <f>IFERROR(__xludf.DUMMYFUNCTION("""COMPUTED_VALUE"""),439643.0)</f>
        <v>439643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IFERROR(__xludf.DUMMYFUNCTION("""COMPUTED_VALUE"""),35.6)</f>
        <v>35.6</v>
      </c>
      <c r="C1708" s="1">
        <f>IFERROR(__xludf.DUMMYFUNCTION("""COMPUTED_VALUE"""),35.76)</f>
        <v>35.76</v>
      </c>
      <c r="D1708" s="1">
        <f>IFERROR(__xludf.DUMMYFUNCTION("""COMPUTED_VALUE"""),35.35)</f>
        <v>35.35</v>
      </c>
      <c r="E1708" s="1">
        <f>IFERROR(__xludf.DUMMYFUNCTION("""COMPUTED_VALUE"""),35.71)</f>
        <v>35.71</v>
      </c>
      <c r="F1708" s="1">
        <f>IFERROR(__xludf.DUMMYFUNCTION("""COMPUTED_VALUE"""),333433.0)</f>
        <v>333433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IFERROR(__xludf.DUMMYFUNCTION("""COMPUTED_VALUE"""),35.48)</f>
        <v>35.48</v>
      </c>
      <c r="C1709" s="1">
        <f>IFERROR(__xludf.DUMMYFUNCTION("""COMPUTED_VALUE"""),35.7)</f>
        <v>35.7</v>
      </c>
      <c r="D1709" s="1">
        <f>IFERROR(__xludf.DUMMYFUNCTION("""COMPUTED_VALUE"""),35.19)</f>
        <v>35.19</v>
      </c>
      <c r="E1709" s="1">
        <f>IFERROR(__xludf.DUMMYFUNCTION("""COMPUTED_VALUE"""),35.51)</f>
        <v>35.51</v>
      </c>
      <c r="F1709" s="1">
        <f>IFERROR(__xludf.DUMMYFUNCTION("""COMPUTED_VALUE"""),369744.0)</f>
        <v>369744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IFERROR(__xludf.DUMMYFUNCTION("""COMPUTED_VALUE"""),35.67)</f>
        <v>35.67</v>
      </c>
      <c r="C1710" s="1">
        <f>IFERROR(__xludf.DUMMYFUNCTION("""COMPUTED_VALUE"""),35.83)</f>
        <v>35.83</v>
      </c>
      <c r="D1710" s="1">
        <f>IFERROR(__xludf.DUMMYFUNCTION("""COMPUTED_VALUE"""),35.44)</f>
        <v>35.44</v>
      </c>
      <c r="E1710" s="1">
        <f>IFERROR(__xludf.DUMMYFUNCTION("""COMPUTED_VALUE"""),35.46)</f>
        <v>35.46</v>
      </c>
      <c r="F1710" s="1">
        <f>IFERROR(__xludf.DUMMYFUNCTION("""COMPUTED_VALUE"""),446768.0)</f>
        <v>446768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IFERROR(__xludf.DUMMYFUNCTION("""COMPUTED_VALUE"""),35.48)</f>
        <v>35.48</v>
      </c>
      <c r="C1711" s="1">
        <f>IFERROR(__xludf.DUMMYFUNCTION("""COMPUTED_VALUE"""),35.48)</f>
        <v>35.48</v>
      </c>
      <c r="D1711" s="1">
        <f>IFERROR(__xludf.DUMMYFUNCTION("""COMPUTED_VALUE"""),35.03)</f>
        <v>35.03</v>
      </c>
      <c r="E1711" s="1">
        <f>IFERROR(__xludf.DUMMYFUNCTION("""COMPUTED_VALUE"""),35.18)</f>
        <v>35.18</v>
      </c>
      <c r="F1711" s="1">
        <f>IFERROR(__xludf.DUMMYFUNCTION("""COMPUTED_VALUE"""),302614.0)</f>
        <v>302614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IFERROR(__xludf.DUMMYFUNCTION("""COMPUTED_VALUE"""),35.5)</f>
        <v>35.5</v>
      </c>
      <c r="C1712" s="1">
        <f>IFERROR(__xludf.DUMMYFUNCTION("""COMPUTED_VALUE"""),35.59)</f>
        <v>35.59</v>
      </c>
      <c r="D1712" s="1">
        <f>IFERROR(__xludf.DUMMYFUNCTION("""COMPUTED_VALUE"""),35.28)</f>
        <v>35.28</v>
      </c>
      <c r="E1712" s="1">
        <f>IFERROR(__xludf.DUMMYFUNCTION("""COMPUTED_VALUE"""),35.35)</f>
        <v>35.35</v>
      </c>
      <c r="F1712" s="1">
        <f>IFERROR(__xludf.DUMMYFUNCTION("""COMPUTED_VALUE"""),509343.0)</f>
        <v>509343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IFERROR(__xludf.DUMMYFUNCTION("""COMPUTED_VALUE"""),35.53)</f>
        <v>35.53</v>
      </c>
      <c r="C1713" s="1">
        <f>IFERROR(__xludf.DUMMYFUNCTION("""COMPUTED_VALUE"""),35.65)</f>
        <v>35.65</v>
      </c>
      <c r="D1713" s="1">
        <f>IFERROR(__xludf.DUMMYFUNCTION("""COMPUTED_VALUE"""),35.32)</f>
        <v>35.32</v>
      </c>
      <c r="E1713" s="1">
        <f>IFERROR(__xludf.DUMMYFUNCTION("""COMPUTED_VALUE"""),35.45)</f>
        <v>35.45</v>
      </c>
      <c r="F1713" s="1">
        <f>IFERROR(__xludf.DUMMYFUNCTION("""COMPUTED_VALUE"""),372615.0)</f>
        <v>372615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IFERROR(__xludf.DUMMYFUNCTION("""COMPUTED_VALUE"""),35.35)</f>
        <v>35.35</v>
      </c>
      <c r="C1714" s="1">
        <f>IFERROR(__xludf.DUMMYFUNCTION("""COMPUTED_VALUE"""),35.5)</f>
        <v>35.5</v>
      </c>
      <c r="D1714" s="1">
        <f>IFERROR(__xludf.DUMMYFUNCTION("""COMPUTED_VALUE"""),35.23)</f>
        <v>35.23</v>
      </c>
      <c r="E1714" s="1">
        <f>IFERROR(__xludf.DUMMYFUNCTION("""COMPUTED_VALUE"""),35.44)</f>
        <v>35.44</v>
      </c>
      <c r="F1714" s="1">
        <f>IFERROR(__xludf.DUMMYFUNCTION("""COMPUTED_VALUE"""),222029.0)</f>
        <v>222029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IFERROR(__xludf.DUMMYFUNCTION("""COMPUTED_VALUE"""),35.14)</f>
        <v>35.14</v>
      </c>
      <c r="C1715" s="1">
        <f>IFERROR(__xludf.DUMMYFUNCTION("""COMPUTED_VALUE"""),35.41)</f>
        <v>35.41</v>
      </c>
      <c r="D1715" s="1">
        <f>IFERROR(__xludf.DUMMYFUNCTION("""COMPUTED_VALUE"""),35.03)</f>
        <v>35.03</v>
      </c>
      <c r="E1715" s="1">
        <f>IFERROR(__xludf.DUMMYFUNCTION("""COMPUTED_VALUE"""),35.32)</f>
        <v>35.32</v>
      </c>
      <c r="F1715" s="1">
        <f>IFERROR(__xludf.DUMMYFUNCTION("""COMPUTED_VALUE"""),183790.0)</f>
        <v>183790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IFERROR(__xludf.DUMMYFUNCTION("""COMPUTED_VALUE"""),35.41)</f>
        <v>35.41</v>
      </c>
      <c r="C1716" s="1">
        <f>IFERROR(__xludf.DUMMYFUNCTION("""COMPUTED_VALUE"""),35.47)</f>
        <v>35.47</v>
      </c>
      <c r="D1716" s="1">
        <f>IFERROR(__xludf.DUMMYFUNCTION("""COMPUTED_VALUE"""),34.79)</f>
        <v>34.79</v>
      </c>
      <c r="E1716" s="1">
        <f>IFERROR(__xludf.DUMMYFUNCTION("""COMPUTED_VALUE"""),34.91)</f>
        <v>34.91</v>
      </c>
      <c r="F1716" s="1">
        <f>IFERROR(__xludf.DUMMYFUNCTION("""COMPUTED_VALUE"""),191878.0)</f>
        <v>191878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IFERROR(__xludf.DUMMYFUNCTION("""COMPUTED_VALUE"""),34.88)</f>
        <v>34.88</v>
      </c>
      <c r="C1717" s="1">
        <f>IFERROR(__xludf.DUMMYFUNCTION("""COMPUTED_VALUE"""),34.88)</f>
        <v>34.88</v>
      </c>
      <c r="D1717" s="1">
        <f>IFERROR(__xludf.DUMMYFUNCTION("""COMPUTED_VALUE"""),34.51)</f>
        <v>34.51</v>
      </c>
      <c r="E1717" s="1">
        <f>IFERROR(__xludf.DUMMYFUNCTION("""COMPUTED_VALUE"""),34.59)</f>
        <v>34.59</v>
      </c>
      <c r="F1717" s="1">
        <f>IFERROR(__xludf.DUMMYFUNCTION("""COMPUTED_VALUE"""),207892.0)</f>
        <v>207892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IFERROR(__xludf.DUMMYFUNCTION("""COMPUTED_VALUE"""),34.57)</f>
        <v>34.57</v>
      </c>
      <c r="C1718" s="1">
        <f>IFERROR(__xludf.DUMMYFUNCTION("""COMPUTED_VALUE"""),34.65)</f>
        <v>34.65</v>
      </c>
      <c r="D1718" s="1">
        <f>IFERROR(__xludf.DUMMYFUNCTION("""COMPUTED_VALUE"""),34.27)</f>
        <v>34.27</v>
      </c>
      <c r="E1718" s="1">
        <f>IFERROR(__xludf.DUMMYFUNCTION("""COMPUTED_VALUE"""),34.56)</f>
        <v>34.56</v>
      </c>
      <c r="F1718" s="1">
        <f>IFERROR(__xludf.DUMMYFUNCTION("""COMPUTED_VALUE"""),295164.0)</f>
        <v>295164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IFERROR(__xludf.DUMMYFUNCTION("""COMPUTED_VALUE"""),34.64)</f>
        <v>34.64</v>
      </c>
      <c r="C1719" s="1">
        <f>IFERROR(__xludf.DUMMYFUNCTION("""COMPUTED_VALUE"""),34.64)</f>
        <v>34.64</v>
      </c>
      <c r="D1719" s="1">
        <f>IFERROR(__xludf.DUMMYFUNCTION("""COMPUTED_VALUE"""),34.28)</f>
        <v>34.28</v>
      </c>
      <c r="E1719" s="1">
        <f>IFERROR(__xludf.DUMMYFUNCTION("""COMPUTED_VALUE"""),34.44)</f>
        <v>34.44</v>
      </c>
      <c r="F1719" s="1">
        <f>IFERROR(__xludf.DUMMYFUNCTION("""COMPUTED_VALUE"""),331356.0)</f>
        <v>331356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IFERROR(__xludf.DUMMYFUNCTION("""COMPUTED_VALUE"""),34.49)</f>
        <v>34.49</v>
      </c>
      <c r="C1720" s="1">
        <f>IFERROR(__xludf.DUMMYFUNCTION("""COMPUTED_VALUE"""),34.82)</f>
        <v>34.82</v>
      </c>
      <c r="D1720" s="1">
        <f>IFERROR(__xludf.DUMMYFUNCTION("""COMPUTED_VALUE"""),34.32)</f>
        <v>34.32</v>
      </c>
      <c r="E1720" s="1">
        <f>IFERROR(__xludf.DUMMYFUNCTION("""COMPUTED_VALUE"""),34.48)</f>
        <v>34.48</v>
      </c>
      <c r="F1720" s="1">
        <f>IFERROR(__xludf.DUMMYFUNCTION("""COMPUTED_VALUE"""),228589.0)</f>
        <v>228589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IFERROR(__xludf.DUMMYFUNCTION("""COMPUTED_VALUE"""),34.47)</f>
        <v>34.47</v>
      </c>
      <c r="C1721" s="1">
        <f>IFERROR(__xludf.DUMMYFUNCTION("""COMPUTED_VALUE"""),34.72)</f>
        <v>34.72</v>
      </c>
      <c r="D1721" s="1">
        <f>IFERROR(__xludf.DUMMYFUNCTION("""COMPUTED_VALUE"""),34.23)</f>
        <v>34.23</v>
      </c>
      <c r="E1721" s="1">
        <f>IFERROR(__xludf.DUMMYFUNCTION("""COMPUTED_VALUE"""),34.59)</f>
        <v>34.59</v>
      </c>
      <c r="F1721" s="1">
        <f>IFERROR(__xludf.DUMMYFUNCTION("""COMPUTED_VALUE"""),214518.0)</f>
        <v>214518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IFERROR(__xludf.DUMMYFUNCTION("""COMPUTED_VALUE"""),34.6)</f>
        <v>34.6</v>
      </c>
      <c r="C1722" s="1">
        <f>IFERROR(__xludf.DUMMYFUNCTION("""COMPUTED_VALUE"""),34.79)</f>
        <v>34.79</v>
      </c>
      <c r="D1722" s="1">
        <f>IFERROR(__xludf.DUMMYFUNCTION("""COMPUTED_VALUE"""),33.95)</f>
        <v>33.95</v>
      </c>
      <c r="E1722" s="1">
        <f>IFERROR(__xludf.DUMMYFUNCTION("""COMPUTED_VALUE"""),34.12)</f>
        <v>34.12</v>
      </c>
      <c r="F1722" s="1">
        <f>IFERROR(__xludf.DUMMYFUNCTION("""COMPUTED_VALUE"""),507290.0)</f>
        <v>507290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IFERROR(__xludf.DUMMYFUNCTION("""COMPUTED_VALUE"""),34.2)</f>
        <v>34.2</v>
      </c>
      <c r="C1723" s="1">
        <f>IFERROR(__xludf.DUMMYFUNCTION("""COMPUTED_VALUE"""),34.31)</f>
        <v>34.31</v>
      </c>
      <c r="D1723" s="1">
        <f>IFERROR(__xludf.DUMMYFUNCTION("""COMPUTED_VALUE"""),33.97)</f>
        <v>33.97</v>
      </c>
      <c r="E1723" s="1">
        <f>IFERROR(__xludf.DUMMYFUNCTION("""COMPUTED_VALUE"""),34.02)</f>
        <v>34.02</v>
      </c>
      <c r="F1723" s="1">
        <f>IFERROR(__xludf.DUMMYFUNCTION("""COMPUTED_VALUE"""),432454.0)</f>
        <v>432454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IFERROR(__xludf.DUMMYFUNCTION("""COMPUTED_VALUE"""),34.05)</f>
        <v>34.05</v>
      </c>
      <c r="C1724" s="1">
        <f>IFERROR(__xludf.DUMMYFUNCTION("""COMPUTED_VALUE"""),34.54)</f>
        <v>34.54</v>
      </c>
      <c r="D1724" s="1">
        <f>IFERROR(__xludf.DUMMYFUNCTION("""COMPUTED_VALUE"""),33.97)</f>
        <v>33.97</v>
      </c>
      <c r="E1724" s="1">
        <f>IFERROR(__xludf.DUMMYFUNCTION("""COMPUTED_VALUE"""),34.28)</f>
        <v>34.28</v>
      </c>
      <c r="F1724" s="1">
        <f>IFERROR(__xludf.DUMMYFUNCTION("""COMPUTED_VALUE"""),368107.0)</f>
        <v>368107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IFERROR(__xludf.DUMMYFUNCTION("""COMPUTED_VALUE"""),34.26)</f>
        <v>34.26</v>
      </c>
      <c r="C1725" s="1">
        <f>IFERROR(__xludf.DUMMYFUNCTION("""COMPUTED_VALUE"""),34.72)</f>
        <v>34.72</v>
      </c>
      <c r="D1725" s="1">
        <f>IFERROR(__xludf.DUMMYFUNCTION("""COMPUTED_VALUE"""),34.04)</f>
        <v>34.04</v>
      </c>
      <c r="E1725" s="1">
        <f>IFERROR(__xludf.DUMMYFUNCTION("""COMPUTED_VALUE"""),34.45)</f>
        <v>34.45</v>
      </c>
      <c r="F1725" s="1">
        <f>IFERROR(__xludf.DUMMYFUNCTION("""COMPUTED_VALUE"""),274818.0)</f>
        <v>274818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IFERROR(__xludf.DUMMYFUNCTION("""COMPUTED_VALUE"""),34.74)</f>
        <v>34.74</v>
      </c>
      <c r="C1726" s="1">
        <f>IFERROR(__xludf.DUMMYFUNCTION("""COMPUTED_VALUE"""),35.18)</f>
        <v>35.18</v>
      </c>
      <c r="D1726" s="1">
        <f>IFERROR(__xludf.DUMMYFUNCTION("""COMPUTED_VALUE"""),34.71)</f>
        <v>34.71</v>
      </c>
      <c r="E1726" s="1">
        <f>IFERROR(__xludf.DUMMYFUNCTION("""COMPUTED_VALUE"""),35.03)</f>
        <v>35.03</v>
      </c>
      <c r="F1726" s="1">
        <f>IFERROR(__xludf.DUMMYFUNCTION("""COMPUTED_VALUE"""),425394.0)</f>
        <v>425394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IFERROR(__xludf.DUMMYFUNCTION("""COMPUTED_VALUE"""),35.02)</f>
        <v>35.02</v>
      </c>
      <c r="C1727" s="1">
        <f>IFERROR(__xludf.DUMMYFUNCTION("""COMPUTED_VALUE"""),35.09)</f>
        <v>35.09</v>
      </c>
      <c r="D1727" s="1">
        <f>IFERROR(__xludf.DUMMYFUNCTION("""COMPUTED_VALUE"""),34.69)</f>
        <v>34.69</v>
      </c>
      <c r="E1727" s="1">
        <f>IFERROR(__xludf.DUMMYFUNCTION("""COMPUTED_VALUE"""),34.69)</f>
        <v>34.69</v>
      </c>
      <c r="F1727" s="1">
        <f>IFERROR(__xludf.DUMMYFUNCTION("""COMPUTED_VALUE"""),218028.0)</f>
        <v>218028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IFERROR(__xludf.DUMMYFUNCTION("""COMPUTED_VALUE"""),34.31)</f>
        <v>34.31</v>
      </c>
      <c r="C1728" s="1">
        <f>IFERROR(__xludf.DUMMYFUNCTION("""COMPUTED_VALUE"""),35.67)</f>
        <v>35.67</v>
      </c>
      <c r="D1728" s="1">
        <f>IFERROR(__xludf.DUMMYFUNCTION("""COMPUTED_VALUE"""),34.15)</f>
        <v>34.15</v>
      </c>
      <c r="E1728" s="1">
        <f>IFERROR(__xludf.DUMMYFUNCTION("""COMPUTED_VALUE"""),35.56)</f>
        <v>35.56</v>
      </c>
      <c r="F1728" s="1">
        <f>IFERROR(__xludf.DUMMYFUNCTION("""COMPUTED_VALUE"""),750787.0)</f>
        <v>750787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IFERROR(__xludf.DUMMYFUNCTION("""COMPUTED_VALUE"""),35.62)</f>
        <v>35.62</v>
      </c>
      <c r="C1729" s="1">
        <f>IFERROR(__xludf.DUMMYFUNCTION("""COMPUTED_VALUE"""),37.74)</f>
        <v>37.74</v>
      </c>
      <c r="D1729" s="1">
        <f>IFERROR(__xludf.DUMMYFUNCTION("""COMPUTED_VALUE"""),35.59)</f>
        <v>35.59</v>
      </c>
      <c r="E1729" s="1">
        <f>IFERROR(__xludf.DUMMYFUNCTION("""COMPUTED_VALUE"""),37.18)</f>
        <v>37.18</v>
      </c>
      <c r="F1729" s="1">
        <f>IFERROR(__xludf.DUMMYFUNCTION("""COMPUTED_VALUE"""),849595.0)</f>
        <v>849595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IFERROR(__xludf.DUMMYFUNCTION("""COMPUTED_VALUE"""),37.29)</f>
        <v>37.29</v>
      </c>
      <c r="C1730" s="1">
        <f>IFERROR(__xludf.DUMMYFUNCTION("""COMPUTED_VALUE"""),37.39)</f>
        <v>37.39</v>
      </c>
      <c r="D1730" s="1">
        <f>IFERROR(__xludf.DUMMYFUNCTION("""COMPUTED_VALUE"""),36.85)</f>
        <v>36.85</v>
      </c>
      <c r="E1730" s="1">
        <f>IFERROR(__xludf.DUMMYFUNCTION("""COMPUTED_VALUE"""),37.22)</f>
        <v>37.22</v>
      </c>
      <c r="F1730" s="1">
        <f>IFERROR(__xludf.DUMMYFUNCTION("""COMPUTED_VALUE"""),398087.0)</f>
        <v>398087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IFERROR(__xludf.DUMMYFUNCTION("""COMPUTED_VALUE"""),37.35)</f>
        <v>37.35</v>
      </c>
      <c r="C1731" s="1">
        <f>IFERROR(__xludf.DUMMYFUNCTION("""COMPUTED_VALUE"""),37.5)</f>
        <v>37.5</v>
      </c>
      <c r="D1731" s="1">
        <f>IFERROR(__xludf.DUMMYFUNCTION("""COMPUTED_VALUE"""),37.17)</f>
        <v>37.17</v>
      </c>
      <c r="E1731" s="1">
        <f>IFERROR(__xludf.DUMMYFUNCTION("""COMPUTED_VALUE"""),37.29)</f>
        <v>37.29</v>
      </c>
      <c r="F1731" s="1">
        <f>IFERROR(__xludf.DUMMYFUNCTION("""COMPUTED_VALUE"""),439902.0)</f>
        <v>439902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IFERROR(__xludf.DUMMYFUNCTION("""COMPUTED_VALUE"""),37.34)</f>
        <v>37.34</v>
      </c>
      <c r="C1732" s="1">
        <f>IFERROR(__xludf.DUMMYFUNCTION("""COMPUTED_VALUE"""),37.55)</f>
        <v>37.55</v>
      </c>
      <c r="D1732" s="1">
        <f>IFERROR(__xludf.DUMMYFUNCTION("""COMPUTED_VALUE"""),37.23)</f>
        <v>37.23</v>
      </c>
      <c r="E1732" s="1">
        <f>IFERROR(__xludf.DUMMYFUNCTION("""COMPUTED_VALUE"""),37.38)</f>
        <v>37.38</v>
      </c>
      <c r="F1732" s="1">
        <f>IFERROR(__xludf.DUMMYFUNCTION("""COMPUTED_VALUE"""),486187.0)</f>
        <v>486187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IFERROR(__xludf.DUMMYFUNCTION("""COMPUTED_VALUE"""),37.48)</f>
        <v>37.48</v>
      </c>
      <c r="C1733" s="1">
        <f>IFERROR(__xludf.DUMMYFUNCTION("""COMPUTED_VALUE"""),37.49)</f>
        <v>37.49</v>
      </c>
      <c r="D1733" s="1">
        <f>IFERROR(__xludf.DUMMYFUNCTION("""COMPUTED_VALUE"""),37.06)</f>
        <v>37.06</v>
      </c>
      <c r="E1733" s="1">
        <f>IFERROR(__xludf.DUMMYFUNCTION("""COMPUTED_VALUE"""),37.23)</f>
        <v>37.23</v>
      </c>
      <c r="F1733" s="1">
        <f>IFERROR(__xludf.DUMMYFUNCTION("""COMPUTED_VALUE"""),534190.0)</f>
        <v>534190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IFERROR(__xludf.DUMMYFUNCTION("""COMPUTED_VALUE"""),37.25)</f>
        <v>37.25</v>
      </c>
      <c r="C1734" s="1">
        <f>IFERROR(__xludf.DUMMYFUNCTION("""COMPUTED_VALUE"""),37.25)</f>
        <v>37.25</v>
      </c>
      <c r="D1734" s="1">
        <f>IFERROR(__xludf.DUMMYFUNCTION("""COMPUTED_VALUE"""),36.71)</f>
        <v>36.71</v>
      </c>
      <c r="E1734" s="1">
        <f>IFERROR(__xludf.DUMMYFUNCTION("""COMPUTED_VALUE"""),36.99)</f>
        <v>36.99</v>
      </c>
      <c r="F1734" s="1">
        <f>IFERROR(__xludf.DUMMYFUNCTION("""COMPUTED_VALUE"""),408315.0)</f>
        <v>408315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IFERROR(__xludf.DUMMYFUNCTION("""COMPUTED_VALUE"""),37.02)</f>
        <v>37.02</v>
      </c>
      <c r="C1735" s="1">
        <f>IFERROR(__xludf.DUMMYFUNCTION("""COMPUTED_VALUE"""),37.19)</f>
        <v>37.19</v>
      </c>
      <c r="D1735" s="1">
        <f>IFERROR(__xludf.DUMMYFUNCTION("""COMPUTED_VALUE"""),36.82)</f>
        <v>36.82</v>
      </c>
      <c r="E1735" s="1">
        <f>IFERROR(__xludf.DUMMYFUNCTION("""COMPUTED_VALUE"""),37.1)</f>
        <v>37.1</v>
      </c>
      <c r="F1735" s="1">
        <f>IFERROR(__xludf.DUMMYFUNCTION("""COMPUTED_VALUE"""),315112.0)</f>
        <v>315112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IFERROR(__xludf.DUMMYFUNCTION("""COMPUTED_VALUE"""),37.25)</f>
        <v>37.25</v>
      </c>
      <c r="C1736" s="1">
        <f>IFERROR(__xludf.DUMMYFUNCTION("""COMPUTED_VALUE"""),37.48)</f>
        <v>37.48</v>
      </c>
      <c r="D1736" s="1">
        <f>IFERROR(__xludf.DUMMYFUNCTION("""COMPUTED_VALUE"""),37.13)</f>
        <v>37.13</v>
      </c>
      <c r="E1736" s="1">
        <f>IFERROR(__xludf.DUMMYFUNCTION("""COMPUTED_VALUE"""),37.43)</f>
        <v>37.43</v>
      </c>
      <c r="F1736" s="1">
        <f>IFERROR(__xludf.DUMMYFUNCTION("""COMPUTED_VALUE"""),542123.0)</f>
        <v>542123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IFERROR(__xludf.DUMMYFUNCTION("""COMPUTED_VALUE"""),37.48)</f>
        <v>37.48</v>
      </c>
      <c r="C1737" s="1">
        <f>IFERROR(__xludf.DUMMYFUNCTION("""COMPUTED_VALUE"""),38.32)</f>
        <v>38.32</v>
      </c>
      <c r="D1737" s="1">
        <f>IFERROR(__xludf.DUMMYFUNCTION("""COMPUTED_VALUE"""),37.29)</f>
        <v>37.29</v>
      </c>
      <c r="E1737" s="1">
        <f>IFERROR(__xludf.DUMMYFUNCTION("""COMPUTED_VALUE"""),38.21)</f>
        <v>38.21</v>
      </c>
      <c r="F1737" s="1">
        <f>IFERROR(__xludf.DUMMYFUNCTION("""COMPUTED_VALUE"""),495489.0)</f>
        <v>495489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IFERROR(__xludf.DUMMYFUNCTION("""COMPUTED_VALUE"""),37.84)</f>
        <v>37.84</v>
      </c>
      <c r="C1738" s="1">
        <f>IFERROR(__xludf.DUMMYFUNCTION("""COMPUTED_VALUE"""),38.49)</f>
        <v>38.49</v>
      </c>
      <c r="D1738" s="1">
        <f>IFERROR(__xludf.DUMMYFUNCTION("""COMPUTED_VALUE"""),37.79)</f>
        <v>37.79</v>
      </c>
      <c r="E1738" s="1">
        <f>IFERROR(__xludf.DUMMYFUNCTION("""COMPUTED_VALUE"""),38.15)</f>
        <v>38.15</v>
      </c>
      <c r="F1738" s="1">
        <f>IFERROR(__xludf.DUMMYFUNCTION("""COMPUTED_VALUE"""),705723.0)</f>
        <v>705723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IFERROR(__xludf.DUMMYFUNCTION("""COMPUTED_VALUE"""),38.1)</f>
        <v>38.1</v>
      </c>
      <c r="C1739" s="1">
        <f>IFERROR(__xludf.DUMMYFUNCTION("""COMPUTED_VALUE"""),38.18)</f>
        <v>38.18</v>
      </c>
      <c r="D1739" s="1">
        <f>IFERROR(__xludf.DUMMYFUNCTION("""COMPUTED_VALUE"""),37.78)</f>
        <v>37.78</v>
      </c>
      <c r="E1739" s="1">
        <f>IFERROR(__xludf.DUMMYFUNCTION("""COMPUTED_VALUE"""),37.91)</f>
        <v>37.91</v>
      </c>
      <c r="F1739" s="1">
        <f>IFERROR(__xludf.DUMMYFUNCTION("""COMPUTED_VALUE"""),129387.0)</f>
        <v>129387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IFERROR(__xludf.DUMMYFUNCTION("""COMPUTED_VALUE"""),37.83)</f>
        <v>37.83</v>
      </c>
      <c r="C1740" s="1">
        <f>IFERROR(__xludf.DUMMYFUNCTION("""COMPUTED_VALUE"""),38.59)</f>
        <v>38.59</v>
      </c>
      <c r="D1740" s="1">
        <f>IFERROR(__xludf.DUMMYFUNCTION("""COMPUTED_VALUE"""),37.56)</f>
        <v>37.56</v>
      </c>
      <c r="E1740" s="1">
        <f>IFERROR(__xludf.DUMMYFUNCTION("""COMPUTED_VALUE"""),37.62)</f>
        <v>37.62</v>
      </c>
      <c r="F1740" s="1">
        <f>IFERROR(__xludf.DUMMYFUNCTION("""COMPUTED_VALUE"""),412551.0)</f>
        <v>412551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IFERROR(__xludf.DUMMYFUNCTION("""COMPUTED_VALUE"""),37.43)</f>
        <v>37.43</v>
      </c>
      <c r="C1741" s="1">
        <f>IFERROR(__xludf.DUMMYFUNCTION("""COMPUTED_VALUE"""),37.92)</f>
        <v>37.92</v>
      </c>
      <c r="D1741" s="1">
        <f>IFERROR(__xludf.DUMMYFUNCTION("""COMPUTED_VALUE"""),37.43)</f>
        <v>37.43</v>
      </c>
      <c r="E1741" s="1">
        <f>IFERROR(__xludf.DUMMYFUNCTION("""COMPUTED_VALUE"""),37.73)</f>
        <v>37.73</v>
      </c>
      <c r="F1741" s="1">
        <f>IFERROR(__xludf.DUMMYFUNCTION("""COMPUTED_VALUE"""),416811.0)</f>
        <v>416811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IFERROR(__xludf.DUMMYFUNCTION("""COMPUTED_VALUE"""),37.99)</f>
        <v>37.99</v>
      </c>
      <c r="C1742" s="1">
        <f>IFERROR(__xludf.DUMMYFUNCTION("""COMPUTED_VALUE"""),38.42)</f>
        <v>38.42</v>
      </c>
      <c r="D1742" s="1">
        <f>IFERROR(__xludf.DUMMYFUNCTION("""COMPUTED_VALUE"""),37.87)</f>
        <v>37.87</v>
      </c>
      <c r="E1742" s="1">
        <f>IFERROR(__xludf.DUMMYFUNCTION("""COMPUTED_VALUE"""),38.23)</f>
        <v>38.23</v>
      </c>
      <c r="F1742" s="1">
        <f>IFERROR(__xludf.DUMMYFUNCTION("""COMPUTED_VALUE"""),569848.0)</f>
        <v>569848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IFERROR(__xludf.DUMMYFUNCTION("""COMPUTED_VALUE"""),38.4)</f>
        <v>38.4</v>
      </c>
      <c r="C1743" s="1">
        <f>IFERROR(__xludf.DUMMYFUNCTION("""COMPUTED_VALUE"""),38.89)</f>
        <v>38.89</v>
      </c>
      <c r="D1743" s="1">
        <f>IFERROR(__xludf.DUMMYFUNCTION("""COMPUTED_VALUE"""),38.03)</f>
        <v>38.03</v>
      </c>
      <c r="E1743" s="1">
        <f>IFERROR(__xludf.DUMMYFUNCTION("""COMPUTED_VALUE"""),38.7)</f>
        <v>38.7</v>
      </c>
      <c r="F1743" s="1">
        <f>IFERROR(__xludf.DUMMYFUNCTION("""COMPUTED_VALUE"""),670222.0)</f>
        <v>670222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IFERROR(__xludf.DUMMYFUNCTION("""COMPUTED_VALUE"""),38.7)</f>
        <v>38.7</v>
      </c>
      <c r="C1744" s="1">
        <f>IFERROR(__xludf.DUMMYFUNCTION("""COMPUTED_VALUE"""),38.7)</f>
        <v>38.7</v>
      </c>
      <c r="D1744" s="1">
        <f>IFERROR(__xludf.DUMMYFUNCTION("""COMPUTED_VALUE"""),37.13)</f>
        <v>37.13</v>
      </c>
      <c r="E1744" s="1">
        <f>IFERROR(__xludf.DUMMYFUNCTION("""COMPUTED_VALUE"""),37.25)</f>
        <v>37.25</v>
      </c>
      <c r="F1744" s="1">
        <f>IFERROR(__xludf.DUMMYFUNCTION("""COMPUTED_VALUE"""),492911.0)</f>
        <v>492911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IFERROR(__xludf.DUMMYFUNCTION("""COMPUTED_VALUE"""),37.26)</f>
        <v>37.26</v>
      </c>
      <c r="C1745" s="1">
        <f>IFERROR(__xludf.DUMMYFUNCTION("""COMPUTED_VALUE"""),37.91)</f>
        <v>37.91</v>
      </c>
      <c r="D1745" s="1">
        <f>IFERROR(__xludf.DUMMYFUNCTION("""COMPUTED_VALUE"""),37.18)</f>
        <v>37.18</v>
      </c>
      <c r="E1745" s="1">
        <f>IFERROR(__xludf.DUMMYFUNCTION("""COMPUTED_VALUE"""),37.9)</f>
        <v>37.9</v>
      </c>
      <c r="F1745" s="1">
        <f>IFERROR(__xludf.DUMMYFUNCTION("""COMPUTED_VALUE"""),988248.0)</f>
        <v>988248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IFERROR(__xludf.DUMMYFUNCTION("""COMPUTED_VALUE"""),37.75)</f>
        <v>37.75</v>
      </c>
      <c r="C1746" s="1">
        <f>IFERROR(__xludf.DUMMYFUNCTION("""COMPUTED_VALUE"""),37.99)</f>
        <v>37.99</v>
      </c>
      <c r="D1746" s="1">
        <f>IFERROR(__xludf.DUMMYFUNCTION("""COMPUTED_VALUE"""),37.32)</f>
        <v>37.32</v>
      </c>
      <c r="E1746" s="1">
        <f>IFERROR(__xludf.DUMMYFUNCTION("""COMPUTED_VALUE"""),37.94)</f>
        <v>37.94</v>
      </c>
      <c r="F1746" s="1">
        <f>IFERROR(__xludf.DUMMYFUNCTION("""COMPUTED_VALUE"""),584139.0)</f>
        <v>584139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IFERROR(__xludf.DUMMYFUNCTION("""COMPUTED_VALUE"""),37.96)</f>
        <v>37.96</v>
      </c>
      <c r="C1747" s="1">
        <f>IFERROR(__xludf.DUMMYFUNCTION("""COMPUTED_VALUE"""),39.54)</f>
        <v>39.54</v>
      </c>
      <c r="D1747" s="1">
        <f>IFERROR(__xludf.DUMMYFUNCTION("""COMPUTED_VALUE"""),37.96)</f>
        <v>37.96</v>
      </c>
      <c r="E1747" s="1">
        <f>IFERROR(__xludf.DUMMYFUNCTION("""COMPUTED_VALUE"""),39.43)</f>
        <v>39.43</v>
      </c>
      <c r="F1747" s="1">
        <f>IFERROR(__xludf.DUMMYFUNCTION("""COMPUTED_VALUE"""),697437.0)</f>
        <v>697437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IFERROR(__xludf.DUMMYFUNCTION("""COMPUTED_VALUE"""),39.96)</f>
        <v>39.96</v>
      </c>
      <c r="C1748" s="1">
        <f>IFERROR(__xludf.DUMMYFUNCTION("""COMPUTED_VALUE"""),39.96)</f>
        <v>39.96</v>
      </c>
      <c r="D1748" s="1">
        <f>IFERROR(__xludf.DUMMYFUNCTION("""COMPUTED_VALUE"""),38.45)</f>
        <v>38.45</v>
      </c>
      <c r="E1748" s="1">
        <f>IFERROR(__xludf.DUMMYFUNCTION("""COMPUTED_VALUE"""),39.37)</f>
        <v>39.37</v>
      </c>
      <c r="F1748" s="1">
        <f>IFERROR(__xludf.DUMMYFUNCTION("""COMPUTED_VALUE"""),543394.0)</f>
        <v>543394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IFERROR(__xludf.DUMMYFUNCTION("""COMPUTED_VALUE"""),39.39)</f>
        <v>39.39</v>
      </c>
      <c r="C1749" s="1">
        <f>IFERROR(__xludf.DUMMYFUNCTION("""COMPUTED_VALUE"""),39.73)</f>
        <v>39.73</v>
      </c>
      <c r="D1749" s="1">
        <f>IFERROR(__xludf.DUMMYFUNCTION("""COMPUTED_VALUE"""),39.01)</f>
        <v>39.01</v>
      </c>
      <c r="E1749" s="1">
        <f>IFERROR(__xludf.DUMMYFUNCTION("""COMPUTED_VALUE"""),39.29)</f>
        <v>39.29</v>
      </c>
      <c r="F1749" s="1">
        <f>IFERROR(__xludf.DUMMYFUNCTION("""COMPUTED_VALUE"""),669058.0)</f>
        <v>669058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IFERROR(__xludf.DUMMYFUNCTION("""COMPUTED_VALUE"""),39.31)</f>
        <v>39.31</v>
      </c>
      <c r="C1750" s="1">
        <f>IFERROR(__xludf.DUMMYFUNCTION("""COMPUTED_VALUE"""),39.37)</f>
        <v>39.37</v>
      </c>
      <c r="D1750" s="1">
        <f>IFERROR(__xludf.DUMMYFUNCTION("""COMPUTED_VALUE"""),38.88)</f>
        <v>38.88</v>
      </c>
      <c r="E1750" s="1">
        <f>IFERROR(__xludf.DUMMYFUNCTION("""COMPUTED_VALUE"""),39.02)</f>
        <v>39.02</v>
      </c>
      <c r="F1750" s="1">
        <f>IFERROR(__xludf.DUMMYFUNCTION("""COMPUTED_VALUE"""),397245.0)</f>
        <v>397245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IFERROR(__xludf.DUMMYFUNCTION("""COMPUTED_VALUE"""),39.16)</f>
        <v>39.16</v>
      </c>
      <c r="C1751" s="1">
        <f>IFERROR(__xludf.DUMMYFUNCTION("""COMPUTED_VALUE"""),39.32)</f>
        <v>39.32</v>
      </c>
      <c r="D1751" s="1">
        <f>IFERROR(__xludf.DUMMYFUNCTION("""COMPUTED_VALUE"""),38.63)</f>
        <v>38.63</v>
      </c>
      <c r="E1751" s="1">
        <f>IFERROR(__xludf.DUMMYFUNCTION("""COMPUTED_VALUE"""),39.12)</f>
        <v>39.12</v>
      </c>
      <c r="F1751" s="1">
        <f>IFERROR(__xludf.DUMMYFUNCTION("""COMPUTED_VALUE"""),579766.0)</f>
        <v>579766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IFERROR(__xludf.DUMMYFUNCTION("""COMPUTED_VALUE"""),38.97)</f>
        <v>38.97</v>
      </c>
      <c r="C1752" s="1">
        <f>IFERROR(__xludf.DUMMYFUNCTION("""COMPUTED_VALUE"""),39.09)</f>
        <v>39.09</v>
      </c>
      <c r="D1752" s="1">
        <f>IFERROR(__xludf.DUMMYFUNCTION("""COMPUTED_VALUE"""),38.17)</f>
        <v>38.17</v>
      </c>
      <c r="E1752" s="1">
        <f>IFERROR(__xludf.DUMMYFUNCTION("""COMPUTED_VALUE"""),38.22)</f>
        <v>38.22</v>
      </c>
      <c r="F1752" s="1">
        <f>IFERROR(__xludf.DUMMYFUNCTION("""COMPUTED_VALUE"""),344992.0)</f>
        <v>344992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IFERROR(__xludf.DUMMYFUNCTION("""COMPUTED_VALUE"""),38.14)</f>
        <v>38.14</v>
      </c>
      <c r="C1753" s="1">
        <f>IFERROR(__xludf.DUMMYFUNCTION("""COMPUTED_VALUE"""),38.66)</f>
        <v>38.66</v>
      </c>
      <c r="D1753" s="1">
        <f>IFERROR(__xludf.DUMMYFUNCTION("""COMPUTED_VALUE"""),38.14)</f>
        <v>38.14</v>
      </c>
      <c r="E1753" s="1">
        <f>IFERROR(__xludf.DUMMYFUNCTION("""COMPUTED_VALUE"""),38.31)</f>
        <v>38.31</v>
      </c>
      <c r="F1753" s="1">
        <f>IFERROR(__xludf.DUMMYFUNCTION("""COMPUTED_VALUE"""),473515.0)</f>
        <v>473515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IFERROR(__xludf.DUMMYFUNCTION("""COMPUTED_VALUE"""),38.38)</f>
        <v>38.38</v>
      </c>
      <c r="C1754" s="1">
        <f>IFERROR(__xludf.DUMMYFUNCTION("""COMPUTED_VALUE"""),38.45)</f>
        <v>38.45</v>
      </c>
      <c r="D1754" s="1">
        <f>IFERROR(__xludf.DUMMYFUNCTION("""COMPUTED_VALUE"""),37.5)</f>
        <v>37.5</v>
      </c>
      <c r="E1754" s="1">
        <f>IFERROR(__xludf.DUMMYFUNCTION("""COMPUTED_VALUE"""),37.58)</f>
        <v>37.58</v>
      </c>
      <c r="F1754" s="1">
        <f>IFERROR(__xludf.DUMMYFUNCTION("""COMPUTED_VALUE"""),1057767.0)</f>
        <v>1057767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IFERROR(__xludf.DUMMYFUNCTION("""COMPUTED_VALUE"""),37.57)</f>
        <v>37.57</v>
      </c>
      <c r="C1755" s="1">
        <f>IFERROR(__xludf.DUMMYFUNCTION("""COMPUTED_VALUE"""),37.79)</f>
        <v>37.79</v>
      </c>
      <c r="D1755" s="1">
        <f>IFERROR(__xludf.DUMMYFUNCTION("""COMPUTED_VALUE"""),36.79)</f>
        <v>36.79</v>
      </c>
      <c r="E1755" s="1">
        <f>IFERROR(__xludf.DUMMYFUNCTION("""COMPUTED_VALUE"""),37.27)</f>
        <v>37.27</v>
      </c>
      <c r="F1755" s="1">
        <f>IFERROR(__xludf.DUMMYFUNCTION("""COMPUTED_VALUE"""),905607.0)</f>
        <v>905607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IFERROR(__xludf.DUMMYFUNCTION("""COMPUTED_VALUE"""),37.46)</f>
        <v>37.46</v>
      </c>
      <c r="C1756" s="1">
        <f>IFERROR(__xludf.DUMMYFUNCTION("""COMPUTED_VALUE"""),37.83)</f>
        <v>37.83</v>
      </c>
      <c r="D1756" s="1">
        <f>IFERROR(__xludf.DUMMYFUNCTION("""COMPUTED_VALUE"""),37.38)</f>
        <v>37.38</v>
      </c>
      <c r="E1756" s="1">
        <f>IFERROR(__xludf.DUMMYFUNCTION("""COMPUTED_VALUE"""),37.59)</f>
        <v>37.59</v>
      </c>
      <c r="F1756" s="1">
        <f>IFERROR(__xludf.DUMMYFUNCTION("""COMPUTED_VALUE"""),645451.0)</f>
        <v>645451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IFERROR(__xludf.DUMMYFUNCTION("""COMPUTED_VALUE"""),37.55)</f>
        <v>37.55</v>
      </c>
      <c r="C1757" s="1">
        <f>IFERROR(__xludf.DUMMYFUNCTION("""COMPUTED_VALUE"""),38.04)</f>
        <v>38.04</v>
      </c>
      <c r="D1757" s="1">
        <f>IFERROR(__xludf.DUMMYFUNCTION("""COMPUTED_VALUE"""),37.55)</f>
        <v>37.55</v>
      </c>
      <c r="E1757" s="1">
        <f>IFERROR(__xludf.DUMMYFUNCTION("""COMPUTED_VALUE"""),37.94)</f>
        <v>37.94</v>
      </c>
      <c r="F1757" s="1">
        <f>IFERROR(__xludf.DUMMYFUNCTION("""COMPUTED_VALUE"""),397830.0)</f>
        <v>397830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IFERROR(__xludf.DUMMYFUNCTION("""COMPUTED_VALUE"""),37.82)</f>
        <v>37.82</v>
      </c>
      <c r="C1758" s="1">
        <f>IFERROR(__xludf.DUMMYFUNCTION("""COMPUTED_VALUE"""),37.82)</f>
        <v>37.82</v>
      </c>
      <c r="D1758" s="1">
        <f>IFERROR(__xludf.DUMMYFUNCTION("""COMPUTED_VALUE"""),35.2)</f>
        <v>35.2</v>
      </c>
      <c r="E1758" s="1">
        <f>IFERROR(__xludf.DUMMYFUNCTION("""COMPUTED_VALUE"""),35.25)</f>
        <v>35.25</v>
      </c>
      <c r="F1758" s="1">
        <f>IFERROR(__xludf.DUMMYFUNCTION("""COMPUTED_VALUE"""),1019945.0)</f>
        <v>1019945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IFERROR(__xludf.DUMMYFUNCTION("""COMPUTED_VALUE"""),35.16)</f>
        <v>35.16</v>
      </c>
      <c r="C1759" s="1">
        <f>IFERROR(__xludf.DUMMYFUNCTION("""COMPUTED_VALUE"""),36.07)</f>
        <v>36.07</v>
      </c>
      <c r="D1759" s="1">
        <f>IFERROR(__xludf.DUMMYFUNCTION("""COMPUTED_VALUE"""),34.85)</f>
        <v>34.85</v>
      </c>
      <c r="E1759" s="1">
        <f>IFERROR(__xludf.DUMMYFUNCTION("""COMPUTED_VALUE"""),36.03)</f>
        <v>36.03</v>
      </c>
      <c r="F1759" s="1">
        <f>IFERROR(__xludf.DUMMYFUNCTION("""COMPUTED_VALUE"""),841062.0)</f>
        <v>841062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IFERROR(__xludf.DUMMYFUNCTION("""COMPUTED_VALUE"""),35.39)</f>
        <v>35.39</v>
      </c>
      <c r="C1760" s="1">
        <f>IFERROR(__xludf.DUMMYFUNCTION("""COMPUTED_VALUE"""),35.5)</f>
        <v>35.5</v>
      </c>
      <c r="D1760" s="1">
        <f>IFERROR(__xludf.DUMMYFUNCTION("""COMPUTED_VALUE"""),33.92)</f>
        <v>33.92</v>
      </c>
      <c r="E1760" s="1">
        <f>IFERROR(__xludf.DUMMYFUNCTION("""COMPUTED_VALUE"""),34.02)</f>
        <v>34.02</v>
      </c>
      <c r="F1760" s="1">
        <f>IFERROR(__xludf.DUMMYFUNCTION("""COMPUTED_VALUE"""),858857.0)</f>
        <v>858857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IFERROR(__xludf.DUMMYFUNCTION("""COMPUTED_VALUE"""),34.13)</f>
        <v>34.13</v>
      </c>
      <c r="C1761" s="1">
        <f>IFERROR(__xludf.DUMMYFUNCTION("""COMPUTED_VALUE"""),34.32)</f>
        <v>34.32</v>
      </c>
      <c r="D1761" s="1">
        <f>IFERROR(__xludf.DUMMYFUNCTION("""COMPUTED_VALUE"""),33.56)</f>
        <v>33.56</v>
      </c>
      <c r="E1761" s="1">
        <f>IFERROR(__xludf.DUMMYFUNCTION("""COMPUTED_VALUE"""),33.79)</f>
        <v>33.79</v>
      </c>
      <c r="F1761" s="1">
        <f>IFERROR(__xludf.DUMMYFUNCTION("""COMPUTED_VALUE"""),505982.0)</f>
        <v>505982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IFERROR(__xludf.DUMMYFUNCTION("""COMPUTED_VALUE"""),33.65)</f>
        <v>33.65</v>
      </c>
      <c r="C1762" s="1">
        <f>IFERROR(__xludf.DUMMYFUNCTION("""COMPUTED_VALUE"""),34.09)</f>
        <v>34.09</v>
      </c>
      <c r="D1762" s="1">
        <f>IFERROR(__xludf.DUMMYFUNCTION("""COMPUTED_VALUE"""),33.5)</f>
        <v>33.5</v>
      </c>
      <c r="E1762" s="1">
        <f>IFERROR(__xludf.DUMMYFUNCTION("""COMPUTED_VALUE"""),33.95)</f>
        <v>33.95</v>
      </c>
      <c r="F1762" s="1">
        <f>IFERROR(__xludf.DUMMYFUNCTION("""COMPUTED_VALUE"""),396791.0)</f>
        <v>396791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IFERROR(__xludf.DUMMYFUNCTION("""COMPUTED_VALUE"""),34.04)</f>
        <v>34.04</v>
      </c>
      <c r="C1763" s="1">
        <f>IFERROR(__xludf.DUMMYFUNCTION("""COMPUTED_VALUE"""),34.36)</f>
        <v>34.36</v>
      </c>
      <c r="D1763" s="1">
        <f>IFERROR(__xludf.DUMMYFUNCTION("""COMPUTED_VALUE"""),33.84)</f>
        <v>33.84</v>
      </c>
      <c r="E1763" s="1">
        <f>IFERROR(__xludf.DUMMYFUNCTION("""COMPUTED_VALUE"""),34.0)</f>
        <v>34</v>
      </c>
      <c r="F1763" s="1">
        <f>IFERROR(__xludf.DUMMYFUNCTION("""COMPUTED_VALUE"""),448908.0)</f>
        <v>448908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IFERROR(__xludf.DUMMYFUNCTION("""COMPUTED_VALUE"""),34.11)</f>
        <v>34.11</v>
      </c>
      <c r="C1764" s="1">
        <f>IFERROR(__xludf.DUMMYFUNCTION("""COMPUTED_VALUE"""),34.66)</f>
        <v>34.66</v>
      </c>
      <c r="D1764" s="1">
        <f>IFERROR(__xludf.DUMMYFUNCTION("""COMPUTED_VALUE"""),33.97)</f>
        <v>33.97</v>
      </c>
      <c r="E1764" s="1">
        <f>IFERROR(__xludf.DUMMYFUNCTION("""COMPUTED_VALUE"""),34.04)</f>
        <v>34.04</v>
      </c>
      <c r="F1764" s="1">
        <f>IFERROR(__xludf.DUMMYFUNCTION("""COMPUTED_VALUE"""),746671.0)</f>
        <v>746671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IFERROR(__xludf.DUMMYFUNCTION("""COMPUTED_VALUE"""),34.15)</f>
        <v>34.15</v>
      </c>
      <c r="C1765" s="1">
        <f>IFERROR(__xludf.DUMMYFUNCTION("""COMPUTED_VALUE"""),34.53)</f>
        <v>34.53</v>
      </c>
      <c r="D1765" s="1">
        <f>IFERROR(__xludf.DUMMYFUNCTION("""COMPUTED_VALUE"""),33.96)</f>
        <v>33.96</v>
      </c>
      <c r="E1765" s="1">
        <f>IFERROR(__xludf.DUMMYFUNCTION("""COMPUTED_VALUE"""),34.46)</f>
        <v>34.46</v>
      </c>
      <c r="F1765" s="1">
        <f>IFERROR(__xludf.DUMMYFUNCTION("""COMPUTED_VALUE"""),677314.0)</f>
        <v>677314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IFERROR(__xludf.DUMMYFUNCTION("""COMPUTED_VALUE"""),34.5)</f>
        <v>34.5</v>
      </c>
      <c r="C1766" s="1">
        <f>IFERROR(__xludf.DUMMYFUNCTION("""COMPUTED_VALUE"""),34.62)</f>
        <v>34.62</v>
      </c>
      <c r="D1766" s="1">
        <f>IFERROR(__xludf.DUMMYFUNCTION("""COMPUTED_VALUE"""),34.3)</f>
        <v>34.3</v>
      </c>
      <c r="E1766" s="1">
        <f>IFERROR(__xludf.DUMMYFUNCTION("""COMPUTED_VALUE"""),34.46)</f>
        <v>34.46</v>
      </c>
      <c r="F1766" s="1">
        <f>IFERROR(__xludf.DUMMYFUNCTION("""COMPUTED_VALUE"""),390826.0)</f>
        <v>390826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IFERROR(__xludf.DUMMYFUNCTION("""COMPUTED_VALUE"""),34.27)</f>
        <v>34.27</v>
      </c>
      <c r="C1767" s="1">
        <f>IFERROR(__xludf.DUMMYFUNCTION("""COMPUTED_VALUE"""),34.62)</f>
        <v>34.62</v>
      </c>
      <c r="D1767" s="1">
        <f>IFERROR(__xludf.DUMMYFUNCTION("""COMPUTED_VALUE"""),34.03)</f>
        <v>34.03</v>
      </c>
      <c r="E1767" s="1">
        <f>IFERROR(__xludf.DUMMYFUNCTION("""COMPUTED_VALUE"""),34.17)</f>
        <v>34.17</v>
      </c>
      <c r="F1767" s="1">
        <f>IFERROR(__xludf.DUMMYFUNCTION("""COMPUTED_VALUE"""),451145.0)</f>
        <v>451145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IFERROR(__xludf.DUMMYFUNCTION("""COMPUTED_VALUE"""),34.02)</f>
        <v>34.02</v>
      </c>
      <c r="C1768" s="1">
        <f>IFERROR(__xludf.DUMMYFUNCTION("""COMPUTED_VALUE"""),34.06)</f>
        <v>34.06</v>
      </c>
      <c r="D1768" s="1">
        <f>IFERROR(__xludf.DUMMYFUNCTION("""COMPUTED_VALUE"""),33.26)</f>
        <v>33.26</v>
      </c>
      <c r="E1768" s="1">
        <f>IFERROR(__xludf.DUMMYFUNCTION("""COMPUTED_VALUE"""),33.4)</f>
        <v>33.4</v>
      </c>
      <c r="F1768" s="1">
        <f>IFERROR(__xludf.DUMMYFUNCTION("""COMPUTED_VALUE"""),478890.0)</f>
        <v>478890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IFERROR(__xludf.DUMMYFUNCTION("""COMPUTED_VALUE"""),33.36)</f>
        <v>33.36</v>
      </c>
      <c r="C1769" s="1">
        <f>IFERROR(__xludf.DUMMYFUNCTION("""COMPUTED_VALUE"""),34.12)</f>
        <v>34.12</v>
      </c>
      <c r="D1769" s="1">
        <f>IFERROR(__xludf.DUMMYFUNCTION("""COMPUTED_VALUE"""),33.04)</f>
        <v>33.04</v>
      </c>
      <c r="E1769" s="1">
        <f>IFERROR(__xludf.DUMMYFUNCTION("""COMPUTED_VALUE"""),34.07)</f>
        <v>34.07</v>
      </c>
      <c r="F1769" s="1">
        <f>IFERROR(__xludf.DUMMYFUNCTION("""COMPUTED_VALUE"""),698087.0)</f>
        <v>698087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IFERROR(__xludf.DUMMYFUNCTION("""COMPUTED_VALUE"""),34.18)</f>
        <v>34.18</v>
      </c>
      <c r="C1770" s="1">
        <f>IFERROR(__xludf.DUMMYFUNCTION("""COMPUTED_VALUE"""),34.25)</f>
        <v>34.25</v>
      </c>
      <c r="D1770" s="1">
        <f>IFERROR(__xludf.DUMMYFUNCTION("""COMPUTED_VALUE"""),33.38)</f>
        <v>33.38</v>
      </c>
      <c r="E1770" s="1">
        <f>IFERROR(__xludf.DUMMYFUNCTION("""COMPUTED_VALUE"""),33.76)</f>
        <v>33.76</v>
      </c>
      <c r="F1770" s="1">
        <f>IFERROR(__xludf.DUMMYFUNCTION("""COMPUTED_VALUE"""),341287.0)</f>
        <v>341287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IFERROR(__xludf.DUMMYFUNCTION("""COMPUTED_VALUE"""),33.73)</f>
        <v>33.73</v>
      </c>
      <c r="C1771" s="1">
        <f>IFERROR(__xludf.DUMMYFUNCTION("""COMPUTED_VALUE"""),33.99)</f>
        <v>33.99</v>
      </c>
      <c r="D1771" s="1">
        <f>IFERROR(__xludf.DUMMYFUNCTION("""COMPUTED_VALUE"""),33.46)</f>
        <v>33.46</v>
      </c>
      <c r="E1771" s="1">
        <f>IFERROR(__xludf.DUMMYFUNCTION("""COMPUTED_VALUE"""),33.96)</f>
        <v>33.96</v>
      </c>
      <c r="F1771" s="1">
        <f>IFERROR(__xludf.DUMMYFUNCTION("""COMPUTED_VALUE"""),396466.0)</f>
        <v>396466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IFERROR(__xludf.DUMMYFUNCTION("""COMPUTED_VALUE"""),33.11)</f>
        <v>33.11</v>
      </c>
      <c r="C1772" s="1">
        <f>IFERROR(__xludf.DUMMYFUNCTION("""COMPUTED_VALUE"""),33.38)</f>
        <v>33.38</v>
      </c>
      <c r="D1772" s="1">
        <f>IFERROR(__xludf.DUMMYFUNCTION("""COMPUTED_VALUE"""),32.8)</f>
        <v>32.8</v>
      </c>
      <c r="E1772" s="1">
        <f>IFERROR(__xludf.DUMMYFUNCTION("""COMPUTED_VALUE"""),32.96)</f>
        <v>32.96</v>
      </c>
      <c r="F1772" s="1">
        <f>IFERROR(__xludf.DUMMYFUNCTION("""COMPUTED_VALUE"""),754556.0)</f>
        <v>754556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IFERROR(__xludf.DUMMYFUNCTION("""COMPUTED_VALUE"""),32.86)</f>
        <v>32.86</v>
      </c>
      <c r="C1773" s="1">
        <f>IFERROR(__xludf.DUMMYFUNCTION("""COMPUTED_VALUE"""),32.92)</f>
        <v>32.92</v>
      </c>
      <c r="D1773" s="1">
        <f>IFERROR(__xludf.DUMMYFUNCTION("""COMPUTED_VALUE"""),32.18)</f>
        <v>32.18</v>
      </c>
      <c r="E1773" s="1">
        <f>IFERROR(__xludf.DUMMYFUNCTION("""COMPUTED_VALUE"""),32.28)</f>
        <v>32.28</v>
      </c>
      <c r="F1773" s="1">
        <f>IFERROR(__xludf.DUMMYFUNCTION("""COMPUTED_VALUE"""),564666.0)</f>
        <v>564666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IFERROR(__xludf.DUMMYFUNCTION("""COMPUTED_VALUE"""),32.19)</f>
        <v>32.19</v>
      </c>
      <c r="C1774" s="1">
        <f>IFERROR(__xludf.DUMMYFUNCTION("""COMPUTED_VALUE"""),32.7)</f>
        <v>32.7</v>
      </c>
      <c r="D1774" s="1">
        <f>IFERROR(__xludf.DUMMYFUNCTION("""COMPUTED_VALUE"""),32.11)</f>
        <v>32.11</v>
      </c>
      <c r="E1774" s="1">
        <f>IFERROR(__xludf.DUMMYFUNCTION("""COMPUTED_VALUE"""),32.26)</f>
        <v>32.26</v>
      </c>
      <c r="F1774" s="1">
        <f>IFERROR(__xludf.DUMMYFUNCTION("""COMPUTED_VALUE"""),464772.0)</f>
        <v>464772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IFERROR(__xludf.DUMMYFUNCTION("""COMPUTED_VALUE"""),32.16)</f>
        <v>32.16</v>
      </c>
      <c r="C1775" s="1">
        <f>IFERROR(__xludf.DUMMYFUNCTION("""COMPUTED_VALUE"""),32.25)</f>
        <v>32.25</v>
      </c>
      <c r="D1775" s="1">
        <f>IFERROR(__xludf.DUMMYFUNCTION("""COMPUTED_VALUE"""),31.41)</f>
        <v>31.41</v>
      </c>
      <c r="E1775" s="1">
        <f>IFERROR(__xludf.DUMMYFUNCTION("""COMPUTED_VALUE"""),31.55)</f>
        <v>31.55</v>
      </c>
      <c r="F1775" s="1">
        <f>IFERROR(__xludf.DUMMYFUNCTION("""COMPUTED_VALUE"""),661671.0)</f>
        <v>661671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IFERROR(__xludf.DUMMYFUNCTION("""COMPUTED_VALUE"""),31.31)</f>
        <v>31.31</v>
      </c>
      <c r="C1776" s="1">
        <f>IFERROR(__xludf.DUMMYFUNCTION("""COMPUTED_VALUE"""),31.78)</f>
        <v>31.78</v>
      </c>
      <c r="D1776" s="1">
        <f>IFERROR(__xludf.DUMMYFUNCTION("""COMPUTED_VALUE"""),30.52)</f>
        <v>30.52</v>
      </c>
      <c r="E1776" s="1">
        <f>IFERROR(__xludf.DUMMYFUNCTION("""COMPUTED_VALUE"""),31.65)</f>
        <v>31.65</v>
      </c>
      <c r="F1776" s="1">
        <f>IFERROR(__xludf.DUMMYFUNCTION("""COMPUTED_VALUE"""),816417.0)</f>
        <v>816417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IFERROR(__xludf.DUMMYFUNCTION("""COMPUTED_VALUE"""),31.72)</f>
        <v>31.72</v>
      </c>
      <c r="C1777" s="1">
        <f>IFERROR(__xludf.DUMMYFUNCTION("""COMPUTED_VALUE"""),31.74)</f>
        <v>31.74</v>
      </c>
      <c r="D1777" s="1">
        <f>IFERROR(__xludf.DUMMYFUNCTION("""COMPUTED_VALUE"""),31.28)</f>
        <v>31.28</v>
      </c>
      <c r="E1777" s="1">
        <f>IFERROR(__xludf.DUMMYFUNCTION("""COMPUTED_VALUE"""),31.69)</f>
        <v>31.69</v>
      </c>
      <c r="F1777" s="1">
        <f>IFERROR(__xludf.DUMMYFUNCTION("""COMPUTED_VALUE"""),513915.0)</f>
        <v>513915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IFERROR(__xludf.DUMMYFUNCTION("""COMPUTED_VALUE"""),31.83)</f>
        <v>31.83</v>
      </c>
      <c r="C1778" s="1">
        <f>IFERROR(__xludf.DUMMYFUNCTION("""COMPUTED_VALUE"""),32.35)</f>
        <v>32.35</v>
      </c>
      <c r="D1778" s="1">
        <f>IFERROR(__xludf.DUMMYFUNCTION("""COMPUTED_VALUE"""),31.69)</f>
        <v>31.69</v>
      </c>
      <c r="E1778" s="1">
        <f>IFERROR(__xludf.DUMMYFUNCTION("""COMPUTED_VALUE"""),32.11)</f>
        <v>32.11</v>
      </c>
      <c r="F1778" s="1">
        <f>IFERROR(__xludf.DUMMYFUNCTION("""COMPUTED_VALUE"""),405729.0)</f>
        <v>405729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IFERROR(__xludf.DUMMYFUNCTION("""COMPUTED_VALUE"""),32.23)</f>
        <v>32.23</v>
      </c>
      <c r="C1779" s="1">
        <f>IFERROR(__xludf.DUMMYFUNCTION("""COMPUTED_VALUE"""),32.59)</f>
        <v>32.59</v>
      </c>
      <c r="D1779" s="1">
        <f>IFERROR(__xludf.DUMMYFUNCTION("""COMPUTED_VALUE"""),32.11)</f>
        <v>32.11</v>
      </c>
      <c r="E1779" s="1">
        <f>IFERROR(__xludf.DUMMYFUNCTION("""COMPUTED_VALUE"""),32.59)</f>
        <v>32.59</v>
      </c>
      <c r="F1779" s="1">
        <f>IFERROR(__xludf.DUMMYFUNCTION("""COMPUTED_VALUE"""),488674.0)</f>
        <v>488674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IFERROR(__xludf.DUMMYFUNCTION("""COMPUTED_VALUE"""),32.57)</f>
        <v>32.57</v>
      </c>
      <c r="C1780" s="1">
        <f>IFERROR(__xludf.DUMMYFUNCTION("""COMPUTED_VALUE"""),32.88)</f>
        <v>32.88</v>
      </c>
      <c r="D1780" s="1">
        <f>IFERROR(__xludf.DUMMYFUNCTION("""COMPUTED_VALUE"""),32.39)</f>
        <v>32.39</v>
      </c>
      <c r="E1780" s="1">
        <f>IFERROR(__xludf.DUMMYFUNCTION("""COMPUTED_VALUE"""),32.66)</f>
        <v>32.66</v>
      </c>
      <c r="F1780" s="1">
        <f>IFERROR(__xludf.DUMMYFUNCTION("""COMPUTED_VALUE"""),496154.0)</f>
        <v>496154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IFERROR(__xludf.DUMMYFUNCTION("""COMPUTED_VALUE"""),32.72)</f>
        <v>32.72</v>
      </c>
      <c r="C1781" s="1">
        <f>IFERROR(__xludf.DUMMYFUNCTION("""COMPUTED_VALUE"""),32.83)</f>
        <v>32.83</v>
      </c>
      <c r="D1781" s="1">
        <f>IFERROR(__xludf.DUMMYFUNCTION("""COMPUTED_VALUE"""),32.58)</f>
        <v>32.58</v>
      </c>
      <c r="E1781" s="1">
        <f>IFERROR(__xludf.DUMMYFUNCTION("""COMPUTED_VALUE"""),32.6)</f>
        <v>32.6</v>
      </c>
      <c r="F1781" s="1">
        <f>IFERROR(__xludf.DUMMYFUNCTION("""COMPUTED_VALUE"""),485103.0)</f>
        <v>485103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IFERROR(__xludf.DUMMYFUNCTION("""COMPUTED_VALUE"""),32.56)</f>
        <v>32.56</v>
      </c>
      <c r="C1782" s="1">
        <f>IFERROR(__xludf.DUMMYFUNCTION("""COMPUTED_VALUE"""),32.79)</f>
        <v>32.79</v>
      </c>
      <c r="D1782" s="1">
        <f>IFERROR(__xludf.DUMMYFUNCTION("""COMPUTED_VALUE"""),31.94)</f>
        <v>31.94</v>
      </c>
      <c r="E1782" s="1">
        <f>IFERROR(__xludf.DUMMYFUNCTION("""COMPUTED_VALUE"""),32.13)</f>
        <v>32.13</v>
      </c>
      <c r="F1782" s="1">
        <f>IFERROR(__xludf.DUMMYFUNCTION("""COMPUTED_VALUE"""),275188.0)</f>
        <v>275188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IFERROR(__xludf.DUMMYFUNCTION("""COMPUTED_VALUE"""),32.16)</f>
        <v>32.16</v>
      </c>
      <c r="C1783" s="1">
        <f>IFERROR(__xludf.DUMMYFUNCTION("""COMPUTED_VALUE"""),32.64)</f>
        <v>32.64</v>
      </c>
      <c r="D1783" s="1">
        <f>IFERROR(__xludf.DUMMYFUNCTION("""COMPUTED_VALUE"""),32.13)</f>
        <v>32.13</v>
      </c>
      <c r="E1783" s="1">
        <f>IFERROR(__xludf.DUMMYFUNCTION("""COMPUTED_VALUE"""),32.44)</f>
        <v>32.44</v>
      </c>
      <c r="F1783" s="1">
        <f>IFERROR(__xludf.DUMMYFUNCTION("""COMPUTED_VALUE"""),650763.0)</f>
        <v>650763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IFERROR(__xludf.DUMMYFUNCTION("""COMPUTED_VALUE"""),32.35)</f>
        <v>32.35</v>
      </c>
      <c r="C1784" s="1">
        <f>IFERROR(__xludf.DUMMYFUNCTION("""COMPUTED_VALUE"""),32.51)</f>
        <v>32.51</v>
      </c>
      <c r="D1784" s="1">
        <f>IFERROR(__xludf.DUMMYFUNCTION("""COMPUTED_VALUE"""),31.97)</f>
        <v>31.97</v>
      </c>
      <c r="E1784" s="1">
        <f>IFERROR(__xludf.DUMMYFUNCTION("""COMPUTED_VALUE"""),32.35)</f>
        <v>32.35</v>
      </c>
      <c r="F1784" s="1">
        <f>IFERROR(__xludf.DUMMYFUNCTION("""COMPUTED_VALUE"""),401936.0)</f>
        <v>401936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IFERROR(__xludf.DUMMYFUNCTION("""COMPUTED_VALUE"""),32.29)</f>
        <v>32.29</v>
      </c>
      <c r="C1785" s="1">
        <f>IFERROR(__xludf.DUMMYFUNCTION("""COMPUTED_VALUE"""),32.29)</f>
        <v>32.29</v>
      </c>
      <c r="D1785" s="1">
        <f>IFERROR(__xludf.DUMMYFUNCTION("""COMPUTED_VALUE"""),31.8)</f>
        <v>31.8</v>
      </c>
      <c r="E1785" s="1">
        <f>IFERROR(__xludf.DUMMYFUNCTION("""COMPUTED_VALUE"""),32.02)</f>
        <v>32.02</v>
      </c>
      <c r="F1785" s="1">
        <f>IFERROR(__xludf.DUMMYFUNCTION("""COMPUTED_VALUE"""),443745.0)</f>
        <v>443745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IFERROR(__xludf.DUMMYFUNCTION("""COMPUTED_VALUE"""),32.13)</f>
        <v>32.13</v>
      </c>
      <c r="C1786" s="1">
        <f>IFERROR(__xludf.DUMMYFUNCTION("""COMPUTED_VALUE"""),32.76)</f>
        <v>32.76</v>
      </c>
      <c r="D1786" s="1">
        <f>IFERROR(__xludf.DUMMYFUNCTION("""COMPUTED_VALUE"""),32.06)</f>
        <v>32.06</v>
      </c>
      <c r="E1786" s="1">
        <f>IFERROR(__xludf.DUMMYFUNCTION("""COMPUTED_VALUE"""),32.76)</f>
        <v>32.76</v>
      </c>
      <c r="F1786" s="1">
        <f>IFERROR(__xludf.DUMMYFUNCTION("""COMPUTED_VALUE"""),588657.0)</f>
        <v>588657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IFERROR(__xludf.DUMMYFUNCTION("""COMPUTED_VALUE"""),32.58)</f>
        <v>32.58</v>
      </c>
      <c r="C1787" s="1">
        <f>IFERROR(__xludf.DUMMYFUNCTION("""COMPUTED_VALUE"""),32.78)</f>
        <v>32.78</v>
      </c>
      <c r="D1787" s="1">
        <f>IFERROR(__xludf.DUMMYFUNCTION("""COMPUTED_VALUE"""),32.11)</f>
        <v>32.11</v>
      </c>
      <c r="E1787" s="1">
        <f>IFERROR(__xludf.DUMMYFUNCTION("""COMPUTED_VALUE"""),32.17)</f>
        <v>32.17</v>
      </c>
      <c r="F1787" s="1">
        <f>IFERROR(__xludf.DUMMYFUNCTION("""COMPUTED_VALUE"""),478843.0)</f>
        <v>478843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IFERROR(__xludf.DUMMYFUNCTION("""COMPUTED_VALUE"""),32.0)</f>
        <v>32</v>
      </c>
      <c r="C1788" s="1">
        <f>IFERROR(__xludf.DUMMYFUNCTION("""COMPUTED_VALUE"""),32.0)</f>
        <v>32</v>
      </c>
      <c r="D1788" s="1">
        <f>IFERROR(__xludf.DUMMYFUNCTION("""COMPUTED_VALUE"""),31.31)</f>
        <v>31.31</v>
      </c>
      <c r="E1788" s="1">
        <f>IFERROR(__xludf.DUMMYFUNCTION("""COMPUTED_VALUE"""),31.35)</f>
        <v>31.35</v>
      </c>
      <c r="F1788" s="1">
        <f>IFERROR(__xludf.DUMMYFUNCTION("""COMPUTED_VALUE"""),651522.0)</f>
        <v>651522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IFERROR(__xludf.DUMMYFUNCTION("""COMPUTED_VALUE"""),31.07)</f>
        <v>31.07</v>
      </c>
      <c r="C1789" s="1">
        <f>IFERROR(__xludf.DUMMYFUNCTION("""COMPUTED_VALUE"""),31.21)</f>
        <v>31.21</v>
      </c>
      <c r="D1789" s="1">
        <f>IFERROR(__xludf.DUMMYFUNCTION("""COMPUTED_VALUE"""),30.73)</f>
        <v>30.73</v>
      </c>
      <c r="E1789" s="1">
        <f>IFERROR(__xludf.DUMMYFUNCTION("""COMPUTED_VALUE"""),30.77)</f>
        <v>30.77</v>
      </c>
      <c r="F1789" s="1">
        <f>IFERROR(__xludf.DUMMYFUNCTION("""COMPUTED_VALUE"""),726223.0)</f>
        <v>726223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IFERROR(__xludf.DUMMYFUNCTION("""COMPUTED_VALUE"""),30.7)</f>
        <v>30.7</v>
      </c>
      <c r="C1790" s="1">
        <f>IFERROR(__xludf.DUMMYFUNCTION("""COMPUTED_VALUE"""),31.6)</f>
        <v>31.6</v>
      </c>
      <c r="D1790" s="1">
        <f>IFERROR(__xludf.DUMMYFUNCTION("""COMPUTED_VALUE"""),30.7)</f>
        <v>30.7</v>
      </c>
      <c r="E1790" s="1">
        <f>IFERROR(__xludf.DUMMYFUNCTION("""COMPUTED_VALUE"""),31.32)</f>
        <v>31.32</v>
      </c>
      <c r="F1790" s="1">
        <f>IFERROR(__xludf.DUMMYFUNCTION("""COMPUTED_VALUE"""),917436.0)</f>
        <v>917436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IFERROR(__xludf.DUMMYFUNCTION("""COMPUTED_VALUE"""),31.34)</f>
        <v>31.34</v>
      </c>
      <c r="C1791" s="1">
        <f>IFERROR(__xludf.DUMMYFUNCTION("""COMPUTED_VALUE"""),31.99)</f>
        <v>31.99</v>
      </c>
      <c r="D1791" s="1">
        <f>IFERROR(__xludf.DUMMYFUNCTION("""COMPUTED_VALUE"""),31.2)</f>
        <v>31.2</v>
      </c>
      <c r="E1791" s="1">
        <f>IFERROR(__xludf.DUMMYFUNCTION("""COMPUTED_VALUE"""),31.85)</f>
        <v>31.85</v>
      </c>
      <c r="F1791" s="1">
        <f>IFERROR(__xludf.DUMMYFUNCTION("""COMPUTED_VALUE"""),415666.0)</f>
        <v>415666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IFERROR(__xludf.DUMMYFUNCTION("""COMPUTED_VALUE"""),31.83)</f>
        <v>31.83</v>
      </c>
      <c r="C1792" s="1">
        <f>IFERROR(__xludf.DUMMYFUNCTION("""COMPUTED_VALUE"""),32.12)</f>
        <v>32.12</v>
      </c>
      <c r="D1792" s="1">
        <f>IFERROR(__xludf.DUMMYFUNCTION("""COMPUTED_VALUE"""),31.34)</f>
        <v>31.34</v>
      </c>
      <c r="E1792" s="1">
        <f>IFERROR(__xludf.DUMMYFUNCTION("""COMPUTED_VALUE"""),31.36)</f>
        <v>31.36</v>
      </c>
      <c r="F1792" s="1">
        <f>IFERROR(__xludf.DUMMYFUNCTION("""COMPUTED_VALUE"""),376901.0)</f>
        <v>376901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IFERROR(__xludf.DUMMYFUNCTION("""COMPUTED_VALUE"""),31.34)</f>
        <v>31.34</v>
      </c>
      <c r="C1793" s="1">
        <f>IFERROR(__xludf.DUMMYFUNCTION("""COMPUTED_VALUE"""),31.44)</f>
        <v>31.44</v>
      </c>
      <c r="D1793" s="1">
        <f>IFERROR(__xludf.DUMMYFUNCTION("""COMPUTED_VALUE"""),30.62)</f>
        <v>30.62</v>
      </c>
      <c r="E1793" s="1">
        <f>IFERROR(__xludf.DUMMYFUNCTION("""COMPUTED_VALUE"""),31.07)</f>
        <v>31.07</v>
      </c>
      <c r="F1793" s="1">
        <f>IFERROR(__xludf.DUMMYFUNCTION("""COMPUTED_VALUE"""),930549.0)</f>
        <v>930549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IFERROR(__xludf.DUMMYFUNCTION("""COMPUTED_VALUE"""),31.01)</f>
        <v>31.01</v>
      </c>
      <c r="C1794" s="1">
        <f>IFERROR(__xludf.DUMMYFUNCTION("""COMPUTED_VALUE"""),31.34)</f>
        <v>31.34</v>
      </c>
      <c r="D1794" s="1">
        <f>IFERROR(__xludf.DUMMYFUNCTION("""COMPUTED_VALUE"""),30.83)</f>
        <v>30.83</v>
      </c>
      <c r="E1794" s="1">
        <f>IFERROR(__xludf.DUMMYFUNCTION("""COMPUTED_VALUE"""),31.01)</f>
        <v>31.01</v>
      </c>
      <c r="F1794" s="1">
        <f>IFERROR(__xludf.DUMMYFUNCTION("""COMPUTED_VALUE"""),706119.0)</f>
        <v>706119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IFERROR(__xludf.DUMMYFUNCTION("""COMPUTED_VALUE"""),30.94)</f>
        <v>30.94</v>
      </c>
      <c r="C1795" s="1">
        <f>IFERROR(__xludf.DUMMYFUNCTION("""COMPUTED_VALUE"""),31.29)</f>
        <v>31.29</v>
      </c>
      <c r="D1795" s="1">
        <f>IFERROR(__xludf.DUMMYFUNCTION("""COMPUTED_VALUE"""),30.94)</f>
        <v>30.94</v>
      </c>
      <c r="E1795" s="1">
        <f>IFERROR(__xludf.DUMMYFUNCTION("""COMPUTED_VALUE"""),31.09)</f>
        <v>31.09</v>
      </c>
      <c r="F1795" s="1">
        <f>IFERROR(__xludf.DUMMYFUNCTION("""COMPUTED_VALUE"""),588903.0)</f>
        <v>588903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IFERROR(__xludf.DUMMYFUNCTION("""COMPUTED_VALUE"""),30.94)</f>
        <v>30.94</v>
      </c>
      <c r="C1796" s="1">
        <f>IFERROR(__xludf.DUMMYFUNCTION("""COMPUTED_VALUE"""),31.17)</f>
        <v>31.17</v>
      </c>
      <c r="D1796" s="1">
        <f>IFERROR(__xludf.DUMMYFUNCTION("""COMPUTED_VALUE"""),30.76)</f>
        <v>30.76</v>
      </c>
      <c r="E1796" s="1">
        <f>IFERROR(__xludf.DUMMYFUNCTION("""COMPUTED_VALUE"""),30.97)</f>
        <v>30.97</v>
      </c>
      <c r="F1796" s="1">
        <f>IFERROR(__xludf.DUMMYFUNCTION("""COMPUTED_VALUE"""),509664.0)</f>
        <v>509664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IFERROR(__xludf.DUMMYFUNCTION("""COMPUTED_VALUE"""),32.55)</f>
        <v>32.55</v>
      </c>
      <c r="C1797" s="1">
        <f>IFERROR(__xludf.DUMMYFUNCTION("""COMPUTED_VALUE"""),35.21)</f>
        <v>35.21</v>
      </c>
      <c r="D1797" s="1">
        <f>IFERROR(__xludf.DUMMYFUNCTION("""COMPUTED_VALUE"""),32.5)</f>
        <v>32.5</v>
      </c>
      <c r="E1797" s="1">
        <f>IFERROR(__xludf.DUMMYFUNCTION("""COMPUTED_VALUE"""),34.69)</f>
        <v>34.69</v>
      </c>
      <c r="F1797" s="1">
        <f>IFERROR(__xludf.DUMMYFUNCTION("""COMPUTED_VALUE"""),1987110.0)</f>
        <v>1987110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IFERROR(__xludf.DUMMYFUNCTION("""COMPUTED_VALUE"""),34.73)</f>
        <v>34.73</v>
      </c>
      <c r="C1798" s="1">
        <f>IFERROR(__xludf.DUMMYFUNCTION("""COMPUTED_VALUE"""),35.07)</f>
        <v>35.07</v>
      </c>
      <c r="D1798" s="1">
        <f>IFERROR(__xludf.DUMMYFUNCTION("""COMPUTED_VALUE"""),34.0)</f>
        <v>34</v>
      </c>
      <c r="E1798" s="1">
        <f>IFERROR(__xludf.DUMMYFUNCTION("""COMPUTED_VALUE"""),34.05)</f>
        <v>34.05</v>
      </c>
      <c r="F1798" s="1">
        <f>IFERROR(__xludf.DUMMYFUNCTION("""COMPUTED_VALUE"""),1389027.0)</f>
        <v>1389027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IFERROR(__xludf.DUMMYFUNCTION("""COMPUTED_VALUE"""),34.19)</f>
        <v>34.19</v>
      </c>
      <c r="C1799" s="1">
        <f>IFERROR(__xludf.DUMMYFUNCTION("""COMPUTED_VALUE"""),34.31)</f>
        <v>34.31</v>
      </c>
      <c r="D1799" s="1">
        <f>IFERROR(__xludf.DUMMYFUNCTION("""COMPUTED_VALUE"""),33.47)</f>
        <v>33.47</v>
      </c>
      <c r="E1799" s="1">
        <f>IFERROR(__xludf.DUMMYFUNCTION("""COMPUTED_VALUE"""),33.65)</f>
        <v>33.65</v>
      </c>
      <c r="F1799" s="1">
        <f>IFERROR(__xludf.DUMMYFUNCTION("""COMPUTED_VALUE"""),746231.0)</f>
        <v>746231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IFERROR(__xludf.DUMMYFUNCTION("""COMPUTED_VALUE"""),33.4)</f>
        <v>33.4</v>
      </c>
      <c r="C1800" s="1">
        <f>IFERROR(__xludf.DUMMYFUNCTION("""COMPUTED_VALUE"""),34.07)</f>
        <v>34.07</v>
      </c>
      <c r="D1800" s="1">
        <f>IFERROR(__xludf.DUMMYFUNCTION("""COMPUTED_VALUE"""),33.22)</f>
        <v>33.22</v>
      </c>
      <c r="E1800" s="1">
        <f>IFERROR(__xludf.DUMMYFUNCTION("""COMPUTED_VALUE"""),34.0)</f>
        <v>34</v>
      </c>
      <c r="F1800" s="1">
        <f>IFERROR(__xludf.DUMMYFUNCTION("""COMPUTED_VALUE"""),717106.0)</f>
        <v>717106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IFERROR(__xludf.DUMMYFUNCTION("""COMPUTED_VALUE"""),34.07)</f>
        <v>34.07</v>
      </c>
      <c r="C1801" s="1">
        <f>IFERROR(__xludf.DUMMYFUNCTION("""COMPUTED_VALUE"""),34.6)</f>
        <v>34.6</v>
      </c>
      <c r="D1801" s="1">
        <f>IFERROR(__xludf.DUMMYFUNCTION("""COMPUTED_VALUE"""),33.96)</f>
        <v>33.96</v>
      </c>
      <c r="E1801" s="1">
        <f>IFERROR(__xludf.DUMMYFUNCTION("""COMPUTED_VALUE"""),34.47)</f>
        <v>34.47</v>
      </c>
      <c r="F1801" s="1">
        <f>IFERROR(__xludf.DUMMYFUNCTION("""COMPUTED_VALUE"""),1172473.0)</f>
        <v>1172473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IFERROR(__xludf.DUMMYFUNCTION("""COMPUTED_VALUE"""),34.27)</f>
        <v>34.27</v>
      </c>
      <c r="C1802" s="1">
        <f>IFERROR(__xludf.DUMMYFUNCTION("""COMPUTED_VALUE"""),34.51)</f>
        <v>34.51</v>
      </c>
      <c r="D1802" s="1">
        <f>IFERROR(__xludf.DUMMYFUNCTION("""COMPUTED_VALUE"""),33.67)</f>
        <v>33.67</v>
      </c>
      <c r="E1802" s="1">
        <f>IFERROR(__xludf.DUMMYFUNCTION("""COMPUTED_VALUE"""),33.69)</f>
        <v>33.69</v>
      </c>
      <c r="F1802" s="1">
        <f>IFERROR(__xludf.DUMMYFUNCTION("""COMPUTED_VALUE"""),844562.0)</f>
        <v>844562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IFERROR(__xludf.DUMMYFUNCTION("""COMPUTED_VALUE"""),34.04)</f>
        <v>34.04</v>
      </c>
      <c r="C1803" s="1">
        <f>IFERROR(__xludf.DUMMYFUNCTION("""COMPUTED_VALUE"""),34.24)</f>
        <v>34.24</v>
      </c>
      <c r="D1803" s="1">
        <f>IFERROR(__xludf.DUMMYFUNCTION("""COMPUTED_VALUE"""),33.23)</f>
        <v>33.23</v>
      </c>
      <c r="E1803" s="1">
        <f>IFERROR(__xludf.DUMMYFUNCTION("""COMPUTED_VALUE"""),33.23)</f>
        <v>33.23</v>
      </c>
      <c r="F1803" s="1">
        <f>IFERROR(__xludf.DUMMYFUNCTION("""COMPUTED_VALUE"""),603308.0)</f>
        <v>603308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IFERROR(__xludf.DUMMYFUNCTION("""COMPUTED_VALUE"""),33.23)</f>
        <v>33.23</v>
      </c>
      <c r="C1804" s="1">
        <f>IFERROR(__xludf.DUMMYFUNCTION("""COMPUTED_VALUE"""),33.23)</f>
        <v>33.23</v>
      </c>
      <c r="D1804" s="1">
        <f>IFERROR(__xludf.DUMMYFUNCTION("""COMPUTED_VALUE"""),32.14)</f>
        <v>32.14</v>
      </c>
      <c r="E1804" s="1">
        <f>IFERROR(__xludf.DUMMYFUNCTION("""COMPUTED_VALUE"""),32.16)</f>
        <v>32.16</v>
      </c>
      <c r="F1804" s="1">
        <f>IFERROR(__xludf.DUMMYFUNCTION("""COMPUTED_VALUE"""),616283.0)</f>
        <v>616283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IFERROR(__xludf.DUMMYFUNCTION("""COMPUTED_VALUE"""),32.22)</f>
        <v>32.22</v>
      </c>
      <c r="C1805" s="1">
        <f>IFERROR(__xludf.DUMMYFUNCTION("""COMPUTED_VALUE"""),32.48)</f>
        <v>32.48</v>
      </c>
      <c r="D1805" s="1">
        <f>IFERROR(__xludf.DUMMYFUNCTION("""COMPUTED_VALUE"""),32.08)</f>
        <v>32.08</v>
      </c>
      <c r="E1805" s="1">
        <f>IFERROR(__xludf.DUMMYFUNCTION("""COMPUTED_VALUE"""),32.21)</f>
        <v>32.21</v>
      </c>
      <c r="F1805" s="1">
        <f>IFERROR(__xludf.DUMMYFUNCTION("""COMPUTED_VALUE"""),362858.0)</f>
        <v>362858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IFERROR(__xludf.DUMMYFUNCTION("""COMPUTED_VALUE"""),32.14)</f>
        <v>32.14</v>
      </c>
      <c r="C1806" s="1">
        <f>IFERROR(__xludf.DUMMYFUNCTION("""COMPUTED_VALUE"""),32.37)</f>
        <v>32.37</v>
      </c>
      <c r="D1806" s="1">
        <f>IFERROR(__xludf.DUMMYFUNCTION("""COMPUTED_VALUE"""),31.76)</f>
        <v>31.76</v>
      </c>
      <c r="E1806" s="1">
        <f>IFERROR(__xludf.DUMMYFUNCTION("""COMPUTED_VALUE"""),31.81)</f>
        <v>31.81</v>
      </c>
      <c r="F1806" s="1">
        <f>IFERROR(__xludf.DUMMYFUNCTION("""COMPUTED_VALUE"""),327300.0)</f>
        <v>327300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IFERROR(__xludf.DUMMYFUNCTION("""COMPUTED_VALUE"""),31.8)</f>
        <v>31.8</v>
      </c>
      <c r="C1807" s="1">
        <f>IFERROR(__xludf.DUMMYFUNCTION("""COMPUTED_VALUE"""),31.9)</f>
        <v>31.9</v>
      </c>
      <c r="D1807" s="1">
        <f>IFERROR(__xludf.DUMMYFUNCTION("""COMPUTED_VALUE"""),31.52)</f>
        <v>31.52</v>
      </c>
      <c r="E1807" s="1">
        <f>IFERROR(__xludf.DUMMYFUNCTION("""COMPUTED_VALUE"""),31.53)</f>
        <v>31.53</v>
      </c>
      <c r="F1807" s="1">
        <f>IFERROR(__xludf.DUMMYFUNCTION("""COMPUTED_VALUE"""),236254.0)</f>
        <v>236254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IFERROR(__xludf.DUMMYFUNCTION("""COMPUTED_VALUE"""),31.65)</f>
        <v>31.65</v>
      </c>
      <c r="C1808" s="1">
        <f>IFERROR(__xludf.DUMMYFUNCTION("""COMPUTED_VALUE"""),31.65)</f>
        <v>31.65</v>
      </c>
      <c r="D1808" s="1">
        <f>IFERROR(__xludf.DUMMYFUNCTION("""COMPUTED_VALUE"""),30.84)</f>
        <v>30.84</v>
      </c>
      <c r="E1808" s="1">
        <f>IFERROR(__xludf.DUMMYFUNCTION("""COMPUTED_VALUE"""),30.89)</f>
        <v>30.89</v>
      </c>
      <c r="F1808" s="1">
        <f>IFERROR(__xludf.DUMMYFUNCTION("""COMPUTED_VALUE"""),355012.0)</f>
        <v>355012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IFERROR(__xludf.DUMMYFUNCTION("""COMPUTED_VALUE"""),30.95)</f>
        <v>30.95</v>
      </c>
      <c r="C1809" s="1">
        <f>IFERROR(__xludf.DUMMYFUNCTION("""COMPUTED_VALUE"""),30.95)</f>
        <v>30.95</v>
      </c>
      <c r="D1809" s="1">
        <f>IFERROR(__xludf.DUMMYFUNCTION("""COMPUTED_VALUE"""),30.41)</f>
        <v>30.41</v>
      </c>
      <c r="E1809" s="1">
        <f>IFERROR(__xludf.DUMMYFUNCTION("""COMPUTED_VALUE"""),30.63)</f>
        <v>30.63</v>
      </c>
      <c r="F1809" s="1">
        <f>IFERROR(__xludf.DUMMYFUNCTION("""COMPUTED_VALUE"""),974769.0)</f>
        <v>974769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IFERROR(__xludf.DUMMYFUNCTION("""COMPUTED_VALUE"""),30.89)</f>
        <v>30.89</v>
      </c>
      <c r="C1810" s="1">
        <f>IFERROR(__xludf.DUMMYFUNCTION("""COMPUTED_VALUE"""),31.65)</f>
        <v>31.65</v>
      </c>
      <c r="D1810" s="1">
        <f>IFERROR(__xludf.DUMMYFUNCTION("""COMPUTED_VALUE"""),30.69)</f>
        <v>30.69</v>
      </c>
      <c r="E1810" s="1">
        <f>IFERROR(__xludf.DUMMYFUNCTION("""COMPUTED_VALUE"""),31.54)</f>
        <v>31.54</v>
      </c>
      <c r="F1810" s="1">
        <f>IFERROR(__xludf.DUMMYFUNCTION("""COMPUTED_VALUE"""),880871.0)</f>
        <v>880871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IFERROR(__xludf.DUMMYFUNCTION("""COMPUTED_VALUE"""),31.44)</f>
        <v>31.44</v>
      </c>
      <c r="C1811" s="1">
        <f>IFERROR(__xludf.DUMMYFUNCTION("""COMPUTED_VALUE"""),31.69)</f>
        <v>31.69</v>
      </c>
      <c r="D1811" s="1">
        <f>IFERROR(__xludf.DUMMYFUNCTION("""COMPUTED_VALUE"""),31.41)</f>
        <v>31.41</v>
      </c>
      <c r="E1811" s="1">
        <f>IFERROR(__xludf.DUMMYFUNCTION("""COMPUTED_VALUE"""),31.58)</f>
        <v>31.58</v>
      </c>
      <c r="F1811" s="1">
        <f>IFERROR(__xludf.DUMMYFUNCTION("""COMPUTED_VALUE"""),371782.0)</f>
        <v>371782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IFERROR(__xludf.DUMMYFUNCTION("""COMPUTED_VALUE"""),31.52)</f>
        <v>31.52</v>
      </c>
      <c r="C1812" s="1">
        <f>IFERROR(__xludf.DUMMYFUNCTION("""COMPUTED_VALUE"""),31.57)</f>
        <v>31.57</v>
      </c>
      <c r="D1812" s="1">
        <f>IFERROR(__xludf.DUMMYFUNCTION("""COMPUTED_VALUE"""),31.0)</f>
        <v>31</v>
      </c>
      <c r="E1812" s="1">
        <f>IFERROR(__xludf.DUMMYFUNCTION("""COMPUTED_VALUE"""),31.25)</f>
        <v>31.25</v>
      </c>
      <c r="F1812" s="1">
        <f>IFERROR(__xludf.DUMMYFUNCTION("""COMPUTED_VALUE"""),314570.0)</f>
        <v>314570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IFERROR(__xludf.DUMMYFUNCTION("""COMPUTED_VALUE"""),31.35)</f>
        <v>31.35</v>
      </c>
      <c r="C1813" s="1">
        <f>IFERROR(__xludf.DUMMYFUNCTION("""COMPUTED_VALUE"""),31.78)</f>
        <v>31.78</v>
      </c>
      <c r="D1813" s="1">
        <f>IFERROR(__xludf.DUMMYFUNCTION("""COMPUTED_VALUE"""),31.26)</f>
        <v>31.26</v>
      </c>
      <c r="E1813" s="1">
        <f>IFERROR(__xludf.DUMMYFUNCTION("""COMPUTED_VALUE"""),31.73)</f>
        <v>31.73</v>
      </c>
      <c r="F1813" s="1">
        <f>IFERROR(__xludf.DUMMYFUNCTION("""COMPUTED_VALUE"""),360503.0)</f>
        <v>360503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IFERROR(__xludf.DUMMYFUNCTION("""COMPUTED_VALUE"""),31.74)</f>
        <v>31.74</v>
      </c>
      <c r="C1814" s="1">
        <f>IFERROR(__xludf.DUMMYFUNCTION("""COMPUTED_VALUE"""),31.88)</f>
        <v>31.88</v>
      </c>
      <c r="D1814" s="1">
        <f>IFERROR(__xludf.DUMMYFUNCTION("""COMPUTED_VALUE"""),31.3)</f>
        <v>31.3</v>
      </c>
      <c r="E1814" s="1">
        <f>IFERROR(__xludf.DUMMYFUNCTION("""COMPUTED_VALUE"""),31.51)</f>
        <v>31.51</v>
      </c>
      <c r="F1814" s="1">
        <f>IFERROR(__xludf.DUMMYFUNCTION("""COMPUTED_VALUE"""),284265.0)</f>
        <v>284265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IFERROR(__xludf.DUMMYFUNCTION("""COMPUTED_VALUE"""),31.56)</f>
        <v>31.56</v>
      </c>
      <c r="C1815" s="1">
        <f>IFERROR(__xludf.DUMMYFUNCTION("""COMPUTED_VALUE"""),31.86)</f>
        <v>31.86</v>
      </c>
      <c r="D1815" s="1">
        <f>IFERROR(__xludf.DUMMYFUNCTION("""COMPUTED_VALUE"""),31.5)</f>
        <v>31.5</v>
      </c>
      <c r="E1815" s="1">
        <f>IFERROR(__xludf.DUMMYFUNCTION("""COMPUTED_VALUE"""),31.71)</f>
        <v>31.71</v>
      </c>
      <c r="F1815" s="1">
        <f>IFERROR(__xludf.DUMMYFUNCTION("""COMPUTED_VALUE"""),382495.0)</f>
        <v>382495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IFERROR(__xludf.DUMMYFUNCTION("""COMPUTED_VALUE"""),31.59)</f>
        <v>31.59</v>
      </c>
      <c r="C1816" s="1">
        <f>IFERROR(__xludf.DUMMYFUNCTION("""COMPUTED_VALUE"""),31.65)</f>
        <v>31.65</v>
      </c>
      <c r="D1816" s="1">
        <f>IFERROR(__xludf.DUMMYFUNCTION("""COMPUTED_VALUE"""),31.33)</f>
        <v>31.33</v>
      </c>
      <c r="E1816" s="1">
        <f>IFERROR(__xludf.DUMMYFUNCTION("""COMPUTED_VALUE"""),31.4)</f>
        <v>31.4</v>
      </c>
      <c r="F1816" s="1">
        <f>IFERROR(__xludf.DUMMYFUNCTION("""COMPUTED_VALUE"""),195339.0)</f>
        <v>195339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IFERROR(__xludf.DUMMYFUNCTION("""COMPUTED_VALUE"""),31.6)</f>
        <v>31.6</v>
      </c>
      <c r="C1817" s="1">
        <f>IFERROR(__xludf.DUMMYFUNCTION("""COMPUTED_VALUE"""),31.76)</f>
        <v>31.76</v>
      </c>
      <c r="D1817" s="1">
        <f>IFERROR(__xludf.DUMMYFUNCTION("""COMPUTED_VALUE"""),31.18)</f>
        <v>31.18</v>
      </c>
      <c r="E1817" s="1">
        <f>IFERROR(__xludf.DUMMYFUNCTION("""COMPUTED_VALUE"""),31.27)</f>
        <v>31.27</v>
      </c>
      <c r="F1817" s="1">
        <f>IFERROR(__xludf.DUMMYFUNCTION("""COMPUTED_VALUE"""),457135.0)</f>
        <v>457135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IFERROR(__xludf.DUMMYFUNCTION("""COMPUTED_VALUE"""),31.2)</f>
        <v>31.2</v>
      </c>
      <c r="C1818" s="1">
        <f>IFERROR(__xludf.DUMMYFUNCTION("""COMPUTED_VALUE"""),31.7)</f>
        <v>31.7</v>
      </c>
      <c r="D1818" s="1">
        <f>IFERROR(__xludf.DUMMYFUNCTION("""COMPUTED_VALUE"""),31.06)</f>
        <v>31.06</v>
      </c>
      <c r="E1818" s="1">
        <f>IFERROR(__xludf.DUMMYFUNCTION("""COMPUTED_VALUE"""),31.61)</f>
        <v>31.61</v>
      </c>
      <c r="F1818" s="1">
        <f>IFERROR(__xludf.DUMMYFUNCTION("""COMPUTED_VALUE"""),869994.0)</f>
        <v>869994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IFERROR(__xludf.DUMMYFUNCTION("""COMPUTED_VALUE"""),31.67)</f>
        <v>31.67</v>
      </c>
      <c r="C1819" s="1">
        <f>IFERROR(__xludf.DUMMYFUNCTION("""COMPUTED_VALUE"""),32.26)</f>
        <v>32.26</v>
      </c>
      <c r="D1819" s="1">
        <f>IFERROR(__xludf.DUMMYFUNCTION("""COMPUTED_VALUE"""),31.58)</f>
        <v>31.58</v>
      </c>
      <c r="E1819" s="1">
        <f>IFERROR(__xludf.DUMMYFUNCTION("""COMPUTED_VALUE"""),32.16)</f>
        <v>32.16</v>
      </c>
      <c r="F1819" s="1">
        <f>IFERROR(__xludf.DUMMYFUNCTION("""COMPUTED_VALUE"""),479858.0)</f>
        <v>479858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IFERROR(__xludf.DUMMYFUNCTION("""COMPUTED_VALUE"""),32.18)</f>
        <v>32.18</v>
      </c>
      <c r="C1820" s="1">
        <f>IFERROR(__xludf.DUMMYFUNCTION("""COMPUTED_VALUE"""),32.33)</f>
        <v>32.33</v>
      </c>
      <c r="D1820" s="1">
        <f>IFERROR(__xludf.DUMMYFUNCTION("""COMPUTED_VALUE"""),32.02)</f>
        <v>32.02</v>
      </c>
      <c r="E1820" s="1">
        <f>IFERROR(__xludf.DUMMYFUNCTION("""COMPUTED_VALUE"""),32.25)</f>
        <v>32.25</v>
      </c>
      <c r="F1820" s="1">
        <f>IFERROR(__xludf.DUMMYFUNCTION("""COMPUTED_VALUE"""),381402.0)</f>
        <v>381402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IFERROR(__xludf.DUMMYFUNCTION("""COMPUTED_VALUE"""),32.18)</f>
        <v>32.18</v>
      </c>
      <c r="C1821" s="1">
        <f>IFERROR(__xludf.DUMMYFUNCTION("""COMPUTED_VALUE"""),32.51)</f>
        <v>32.51</v>
      </c>
      <c r="D1821" s="1">
        <f>IFERROR(__xludf.DUMMYFUNCTION("""COMPUTED_VALUE"""),31.9)</f>
        <v>31.9</v>
      </c>
      <c r="E1821" s="1">
        <f>IFERROR(__xludf.DUMMYFUNCTION("""COMPUTED_VALUE"""),32.44)</f>
        <v>32.44</v>
      </c>
      <c r="F1821" s="1">
        <f>IFERROR(__xludf.DUMMYFUNCTION("""COMPUTED_VALUE"""),374663.0)</f>
        <v>374663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IFERROR(__xludf.DUMMYFUNCTION("""COMPUTED_VALUE"""),32.37)</f>
        <v>32.37</v>
      </c>
      <c r="C1822" s="1">
        <f>IFERROR(__xludf.DUMMYFUNCTION("""COMPUTED_VALUE"""),33.03)</f>
        <v>33.03</v>
      </c>
      <c r="D1822" s="1">
        <f>IFERROR(__xludf.DUMMYFUNCTION("""COMPUTED_VALUE"""),32.35)</f>
        <v>32.35</v>
      </c>
      <c r="E1822" s="1">
        <f>IFERROR(__xludf.DUMMYFUNCTION("""COMPUTED_VALUE"""),32.77)</f>
        <v>32.77</v>
      </c>
      <c r="F1822" s="1">
        <f>IFERROR(__xludf.DUMMYFUNCTION("""COMPUTED_VALUE"""),402765.0)</f>
        <v>402765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IFERROR(__xludf.DUMMYFUNCTION("""COMPUTED_VALUE"""),32.68)</f>
        <v>32.68</v>
      </c>
      <c r="C1823" s="1">
        <f>IFERROR(__xludf.DUMMYFUNCTION("""COMPUTED_VALUE"""),32.84)</f>
        <v>32.84</v>
      </c>
      <c r="D1823" s="1">
        <f>IFERROR(__xludf.DUMMYFUNCTION("""COMPUTED_VALUE"""),32.5)</f>
        <v>32.5</v>
      </c>
      <c r="E1823" s="1">
        <f>IFERROR(__xludf.DUMMYFUNCTION("""COMPUTED_VALUE"""),32.74)</f>
        <v>32.74</v>
      </c>
      <c r="F1823" s="1">
        <f>IFERROR(__xludf.DUMMYFUNCTION("""COMPUTED_VALUE"""),223531.0)</f>
        <v>223531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IFERROR(__xludf.DUMMYFUNCTION("""COMPUTED_VALUE"""),32.79)</f>
        <v>32.79</v>
      </c>
      <c r="C1824" s="1">
        <f>IFERROR(__xludf.DUMMYFUNCTION("""COMPUTED_VALUE"""),32.99)</f>
        <v>32.99</v>
      </c>
      <c r="D1824" s="1">
        <f>IFERROR(__xludf.DUMMYFUNCTION("""COMPUTED_VALUE"""),32.69)</f>
        <v>32.69</v>
      </c>
      <c r="E1824" s="1">
        <f>IFERROR(__xludf.DUMMYFUNCTION("""COMPUTED_VALUE"""),32.7)</f>
        <v>32.7</v>
      </c>
      <c r="F1824" s="1">
        <f>IFERROR(__xludf.DUMMYFUNCTION("""COMPUTED_VALUE"""),324792.0)</f>
        <v>324792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IFERROR(__xludf.DUMMYFUNCTION("""COMPUTED_VALUE"""),32.74)</f>
        <v>32.74</v>
      </c>
      <c r="C1825" s="1">
        <f>IFERROR(__xludf.DUMMYFUNCTION("""COMPUTED_VALUE"""),33.1)</f>
        <v>33.1</v>
      </c>
      <c r="D1825" s="1">
        <f>IFERROR(__xludf.DUMMYFUNCTION("""COMPUTED_VALUE"""),32.57)</f>
        <v>32.57</v>
      </c>
      <c r="E1825" s="1">
        <f>IFERROR(__xludf.DUMMYFUNCTION("""COMPUTED_VALUE"""),32.9)</f>
        <v>32.9</v>
      </c>
      <c r="F1825" s="1">
        <f>IFERROR(__xludf.DUMMYFUNCTION("""COMPUTED_VALUE"""),335926.0)</f>
        <v>335926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IFERROR(__xludf.DUMMYFUNCTION("""COMPUTED_VALUE"""),32.88)</f>
        <v>32.88</v>
      </c>
      <c r="C1826" s="1">
        <f>IFERROR(__xludf.DUMMYFUNCTION("""COMPUTED_VALUE"""),33.0)</f>
        <v>33</v>
      </c>
      <c r="D1826" s="1">
        <f>IFERROR(__xludf.DUMMYFUNCTION("""COMPUTED_VALUE"""),32.13)</f>
        <v>32.13</v>
      </c>
      <c r="E1826" s="1">
        <f>IFERROR(__xludf.DUMMYFUNCTION("""COMPUTED_VALUE"""),32.14)</f>
        <v>32.14</v>
      </c>
      <c r="F1826" s="1">
        <f>IFERROR(__xludf.DUMMYFUNCTION("""COMPUTED_VALUE"""),1072267.0)</f>
        <v>1072267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IFERROR(__xludf.DUMMYFUNCTION("""COMPUTED_VALUE"""),32.28)</f>
        <v>32.28</v>
      </c>
      <c r="C1827" s="1">
        <f>IFERROR(__xludf.DUMMYFUNCTION("""COMPUTED_VALUE"""),32.38)</f>
        <v>32.38</v>
      </c>
      <c r="D1827" s="1">
        <f>IFERROR(__xludf.DUMMYFUNCTION("""COMPUTED_VALUE"""),31.97)</f>
        <v>31.97</v>
      </c>
      <c r="E1827" s="1">
        <f>IFERROR(__xludf.DUMMYFUNCTION("""COMPUTED_VALUE"""),32.38)</f>
        <v>32.38</v>
      </c>
      <c r="F1827" s="1">
        <f>IFERROR(__xludf.DUMMYFUNCTION("""COMPUTED_VALUE"""),688989.0)</f>
        <v>688989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IFERROR(__xludf.DUMMYFUNCTION("""COMPUTED_VALUE"""),32.56)</f>
        <v>32.56</v>
      </c>
      <c r="C1828" s="1">
        <f>IFERROR(__xludf.DUMMYFUNCTION("""COMPUTED_VALUE"""),32.79)</f>
        <v>32.79</v>
      </c>
      <c r="D1828" s="1">
        <f>IFERROR(__xludf.DUMMYFUNCTION("""COMPUTED_VALUE"""),32.08)</f>
        <v>32.08</v>
      </c>
      <c r="E1828" s="1">
        <f>IFERROR(__xludf.DUMMYFUNCTION("""COMPUTED_VALUE"""),32.26)</f>
        <v>32.26</v>
      </c>
      <c r="F1828" s="1">
        <f>IFERROR(__xludf.DUMMYFUNCTION("""COMPUTED_VALUE"""),886099.0)</f>
        <v>886099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IFERROR(__xludf.DUMMYFUNCTION("""COMPUTED_VALUE"""),32.34)</f>
        <v>32.34</v>
      </c>
      <c r="C1829" s="1">
        <f>IFERROR(__xludf.DUMMYFUNCTION("""COMPUTED_VALUE"""),32.95)</f>
        <v>32.95</v>
      </c>
      <c r="D1829" s="1">
        <f>IFERROR(__xludf.DUMMYFUNCTION("""COMPUTED_VALUE"""),32.22)</f>
        <v>32.22</v>
      </c>
      <c r="E1829" s="1">
        <f>IFERROR(__xludf.DUMMYFUNCTION("""COMPUTED_VALUE"""),32.72)</f>
        <v>32.72</v>
      </c>
      <c r="F1829" s="1">
        <f>IFERROR(__xludf.DUMMYFUNCTION("""COMPUTED_VALUE"""),449828.0)</f>
        <v>449828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IFERROR(__xludf.DUMMYFUNCTION("""COMPUTED_VALUE"""),32.63)</f>
        <v>32.63</v>
      </c>
      <c r="C1830" s="1">
        <f>IFERROR(__xludf.DUMMYFUNCTION("""COMPUTED_VALUE"""),32.86)</f>
        <v>32.86</v>
      </c>
      <c r="D1830" s="1">
        <f>IFERROR(__xludf.DUMMYFUNCTION("""COMPUTED_VALUE"""),31.91)</f>
        <v>31.91</v>
      </c>
      <c r="E1830" s="1">
        <f>IFERROR(__xludf.DUMMYFUNCTION("""COMPUTED_VALUE"""),31.98)</f>
        <v>31.98</v>
      </c>
      <c r="F1830" s="1">
        <f>IFERROR(__xludf.DUMMYFUNCTION("""COMPUTED_VALUE"""),636710.0)</f>
        <v>636710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IFERROR(__xludf.DUMMYFUNCTION("""COMPUTED_VALUE"""),31.09)</f>
        <v>31.09</v>
      </c>
      <c r="C1831" s="1">
        <f>IFERROR(__xludf.DUMMYFUNCTION("""COMPUTED_VALUE"""),31.09)</f>
        <v>31.09</v>
      </c>
      <c r="D1831" s="1">
        <f>IFERROR(__xludf.DUMMYFUNCTION("""COMPUTED_VALUE"""),29.36)</f>
        <v>29.36</v>
      </c>
      <c r="E1831" s="1">
        <f>IFERROR(__xludf.DUMMYFUNCTION("""COMPUTED_VALUE"""),30.43)</f>
        <v>30.43</v>
      </c>
      <c r="F1831" s="1">
        <f>IFERROR(__xludf.DUMMYFUNCTION("""COMPUTED_VALUE"""),1980000.0)</f>
        <v>1980000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IFERROR(__xludf.DUMMYFUNCTION("""COMPUTED_VALUE"""),30.41)</f>
        <v>30.41</v>
      </c>
      <c r="C1832" s="1">
        <f>IFERROR(__xludf.DUMMYFUNCTION("""COMPUTED_VALUE"""),30.85)</f>
        <v>30.85</v>
      </c>
      <c r="D1832" s="1">
        <f>IFERROR(__xludf.DUMMYFUNCTION("""COMPUTED_VALUE"""),30.23)</f>
        <v>30.23</v>
      </c>
      <c r="E1832" s="1">
        <f>IFERROR(__xludf.DUMMYFUNCTION("""COMPUTED_VALUE"""),30.81)</f>
        <v>30.81</v>
      </c>
      <c r="F1832" s="1">
        <f>IFERROR(__xludf.DUMMYFUNCTION("""COMPUTED_VALUE"""),689530.0)</f>
        <v>689530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IFERROR(__xludf.DUMMYFUNCTION("""COMPUTED_VALUE"""),30.76)</f>
        <v>30.76</v>
      </c>
      <c r="C1833" s="1">
        <f>IFERROR(__xludf.DUMMYFUNCTION("""COMPUTED_VALUE"""),30.77)</f>
        <v>30.77</v>
      </c>
      <c r="D1833" s="1">
        <f>IFERROR(__xludf.DUMMYFUNCTION("""COMPUTED_VALUE"""),30.31)</f>
        <v>30.31</v>
      </c>
      <c r="E1833" s="1">
        <f>IFERROR(__xludf.DUMMYFUNCTION("""COMPUTED_VALUE"""),30.53)</f>
        <v>30.53</v>
      </c>
      <c r="F1833" s="1">
        <f>IFERROR(__xludf.DUMMYFUNCTION("""COMPUTED_VALUE"""),758494.0)</f>
        <v>758494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IFERROR(__xludf.DUMMYFUNCTION("""COMPUTED_VALUE"""),30.66)</f>
        <v>30.66</v>
      </c>
      <c r="C1834" s="1">
        <f>IFERROR(__xludf.DUMMYFUNCTION("""COMPUTED_VALUE"""),30.86)</f>
        <v>30.86</v>
      </c>
      <c r="D1834" s="1">
        <f>IFERROR(__xludf.DUMMYFUNCTION("""COMPUTED_VALUE"""),30.49)</f>
        <v>30.49</v>
      </c>
      <c r="E1834" s="1">
        <f>IFERROR(__xludf.DUMMYFUNCTION("""COMPUTED_VALUE"""),30.71)</f>
        <v>30.71</v>
      </c>
      <c r="F1834" s="1">
        <f>IFERROR(__xludf.DUMMYFUNCTION("""COMPUTED_VALUE"""),475946.0)</f>
        <v>475946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IFERROR(__xludf.DUMMYFUNCTION("""COMPUTED_VALUE"""),30.85)</f>
        <v>30.85</v>
      </c>
      <c r="C1835" s="1">
        <f>IFERROR(__xludf.DUMMYFUNCTION("""COMPUTED_VALUE"""),31.01)</f>
        <v>31.01</v>
      </c>
      <c r="D1835" s="1">
        <f>IFERROR(__xludf.DUMMYFUNCTION("""COMPUTED_VALUE"""),30.74)</f>
        <v>30.74</v>
      </c>
      <c r="E1835" s="1">
        <f>IFERROR(__xludf.DUMMYFUNCTION("""COMPUTED_VALUE"""),30.85)</f>
        <v>30.85</v>
      </c>
      <c r="F1835" s="1">
        <f>IFERROR(__xludf.DUMMYFUNCTION("""COMPUTED_VALUE"""),590053.0)</f>
        <v>590053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IFERROR(__xludf.DUMMYFUNCTION("""COMPUTED_VALUE"""),30.63)</f>
        <v>30.63</v>
      </c>
      <c r="C1836" s="1">
        <f>IFERROR(__xludf.DUMMYFUNCTION("""COMPUTED_VALUE"""),31.04)</f>
        <v>31.04</v>
      </c>
      <c r="D1836" s="1">
        <f>IFERROR(__xludf.DUMMYFUNCTION("""COMPUTED_VALUE"""),30.62)</f>
        <v>30.62</v>
      </c>
      <c r="E1836" s="1">
        <f>IFERROR(__xludf.DUMMYFUNCTION("""COMPUTED_VALUE"""),30.94)</f>
        <v>30.94</v>
      </c>
      <c r="F1836" s="1">
        <f>IFERROR(__xludf.DUMMYFUNCTION("""COMPUTED_VALUE"""),582201.0)</f>
        <v>582201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IFERROR(__xludf.DUMMYFUNCTION("""COMPUTED_VALUE"""),31.06)</f>
        <v>31.06</v>
      </c>
      <c r="C1837" s="1">
        <f>IFERROR(__xludf.DUMMYFUNCTION("""COMPUTED_VALUE"""),31.16)</f>
        <v>31.16</v>
      </c>
      <c r="D1837" s="1">
        <f>IFERROR(__xludf.DUMMYFUNCTION("""COMPUTED_VALUE"""),30.71)</f>
        <v>30.71</v>
      </c>
      <c r="E1837" s="1">
        <f>IFERROR(__xludf.DUMMYFUNCTION("""COMPUTED_VALUE"""),30.89)</f>
        <v>30.89</v>
      </c>
      <c r="F1837" s="1">
        <f>IFERROR(__xludf.DUMMYFUNCTION("""COMPUTED_VALUE"""),589338.0)</f>
        <v>589338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IFERROR(__xludf.DUMMYFUNCTION("""COMPUTED_VALUE"""),31.02)</f>
        <v>31.02</v>
      </c>
      <c r="C1838" s="1">
        <f>IFERROR(__xludf.DUMMYFUNCTION("""COMPUTED_VALUE"""),31.18)</f>
        <v>31.18</v>
      </c>
      <c r="D1838" s="1">
        <f>IFERROR(__xludf.DUMMYFUNCTION("""COMPUTED_VALUE"""),30.71)</f>
        <v>30.71</v>
      </c>
      <c r="E1838" s="1">
        <f>IFERROR(__xludf.DUMMYFUNCTION("""COMPUTED_VALUE"""),30.85)</f>
        <v>30.85</v>
      </c>
      <c r="F1838" s="1">
        <f>IFERROR(__xludf.DUMMYFUNCTION("""COMPUTED_VALUE"""),359713.0)</f>
        <v>359713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IFERROR(__xludf.DUMMYFUNCTION("""COMPUTED_VALUE"""),30.9)</f>
        <v>30.9</v>
      </c>
      <c r="C1839" s="1">
        <f>IFERROR(__xludf.DUMMYFUNCTION("""COMPUTED_VALUE"""),30.98)</f>
        <v>30.98</v>
      </c>
      <c r="D1839" s="1">
        <f>IFERROR(__xludf.DUMMYFUNCTION("""COMPUTED_VALUE"""),30.51)</f>
        <v>30.51</v>
      </c>
      <c r="E1839" s="1">
        <f>IFERROR(__xludf.DUMMYFUNCTION("""COMPUTED_VALUE"""),30.74)</f>
        <v>30.74</v>
      </c>
      <c r="F1839" s="1">
        <f>IFERROR(__xludf.DUMMYFUNCTION("""COMPUTED_VALUE"""),211282.0)</f>
        <v>211282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IFERROR(__xludf.DUMMYFUNCTION("""COMPUTED_VALUE"""),31.29)</f>
        <v>31.29</v>
      </c>
      <c r="C1840" s="1">
        <f>IFERROR(__xludf.DUMMYFUNCTION("""COMPUTED_VALUE"""),31.81)</f>
        <v>31.81</v>
      </c>
      <c r="D1840" s="1">
        <f>IFERROR(__xludf.DUMMYFUNCTION("""COMPUTED_VALUE"""),31.15)</f>
        <v>31.15</v>
      </c>
      <c r="E1840" s="1">
        <f>IFERROR(__xludf.DUMMYFUNCTION("""COMPUTED_VALUE"""),31.68)</f>
        <v>31.68</v>
      </c>
      <c r="F1840" s="1">
        <f>IFERROR(__xludf.DUMMYFUNCTION("""COMPUTED_VALUE"""),409717.0)</f>
        <v>409717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IFERROR(__xludf.DUMMYFUNCTION("""COMPUTED_VALUE"""),31.78)</f>
        <v>31.78</v>
      </c>
      <c r="C1841" s="1">
        <f>IFERROR(__xludf.DUMMYFUNCTION("""COMPUTED_VALUE"""),32.23)</f>
        <v>32.23</v>
      </c>
      <c r="D1841" s="1">
        <f>IFERROR(__xludf.DUMMYFUNCTION("""COMPUTED_VALUE"""),31.68)</f>
        <v>31.68</v>
      </c>
      <c r="E1841" s="1">
        <f>IFERROR(__xludf.DUMMYFUNCTION("""COMPUTED_VALUE"""),32.09)</f>
        <v>32.09</v>
      </c>
      <c r="F1841" s="1">
        <f>IFERROR(__xludf.DUMMYFUNCTION("""COMPUTED_VALUE"""),977466.0)</f>
        <v>977466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IFERROR(__xludf.DUMMYFUNCTION("""COMPUTED_VALUE"""),32.1)</f>
        <v>32.1</v>
      </c>
      <c r="C1842" s="1">
        <f>IFERROR(__xludf.DUMMYFUNCTION("""COMPUTED_VALUE"""),32.62)</f>
        <v>32.62</v>
      </c>
      <c r="D1842" s="1">
        <f>IFERROR(__xludf.DUMMYFUNCTION("""COMPUTED_VALUE"""),32.09)</f>
        <v>32.09</v>
      </c>
      <c r="E1842" s="1">
        <f>IFERROR(__xludf.DUMMYFUNCTION("""COMPUTED_VALUE"""),32.52)</f>
        <v>32.52</v>
      </c>
      <c r="F1842" s="1">
        <f>IFERROR(__xludf.DUMMYFUNCTION("""COMPUTED_VALUE"""),315204.0)</f>
        <v>315204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IFERROR(__xludf.DUMMYFUNCTION("""COMPUTED_VALUE"""),32.64)</f>
        <v>32.64</v>
      </c>
      <c r="C1843" s="1">
        <f>IFERROR(__xludf.DUMMYFUNCTION("""COMPUTED_VALUE"""),32.95)</f>
        <v>32.95</v>
      </c>
      <c r="D1843" s="1">
        <f>IFERROR(__xludf.DUMMYFUNCTION("""COMPUTED_VALUE"""),32.55)</f>
        <v>32.55</v>
      </c>
      <c r="E1843" s="1">
        <f>IFERROR(__xludf.DUMMYFUNCTION("""COMPUTED_VALUE"""),32.87)</f>
        <v>32.87</v>
      </c>
      <c r="F1843" s="1">
        <f>IFERROR(__xludf.DUMMYFUNCTION("""COMPUTED_VALUE"""),826642.0)</f>
        <v>826642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IFERROR(__xludf.DUMMYFUNCTION("""COMPUTED_VALUE"""),32.97)</f>
        <v>32.97</v>
      </c>
      <c r="C1844" s="1">
        <f>IFERROR(__xludf.DUMMYFUNCTION("""COMPUTED_VALUE"""),33.0)</f>
        <v>33</v>
      </c>
      <c r="D1844" s="1">
        <f>IFERROR(__xludf.DUMMYFUNCTION("""COMPUTED_VALUE"""),32.66)</f>
        <v>32.66</v>
      </c>
      <c r="E1844" s="1">
        <f>IFERROR(__xludf.DUMMYFUNCTION("""COMPUTED_VALUE"""),32.76)</f>
        <v>32.76</v>
      </c>
      <c r="F1844" s="1">
        <f>IFERROR(__xludf.DUMMYFUNCTION("""COMPUTED_VALUE"""),547345.0)</f>
        <v>547345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IFERROR(__xludf.DUMMYFUNCTION("""COMPUTED_VALUE"""),32.13)</f>
        <v>32.13</v>
      </c>
      <c r="C1845" s="1">
        <f>IFERROR(__xludf.DUMMYFUNCTION("""COMPUTED_VALUE"""),32.65)</f>
        <v>32.65</v>
      </c>
      <c r="D1845" s="1">
        <f>IFERROR(__xludf.DUMMYFUNCTION("""COMPUTED_VALUE"""),31.9)</f>
        <v>31.9</v>
      </c>
      <c r="E1845" s="1">
        <f>IFERROR(__xludf.DUMMYFUNCTION("""COMPUTED_VALUE"""),32.59)</f>
        <v>32.59</v>
      </c>
      <c r="F1845" s="1">
        <f>IFERROR(__xludf.DUMMYFUNCTION("""COMPUTED_VALUE"""),1199619.0)</f>
        <v>1199619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IFERROR(__xludf.DUMMYFUNCTION("""COMPUTED_VALUE"""),32.55)</f>
        <v>32.55</v>
      </c>
      <c r="C1846" s="1">
        <f>IFERROR(__xludf.DUMMYFUNCTION("""COMPUTED_VALUE"""),32.68)</f>
        <v>32.68</v>
      </c>
      <c r="D1846" s="1">
        <f>IFERROR(__xludf.DUMMYFUNCTION("""COMPUTED_VALUE"""),32.29)</f>
        <v>32.29</v>
      </c>
      <c r="E1846" s="1">
        <f>IFERROR(__xludf.DUMMYFUNCTION("""COMPUTED_VALUE"""),32.61)</f>
        <v>32.61</v>
      </c>
      <c r="F1846" s="1">
        <f>IFERROR(__xludf.DUMMYFUNCTION("""COMPUTED_VALUE"""),680821.0)</f>
        <v>680821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IFERROR(__xludf.DUMMYFUNCTION("""COMPUTED_VALUE"""),32.58)</f>
        <v>32.58</v>
      </c>
      <c r="C1847" s="1">
        <f>IFERROR(__xludf.DUMMYFUNCTION("""COMPUTED_VALUE"""),32.62)</f>
        <v>32.62</v>
      </c>
      <c r="D1847" s="1">
        <f>IFERROR(__xludf.DUMMYFUNCTION("""COMPUTED_VALUE"""),32.1)</f>
        <v>32.1</v>
      </c>
      <c r="E1847" s="1">
        <f>IFERROR(__xludf.DUMMYFUNCTION("""COMPUTED_VALUE"""),32.42)</f>
        <v>32.42</v>
      </c>
      <c r="F1847" s="1">
        <f>IFERROR(__xludf.DUMMYFUNCTION("""COMPUTED_VALUE"""),835576.0)</f>
        <v>835576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IFERROR(__xludf.DUMMYFUNCTION("""COMPUTED_VALUE"""),32.42)</f>
        <v>32.42</v>
      </c>
      <c r="C1848" s="1">
        <f>IFERROR(__xludf.DUMMYFUNCTION("""COMPUTED_VALUE"""),32.63)</f>
        <v>32.63</v>
      </c>
      <c r="D1848" s="1">
        <f>IFERROR(__xludf.DUMMYFUNCTION("""COMPUTED_VALUE"""),31.61)</f>
        <v>31.61</v>
      </c>
      <c r="E1848" s="1">
        <f>IFERROR(__xludf.DUMMYFUNCTION("""COMPUTED_VALUE"""),31.99)</f>
        <v>31.99</v>
      </c>
      <c r="F1848" s="1">
        <f>IFERROR(__xludf.DUMMYFUNCTION("""COMPUTED_VALUE"""),935067.0)</f>
        <v>935067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IFERROR(__xludf.DUMMYFUNCTION("""COMPUTED_VALUE"""),30.61)</f>
        <v>30.61</v>
      </c>
      <c r="C1849" s="1">
        <f>IFERROR(__xludf.DUMMYFUNCTION("""COMPUTED_VALUE"""),31.67)</f>
        <v>31.67</v>
      </c>
      <c r="D1849" s="1">
        <f>IFERROR(__xludf.DUMMYFUNCTION("""COMPUTED_VALUE"""),29.93)</f>
        <v>29.93</v>
      </c>
      <c r="E1849" s="1">
        <f>IFERROR(__xludf.DUMMYFUNCTION("""COMPUTED_VALUE"""),30.9)</f>
        <v>30.9</v>
      </c>
      <c r="F1849" s="1">
        <f>IFERROR(__xludf.DUMMYFUNCTION("""COMPUTED_VALUE"""),1686612.0)</f>
        <v>1686612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IFERROR(__xludf.DUMMYFUNCTION("""COMPUTED_VALUE"""),30.69)</f>
        <v>30.69</v>
      </c>
      <c r="C1850" s="1">
        <f>IFERROR(__xludf.DUMMYFUNCTION("""COMPUTED_VALUE"""),30.91)</f>
        <v>30.91</v>
      </c>
      <c r="D1850" s="1">
        <f>IFERROR(__xludf.DUMMYFUNCTION("""COMPUTED_VALUE"""),30.28)</f>
        <v>30.28</v>
      </c>
      <c r="E1850" s="1">
        <f>IFERROR(__xludf.DUMMYFUNCTION("""COMPUTED_VALUE"""),30.37)</f>
        <v>30.37</v>
      </c>
      <c r="F1850" s="1">
        <f>IFERROR(__xludf.DUMMYFUNCTION("""COMPUTED_VALUE"""),690822.0)</f>
        <v>690822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IFERROR(__xludf.DUMMYFUNCTION("""COMPUTED_VALUE"""),30.3)</f>
        <v>30.3</v>
      </c>
      <c r="C1851" s="1">
        <f>IFERROR(__xludf.DUMMYFUNCTION("""COMPUTED_VALUE"""),31.35)</f>
        <v>31.35</v>
      </c>
      <c r="D1851" s="1">
        <f>IFERROR(__xludf.DUMMYFUNCTION("""COMPUTED_VALUE"""),30.3)</f>
        <v>30.3</v>
      </c>
      <c r="E1851" s="1">
        <f>IFERROR(__xludf.DUMMYFUNCTION("""COMPUTED_VALUE"""),31.32)</f>
        <v>31.32</v>
      </c>
      <c r="F1851" s="1">
        <f>IFERROR(__xludf.DUMMYFUNCTION("""COMPUTED_VALUE"""),677110.0)</f>
        <v>677110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IFERROR(__xludf.DUMMYFUNCTION("""COMPUTED_VALUE"""),31.27)</f>
        <v>31.27</v>
      </c>
      <c r="C1852" s="1">
        <f>IFERROR(__xludf.DUMMYFUNCTION("""COMPUTED_VALUE"""),32.05)</f>
        <v>32.05</v>
      </c>
      <c r="D1852" s="1">
        <f>IFERROR(__xludf.DUMMYFUNCTION("""COMPUTED_VALUE"""),31.19)</f>
        <v>31.19</v>
      </c>
      <c r="E1852" s="1">
        <f>IFERROR(__xludf.DUMMYFUNCTION("""COMPUTED_VALUE"""),31.77)</f>
        <v>31.77</v>
      </c>
      <c r="F1852" s="1">
        <f>IFERROR(__xludf.DUMMYFUNCTION("""COMPUTED_VALUE"""),768933.0)</f>
        <v>768933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IFERROR(__xludf.DUMMYFUNCTION("""COMPUTED_VALUE"""),31.73)</f>
        <v>31.73</v>
      </c>
      <c r="C1853" s="1">
        <f>IFERROR(__xludf.DUMMYFUNCTION("""COMPUTED_VALUE"""),31.79)</f>
        <v>31.79</v>
      </c>
      <c r="D1853" s="1">
        <f>IFERROR(__xludf.DUMMYFUNCTION("""COMPUTED_VALUE"""),30.98)</f>
        <v>30.98</v>
      </c>
      <c r="E1853" s="1">
        <f>IFERROR(__xludf.DUMMYFUNCTION("""COMPUTED_VALUE"""),31.12)</f>
        <v>31.12</v>
      </c>
      <c r="F1853" s="1">
        <f>IFERROR(__xludf.DUMMYFUNCTION("""COMPUTED_VALUE"""),604233.0)</f>
        <v>604233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IFERROR(__xludf.DUMMYFUNCTION("""COMPUTED_VALUE"""),31.08)</f>
        <v>31.08</v>
      </c>
      <c r="C1854" s="1">
        <f>IFERROR(__xludf.DUMMYFUNCTION("""COMPUTED_VALUE"""),31.73)</f>
        <v>31.73</v>
      </c>
      <c r="D1854" s="1">
        <f>IFERROR(__xludf.DUMMYFUNCTION("""COMPUTED_VALUE"""),30.71)</f>
        <v>30.71</v>
      </c>
      <c r="E1854" s="1">
        <f>IFERROR(__xludf.DUMMYFUNCTION("""COMPUTED_VALUE"""),30.96)</f>
        <v>30.96</v>
      </c>
      <c r="F1854" s="1">
        <f>IFERROR(__xludf.DUMMYFUNCTION("""COMPUTED_VALUE"""),267652.0)</f>
        <v>267652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IFERROR(__xludf.DUMMYFUNCTION("""COMPUTED_VALUE"""),30.92)</f>
        <v>30.92</v>
      </c>
      <c r="C1855" s="1">
        <f>IFERROR(__xludf.DUMMYFUNCTION("""COMPUTED_VALUE"""),31.33)</f>
        <v>31.33</v>
      </c>
      <c r="D1855" s="1">
        <f>IFERROR(__xludf.DUMMYFUNCTION("""COMPUTED_VALUE"""),30.91)</f>
        <v>30.91</v>
      </c>
      <c r="E1855" s="1">
        <f>IFERROR(__xludf.DUMMYFUNCTION("""COMPUTED_VALUE"""),31.0)</f>
        <v>31</v>
      </c>
      <c r="F1855" s="1">
        <f>IFERROR(__xludf.DUMMYFUNCTION("""COMPUTED_VALUE"""),292289.0)</f>
        <v>292289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IFERROR(__xludf.DUMMYFUNCTION("""COMPUTED_VALUE"""),31.09)</f>
        <v>31.09</v>
      </c>
      <c r="C1856" s="1">
        <f>IFERROR(__xludf.DUMMYFUNCTION("""COMPUTED_VALUE"""),31.17)</f>
        <v>31.17</v>
      </c>
      <c r="D1856" s="1">
        <f>IFERROR(__xludf.DUMMYFUNCTION("""COMPUTED_VALUE"""),30.69)</f>
        <v>30.69</v>
      </c>
      <c r="E1856" s="1">
        <f>IFERROR(__xludf.DUMMYFUNCTION("""COMPUTED_VALUE"""),30.85)</f>
        <v>30.85</v>
      </c>
      <c r="F1856" s="1">
        <f>IFERROR(__xludf.DUMMYFUNCTION("""COMPUTED_VALUE"""),436769.0)</f>
        <v>436769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IFERROR(__xludf.DUMMYFUNCTION("""COMPUTED_VALUE"""),30.51)</f>
        <v>30.51</v>
      </c>
      <c r="C1857" s="1">
        <f>IFERROR(__xludf.DUMMYFUNCTION("""COMPUTED_VALUE"""),30.93)</f>
        <v>30.93</v>
      </c>
      <c r="D1857" s="1">
        <f>IFERROR(__xludf.DUMMYFUNCTION("""COMPUTED_VALUE"""),30.43)</f>
        <v>30.43</v>
      </c>
      <c r="E1857" s="1">
        <f>IFERROR(__xludf.DUMMYFUNCTION("""COMPUTED_VALUE"""),30.91)</f>
        <v>30.91</v>
      </c>
      <c r="F1857" s="1">
        <f>IFERROR(__xludf.DUMMYFUNCTION("""COMPUTED_VALUE"""),562410.0)</f>
        <v>562410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IFERROR(__xludf.DUMMYFUNCTION("""COMPUTED_VALUE"""),31.18)</f>
        <v>31.18</v>
      </c>
      <c r="C1858" s="1">
        <f>IFERROR(__xludf.DUMMYFUNCTION("""COMPUTED_VALUE"""),32.39)</f>
        <v>32.39</v>
      </c>
      <c r="D1858" s="1">
        <f>IFERROR(__xludf.DUMMYFUNCTION("""COMPUTED_VALUE"""),31.0)</f>
        <v>31</v>
      </c>
      <c r="E1858" s="1">
        <f>IFERROR(__xludf.DUMMYFUNCTION("""COMPUTED_VALUE"""),31.75)</f>
        <v>31.75</v>
      </c>
      <c r="F1858" s="1">
        <f>IFERROR(__xludf.DUMMYFUNCTION("""COMPUTED_VALUE"""),1065952.0)</f>
        <v>1065952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IFERROR(__xludf.DUMMYFUNCTION("""COMPUTED_VALUE"""),31.64)</f>
        <v>31.64</v>
      </c>
      <c r="C1859" s="1">
        <f>IFERROR(__xludf.DUMMYFUNCTION("""COMPUTED_VALUE"""),31.67)</f>
        <v>31.67</v>
      </c>
      <c r="D1859" s="1">
        <f>IFERROR(__xludf.DUMMYFUNCTION("""COMPUTED_VALUE"""),30.93)</f>
        <v>30.93</v>
      </c>
      <c r="E1859" s="1">
        <f>IFERROR(__xludf.DUMMYFUNCTION("""COMPUTED_VALUE"""),31.24)</f>
        <v>31.24</v>
      </c>
      <c r="F1859" s="1">
        <f>IFERROR(__xludf.DUMMYFUNCTION("""COMPUTED_VALUE"""),1474348.0)</f>
        <v>1474348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IFERROR(__xludf.DUMMYFUNCTION("""COMPUTED_VALUE"""),31.06)</f>
        <v>31.06</v>
      </c>
      <c r="C1860" s="1">
        <f>IFERROR(__xludf.DUMMYFUNCTION("""COMPUTED_VALUE"""),31.1)</f>
        <v>31.1</v>
      </c>
      <c r="D1860" s="1">
        <f>IFERROR(__xludf.DUMMYFUNCTION("""COMPUTED_VALUE"""),30.31)</f>
        <v>30.31</v>
      </c>
      <c r="E1860" s="1">
        <f>IFERROR(__xludf.DUMMYFUNCTION("""COMPUTED_VALUE"""),30.75)</f>
        <v>30.75</v>
      </c>
      <c r="F1860" s="1">
        <f>IFERROR(__xludf.DUMMYFUNCTION("""COMPUTED_VALUE"""),1194569.0)</f>
        <v>1194569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IFERROR(__xludf.DUMMYFUNCTION("""COMPUTED_VALUE"""),30.96)</f>
        <v>30.96</v>
      </c>
      <c r="C1861" s="1">
        <f>IFERROR(__xludf.DUMMYFUNCTION("""COMPUTED_VALUE"""),31.44)</f>
        <v>31.44</v>
      </c>
      <c r="D1861" s="1">
        <f>IFERROR(__xludf.DUMMYFUNCTION("""COMPUTED_VALUE"""),30.96)</f>
        <v>30.96</v>
      </c>
      <c r="E1861" s="1">
        <f>IFERROR(__xludf.DUMMYFUNCTION("""COMPUTED_VALUE"""),31.39)</f>
        <v>31.39</v>
      </c>
      <c r="F1861" s="1">
        <f>IFERROR(__xludf.DUMMYFUNCTION("""COMPUTED_VALUE"""),309962.0)</f>
        <v>309962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IFERROR(__xludf.DUMMYFUNCTION("""COMPUTED_VALUE"""),31.53)</f>
        <v>31.53</v>
      </c>
      <c r="C1862" s="1">
        <f>IFERROR(__xludf.DUMMYFUNCTION("""COMPUTED_VALUE"""),31.73)</f>
        <v>31.73</v>
      </c>
      <c r="D1862" s="1">
        <f>IFERROR(__xludf.DUMMYFUNCTION("""COMPUTED_VALUE"""),31.35)</f>
        <v>31.35</v>
      </c>
      <c r="E1862" s="1">
        <f>IFERROR(__xludf.DUMMYFUNCTION("""COMPUTED_VALUE"""),31.59)</f>
        <v>31.59</v>
      </c>
      <c r="F1862" s="1">
        <f>IFERROR(__xludf.DUMMYFUNCTION("""COMPUTED_VALUE"""),533590.0)</f>
        <v>533590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IFERROR(__xludf.DUMMYFUNCTION("""COMPUTED_VALUE"""),31.53)</f>
        <v>31.53</v>
      </c>
      <c r="C1863" s="1">
        <f>IFERROR(__xludf.DUMMYFUNCTION("""COMPUTED_VALUE"""),31.76)</f>
        <v>31.76</v>
      </c>
      <c r="D1863" s="1">
        <f>IFERROR(__xludf.DUMMYFUNCTION("""COMPUTED_VALUE"""),31.28)</f>
        <v>31.28</v>
      </c>
      <c r="E1863" s="1">
        <f>IFERROR(__xludf.DUMMYFUNCTION("""COMPUTED_VALUE"""),31.5)</f>
        <v>31.5</v>
      </c>
      <c r="F1863" s="1">
        <f>IFERROR(__xludf.DUMMYFUNCTION("""COMPUTED_VALUE"""),348149.0)</f>
        <v>348149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IFERROR(__xludf.DUMMYFUNCTION("""COMPUTED_VALUE"""),31.51)</f>
        <v>31.51</v>
      </c>
      <c r="C1864" s="1">
        <f>IFERROR(__xludf.DUMMYFUNCTION("""COMPUTED_VALUE"""),31.56)</f>
        <v>31.56</v>
      </c>
      <c r="D1864" s="1">
        <f>IFERROR(__xludf.DUMMYFUNCTION("""COMPUTED_VALUE"""),31.15)</f>
        <v>31.15</v>
      </c>
      <c r="E1864" s="1">
        <f>IFERROR(__xludf.DUMMYFUNCTION("""COMPUTED_VALUE"""),31.17)</f>
        <v>31.17</v>
      </c>
      <c r="F1864" s="1">
        <f>IFERROR(__xludf.DUMMYFUNCTION("""COMPUTED_VALUE"""),411040.0)</f>
        <v>411040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IFERROR(__xludf.DUMMYFUNCTION("""COMPUTED_VALUE"""),31.25)</f>
        <v>31.25</v>
      </c>
      <c r="C1865" s="1">
        <f>IFERROR(__xludf.DUMMYFUNCTION("""COMPUTED_VALUE"""),31.59)</f>
        <v>31.59</v>
      </c>
      <c r="D1865" s="1">
        <f>IFERROR(__xludf.DUMMYFUNCTION("""COMPUTED_VALUE"""),31.24)</f>
        <v>31.24</v>
      </c>
      <c r="E1865" s="1">
        <f>IFERROR(__xludf.DUMMYFUNCTION("""COMPUTED_VALUE"""),31.38)</f>
        <v>31.38</v>
      </c>
      <c r="F1865" s="1">
        <f>IFERROR(__xludf.DUMMYFUNCTION("""COMPUTED_VALUE"""),211634.0)</f>
        <v>211634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IFERROR(__xludf.DUMMYFUNCTION("""COMPUTED_VALUE"""),31.22)</f>
        <v>31.22</v>
      </c>
      <c r="C1866" s="1">
        <f>IFERROR(__xludf.DUMMYFUNCTION("""COMPUTED_VALUE"""),31.45)</f>
        <v>31.45</v>
      </c>
      <c r="D1866" s="1">
        <f>IFERROR(__xludf.DUMMYFUNCTION("""COMPUTED_VALUE"""),30.6)</f>
        <v>30.6</v>
      </c>
      <c r="E1866" s="1">
        <f>IFERROR(__xludf.DUMMYFUNCTION("""COMPUTED_VALUE"""),31.04)</f>
        <v>31.04</v>
      </c>
      <c r="F1866" s="1">
        <f>IFERROR(__xludf.DUMMYFUNCTION("""COMPUTED_VALUE"""),575971.0)</f>
        <v>575971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IFERROR(__xludf.DUMMYFUNCTION("""COMPUTED_VALUE"""),31.1)</f>
        <v>31.1</v>
      </c>
      <c r="C1867" s="1">
        <f>IFERROR(__xludf.DUMMYFUNCTION("""COMPUTED_VALUE"""),31.37)</f>
        <v>31.37</v>
      </c>
      <c r="D1867" s="1">
        <f>IFERROR(__xludf.DUMMYFUNCTION("""COMPUTED_VALUE"""),30.84)</f>
        <v>30.84</v>
      </c>
      <c r="E1867" s="1">
        <f>IFERROR(__xludf.DUMMYFUNCTION("""COMPUTED_VALUE"""),31.34)</f>
        <v>31.34</v>
      </c>
      <c r="F1867" s="1">
        <f>IFERROR(__xludf.DUMMYFUNCTION("""COMPUTED_VALUE"""),422703.0)</f>
        <v>422703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IFERROR(__xludf.DUMMYFUNCTION("""COMPUTED_VALUE"""),31.47)</f>
        <v>31.47</v>
      </c>
      <c r="C1868" s="1">
        <f>IFERROR(__xludf.DUMMYFUNCTION("""COMPUTED_VALUE"""),31.68)</f>
        <v>31.68</v>
      </c>
      <c r="D1868" s="1">
        <f>IFERROR(__xludf.DUMMYFUNCTION("""COMPUTED_VALUE"""),31.29)</f>
        <v>31.29</v>
      </c>
      <c r="E1868" s="1">
        <f>IFERROR(__xludf.DUMMYFUNCTION("""COMPUTED_VALUE"""),31.58)</f>
        <v>31.58</v>
      </c>
      <c r="F1868" s="1">
        <f>IFERROR(__xludf.DUMMYFUNCTION("""COMPUTED_VALUE"""),464776.0)</f>
        <v>464776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IFERROR(__xludf.DUMMYFUNCTION("""COMPUTED_VALUE"""),31.43)</f>
        <v>31.43</v>
      </c>
      <c r="C1869" s="1">
        <f>IFERROR(__xludf.DUMMYFUNCTION("""COMPUTED_VALUE"""),31.75)</f>
        <v>31.75</v>
      </c>
      <c r="D1869" s="1">
        <f>IFERROR(__xludf.DUMMYFUNCTION("""COMPUTED_VALUE"""),31.43)</f>
        <v>31.43</v>
      </c>
      <c r="E1869" s="1">
        <f>IFERROR(__xludf.DUMMYFUNCTION("""COMPUTED_VALUE"""),31.59)</f>
        <v>31.59</v>
      </c>
      <c r="F1869" s="1">
        <f>IFERROR(__xludf.DUMMYFUNCTION("""COMPUTED_VALUE"""),376474.0)</f>
        <v>376474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IFERROR(__xludf.DUMMYFUNCTION("""COMPUTED_VALUE"""),31.45)</f>
        <v>31.45</v>
      </c>
      <c r="C1870" s="1">
        <f>IFERROR(__xludf.DUMMYFUNCTION("""COMPUTED_VALUE"""),31.64)</f>
        <v>31.64</v>
      </c>
      <c r="D1870" s="1">
        <f>IFERROR(__xludf.DUMMYFUNCTION("""COMPUTED_VALUE"""),31.22)</f>
        <v>31.22</v>
      </c>
      <c r="E1870" s="1">
        <f>IFERROR(__xludf.DUMMYFUNCTION("""COMPUTED_VALUE"""),31.6)</f>
        <v>31.6</v>
      </c>
      <c r="F1870" s="1">
        <f>IFERROR(__xludf.DUMMYFUNCTION("""COMPUTED_VALUE"""),330354.0)</f>
        <v>330354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IFERROR(__xludf.DUMMYFUNCTION("""COMPUTED_VALUE"""),31.67)</f>
        <v>31.67</v>
      </c>
      <c r="C1871" s="1">
        <f>IFERROR(__xludf.DUMMYFUNCTION("""COMPUTED_VALUE"""),31.67)</f>
        <v>31.67</v>
      </c>
      <c r="D1871" s="1">
        <f>IFERROR(__xludf.DUMMYFUNCTION("""COMPUTED_VALUE"""),30.65)</f>
        <v>30.65</v>
      </c>
      <c r="E1871" s="1">
        <f>IFERROR(__xludf.DUMMYFUNCTION("""COMPUTED_VALUE"""),30.71)</f>
        <v>30.71</v>
      </c>
      <c r="F1871" s="1">
        <f>IFERROR(__xludf.DUMMYFUNCTION("""COMPUTED_VALUE"""),634925.0)</f>
        <v>634925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IFERROR(__xludf.DUMMYFUNCTION("""COMPUTED_VALUE"""),30.79)</f>
        <v>30.79</v>
      </c>
      <c r="C1872" s="1">
        <f>IFERROR(__xludf.DUMMYFUNCTION("""COMPUTED_VALUE"""),30.98)</f>
        <v>30.98</v>
      </c>
      <c r="D1872" s="1">
        <f>IFERROR(__xludf.DUMMYFUNCTION("""COMPUTED_VALUE"""),30.63)</f>
        <v>30.63</v>
      </c>
      <c r="E1872" s="1">
        <f>IFERROR(__xludf.DUMMYFUNCTION("""COMPUTED_VALUE"""),30.93)</f>
        <v>30.93</v>
      </c>
      <c r="F1872" s="1">
        <f>IFERROR(__xludf.DUMMYFUNCTION("""COMPUTED_VALUE"""),342449.0)</f>
        <v>342449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IFERROR(__xludf.DUMMYFUNCTION("""COMPUTED_VALUE"""),31.05)</f>
        <v>31.05</v>
      </c>
      <c r="C1873" s="1">
        <f>IFERROR(__xludf.DUMMYFUNCTION("""COMPUTED_VALUE"""),31.45)</f>
        <v>31.45</v>
      </c>
      <c r="D1873" s="1">
        <f>IFERROR(__xludf.DUMMYFUNCTION("""COMPUTED_VALUE"""),30.84)</f>
        <v>30.84</v>
      </c>
      <c r="E1873" s="1">
        <f>IFERROR(__xludf.DUMMYFUNCTION("""COMPUTED_VALUE"""),31.34)</f>
        <v>31.34</v>
      </c>
      <c r="F1873" s="1">
        <f>IFERROR(__xludf.DUMMYFUNCTION("""COMPUTED_VALUE"""),246703.0)</f>
        <v>246703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IFERROR(__xludf.DUMMYFUNCTION("""COMPUTED_VALUE"""),31.39)</f>
        <v>31.39</v>
      </c>
      <c r="C1874" s="1">
        <f>IFERROR(__xludf.DUMMYFUNCTION("""COMPUTED_VALUE"""),32.41)</f>
        <v>32.41</v>
      </c>
      <c r="D1874" s="1">
        <f>IFERROR(__xludf.DUMMYFUNCTION("""COMPUTED_VALUE"""),31.39)</f>
        <v>31.39</v>
      </c>
      <c r="E1874" s="1">
        <f>IFERROR(__xludf.DUMMYFUNCTION("""COMPUTED_VALUE"""),32.39)</f>
        <v>32.39</v>
      </c>
      <c r="F1874" s="1">
        <f>IFERROR(__xludf.DUMMYFUNCTION("""COMPUTED_VALUE"""),317058.0)</f>
        <v>317058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IFERROR(__xludf.DUMMYFUNCTION("""COMPUTED_VALUE"""),32.5)</f>
        <v>32.5</v>
      </c>
      <c r="C1875" s="1">
        <f>IFERROR(__xludf.DUMMYFUNCTION("""COMPUTED_VALUE"""),32.62)</f>
        <v>32.62</v>
      </c>
      <c r="D1875" s="1">
        <f>IFERROR(__xludf.DUMMYFUNCTION("""COMPUTED_VALUE"""),31.86)</f>
        <v>31.86</v>
      </c>
      <c r="E1875" s="1">
        <f>IFERROR(__xludf.DUMMYFUNCTION("""COMPUTED_VALUE"""),31.97)</f>
        <v>31.97</v>
      </c>
      <c r="F1875" s="1">
        <f>IFERROR(__xludf.DUMMYFUNCTION("""COMPUTED_VALUE"""),366825.0)</f>
        <v>366825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IFERROR(__xludf.DUMMYFUNCTION("""COMPUTED_VALUE"""),31.75)</f>
        <v>31.75</v>
      </c>
      <c r="C1876" s="1">
        <f>IFERROR(__xludf.DUMMYFUNCTION("""COMPUTED_VALUE"""),32.07)</f>
        <v>32.07</v>
      </c>
      <c r="D1876" s="1">
        <f>IFERROR(__xludf.DUMMYFUNCTION("""COMPUTED_VALUE"""),31.47)</f>
        <v>31.47</v>
      </c>
      <c r="E1876" s="1">
        <f>IFERROR(__xludf.DUMMYFUNCTION("""COMPUTED_VALUE"""),31.71)</f>
        <v>31.71</v>
      </c>
      <c r="F1876" s="1">
        <f>IFERROR(__xludf.DUMMYFUNCTION("""COMPUTED_VALUE"""),368139.0)</f>
        <v>368139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IFERROR(__xludf.DUMMYFUNCTION("""COMPUTED_VALUE"""),31.41)</f>
        <v>31.41</v>
      </c>
      <c r="C1877" s="1">
        <f>IFERROR(__xludf.DUMMYFUNCTION("""COMPUTED_VALUE"""),31.45)</f>
        <v>31.45</v>
      </c>
      <c r="D1877" s="1">
        <f>IFERROR(__xludf.DUMMYFUNCTION("""COMPUTED_VALUE"""),30.17)</f>
        <v>30.17</v>
      </c>
      <c r="E1877" s="1">
        <f>IFERROR(__xludf.DUMMYFUNCTION("""COMPUTED_VALUE"""),30.51)</f>
        <v>30.51</v>
      </c>
      <c r="F1877" s="1">
        <f>IFERROR(__xludf.DUMMYFUNCTION("""COMPUTED_VALUE"""),925038.0)</f>
        <v>925038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IFERROR(__xludf.DUMMYFUNCTION("""COMPUTED_VALUE"""),30.56)</f>
        <v>30.56</v>
      </c>
      <c r="C1878" s="1">
        <f>IFERROR(__xludf.DUMMYFUNCTION("""COMPUTED_VALUE"""),30.56)</f>
        <v>30.56</v>
      </c>
      <c r="D1878" s="1">
        <f>IFERROR(__xludf.DUMMYFUNCTION("""COMPUTED_VALUE"""),29.48)</f>
        <v>29.48</v>
      </c>
      <c r="E1878" s="1">
        <f>IFERROR(__xludf.DUMMYFUNCTION("""COMPUTED_VALUE"""),29.66)</f>
        <v>29.66</v>
      </c>
      <c r="F1878" s="1">
        <f>IFERROR(__xludf.DUMMYFUNCTION("""COMPUTED_VALUE"""),1192679.0)</f>
        <v>1192679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IFERROR(__xludf.DUMMYFUNCTION("""COMPUTED_VALUE"""),29.66)</f>
        <v>29.66</v>
      </c>
      <c r="C1879" s="1">
        <f>IFERROR(__xludf.DUMMYFUNCTION("""COMPUTED_VALUE"""),29.76)</f>
        <v>29.76</v>
      </c>
      <c r="D1879" s="1">
        <f>IFERROR(__xludf.DUMMYFUNCTION("""COMPUTED_VALUE"""),29.41)</f>
        <v>29.41</v>
      </c>
      <c r="E1879" s="1">
        <f>IFERROR(__xludf.DUMMYFUNCTION("""COMPUTED_VALUE"""),29.65)</f>
        <v>29.65</v>
      </c>
      <c r="F1879" s="1">
        <f>IFERROR(__xludf.DUMMYFUNCTION("""COMPUTED_VALUE"""),1226929.0)</f>
        <v>1226929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IFERROR(__xludf.DUMMYFUNCTION("""COMPUTED_VALUE"""),29.51)</f>
        <v>29.51</v>
      </c>
      <c r="C1880" s="1">
        <f>IFERROR(__xludf.DUMMYFUNCTION("""COMPUTED_VALUE"""),29.66)</f>
        <v>29.66</v>
      </c>
      <c r="D1880" s="1">
        <f>IFERROR(__xludf.DUMMYFUNCTION("""COMPUTED_VALUE"""),28.73)</f>
        <v>28.73</v>
      </c>
      <c r="E1880" s="1">
        <f>IFERROR(__xludf.DUMMYFUNCTION("""COMPUTED_VALUE"""),28.85)</f>
        <v>28.85</v>
      </c>
      <c r="F1880" s="1">
        <f>IFERROR(__xludf.DUMMYFUNCTION("""COMPUTED_VALUE"""),1576517.0)</f>
        <v>1576517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IFERROR(__xludf.DUMMYFUNCTION("""COMPUTED_VALUE"""),28.93)</f>
        <v>28.93</v>
      </c>
      <c r="C1881" s="1">
        <f>IFERROR(__xludf.DUMMYFUNCTION("""COMPUTED_VALUE"""),29.02)</f>
        <v>29.02</v>
      </c>
      <c r="D1881" s="1">
        <f>IFERROR(__xludf.DUMMYFUNCTION("""COMPUTED_VALUE"""),28.54)</f>
        <v>28.54</v>
      </c>
      <c r="E1881" s="1">
        <f>IFERROR(__xludf.DUMMYFUNCTION("""COMPUTED_VALUE"""),28.58)</f>
        <v>28.58</v>
      </c>
      <c r="F1881" s="1">
        <f>IFERROR(__xludf.DUMMYFUNCTION("""COMPUTED_VALUE"""),654394.0)</f>
        <v>654394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IFERROR(__xludf.DUMMYFUNCTION("""COMPUTED_VALUE"""),28.53)</f>
        <v>28.53</v>
      </c>
      <c r="C1882" s="1">
        <f>IFERROR(__xludf.DUMMYFUNCTION("""COMPUTED_VALUE"""),28.56)</f>
        <v>28.56</v>
      </c>
      <c r="D1882" s="1">
        <f>IFERROR(__xludf.DUMMYFUNCTION("""COMPUTED_VALUE"""),27.65)</f>
        <v>27.65</v>
      </c>
      <c r="E1882" s="1">
        <f>IFERROR(__xludf.DUMMYFUNCTION("""COMPUTED_VALUE"""),27.82)</f>
        <v>27.82</v>
      </c>
      <c r="F1882" s="1">
        <f>IFERROR(__xludf.DUMMYFUNCTION("""COMPUTED_VALUE"""),1713249.0)</f>
        <v>1713249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IFERROR(__xludf.DUMMYFUNCTION("""COMPUTED_VALUE"""),28.02)</f>
        <v>28.02</v>
      </c>
      <c r="C1883" s="1">
        <f>IFERROR(__xludf.DUMMYFUNCTION("""COMPUTED_VALUE"""),29.07)</f>
        <v>29.07</v>
      </c>
      <c r="D1883" s="1">
        <f>IFERROR(__xludf.DUMMYFUNCTION("""COMPUTED_VALUE"""),27.82)</f>
        <v>27.82</v>
      </c>
      <c r="E1883" s="1">
        <f>IFERROR(__xludf.DUMMYFUNCTION("""COMPUTED_VALUE"""),28.83)</f>
        <v>28.83</v>
      </c>
      <c r="F1883" s="1">
        <f>IFERROR(__xludf.DUMMYFUNCTION("""COMPUTED_VALUE"""),1071873.0)</f>
        <v>1071873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IFERROR(__xludf.DUMMYFUNCTION("""COMPUTED_VALUE"""),28.91)</f>
        <v>28.91</v>
      </c>
      <c r="C1884" s="1">
        <f>IFERROR(__xludf.DUMMYFUNCTION("""COMPUTED_VALUE"""),29.09)</f>
        <v>29.09</v>
      </c>
      <c r="D1884" s="1">
        <f>IFERROR(__xludf.DUMMYFUNCTION("""COMPUTED_VALUE"""),28.67)</f>
        <v>28.67</v>
      </c>
      <c r="E1884" s="1">
        <f>IFERROR(__xludf.DUMMYFUNCTION("""COMPUTED_VALUE"""),28.83)</f>
        <v>28.83</v>
      </c>
      <c r="F1884" s="1">
        <f>IFERROR(__xludf.DUMMYFUNCTION("""COMPUTED_VALUE"""),565734.0)</f>
        <v>565734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IFERROR(__xludf.DUMMYFUNCTION("""COMPUTED_VALUE"""),28.7)</f>
        <v>28.7</v>
      </c>
      <c r="C1885" s="1">
        <f>IFERROR(__xludf.DUMMYFUNCTION("""COMPUTED_VALUE"""),29.14)</f>
        <v>29.14</v>
      </c>
      <c r="D1885" s="1">
        <f>IFERROR(__xludf.DUMMYFUNCTION("""COMPUTED_VALUE"""),28.58)</f>
        <v>28.58</v>
      </c>
      <c r="E1885" s="1">
        <f>IFERROR(__xludf.DUMMYFUNCTION("""COMPUTED_VALUE"""),28.89)</f>
        <v>28.89</v>
      </c>
      <c r="F1885" s="1">
        <f>IFERROR(__xludf.DUMMYFUNCTION("""COMPUTED_VALUE"""),523050.0)</f>
        <v>523050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IFERROR(__xludf.DUMMYFUNCTION("""COMPUTED_VALUE"""),29.05)</f>
        <v>29.05</v>
      </c>
      <c r="C1886" s="1">
        <f>IFERROR(__xludf.DUMMYFUNCTION("""COMPUTED_VALUE"""),29.27)</f>
        <v>29.27</v>
      </c>
      <c r="D1886" s="1">
        <f>IFERROR(__xludf.DUMMYFUNCTION("""COMPUTED_VALUE"""),28.6)</f>
        <v>28.6</v>
      </c>
      <c r="E1886" s="1">
        <f>IFERROR(__xludf.DUMMYFUNCTION("""COMPUTED_VALUE"""),28.72)</f>
        <v>28.72</v>
      </c>
      <c r="F1886" s="1">
        <f>IFERROR(__xludf.DUMMYFUNCTION("""COMPUTED_VALUE"""),904873.0)</f>
        <v>904873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IFERROR(__xludf.DUMMYFUNCTION("""COMPUTED_VALUE"""),28.82)</f>
        <v>28.82</v>
      </c>
      <c r="C1887" s="1">
        <f>IFERROR(__xludf.DUMMYFUNCTION("""COMPUTED_VALUE"""),29.22)</f>
        <v>29.22</v>
      </c>
      <c r="D1887" s="1">
        <f>IFERROR(__xludf.DUMMYFUNCTION("""COMPUTED_VALUE"""),28.58)</f>
        <v>28.58</v>
      </c>
      <c r="E1887" s="1">
        <f>IFERROR(__xludf.DUMMYFUNCTION("""COMPUTED_VALUE"""),29.0)</f>
        <v>29</v>
      </c>
      <c r="F1887" s="1">
        <f>IFERROR(__xludf.DUMMYFUNCTION("""COMPUTED_VALUE"""),906489.0)</f>
        <v>906489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IFERROR(__xludf.DUMMYFUNCTION("""COMPUTED_VALUE"""),29.06)</f>
        <v>29.06</v>
      </c>
      <c r="C1888" s="1">
        <f>IFERROR(__xludf.DUMMYFUNCTION("""COMPUTED_VALUE"""),29.26)</f>
        <v>29.26</v>
      </c>
      <c r="D1888" s="1">
        <f>IFERROR(__xludf.DUMMYFUNCTION("""COMPUTED_VALUE"""),28.62)</f>
        <v>28.62</v>
      </c>
      <c r="E1888" s="1">
        <f>IFERROR(__xludf.DUMMYFUNCTION("""COMPUTED_VALUE"""),28.74)</f>
        <v>28.74</v>
      </c>
      <c r="F1888" s="1">
        <f>IFERROR(__xludf.DUMMYFUNCTION("""COMPUTED_VALUE"""),815701.0)</f>
        <v>815701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IFERROR(__xludf.DUMMYFUNCTION("""COMPUTED_VALUE"""),28.92)</f>
        <v>28.92</v>
      </c>
      <c r="C1889" s="1">
        <f>IFERROR(__xludf.DUMMYFUNCTION("""COMPUTED_VALUE"""),29.59)</f>
        <v>29.59</v>
      </c>
      <c r="D1889" s="1">
        <f>IFERROR(__xludf.DUMMYFUNCTION("""COMPUTED_VALUE"""),28.74)</f>
        <v>28.74</v>
      </c>
      <c r="E1889" s="1">
        <f>IFERROR(__xludf.DUMMYFUNCTION("""COMPUTED_VALUE"""),29.18)</f>
        <v>29.18</v>
      </c>
      <c r="F1889" s="1">
        <f>IFERROR(__xludf.DUMMYFUNCTION("""COMPUTED_VALUE"""),427635.0)</f>
        <v>427635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IFERROR(__xludf.DUMMYFUNCTION("""COMPUTED_VALUE"""),29.4)</f>
        <v>29.4</v>
      </c>
      <c r="C1890" s="1">
        <f>IFERROR(__xludf.DUMMYFUNCTION("""COMPUTED_VALUE"""),29.69)</f>
        <v>29.69</v>
      </c>
      <c r="D1890" s="1">
        <f>IFERROR(__xludf.DUMMYFUNCTION("""COMPUTED_VALUE"""),29.1)</f>
        <v>29.1</v>
      </c>
      <c r="E1890" s="1">
        <f>IFERROR(__xludf.DUMMYFUNCTION("""COMPUTED_VALUE"""),29.26)</f>
        <v>29.26</v>
      </c>
      <c r="F1890" s="1">
        <f>IFERROR(__xludf.DUMMYFUNCTION("""COMPUTED_VALUE"""),530140.0)</f>
        <v>530140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IFERROR(__xludf.DUMMYFUNCTION("""COMPUTED_VALUE"""),29.12)</f>
        <v>29.12</v>
      </c>
      <c r="C1891" s="1">
        <f>IFERROR(__xludf.DUMMYFUNCTION("""COMPUTED_VALUE"""),29.37)</f>
        <v>29.37</v>
      </c>
      <c r="D1891" s="1">
        <f>IFERROR(__xludf.DUMMYFUNCTION("""COMPUTED_VALUE"""),28.91)</f>
        <v>28.91</v>
      </c>
      <c r="E1891" s="1">
        <f>IFERROR(__xludf.DUMMYFUNCTION("""COMPUTED_VALUE"""),29.02)</f>
        <v>29.02</v>
      </c>
      <c r="F1891" s="1">
        <f>IFERROR(__xludf.DUMMYFUNCTION("""COMPUTED_VALUE"""),370854.0)</f>
        <v>370854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IFERROR(__xludf.DUMMYFUNCTION("""COMPUTED_VALUE"""),29.04)</f>
        <v>29.04</v>
      </c>
      <c r="C1892" s="1">
        <f>IFERROR(__xludf.DUMMYFUNCTION("""COMPUTED_VALUE"""),29.15)</f>
        <v>29.15</v>
      </c>
      <c r="D1892" s="1">
        <f>IFERROR(__xludf.DUMMYFUNCTION("""COMPUTED_VALUE"""),28.46)</f>
        <v>28.46</v>
      </c>
      <c r="E1892" s="1">
        <f>IFERROR(__xludf.DUMMYFUNCTION("""COMPUTED_VALUE"""),29.06)</f>
        <v>29.06</v>
      </c>
      <c r="F1892" s="1">
        <f>IFERROR(__xludf.DUMMYFUNCTION("""COMPUTED_VALUE"""),551977.0)</f>
        <v>551977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IFERROR(__xludf.DUMMYFUNCTION("""COMPUTED_VALUE"""),27.63)</f>
        <v>27.63</v>
      </c>
      <c r="C1893" s="1">
        <f>IFERROR(__xludf.DUMMYFUNCTION("""COMPUTED_VALUE"""),28.32)</f>
        <v>28.32</v>
      </c>
      <c r="D1893" s="1">
        <f>IFERROR(__xludf.DUMMYFUNCTION("""COMPUTED_VALUE"""),26.78)</f>
        <v>26.78</v>
      </c>
      <c r="E1893" s="1">
        <f>IFERROR(__xludf.DUMMYFUNCTION("""COMPUTED_VALUE"""),26.97)</f>
        <v>26.97</v>
      </c>
      <c r="F1893" s="1">
        <f>IFERROR(__xludf.DUMMYFUNCTION("""COMPUTED_VALUE"""),1839196.0)</f>
        <v>1839196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IFERROR(__xludf.DUMMYFUNCTION("""COMPUTED_VALUE"""),26.93)</f>
        <v>26.93</v>
      </c>
      <c r="C1894" s="1">
        <f>IFERROR(__xludf.DUMMYFUNCTION("""COMPUTED_VALUE"""),27.65)</f>
        <v>27.65</v>
      </c>
      <c r="D1894" s="1">
        <f>IFERROR(__xludf.DUMMYFUNCTION("""COMPUTED_VALUE"""),26.68)</f>
        <v>26.68</v>
      </c>
      <c r="E1894" s="1">
        <f>IFERROR(__xludf.DUMMYFUNCTION("""COMPUTED_VALUE"""),27.48)</f>
        <v>27.48</v>
      </c>
      <c r="F1894" s="1">
        <f>IFERROR(__xludf.DUMMYFUNCTION("""COMPUTED_VALUE"""),994522.0)</f>
        <v>994522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IFERROR(__xludf.DUMMYFUNCTION("""COMPUTED_VALUE"""),27.68)</f>
        <v>27.68</v>
      </c>
      <c r="C1895" s="1">
        <f>IFERROR(__xludf.DUMMYFUNCTION("""COMPUTED_VALUE"""),27.87)</f>
        <v>27.87</v>
      </c>
      <c r="D1895" s="1">
        <f>IFERROR(__xludf.DUMMYFUNCTION("""COMPUTED_VALUE"""),27.27)</f>
        <v>27.27</v>
      </c>
      <c r="E1895" s="1">
        <f>IFERROR(__xludf.DUMMYFUNCTION("""COMPUTED_VALUE"""),27.38)</f>
        <v>27.38</v>
      </c>
      <c r="F1895" s="1">
        <f>IFERROR(__xludf.DUMMYFUNCTION("""COMPUTED_VALUE"""),902954.0)</f>
        <v>902954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IFERROR(__xludf.DUMMYFUNCTION("""COMPUTED_VALUE"""),27.27)</f>
        <v>27.27</v>
      </c>
      <c r="C1896" s="1">
        <f>IFERROR(__xludf.DUMMYFUNCTION("""COMPUTED_VALUE"""),27.49)</f>
        <v>27.49</v>
      </c>
      <c r="D1896" s="1">
        <f>IFERROR(__xludf.DUMMYFUNCTION("""COMPUTED_VALUE"""),26.88)</f>
        <v>26.88</v>
      </c>
      <c r="E1896" s="1">
        <f>IFERROR(__xludf.DUMMYFUNCTION("""COMPUTED_VALUE"""),27.35)</f>
        <v>27.35</v>
      </c>
      <c r="F1896" s="1">
        <f>IFERROR(__xludf.DUMMYFUNCTION("""COMPUTED_VALUE"""),704457.0)</f>
        <v>704457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IFERROR(__xludf.DUMMYFUNCTION("""COMPUTED_VALUE"""),27.41)</f>
        <v>27.41</v>
      </c>
      <c r="C1897" s="1">
        <f>IFERROR(__xludf.DUMMYFUNCTION("""COMPUTED_VALUE"""),27.85)</f>
        <v>27.85</v>
      </c>
      <c r="D1897" s="1">
        <f>IFERROR(__xludf.DUMMYFUNCTION("""COMPUTED_VALUE"""),27.34)</f>
        <v>27.34</v>
      </c>
      <c r="E1897" s="1">
        <f>IFERROR(__xludf.DUMMYFUNCTION("""COMPUTED_VALUE"""),27.79)</f>
        <v>27.79</v>
      </c>
      <c r="F1897" s="1">
        <f>IFERROR(__xludf.DUMMYFUNCTION("""COMPUTED_VALUE"""),596191.0)</f>
        <v>596191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IFERROR(__xludf.DUMMYFUNCTION("""COMPUTED_VALUE"""),27.88)</f>
        <v>27.88</v>
      </c>
      <c r="C1898" s="1">
        <f>IFERROR(__xludf.DUMMYFUNCTION("""COMPUTED_VALUE"""),27.88)</f>
        <v>27.88</v>
      </c>
      <c r="D1898" s="1">
        <f>IFERROR(__xludf.DUMMYFUNCTION("""COMPUTED_VALUE"""),27.55)</f>
        <v>27.55</v>
      </c>
      <c r="E1898" s="1">
        <f>IFERROR(__xludf.DUMMYFUNCTION("""COMPUTED_VALUE"""),27.66)</f>
        <v>27.66</v>
      </c>
      <c r="F1898" s="1">
        <f>IFERROR(__xludf.DUMMYFUNCTION("""COMPUTED_VALUE"""),600442.0)</f>
        <v>600442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IFERROR(__xludf.DUMMYFUNCTION("""COMPUTED_VALUE"""),27.63)</f>
        <v>27.63</v>
      </c>
      <c r="C1899" s="1">
        <f>IFERROR(__xludf.DUMMYFUNCTION("""COMPUTED_VALUE"""),27.97)</f>
        <v>27.97</v>
      </c>
      <c r="D1899" s="1">
        <f>IFERROR(__xludf.DUMMYFUNCTION("""COMPUTED_VALUE"""),27.59)</f>
        <v>27.59</v>
      </c>
      <c r="E1899" s="1">
        <f>IFERROR(__xludf.DUMMYFUNCTION("""COMPUTED_VALUE"""),27.97)</f>
        <v>27.97</v>
      </c>
      <c r="F1899" s="1">
        <f>IFERROR(__xludf.DUMMYFUNCTION("""COMPUTED_VALUE"""),673747.0)</f>
        <v>673747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IFERROR(__xludf.DUMMYFUNCTION("""COMPUTED_VALUE"""),28.01)</f>
        <v>28.01</v>
      </c>
      <c r="C1900" s="1">
        <f>IFERROR(__xludf.DUMMYFUNCTION("""COMPUTED_VALUE"""),28.12)</f>
        <v>28.12</v>
      </c>
      <c r="D1900" s="1">
        <f>IFERROR(__xludf.DUMMYFUNCTION("""COMPUTED_VALUE"""),27.7)</f>
        <v>27.7</v>
      </c>
      <c r="E1900" s="1">
        <f>IFERROR(__xludf.DUMMYFUNCTION("""COMPUTED_VALUE"""),28.05)</f>
        <v>28.05</v>
      </c>
      <c r="F1900" s="1">
        <f>IFERROR(__xludf.DUMMYFUNCTION("""COMPUTED_VALUE"""),453819.0)</f>
        <v>453819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IFERROR(__xludf.DUMMYFUNCTION("""COMPUTED_VALUE"""),28.05)</f>
        <v>28.05</v>
      </c>
      <c r="C1901" s="1">
        <f>IFERROR(__xludf.DUMMYFUNCTION("""COMPUTED_VALUE"""),28.47)</f>
        <v>28.47</v>
      </c>
      <c r="D1901" s="1">
        <f>IFERROR(__xludf.DUMMYFUNCTION("""COMPUTED_VALUE"""),28.05)</f>
        <v>28.05</v>
      </c>
      <c r="E1901" s="1">
        <f>IFERROR(__xludf.DUMMYFUNCTION("""COMPUTED_VALUE"""),28.2)</f>
        <v>28.2</v>
      </c>
      <c r="F1901" s="1">
        <f>IFERROR(__xludf.DUMMYFUNCTION("""COMPUTED_VALUE"""),442759.0)</f>
        <v>442759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IFERROR(__xludf.DUMMYFUNCTION("""COMPUTED_VALUE"""),28.28)</f>
        <v>28.28</v>
      </c>
      <c r="C1902" s="1">
        <f>IFERROR(__xludf.DUMMYFUNCTION("""COMPUTED_VALUE"""),28.58)</f>
        <v>28.58</v>
      </c>
      <c r="D1902" s="1">
        <f>IFERROR(__xludf.DUMMYFUNCTION("""COMPUTED_VALUE"""),28.19)</f>
        <v>28.19</v>
      </c>
      <c r="E1902" s="1">
        <f>IFERROR(__xludf.DUMMYFUNCTION("""COMPUTED_VALUE"""),28.4)</f>
        <v>28.4</v>
      </c>
      <c r="F1902" s="1">
        <f>IFERROR(__xludf.DUMMYFUNCTION("""COMPUTED_VALUE"""),366270.0)</f>
        <v>366270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IFERROR(__xludf.DUMMYFUNCTION("""COMPUTED_VALUE"""),28.26)</f>
        <v>28.26</v>
      </c>
      <c r="C1903" s="1">
        <f>IFERROR(__xludf.DUMMYFUNCTION("""COMPUTED_VALUE"""),28.35)</f>
        <v>28.35</v>
      </c>
      <c r="D1903" s="1">
        <f>IFERROR(__xludf.DUMMYFUNCTION("""COMPUTED_VALUE"""),28.03)</f>
        <v>28.03</v>
      </c>
      <c r="E1903" s="1">
        <f>IFERROR(__xludf.DUMMYFUNCTION("""COMPUTED_VALUE"""),28.16)</f>
        <v>28.16</v>
      </c>
      <c r="F1903" s="1">
        <f>IFERROR(__xludf.DUMMYFUNCTION("""COMPUTED_VALUE"""),391110.0)</f>
        <v>391110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IFERROR(__xludf.DUMMYFUNCTION("""COMPUTED_VALUE"""),28.23)</f>
        <v>28.23</v>
      </c>
      <c r="C1904" s="1">
        <f>IFERROR(__xludf.DUMMYFUNCTION("""COMPUTED_VALUE"""),28.72)</f>
        <v>28.72</v>
      </c>
      <c r="D1904" s="1">
        <f>IFERROR(__xludf.DUMMYFUNCTION("""COMPUTED_VALUE"""),28.16)</f>
        <v>28.16</v>
      </c>
      <c r="E1904" s="1">
        <f>IFERROR(__xludf.DUMMYFUNCTION("""COMPUTED_VALUE"""),28.55)</f>
        <v>28.55</v>
      </c>
      <c r="F1904" s="1">
        <f>IFERROR(__xludf.DUMMYFUNCTION("""COMPUTED_VALUE"""),617676.0)</f>
        <v>617676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IFERROR(__xludf.DUMMYFUNCTION("""COMPUTED_VALUE"""),28.6)</f>
        <v>28.6</v>
      </c>
      <c r="C1905" s="1">
        <f>IFERROR(__xludf.DUMMYFUNCTION("""COMPUTED_VALUE"""),28.67)</f>
        <v>28.67</v>
      </c>
      <c r="D1905" s="1">
        <f>IFERROR(__xludf.DUMMYFUNCTION("""COMPUTED_VALUE"""),28.19)</f>
        <v>28.19</v>
      </c>
      <c r="E1905" s="1">
        <f>IFERROR(__xludf.DUMMYFUNCTION("""COMPUTED_VALUE"""),28.53)</f>
        <v>28.53</v>
      </c>
      <c r="F1905" s="1">
        <f>IFERROR(__xludf.DUMMYFUNCTION("""COMPUTED_VALUE"""),649736.0)</f>
        <v>649736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IFERROR(__xludf.DUMMYFUNCTION("""COMPUTED_VALUE"""),28.4)</f>
        <v>28.4</v>
      </c>
      <c r="C1906" s="1">
        <f>IFERROR(__xludf.DUMMYFUNCTION("""COMPUTED_VALUE"""),28.67)</f>
        <v>28.67</v>
      </c>
      <c r="D1906" s="1">
        <f>IFERROR(__xludf.DUMMYFUNCTION("""COMPUTED_VALUE"""),28.33)</f>
        <v>28.33</v>
      </c>
      <c r="E1906" s="1">
        <f>IFERROR(__xludf.DUMMYFUNCTION("""COMPUTED_VALUE"""),28.54)</f>
        <v>28.54</v>
      </c>
      <c r="F1906" s="1">
        <f>IFERROR(__xludf.DUMMYFUNCTION("""COMPUTED_VALUE"""),672147.0)</f>
        <v>672147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IFERROR(__xludf.DUMMYFUNCTION("""COMPUTED_VALUE"""),28.61)</f>
        <v>28.61</v>
      </c>
      <c r="C1907" s="1">
        <f>IFERROR(__xludf.DUMMYFUNCTION("""COMPUTED_VALUE"""),28.81)</f>
        <v>28.81</v>
      </c>
      <c r="D1907" s="1">
        <f>IFERROR(__xludf.DUMMYFUNCTION("""COMPUTED_VALUE"""),28.28)</f>
        <v>28.28</v>
      </c>
      <c r="E1907" s="1">
        <f>IFERROR(__xludf.DUMMYFUNCTION("""COMPUTED_VALUE"""),28.46)</f>
        <v>28.46</v>
      </c>
      <c r="F1907" s="1">
        <f>IFERROR(__xludf.DUMMYFUNCTION("""COMPUTED_VALUE"""),717520.0)</f>
        <v>717520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IFERROR(__xludf.DUMMYFUNCTION("""COMPUTED_VALUE"""),28.5)</f>
        <v>28.5</v>
      </c>
      <c r="C1908" s="1">
        <f>IFERROR(__xludf.DUMMYFUNCTION("""COMPUTED_VALUE"""),28.5)</f>
        <v>28.5</v>
      </c>
      <c r="D1908" s="1">
        <f>IFERROR(__xludf.DUMMYFUNCTION("""COMPUTED_VALUE"""),27.96)</f>
        <v>27.96</v>
      </c>
      <c r="E1908" s="1">
        <f>IFERROR(__xludf.DUMMYFUNCTION("""COMPUTED_VALUE"""),28.23)</f>
        <v>28.23</v>
      </c>
      <c r="F1908" s="1">
        <f>IFERROR(__xludf.DUMMYFUNCTION("""COMPUTED_VALUE"""),613413.0)</f>
        <v>613413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IFERROR(__xludf.DUMMYFUNCTION("""COMPUTED_VALUE"""),28.29)</f>
        <v>28.29</v>
      </c>
      <c r="C1909" s="1">
        <f>IFERROR(__xludf.DUMMYFUNCTION("""COMPUTED_VALUE"""),28.29)</f>
        <v>28.29</v>
      </c>
      <c r="D1909" s="1">
        <f>IFERROR(__xludf.DUMMYFUNCTION("""COMPUTED_VALUE"""),27.22)</f>
        <v>27.22</v>
      </c>
      <c r="E1909" s="1">
        <f>IFERROR(__xludf.DUMMYFUNCTION("""COMPUTED_VALUE"""),27.52)</f>
        <v>27.52</v>
      </c>
      <c r="F1909" s="1">
        <f>IFERROR(__xludf.DUMMYFUNCTION("""COMPUTED_VALUE"""),732895.0)</f>
        <v>732895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IFERROR(__xludf.DUMMYFUNCTION("""COMPUTED_VALUE"""),27.4)</f>
        <v>27.4</v>
      </c>
      <c r="C1910" s="1">
        <f>IFERROR(__xludf.DUMMYFUNCTION("""COMPUTED_VALUE"""),27.71)</f>
        <v>27.71</v>
      </c>
      <c r="D1910" s="1">
        <f>IFERROR(__xludf.DUMMYFUNCTION("""COMPUTED_VALUE"""),27.07)</f>
        <v>27.07</v>
      </c>
      <c r="E1910" s="1">
        <f>IFERROR(__xludf.DUMMYFUNCTION("""COMPUTED_VALUE"""),27.47)</f>
        <v>27.47</v>
      </c>
      <c r="F1910" s="1">
        <f>IFERROR(__xludf.DUMMYFUNCTION("""COMPUTED_VALUE"""),759158.0)</f>
        <v>759158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IFERROR(__xludf.DUMMYFUNCTION("""COMPUTED_VALUE"""),27.45)</f>
        <v>27.45</v>
      </c>
      <c r="C1911" s="1">
        <f>IFERROR(__xludf.DUMMYFUNCTION("""COMPUTED_VALUE"""),27.68)</f>
        <v>27.68</v>
      </c>
      <c r="D1911" s="1">
        <f>IFERROR(__xludf.DUMMYFUNCTION("""COMPUTED_VALUE"""),27.34)</f>
        <v>27.34</v>
      </c>
      <c r="E1911" s="1">
        <f>IFERROR(__xludf.DUMMYFUNCTION("""COMPUTED_VALUE"""),27.45)</f>
        <v>27.45</v>
      </c>
      <c r="F1911" s="1">
        <f>IFERROR(__xludf.DUMMYFUNCTION("""COMPUTED_VALUE"""),291132.0)</f>
        <v>291132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IFERROR(__xludf.DUMMYFUNCTION("""COMPUTED_VALUE"""),27.55)</f>
        <v>27.55</v>
      </c>
      <c r="C1912" s="1">
        <f>IFERROR(__xludf.DUMMYFUNCTION("""COMPUTED_VALUE"""),27.64)</f>
        <v>27.64</v>
      </c>
      <c r="D1912" s="1">
        <f>IFERROR(__xludf.DUMMYFUNCTION("""COMPUTED_VALUE"""),27.22)</f>
        <v>27.22</v>
      </c>
      <c r="E1912" s="1">
        <f>IFERROR(__xludf.DUMMYFUNCTION("""COMPUTED_VALUE"""),27.46)</f>
        <v>27.46</v>
      </c>
      <c r="F1912" s="1">
        <f>IFERROR(__xludf.DUMMYFUNCTION("""COMPUTED_VALUE"""),471802.0)</f>
        <v>471802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IFERROR(__xludf.DUMMYFUNCTION("""COMPUTED_VALUE"""),27.42)</f>
        <v>27.42</v>
      </c>
      <c r="C1913" s="1">
        <f>IFERROR(__xludf.DUMMYFUNCTION("""COMPUTED_VALUE"""),27.6)</f>
        <v>27.6</v>
      </c>
      <c r="D1913" s="1">
        <f>IFERROR(__xludf.DUMMYFUNCTION("""COMPUTED_VALUE"""),26.94)</f>
        <v>26.94</v>
      </c>
      <c r="E1913" s="1">
        <f>IFERROR(__xludf.DUMMYFUNCTION("""COMPUTED_VALUE"""),27.3)</f>
        <v>27.3</v>
      </c>
      <c r="F1913" s="1">
        <f>IFERROR(__xludf.DUMMYFUNCTION("""COMPUTED_VALUE"""),1114261.0)</f>
        <v>1114261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IFERROR(__xludf.DUMMYFUNCTION("""COMPUTED_VALUE"""),27.58)</f>
        <v>27.58</v>
      </c>
      <c r="C1914" s="1">
        <f>IFERROR(__xludf.DUMMYFUNCTION("""COMPUTED_VALUE"""),30.73)</f>
        <v>30.73</v>
      </c>
      <c r="D1914" s="1">
        <f>IFERROR(__xludf.DUMMYFUNCTION("""COMPUTED_VALUE"""),27.4)</f>
        <v>27.4</v>
      </c>
      <c r="E1914" s="1">
        <f>IFERROR(__xludf.DUMMYFUNCTION("""COMPUTED_VALUE"""),29.64)</f>
        <v>29.64</v>
      </c>
      <c r="F1914" s="1">
        <f>IFERROR(__xludf.DUMMYFUNCTION("""COMPUTED_VALUE"""),2781753.0)</f>
        <v>2781753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IFERROR(__xludf.DUMMYFUNCTION("""COMPUTED_VALUE"""),28.64)</f>
        <v>28.64</v>
      </c>
      <c r="C1915" s="1">
        <f>IFERROR(__xludf.DUMMYFUNCTION("""COMPUTED_VALUE"""),28.82)</f>
        <v>28.82</v>
      </c>
      <c r="D1915" s="1">
        <f>IFERROR(__xludf.DUMMYFUNCTION("""COMPUTED_VALUE"""),27.1)</f>
        <v>27.1</v>
      </c>
      <c r="E1915" s="1">
        <f>IFERROR(__xludf.DUMMYFUNCTION("""COMPUTED_VALUE"""),27.9)</f>
        <v>27.9</v>
      </c>
      <c r="F1915" s="1">
        <f>IFERROR(__xludf.DUMMYFUNCTION("""COMPUTED_VALUE"""),2200962.0)</f>
        <v>2200962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IFERROR(__xludf.DUMMYFUNCTION("""COMPUTED_VALUE"""),27.92)</f>
        <v>27.92</v>
      </c>
      <c r="C1916" s="1">
        <f>IFERROR(__xludf.DUMMYFUNCTION("""COMPUTED_VALUE"""),27.93)</f>
        <v>27.93</v>
      </c>
      <c r="D1916" s="1">
        <f>IFERROR(__xludf.DUMMYFUNCTION("""COMPUTED_VALUE"""),27.18)</f>
        <v>27.18</v>
      </c>
      <c r="E1916" s="1">
        <f>IFERROR(__xludf.DUMMYFUNCTION("""COMPUTED_VALUE"""),27.19)</f>
        <v>27.19</v>
      </c>
      <c r="F1916" s="1">
        <f>IFERROR(__xludf.DUMMYFUNCTION("""COMPUTED_VALUE"""),489148.0)</f>
        <v>489148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IFERROR(__xludf.DUMMYFUNCTION("""COMPUTED_VALUE"""),26.92)</f>
        <v>26.92</v>
      </c>
      <c r="C1917" s="1">
        <f>IFERROR(__xludf.DUMMYFUNCTION("""COMPUTED_VALUE"""),27.31)</f>
        <v>27.31</v>
      </c>
      <c r="D1917" s="1">
        <f>IFERROR(__xludf.DUMMYFUNCTION("""COMPUTED_VALUE"""),26.81)</f>
        <v>26.81</v>
      </c>
      <c r="E1917" s="1">
        <f>IFERROR(__xludf.DUMMYFUNCTION("""COMPUTED_VALUE"""),27.1)</f>
        <v>27.1</v>
      </c>
      <c r="F1917" s="1">
        <f>IFERROR(__xludf.DUMMYFUNCTION("""COMPUTED_VALUE"""),629327.0)</f>
        <v>629327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IFERROR(__xludf.DUMMYFUNCTION("""COMPUTED_VALUE"""),27.27)</f>
        <v>27.27</v>
      </c>
      <c r="C1918" s="1">
        <f>IFERROR(__xludf.DUMMYFUNCTION("""COMPUTED_VALUE"""),27.87)</f>
        <v>27.87</v>
      </c>
      <c r="D1918" s="1">
        <f>IFERROR(__xludf.DUMMYFUNCTION("""COMPUTED_VALUE"""),27.21)</f>
        <v>27.21</v>
      </c>
      <c r="E1918" s="1">
        <f>IFERROR(__xludf.DUMMYFUNCTION("""COMPUTED_VALUE"""),27.8)</f>
        <v>27.8</v>
      </c>
      <c r="F1918" s="1">
        <f>IFERROR(__xludf.DUMMYFUNCTION("""COMPUTED_VALUE"""),604918.0)</f>
        <v>604918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IFERROR(__xludf.DUMMYFUNCTION("""COMPUTED_VALUE"""),27.7)</f>
        <v>27.7</v>
      </c>
      <c r="C1919" s="1">
        <f>IFERROR(__xludf.DUMMYFUNCTION("""COMPUTED_VALUE"""),28.46)</f>
        <v>28.46</v>
      </c>
      <c r="D1919" s="1">
        <f>IFERROR(__xludf.DUMMYFUNCTION("""COMPUTED_VALUE"""),27.7)</f>
        <v>27.7</v>
      </c>
      <c r="E1919" s="1">
        <f>IFERROR(__xludf.DUMMYFUNCTION("""COMPUTED_VALUE"""),28.39)</f>
        <v>28.39</v>
      </c>
      <c r="F1919" s="1">
        <f>IFERROR(__xludf.DUMMYFUNCTION("""COMPUTED_VALUE"""),783992.0)</f>
        <v>783992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IFERROR(__xludf.DUMMYFUNCTION("""COMPUTED_VALUE"""),28.5)</f>
        <v>28.5</v>
      </c>
      <c r="C1920" s="1">
        <f>IFERROR(__xludf.DUMMYFUNCTION("""COMPUTED_VALUE"""),29.15)</f>
        <v>29.15</v>
      </c>
      <c r="D1920" s="1">
        <f>IFERROR(__xludf.DUMMYFUNCTION("""COMPUTED_VALUE"""),28.46)</f>
        <v>28.46</v>
      </c>
      <c r="E1920" s="1">
        <f>IFERROR(__xludf.DUMMYFUNCTION("""COMPUTED_VALUE"""),28.75)</f>
        <v>28.75</v>
      </c>
      <c r="F1920" s="1">
        <f>IFERROR(__xludf.DUMMYFUNCTION("""COMPUTED_VALUE"""),651683.0)</f>
        <v>651683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IFERROR(__xludf.DUMMYFUNCTION("""COMPUTED_VALUE"""),28.56)</f>
        <v>28.56</v>
      </c>
      <c r="C1921" s="1">
        <f>IFERROR(__xludf.DUMMYFUNCTION("""COMPUTED_VALUE"""),29.13)</f>
        <v>29.13</v>
      </c>
      <c r="D1921" s="1">
        <f>IFERROR(__xludf.DUMMYFUNCTION("""COMPUTED_VALUE"""),28.51)</f>
        <v>28.51</v>
      </c>
      <c r="E1921" s="1">
        <f>IFERROR(__xludf.DUMMYFUNCTION("""COMPUTED_VALUE"""),28.59)</f>
        <v>28.59</v>
      </c>
      <c r="F1921" s="1">
        <f>IFERROR(__xludf.DUMMYFUNCTION("""COMPUTED_VALUE"""),1011789.0)</f>
        <v>1011789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IFERROR(__xludf.DUMMYFUNCTION("""COMPUTED_VALUE"""),28.6)</f>
        <v>28.6</v>
      </c>
      <c r="C1922" s="1">
        <f>IFERROR(__xludf.DUMMYFUNCTION("""COMPUTED_VALUE"""),28.81)</f>
        <v>28.81</v>
      </c>
      <c r="D1922" s="1">
        <f>IFERROR(__xludf.DUMMYFUNCTION("""COMPUTED_VALUE"""),27.97)</f>
        <v>27.97</v>
      </c>
      <c r="E1922" s="1">
        <f>IFERROR(__xludf.DUMMYFUNCTION("""COMPUTED_VALUE"""),28.42)</f>
        <v>28.42</v>
      </c>
      <c r="F1922" s="1">
        <f>IFERROR(__xludf.DUMMYFUNCTION("""COMPUTED_VALUE"""),773311.0)</f>
        <v>773311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IFERROR(__xludf.DUMMYFUNCTION("""COMPUTED_VALUE"""),28.35)</f>
        <v>28.35</v>
      </c>
      <c r="C1923" s="1">
        <f>IFERROR(__xludf.DUMMYFUNCTION("""COMPUTED_VALUE"""),28.57)</f>
        <v>28.57</v>
      </c>
      <c r="D1923" s="1">
        <f>IFERROR(__xludf.DUMMYFUNCTION("""COMPUTED_VALUE"""),28.15)</f>
        <v>28.15</v>
      </c>
      <c r="E1923" s="1">
        <f>IFERROR(__xludf.DUMMYFUNCTION("""COMPUTED_VALUE"""),28.36)</f>
        <v>28.36</v>
      </c>
      <c r="F1923" s="1">
        <f>IFERROR(__xludf.DUMMYFUNCTION("""COMPUTED_VALUE"""),617180.0)</f>
        <v>617180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IFERROR(__xludf.DUMMYFUNCTION("""COMPUTED_VALUE"""),28.38)</f>
        <v>28.38</v>
      </c>
      <c r="C1924" s="1">
        <f>IFERROR(__xludf.DUMMYFUNCTION("""COMPUTED_VALUE"""),28.44)</f>
        <v>28.44</v>
      </c>
      <c r="D1924" s="1">
        <f>IFERROR(__xludf.DUMMYFUNCTION("""COMPUTED_VALUE"""),28.14)</f>
        <v>28.14</v>
      </c>
      <c r="E1924" s="1">
        <f>IFERROR(__xludf.DUMMYFUNCTION("""COMPUTED_VALUE"""),28.36)</f>
        <v>28.36</v>
      </c>
      <c r="F1924" s="1">
        <f>IFERROR(__xludf.DUMMYFUNCTION("""COMPUTED_VALUE"""),762569.0)</f>
        <v>762569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IFERROR(__xludf.DUMMYFUNCTION("""COMPUTED_VALUE"""),28.19)</f>
        <v>28.19</v>
      </c>
      <c r="C1925" s="1">
        <f>IFERROR(__xludf.DUMMYFUNCTION("""COMPUTED_VALUE"""),28.58)</f>
        <v>28.58</v>
      </c>
      <c r="D1925" s="1">
        <f>IFERROR(__xludf.DUMMYFUNCTION("""COMPUTED_VALUE"""),28.1)</f>
        <v>28.1</v>
      </c>
      <c r="E1925" s="1">
        <f>IFERROR(__xludf.DUMMYFUNCTION("""COMPUTED_VALUE"""),28.5)</f>
        <v>28.5</v>
      </c>
      <c r="F1925" s="1">
        <f>IFERROR(__xludf.DUMMYFUNCTION("""COMPUTED_VALUE"""),558469.0)</f>
        <v>558469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IFERROR(__xludf.DUMMYFUNCTION("""COMPUTED_VALUE"""),28.49)</f>
        <v>28.49</v>
      </c>
      <c r="C1926" s="1">
        <f>IFERROR(__xludf.DUMMYFUNCTION("""COMPUTED_VALUE"""),28.72)</f>
        <v>28.72</v>
      </c>
      <c r="D1926" s="1">
        <f>IFERROR(__xludf.DUMMYFUNCTION("""COMPUTED_VALUE"""),28.43)</f>
        <v>28.43</v>
      </c>
      <c r="E1926" s="1">
        <f>IFERROR(__xludf.DUMMYFUNCTION("""COMPUTED_VALUE"""),28.61)</f>
        <v>28.61</v>
      </c>
      <c r="F1926" s="1">
        <f>IFERROR(__xludf.DUMMYFUNCTION("""COMPUTED_VALUE"""),345997.0)</f>
        <v>345997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IFERROR(__xludf.DUMMYFUNCTION("""COMPUTED_VALUE"""),28.66)</f>
        <v>28.66</v>
      </c>
      <c r="C1927" s="1">
        <f>IFERROR(__xludf.DUMMYFUNCTION("""COMPUTED_VALUE"""),28.74)</f>
        <v>28.74</v>
      </c>
      <c r="D1927" s="1">
        <f>IFERROR(__xludf.DUMMYFUNCTION("""COMPUTED_VALUE"""),28.45)</f>
        <v>28.45</v>
      </c>
      <c r="E1927" s="1">
        <f>IFERROR(__xludf.DUMMYFUNCTION("""COMPUTED_VALUE"""),28.63)</f>
        <v>28.63</v>
      </c>
      <c r="F1927" s="1">
        <f>IFERROR(__xludf.DUMMYFUNCTION("""COMPUTED_VALUE"""),378054.0)</f>
        <v>378054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IFERROR(__xludf.DUMMYFUNCTION("""COMPUTED_VALUE"""),28.63)</f>
        <v>28.63</v>
      </c>
      <c r="C1928" s="1">
        <f>IFERROR(__xludf.DUMMYFUNCTION("""COMPUTED_VALUE"""),28.73)</f>
        <v>28.73</v>
      </c>
      <c r="D1928" s="1">
        <f>IFERROR(__xludf.DUMMYFUNCTION("""COMPUTED_VALUE"""),28.44)</f>
        <v>28.44</v>
      </c>
      <c r="E1928" s="1">
        <f>IFERROR(__xludf.DUMMYFUNCTION("""COMPUTED_VALUE"""),28.58)</f>
        <v>28.58</v>
      </c>
      <c r="F1928" s="1">
        <f>IFERROR(__xludf.DUMMYFUNCTION("""COMPUTED_VALUE"""),355004.0)</f>
        <v>355004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IFERROR(__xludf.DUMMYFUNCTION("""COMPUTED_VALUE"""),28.62)</f>
        <v>28.62</v>
      </c>
      <c r="C1929" s="1">
        <f>IFERROR(__xludf.DUMMYFUNCTION("""COMPUTED_VALUE"""),29.17)</f>
        <v>29.17</v>
      </c>
      <c r="D1929" s="1">
        <f>IFERROR(__xludf.DUMMYFUNCTION("""COMPUTED_VALUE"""),28.49)</f>
        <v>28.49</v>
      </c>
      <c r="E1929" s="1">
        <f>IFERROR(__xludf.DUMMYFUNCTION("""COMPUTED_VALUE"""),29.04)</f>
        <v>29.04</v>
      </c>
      <c r="F1929" s="1">
        <f>IFERROR(__xludf.DUMMYFUNCTION("""COMPUTED_VALUE"""),413014.0)</f>
        <v>413014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IFERROR(__xludf.DUMMYFUNCTION("""COMPUTED_VALUE"""),28.99)</f>
        <v>28.99</v>
      </c>
      <c r="C1930" s="1">
        <f>IFERROR(__xludf.DUMMYFUNCTION("""COMPUTED_VALUE"""),29.36)</f>
        <v>29.36</v>
      </c>
      <c r="D1930" s="1">
        <f>IFERROR(__xludf.DUMMYFUNCTION("""COMPUTED_VALUE"""),28.84)</f>
        <v>28.84</v>
      </c>
      <c r="E1930" s="1">
        <f>IFERROR(__xludf.DUMMYFUNCTION("""COMPUTED_VALUE"""),29.25)</f>
        <v>29.25</v>
      </c>
      <c r="F1930" s="1">
        <f>IFERROR(__xludf.DUMMYFUNCTION("""COMPUTED_VALUE"""),302679.0)</f>
        <v>302679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IFERROR(__xludf.DUMMYFUNCTION("""COMPUTED_VALUE"""),29.43)</f>
        <v>29.43</v>
      </c>
      <c r="C1931" s="1">
        <f>IFERROR(__xludf.DUMMYFUNCTION("""COMPUTED_VALUE"""),29.76)</f>
        <v>29.76</v>
      </c>
      <c r="D1931" s="1">
        <f>IFERROR(__xludf.DUMMYFUNCTION("""COMPUTED_VALUE"""),29.31)</f>
        <v>29.31</v>
      </c>
      <c r="E1931" s="1">
        <f>IFERROR(__xludf.DUMMYFUNCTION("""COMPUTED_VALUE"""),29.74)</f>
        <v>29.74</v>
      </c>
      <c r="F1931" s="1">
        <f>IFERROR(__xludf.DUMMYFUNCTION("""COMPUTED_VALUE"""),492898.0)</f>
        <v>492898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IFERROR(__xludf.DUMMYFUNCTION("""COMPUTED_VALUE"""),29.85)</f>
        <v>29.85</v>
      </c>
      <c r="C1932" s="1">
        <f>IFERROR(__xludf.DUMMYFUNCTION("""COMPUTED_VALUE"""),30.05)</f>
        <v>30.05</v>
      </c>
      <c r="D1932" s="1">
        <f>IFERROR(__xludf.DUMMYFUNCTION("""COMPUTED_VALUE"""),29.56)</f>
        <v>29.56</v>
      </c>
      <c r="E1932" s="1">
        <f>IFERROR(__xludf.DUMMYFUNCTION("""COMPUTED_VALUE"""),29.85)</f>
        <v>29.85</v>
      </c>
      <c r="F1932" s="1">
        <f>IFERROR(__xludf.DUMMYFUNCTION("""COMPUTED_VALUE"""),747621.0)</f>
        <v>747621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IFERROR(__xludf.DUMMYFUNCTION("""COMPUTED_VALUE"""),29.79)</f>
        <v>29.79</v>
      </c>
      <c r="C1933" s="1">
        <f>IFERROR(__xludf.DUMMYFUNCTION("""COMPUTED_VALUE"""),29.89)</f>
        <v>29.89</v>
      </c>
      <c r="D1933" s="1">
        <f>IFERROR(__xludf.DUMMYFUNCTION("""COMPUTED_VALUE"""),29.35)</f>
        <v>29.35</v>
      </c>
      <c r="E1933" s="1">
        <f>IFERROR(__xludf.DUMMYFUNCTION("""COMPUTED_VALUE"""),29.45)</f>
        <v>29.45</v>
      </c>
      <c r="F1933" s="1">
        <f>IFERROR(__xludf.DUMMYFUNCTION("""COMPUTED_VALUE"""),275637.0)</f>
        <v>275637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IFERROR(__xludf.DUMMYFUNCTION("""COMPUTED_VALUE"""),29.45)</f>
        <v>29.45</v>
      </c>
      <c r="C1934" s="1">
        <f>IFERROR(__xludf.DUMMYFUNCTION("""COMPUTED_VALUE"""),30.26)</f>
        <v>30.26</v>
      </c>
      <c r="D1934" s="1">
        <f>IFERROR(__xludf.DUMMYFUNCTION("""COMPUTED_VALUE"""),29.45)</f>
        <v>29.45</v>
      </c>
      <c r="E1934" s="1">
        <f>IFERROR(__xludf.DUMMYFUNCTION("""COMPUTED_VALUE"""),29.95)</f>
        <v>29.95</v>
      </c>
      <c r="F1934" s="1">
        <f>IFERROR(__xludf.DUMMYFUNCTION("""COMPUTED_VALUE"""),574860.0)</f>
        <v>574860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IFERROR(__xludf.DUMMYFUNCTION("""COMPUTED_VALUE"""),29.98)</f>
        <v>29.98</v>
      </c>
      <c r="C1935" s="1">
        <f>IFERROR(__xludf.DUMMYFUNCTION("""COMPUTED_VALUE"""),30.29)</f>
        <v>30.29</v>
      </c>
      <c r="D1935" s="1">
        <f>IFERROR(__xludf.DUMMYFUNCTION("""COMPUTED_VALUE"""),29.68)</f>
        <v>29.68</v>
      </c>
      <c r="E1935" s="1">
        <f>IFERROR(__xludf.DUMMYFUNCTION("""COMPUTED_VALUE"""),29.7)</f>
        <v>29.7</v>
      </c>
      <c r="F1935" s="1">
        <f>IFERROR(__xludf.DUMMYFUNCTION("""COMPUTED_VALUE"""),299492.0)</f>
        <v>299492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IFERROR(__xludf.DUMMYFUNCTION("""COMPUTED_VALUE"""),29.65)</f>
        <v>29.65</v>
      </c>
      <c r="C1936" s="1">
        <f>IFERROR(__xludf.DUMMYFUNCTION("""COMPUTED_VALUE"""),29.97)</f>
        <v>29.97</v>
      </c>
      <c r="D1936" s="1">
        <f>IFERROR(__xludf.DUMMYFUNCTION("""COMPUTED_VALUE"""),29.5)</f>
        <v>29.5</v>
      </c>
      <c r="E1936" s="1">
        <f>IFERROR(__xludf.DUMMYFUNCTION("""COMPUTED_VALUE"""),29.83)</f>
        <v>29.83</v>
      </c>
      <c r="F1936" s="1">
        <f>IFERROR(__xludf.DUMMYFUNCTION("""COMPUTED_VALUE"""),357253.0)</f>
        <v>357253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IFERROR(__xludf.DUMMYFUNCTION("""COMPUTED_VALUE"""),29.87)</f>
        <v>29.87</v>
      </c>
      <c r="C1937" s="1">
        <f>IFERROR(__xludf.DUMMYFUNCTION("""COMPUTED_VALUE"""),30.55)</f>
        <v>30.55</v>
      </c>
      <c r="D1937" s="1">
        <f>IFERROR(__xludf.DUMMYFUNCTION("""COMPUTED_VALUE"""),29.87)</f>
        <v>29.87</v>
      </c>
      <c r="E1937" s="1">
        <f>IFERROR(__xludf.DUMMYFUNCTION("""COMPUTED_VALUE"""),30.37)</f>
        <v>30.37</v>
      </c>
      <c r="F1937" s="1">
        <f>IFERROR(__xludf.DUMMYFUNCTION("""COMPUTED_VALUE"""),652982.0)</f>
        <v>652982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IFERROR(__xludf.DUMMYFUNCTION("""COMPUTED_VALUE"""),30.5)</f>
        <v>30.5</v>
      </c>
      <c r="C1938" s="1">
        <f>IFERROR(__xludf.DUMMYFUNCTION("""COMPUTED_VALUE"""),30.8)</f>
        <v>30.8</v>
      </c>
      <c r="D1938" s="1">
        <f>IFERROR(__xludf.DUMMYFUNCTION("""COMPUTED_VALUE"""),30.08)</f>
        <v>30.08</v>
      </c>
      <c r="E1938" s="1">
        <f>IFERROR(__xludf.DUMMYFUNCTION("""COMPUTED_VALUE"""),30.29)</f>
        <v>30.29</v>
      </c>
      <c r="F1938" s="1">
        <f>IFERROR(__xludf.DUMMYFUNCTION("""COMPUTED_VALUE"""),654608.0)</f>
        <v>654608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IFERROR(__xludf.DUMMYFUNCTION("""COMPUTED_VALUE"""),30.36)</f>
        <v>30.36</v>
      </c>
      <c r="C1939" s="1">
        <f>IFERROR(__xludf.DUMMYFUNCTION("""COMPUTED_VALUE"""),30.39)</f>
        <v>30.39</v>
      </c>
      <c r="D1939" s="1">
        <f>IFERROR(__xludf.DUMMYFUNCTION("""COMPUTED_VALUE"""),30.16)</f>
        <v>30.16</v>
      </c>
      <c r="E1939" s="1">
        <f>IFERROR(__xludf.DUMMYFUNCTION("""COMPUTED_VALUE"""),30.24)</f>
        <v>30.24</v>
      </c>
      <c r="F1939" s="1">
        <f>IFERROR(__xludf.DUMMYFUNCTION("""COMPUTED_VALUE"""),385641.0)</f>
        <v>385641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IFERROR(__xludf.DUMMYFUNCTION("""COMPUTED_VALUE"""),30.17)</f>
        <v>30.17</v>
      </c>
      <c r="C1940" s="1">
        <f>IFERROR(__xludf.DUMMYFUNCTION("""COMPUTED_VALUE"""),30.62)</f>
        <v>30.62</v>
      </c>
      <c r="D1940" s="1">
        <f>IFERROR(__xludf.DUMMYFUNCTION("""COMPUTED_VALUE"""),30.17)</f>
        <v>30.17</v>
      </c>
      <c r="E1940" s="1">
        <f>IFERROR(__xludf.DUMMYFUNCTION("""COMPUTED_VALUE"""),30.41)</f>
        <v>30.41</v>
      </c>
      <c r="F1940" s="1">
        <f>IFERROR(__xludf.DUMMYFUNCTION("""COMPUTED_VALUE"""),462257.0)</f>
        <v>462257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IFERROR(__xludf.DUMMYFUNCTION("""COMPUTED_VALUE"""),30.37)</f>
        <v>30.37</v>
      </c>
      <c r="C1941" s="1">
        <f>IFERROR(__xludf.DUMMYFUNCTION("""COMPUTED_VALUE"""),30.58)</f>
        <v>30.58</v>
      </c>
      <c r="D1941" s="1">
        <f>IFERROR(__xludf.DUMMYFUNCTION("""COMPUTED_VALUE"""),30.19)</f>
        <v>30.19</v>
      </c>
      <c r="E1941" s="1">
        <f>IFERROR(__xludf.DUMMYFUNCTION("""COMPUTED_VALUE"""),30.42)</f>
        <v>30.42</v>
      </c>
      <c r="F1941" s="1">
        <f>IFERROR(__xludf.DUMMYFUNCTION("""COMPUTED_VALUE"""),645841.0)</f>
        <v>645841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IFERROR(__xludf.DUMMYFUNCTION("""COMPUTED_VALUE"""),30.42)</f>
        <v>30.42</v>
      </c>
      <c r="C1942" s="1">
        <f>IFERROR(__xludf.DUMMYFUNCTION("""COMPUTED_VALUE"""),30.61)</f>
        <v>30.61</v>
      </c>
      <c r="D1942" s="1">
        <f>IFERROR(__xludf.DUMMYFUNCTION("""COMPUTED_VALUE"""),30.01)</f>
        <v>30.01</v>
      </c>
      <c r="E1942" s="1">
        <f>IFERROR(__xludf.DUMMYFUNCTION("""COMPUTED_VALUE"""),30.52)</f>
        <v>30.52</v>
      </c>
      <c r="F1942" s="1">
        <f>IFERROR(__xludf.DUMMYFUNCTION("""COMPUTED_VALUE"""),538817.0)</f>
        <v>538817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IFERROR(__xludf.DUMMYFUNCTION("""COMPUTED_VALUE"""),30.55)</f>
        <v>30.55</v>
      </c>
      <c r="C1943" s="1">
        <f>IFERROR(__xludf.DUMMYFUNCTION("""COMPUTED_VALUE"""),30.6)</f>
        <v>30.6</v>
      </c>
      <c r="D1943" s="1">
        <f>IFERROR(__xludf.DUMMYFUNCTION("""COMPUTED_VALUE"""),30.28)</f>
        <v>30.28</v>
      </c>
      <c r="E1943" s="1">
        <f>IFERROR(__xludf.DUMMYFUNCTION("""COMPUTED_VALUE"""),30.48)</f>
        <v>30.48</v>
      </c>
      <c r="F1943" s="1">
        <f>IFERROR(__xludf.DUMMYFUNCTION("""COMPUTED_VALUE"""),248460.0)</f>
        <v>248460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IFERROR(__xludf.DUMMYFUNCTION("""COMPUTED_VALUE"""),30.54)</f>
        <v>30.54</v>
      </c>
      <c r="C1944" s="1">
        <f>IFERROR(__xludf.DUMMYFUNCTION("""COMPUTED_VALUE"""),31.11)</f>
        <v>31.11</v>
      </c>
      <c r="D1944" s="1">
        <f>IFERROR(__xludf.DUMMYFUNCTION("""COMPUTED_VALUE"""),30.52)</f>
        <v>30.52</v>
      </c>
      <c r="E1944" s="1">
        <f>IFERROR(__xludf.DUMMYFUNCTION("""COMPUTED_VALUE"""),30.86)</f>
        <v>30.86</v>
      </c>
      <c r="F1944" s="1">
        <f>IFERROR(__xludf.DUMMYFUNCTION("""COMPUTED_VALUE"""),330794.0)</f>
        <v>330794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IFERROR(__xludf.DUMMYFUNCTION("""COMPUTED_VALUE"""),30.91)</f>
        <v>30.91</v>
      </c>
      <c r="C1945" s="1">
        <f>IFERROR(__xludf.DUMMYFUNCTION("""COMPUTED_VALUE"""),30.96)</f>
        <v>30.96</v>
      </c>
      <c r="D1945" s="1">
        <f>IFERROR(__xludf.DUMMYFUNCTION("""COMPUTED_VALUE"""),30.67)</f>
        <v>30.67</v>
      </c>
      <c r="E1945" s="1">
        <f>IFERROR(__xludf.DUMMYFUNCTION("""COMPUTED_VALUE"""),30.74)</f>
        <v>30.74</v>
      </c>
      <c r="F1945" s="1">
        <f>IFERROR(__xludf.DUMMYFUNCTION("""COMPUTED_VALUE"""),191509.0)</f>
        <v>191509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IFERROR(__xludf.DUMMYFUNCTION("""COMPUTED_VALUE"""),30.71)</f>
        <v>30.71</v>
      </c>
      <c r="C1946" s="1">
        <f>IFERROR(__xludf.DUMMYFUNCTION("""COMPUTED_VALUE"""),31.54)</f>
        <v>31.54</v>
      </c>
      <c r="D1946" s="1">
        <f>IFERROR(__xludf.DUMMYFUNCTION("""COMPUTED_VALUE"""),30.71)</f>
        <v>30.71</v>
      </c>
      <c r="E1946" s="1">
        <f>IFERROR(__xludf.DUMMYFUNCTION("""COMPUTED_VALUE"""),31.47)</f>
        <v>31.47</v>
      </c>
      <c r="F1946" s="1">
        <f>IFERROR(__xludf.DUMMYFUNCTION("""COMPUTED_VALUE"""),327346.0)</f>
        <v>327346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IFERROR(__xludf.DUMMYFUNCTION("""COMPUTED_VALUE"""),31.58)</f>
        <v>31.58</v>
      </c>
      <c r="C1947" s="1">
        <f>IFERROR(__xludf.DUMMYFUNCTION("""COMPUTED_VALUE"""),31.75)</f>
        <v>31.75</v>
      </c>
      <c r="D1947" s="1">
        <f>IFERROR(__xludf.DUMMYFUNCTION("""COMPUTED_VALUE"""),31.39)</f>
        <v>31.39</v>
      </c>
      <c r="E1947" s="1">
        <f>IFERROR(__xludf.DUMMYFUNCTION("""COMPUTED_VALUE"""),31.49)</f>
        <v>31.49</v>
      </c>
      <c r="F1947" s="1">
        <f>IFERROR(__xludf.DUMMYFUNCTION("""COMPUTED_VALUE"""),233650.0)</f>
        <v>233650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IFERROR(__xludf.DUMMYFUNCTION("""COMPUTED_VALUE"""),31.53)</f>
        <v>31.53</v>
      </c>
      <c r="C1948" s="1">
        <f>IFERROR(__xludf.DUMMYFUNCTION("""COMPUTED_VALUE"""),31.54)</f>
        <v>31.54</v>
      </c>
      <c r="D1948" s="1">
        <f>IFERROR(__xludf.DUMMYFUNCTION("""COMPUTED_VALUE"""),31.01)</f>
        <v>31.01</v>
      </c>
      <c r="E1948" s="1">
        <f>IFERROR(__xludf.DUMMYFUNCTION("""COMPUTED_VALUE"""),31.17)</f>
        <v>31.17</v>
      </c>
      <c r="F1948" s="1">
        <f>IFERROR(__xludf.DUMMYFUNCTION("""COMPUTED_VALUE"""),372995.0)</f>
        <v>372995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IFERROR(__xludf.DUMMYFUNCTION("""COMPUTED_VALUE"""),31.35)</f>
        <v>31.35</v>
      </c>
      <c r="C1949" s="1">
        <f>IFERROR(__xludf.DUMMYFUNCTION("""COMPUTED_VALUE"""),31.41)</f>
        <v>31.41</v>
      </c>
      <c r="D1949" s="1">
        <f>IFERROR(__xludf.DUMMYFUNCTION("""COMPUTED_VALUE"""),30.56)</f>
        <v>30.56</v>
      </c>
      <c r="E1949" s="1">
        <f>IFERROR(__xludf.DUMMYFUNCTION("""COMPUTED_VALUE"""),30.63)</f>
        <v>30.63</v>
      </c>
      <c r="F1949" s="1">
        <f>IFERROR(__xludf.DUMMYFUNCTION("""COMPUTED_VALUE"""),584451.0)</f>
        <v>584451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IFERROR(__xludf.DUMMYFUNCTION("""COMPUTED_VALUE"""),30.52)</f>
        <v>30.52</v>
      </c>
      <c r="C1950" s="1">
        <f>IFERROR(__xludf.DUMMYFUNCTION("""COMPUTED_VALUE"""),31.06)</f>
        <v>31.06</v>
      </c>
      <c r="D1950" s="1">
        <f>IFERROR(__xludf.DUMMYFUNCTION("""COMPUTED_VALUE"""),30.51)</f>
        <v>30.51</v>
      </c>
      <c r="E1950" s="1">
        <f>IFERROR(__xludf.DUMMYFUNCTION("""COMPUTED_VALUE"""),31.05)</f>
        <v>31.05</v>
      </c>
      <c r="F1950" s="1">
        <f>IFERROR(__xludf.DUMMYFUNCTION("""COMPUTED_VALUE"""),940535.0)</f>
        <v>940535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IFERROR(__xludf.DUMMYFUNCTION("""COMPUTED_VALUE"""),31.05)</f>
        <v>31.05</v>
      </c>
      <c r="C1951" s="1">
        <f>IFERROR(__xludf.DUMMYFUNCTION("""COMPUTED_VALUE"""),31.63)</f>
        <v>31.63</v>
      </c>
      <c r="D1951" s="1">
        <f>IFERROR(__xludf.DUMMYFUNCTION("""COMPUTED_VALUE"""),30.9)</f>
        <v>30.9</v>
      </c>
      <c r="E1951" s="1">
        <f>IFERROR(__xludf.DUMMYFUNCTION("""COMPUTED_VALUE"""),31.62)</f>
        <v>31.62</v>
      </c>
      <c r="F1951" s="1">
        <f>IFERROR(__xludf.DUMMYFUNCTION("""COMPUTED_VALUE"""),430634.0)</f>
        <v>430634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IFERROR(__xludf.DUMMYFUNCTION("""COMPUTED_VALUE"""),31.55)</f>
        <v>31.55</v>
      </c>
      <c r="C1952" s="1">
        <f>IFERROR(__xludf.DUMMYFUNCTION("""COMPUTED_VALUE"""),31.66)</f>
        <v>31.66</v>
      </c>
      <c r="D1952" s="1">
        <f>IFERROR(__xludf.DUMMYFUNCTION("""COMPUTED_VALUE"""),30.78)</f>
        <v>30.78</v>
      </c>
      <c r="E1952" s="1">
        <f>IFERROR(__xludf.DUMMYFUNCTION("""COMPUTED_VALUE"""),31.06)</f>
        <v>31.06</v>
      </c>
      <c r="F1952" s="1">
        <f>IFERROR(__xludf.DUMMYFUNCTION("""COMPUTED_VALUE"""),634340.0)</f>
        <v>634340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IFERROR(__xludf.DUMMYFUNCTION("""COMPUTED_VALUE"""),30.97)</f>
        <v>30.97</v>
      </c>
      <c r="C1953" s="1">
        <f>IFERROR(__xludf.DUMMYFUNCTION("""COMPUTED_VALUE"""),31.35)</f>
        <v>31.35</v>
      </c>
      <c r="D1953" s="1">
        <f>IFERROR(__xludf.DUMMYFUNCTION("""COMPUTED_VALUE"""),30.49)</f>
        <v>30.49</v>
      </c>
      <c r="E1953" s="1">
        <f>IFERROR(__xludf.DUMMYFUNCTION("""COMPUTED_VALUE"""),30.5)</f>
        <v>30.5</v>
      </c>
      <c r="F1953" s="1">
        <f>IFERROR(__xludf.DUMMYFUNCTION("""COMPUTED_VALUE"""),919115.0)</f>
        <v>919115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IFERROR(__xludf.DUMMYFUNCTION("""COMPUTED_VALUE"""),30.68)</f>
        <v>30.68</v>
      </c>
      <c r="C1954" s="1">
        <f>IFERROR(__xludf.DUMMYFUNCTION("""COMPUTED_VALUE"""),30.68)</f>
        <v>30.68</v>
      </c>
      <c r="D1954" s="1">
        <f>IFERROR(__xludf.DUMMYFUNCTION("""COMPUTED_VALUE"""),29.84)</f>
        <v>29.84</v>
      </c>
      <c r="E1954" s="1">
        <f>IFERROR(__xludf.DUMMYFUNCTION("""COMPUTED_VALUE"""),30.01)</f>
        <v>30.01</v>
      </c>
      <c r="F1954" s="1">
        <f>IFERROR(__xludf.DUMMYFUNCTION("""COMPUTED_VALUE"""),986039.0)</f>
        <v>986039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IFERROR(__xludf.DUMMYFUNCTION("""COMPUTED_VALUE"""),29.96)</f>
        <v>29.96</v>
      </c>
      <c r="C1955" s="1">
        <f>IFERROR(__xludf.DUMMYFUNCTION("""COMPUTED_VALUE"""),30.27)</f>
        <v>30.27</v>
      </c>
      <c r="D1955" s="1">
        <f>IFERROR(__xludf.DUMMYFUNCTION("""COMPUTED_VALUE"""),29.72)</f>
        <v>29.72</v>
      </c>
      <c r="E1955" s="1">
        <f>IFERROR(__xludf.DUMMYFUNCTION("""COMPUTED_VALUE"""),29.94)</f>
        <v>29.94</v>
      </c>
      <c r="F1955" s="1">
        <f>IFERROR(__xludf.DUMMYFUNCTION("""COMPUTED_VALUE"""),922786.0)</f>
        <v>922786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IFERROR(__xludf.DUMMYFUNCTION("""COMPUTED_VALUE"""),29.78)</f>
        <v>29.78</v>
      </c>
      <c r="C1956" s="1">
        <f>IFERROR(__xludf.DUMMYFUNCTION("""COMPUTED_VALUE"""),29.9)</f>
        <v>29.9</v>
      </c>
      <c r="D1956" s="1">
        <f>IFERROR(__xludf.DUMMYFUNCTION("""COMPUTED_VALUE"""),29.23)</f>
        <v>29.23</v>
      </c>
      <c r="E1956" s="1">
        <f>IFERROR(__xludf.DUMMYFUNCTION("""COMPUTED_VALUE"""),29.65)</f>
        <v>29.65</v>
      </c>
      <c r="F1956" s="1">
        <f>IFERROR(__xludf.DUMMYFUNCTION("""COMPUTED_VALUE"""),498839.0)</f>
        <v>498839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IFERROR(__xludf.DUMMYFUNCTION("""COMPUTED_VALUE"""),29.4)</f>
        <v>29.4</v>
      </c>
      <c r="C1957" s="1">
        <f>IFERROR(__xludf.DUMMYFUNCTION("""COMPUTED_VALUE"""),29.63)</f>
        <v>29.63</v>
      </c>
      <c r="D1957" s="1">
        <f>IFERROR(__xludf.DUMMYFUNCTION("""COMPUTED_VALUE"""),29.02)</f>
        <v>29.02</v>
      </c>
      <c r="E1957" s="1">
        <f>IFERROR(__xludf.DUMMYFUNCTION("""COMPUTED_VALUE"""),29.13)</f>
        <v>29.13</v>
      </c>
      <c r="F1957" s="1">
        <f>IFERROR(__xludf.DUMMYFUNCTION("""COMPUTED_VALUE"""),431355.0)</f>
        <v>431355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IFERROR(__xludf.DUMMYFUNCTION("""COMPUTED_VALUE"""),28.88)</f>
        <v>28.88</v>
      </c>
      <c r="C1958" s="1">
        <f>IFERROR(__xludf.DUMMYFUNCTION("""COMPUTED_VALUE"""),28.96)</f>
        <v>28.96</v>
      </c>
      <c r="D1958" s="1">
        <f>IFERROR(__xludf.DUMMYFUNCTION("""COMPUTED_VALUE"""),27.35)</f>
        <v>27.35</v>
      </c>
      <c r="E1958" s="1">
        <f>IFERROR(__xludf.DUMMYFUNCTION("""COMPUTED_VALUE"""),27.81)</f>
        <v>27.81</v>
      </c>
      <c r="F1958" s="1">
        <f>IFERROR(__xludf.DUMMYFUNCTION("""COMPUTED_VALUE"""),1386033.0)</f>
        <v>1386033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IFERROR(__xludf.DUMMYFUNCTION("""COMPUTED_VALUE"""),28.0)</f>
        <v>28</v>
      </c>
      <c r="C1959" s="1">
        <f>IFERROR(__xludf.DUMMYFUNCTION("""COMPUTED_VALUE"""),28.27)</f>
        <v>28.27</v>
      </c>
      <c r="D1959" s="1">
        <f>IFERROR(__xludf.DUMMYFUNCTION("""COMPUTED_VALUE"""),27.76)</f>
        <v>27.76</v>
      </c>
      <c r="E1959" s="1">
        <f>IFERROR(__xludf.DUMMYFUNCTION("""COMPUTED_VALUE"""),28.07)</f>
        <v>28.07</v>
      </c>
      <c r="F1959" s="1">
        <f>IFERROR(__xludf.DUMMYFUNCTION("""COMPUTED_VALUE"""),938359.0)</f>
        <v>938359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IFERROR(__xludf.DUMMYFUNCTION("""COMPUTED_VALUE"""),27.94)</f>
        <v>27.94</v>
      </c>
      <c r="C1960" s="1">
        <f>IFERROR(__xludf.DUMMYFUNCTION("""COMPUTED_VALUE"""),28.33)</f>
        <v>28.33</v>
      </c>
      <c r="D1960" s="1">
        <f>IFERROR(__xludf.DUMMYFUNCTION("""COMPUTED_VALUE"""),27.85)</f>
        <v>27.85</v>
      </c>
      <c r="E1960" s="1">
        <f>IFERROR(__xludf.DUMMYFUNCTION("""COMPUTED_VALUE"""),28.17)</f>
        <v>28.17</v>
      </c>
      <c r="F1960" s="1">
        <f>IFERROR(__xludf.DUMMYFUNCTION("""COMPUTED_VALUE"""),730426.0)</f>
        <v>730426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IFERROR(__xludf.DUMMYFUNCTION("""COMPUTED_VALUE"""),28.22)</f>
        <v>28.22</v>
      </c>
      <c r="C1961" s="1">
        <f>IFERROR(__xludf.DUMMYFUNCTION("""COMPUTED_VALUE"""),28.34)</f>
        <v>28.34</v>
      </c>
      <c r="D1961" s="1">
        <f>IFERROR(__xludf.DUMMYFUNCTION("""COMPUTED_VALUE"""),27.86)</f>
        <v>27.86</v>
      </c>
      <c r="E1961" s="1">
        <f>IFERROR(__xludf.DUMMYFUNCTION("""COMPUTED_VALUE"""),28.19)</f>
        <v>28.19</v>
      </c>
      <c r="F1961" s="1">
        <f>IFERROR(__xludf.DUMMYFUNCTION("""COMPUTED_VALUE"""),806306.0)</f>
        <v>806306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IFERROR(__xludf.DUMMYFUNCTION("""COMPUTED_VALUE"""),28.15)</f>
        <v>28.15</v>
      </c>
      <c r="C1962" s="1">
        <f>IFERROR(__xludf.DUMMYFUNCTION("""COMPUTED_VALUE"""),28.6)</f>
        <v>28.6</v>
      </c>
      <c r="D1962" s="1">
        <f>IFERROR(__xludf.DUMMYFUNCTION("""COMPUTED_VALUE"""),28.1)</f>
        <v>28.1</v>
      </c>
      <c r="E1962" s="1">
        <f>IFERROR(__xludf.DUMMYFUNCTION("""COMPUTED_VALUE"""),28.51)</f>
        <v>28.51</v>
      </c>
      <c r="F1962" s="1">
        <f>IFERROR(__xludf.DUMMYFUNCTION("""COMPUTED_VALUE"""),671227.0)</f>
        <v>671227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IFERROR(__xludf.DUMMYFUNCTION("""COMPUTED_VALUE"""),28.61)</f>
        <v>28.61</v>
      </c>
      <c r="C1963" s="1">
        <f>IFERROR(__xludf.DUMMYFUNCTION("""COMPUTED_VALUE"""),28.61)</f>
        <v>28.61</v>
      </c>
      <c r="D1963" s="1">
        <f>IFERROR(__xludf.DUMMYFUNCTION("""COMPUTED_VALUE"""),28.03)</f>
        <v>28.03</v>
      </c>
      <c r="E1963" s="1">
        <f>IFERROR(__xludf.DUMMYFUNCTION("""COMPUTED_VALUE"""),28.11)</f>
        <v>28.11</v>
      </c>
      <c r="F1963" s="1">
        <f>IFERROR(__xludf.DUMMYFUNCTION("""COMPUTED_VALUE"""),384163.0)</f>
        <v>384163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IFERROR(__xludf.DUMMYFUNCTION("""COMPUTED_VALUE"""),28.26)</f>
        <v>28.26</v>
      </c>
      <c r="C1964" s="1">
        <f>IFERROR(__xludf.DUMMYFUNCTION("""COMPUTED_VALUE"""),28.4)</f>
        <v>28.4</v>
      </c>
      <c r="D1964" s="1">
        <f>IFERROR(__xludf.DUMMYFUNCTION("""COMPUTED_VALUE"""),27.92)</f>
        <v>27.92</v>
      </c>
      <c r="E1964" s="1">
        <f>IFERROR(__xludf.DUMMYFUNCTION("""COMPUTED_VALUE"""),28.29)</f>
        <v>28.29</v>
      </c>
      <c r="F1964" s="1">
        <f>IFERROR(__xludf.DUMMYFUNCTION("""COMPUTED_VALUE"""),490440.0)</f>
        <v>490440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IFERROR(__xludf.DUMMYFUNCTION("""COMPUTED_VALUE"""),28.28)</f>
        <v>28.28</v>
      </c>
      <c r="C1965" s="1">
        <f>IFERROR(__xludf.DUMMYFUNCTION("""COMPUTED_VALUE"""),28.93)</f>
        <v>28.93</v>
      </c>
      <c r="D1965" s="1">
        <f>IFERROR(__xludf.DUMMYFUNCTION("""COMPUTED_VALUE"""),28.01)</f>
        <v>28.01</v>
      </c>
      <c r="E1965" s="1">
        <f>IFERROR(__xludf.DUMMYFUNCTION("""COMPUTED_VALUE"""),28.93)</f>
        <v>28.93</v>
      </c>
      <c r="F1965" s="1">
        <f>IFERROR(__xludf.DUMMYFUNCTION("""COMPUTED_VALUE"""),635164.0)</f>
        <v>635164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IFERROR(__xludf.DUMMYFUNCTION("""COMPUTED_VALUE"""),28.89)</f>
        <v>28.89</v>
      </c>
      <c r="C1966" s="1">
        <f>IFERROR(__xludf.DUMMYFUNCTION("""COMPUTED_VALUE"""),28.91)</f>
        <v>28.91</v>
      </c>
      <c r="D1966" s="1">
        <f>IFERROR(__xludf.DUMMYFUNCTION("""COMPUTED_VALUE"""),27.33)</f>
        <v>27.33</v>
      </c>
      <c r="E1966" s="1">
        <f>IFERROR(__xludf.DUMMYFUNCTION("""COMPUTED_VALUE"""),28.75)</f>
        <v>28.75</v>
      </c>
      <c r="F1966" s="1">
        <f>IFERROR(__xludf.DUMMYFUNCTION("""COMPUTED_VALUE"""),1036726.0)</f>
        <v>1036726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IFERROR(__xludf.DUMMYFUNCTION("""COMPUTED_VALUE"""),28.71)</f>
        <v>28.71</v>
      </c>
      <c r="C1967" s="1">
        <f>IFERROR(__xludf.DUMMYFUNCTION("""COMPUTED_VALUE"""),28.91)</f>
        <v>28.91</v>
      </c>
      <c r="D1967" s="1">
        <f>IFERROR(__xludf.DUMMYFUNCTION("""COMPUTED_VALUE"""),28.55)</f>
        <v>28.55</v>
      </c>
      <c r="E1967" s="1">
        <f>IFERROR(__xludf.DUMMYFUNCTION("""COMPUTED_VALUE"""),28.59)</f>
        <v>28.59</v>
      </c>
      <c r="F1967" s="1">
        <f>IFERROR(__xludf.DUMMYFUNCTION("""COMPUTED_VALUE"""),367044.0)</f>
        <v>367044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IFERROR(__xludf.DUMMYFUNCTION("""COMPUTED_VALUE"""),28.75)</f>
        <v>28.75</v>
      </c>
      <c r="C1968" s="1">
        <f>IFERROR(__xludf.DUMMYFUNCTION("""COMPUTED_VALUE"""),29.39)</f>
        <v>29.39</v>
      </c>
      <c r="D1968" s="1">
        <f>IFERROR(__xludf.DUMMYFUNCTION("""COMPUTED_VALUE"""),28.7)</f>
        <v>28.7</v>
      </c>
      <c r="E1968" s="1">
        <f>IFERROR(__xludf.DUMMYFUNCTION("""COMPUTED_VALUE"""),29.24)</f>
        <v>29.24</v>
      </c>
      <c r="F1968" s="1">
        <f>IFERROR(__xludf.DUMMYFUNCTION("""COMPUTED_VALUE"""),730186.0)</f>
        <v>730186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IFERROR(__xludf.DUMMYFUNCTION("""COMPUTED_VALUE"""),29.08)</f>
        <v>29.08</v>
      </c>
      <c r="C1969" s="1">
        <f>IFERROR(__xludf.DUMMYFUNCTION("""COMPUTED_VALUE"""),29.19)</f>
        <v>29.19</v>
      </c>
      <c r="D1969" s="1">
        <f>IFERROR(__xludf.DUMMYFUNCTION("""COMPUTED_VALUE"""),28.35)</f>
        <v>28.35</v>
      </c>
      <c r="E1969" s="1">
        <f>IFERROR(__xludf.DUMMYFUNCTION("""COMPUTED_VALUE"""),28.35)</f>
        <v>28.35</v>
      </c>
      <c r="F1969" s="1">
        <f>IFERROR(__xludf.DUMMYFUNCTION("""COMPUTED_VALUE"""),371221.0)</f>
        <v>371221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IFERROR(__xludf.DUMMYFUNCTION("""COMPUTED_VALUE"""),28.52)</f>
        <v>28.52</v>
      </c>
      <c r="C1970" s="1">
        <f>IFERROR(__xludf.DUMMYFUNCTION("""COMPUTED_VALUE"""),28.6)</f>
        <v>28.6</v>
      </c>
      <c r="D1970" s="1">
        <f>IFERROR(__xludf.DUMMYFUNCTION("""COMPUTED_VALUE"""),28.11)</f>
        <v>28.11</v>
      </c>
      <c r="E1970" s="1">
        <f>IFERROR(__xludf.DUMMYFUNCTION("""COMPUTED_VALUE"""),28.35)</f>
        <v>28.35</v>
      </c>
      <c r="F1970" s="1">
        <f>IFERROR(__xludf.DUMMYFUNCTION("""COMPUTED_VALUE"""),450280.0)</f>
        <v>450280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IFERROR(__xludf.DUMMYFUNCTION("""COMPUTED_VALUE"""),28.13)</f>
        <v>28.13</v>
      </c>
      <c r="C1971" s="1">
        <f>IFERROR(__xludf.DUMMYFUNCTION("""COMPUTED_VALUE"""),28.47)</f>
        <v>28.47</v>
      </c>
      <c r="D1971" s="1">
        <f>IFERROR(__xludf.DUMMYFUNCTION("""COMPUTED_VALUE"""),28.1)</f>
        <v>28.1</v>
      </c>
      <c r="E1971" s="1">
        <f>IFERROR(__xludf.DUMMYFUNCTION("""COMPUTED_VALUE"""),28.36)</f>
        <v>28.36</v>
      </c>
      <c r="F1971" s="1">
        <f>IFERROR(__xludf.DUMMYFUNCTION("""COMPUTED_VALUE"""),408403.0)</f>
        <v>408403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IFERROR(__xludf.DUMMYFUNCTION("""COMPUTED_VALUE"""),28.11)</f>
        <v>28.11</v>
      </c>
      <c r="C1972" s="1">
        <f>IFERROR(__xludf.DUMMYFUNCTION("""COMPUTED_VALUE"""),28.24)</f>
        <v>28.24</v>
      </c>
      <c r="D1972" s="1">
        <f>IFERROR(__xludf.DUMMYFUNCTION("""COMPUTED_VALUE"""),27.59)</f>
        <v>27.59</v>
      </c>
      <c r="E1972" s="1">
        <f>IFERROR(__xludf.DUMMYFUNCTION("""COMPUTED_VALUE"""),27.88)</f>
        <v>27.88</v>
      </c>
      <c r="F1972" s="1">
        <f>IFERROR(__xludf.DUMMYFUNCTION("""COMPUTED_VALUE"""),293973.0)</f>
        <v>293973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IFERROR(__xludf.DUMMYFUNCTION("""COMPUTED_VALUE"""),27.9)</f>
        <v>27.9</v>
      </c>
      <c r="C1973" s="1">
        <f>IFERROR(__xludf.DUMMYFUNCTION("""COMPUTED_VALUE"""),28.12)</f>
        <v>28.12</v>
      </c>
      <c r="D1973" s="1">
        <f>IFERROR(__xludf.DUMMYFUNCTION("""COMPUTED_VALUE"""),27.84)</f>
        <v>27.84</v>
      </c>
      <c r="E1973" s="1">
        <f>IFERROR(__xludf.DUMMYFUNCTION("""COMPUTED_VALUE"""),28.03)</f>
        <v>28.03</v>
      </c>
      <c r="F1973" s="1">
        <f>IFERROR(__xludf.DUMMYFUNCTION("""COMPUTED_VALUE"""),300675.0)</f>
        <v>300675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IFERROR(__xludf.DUMMYFUNCTION("""COMPUTED_VALUE"""),28.02)</f>
        <v>28.02</v>
      </c>
      <c r="C1974" s="1">
        <f>IFERROR(__xludf.DUMMYFUNCTION("""COMPUTED_VALUE"""),28.71)</f>
        <v>28.71</v>
      </c>
      <c r="D1974" s="1">
        <f>IFERROR(__xludf.DUMMYFUNCTION("""COMPUTED_VALUE"""),28.02)</f>
        <v>28.02</v>
      </c>
      <c r="E1974" s="1">
        <f>IFERROR(__xludf.DUMMYFUNCTION("""COMPUTED_VALUE"""),28.3)</f>
        <v>28.3</v>
      </c>
      <c r="F1974" s="1">
        <f>IFERROR(__xludf.DUMMYFUNCTION("""COMPUTED_VALUE"""),649520.0)</f>
        <v>649520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IFERROR(__xludf.DUMMYFUNCTION("""COMPUTED_VALUE"""),28.36)</f>
        <v>28.36</v>
      </c>
      <c r="C1975" s="1">
        <f>IFERROR(__xludf.DUMMYFUNCTION("""COMPUTED_VALUE"""),28.82)</f>
        <v>28.82</v>
      </c>
      <c r="D1975" s="1">
        <f>IFERROR(__xludf.DUMMYFUNCTION("""COMPUTED_VALUE"""),28.36)</f>
        <v>28.36</v>
      </c>
      <c r="E1975" s="1">
        <f>IFERROR(__xludf.DUMMYFUNCTION("""COMPUTED_VALUE"""),28.71)</f>
        <v>28.71</v>
      </c>
      <c r="F1975" s="1">
        <f>IFERROR(__xludf.DUMMYFUNCTION("""COMPUTED_VALUE"""),393650.0)</f>
        <v>393650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IFERROR(__xludf.DUMMYFUNCTION("""COMPUTED_VALUE"""),28.86)</f>
        <v>28.86</v>
      </c>
      <c r="C1976" s="1">
        <f>IFERROR(__xludf.DUMMYFUNCTION("""COMPUTED_VALUE"""),28.93)</f>
        <v>28.93</v>
      </c>
      <c r="D1976" s="1">
        <f>IFERROR(__xludf.DUMMYFUNCTION("""COMPUTED_VALUE"""),28.67)</f>
        <v>28.67</v>
      </c>
      <c r="E1976" s="1">
        <f>IFERROR(__xludf.DUMMYFUNCTION("""COMPUTED_VALUE"""),28.78)</f>
        <v>28.78</v>
      </c>
      <c r="F1976" s="1">
        <f>IFERROR(__xludf.DUMMYFUNCTION("""COMPUTED_VALUE"""),423783.0)</f>
        <v>423783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IFERROR(__xludf.DUMMYFUNCTION("""COMPUTED_VALUE"""),28.85)</f>
        <v>28.85</v>
      </c>
      <c r="C1977" s="1">
        <f>IFERROR(__xludf.DUMMYFUNCTION("""COMPUTED_VALUE"""),29.03)</f>
        <v>29.03</v>
      </c>
      <c r="D1977" s="1">
        <f>IFERROR(__xludf.DUMMYFUNCTION("""COMPUTED_VALUE"""),28.67)</f>
        <v>28.67</v>
      </c>
      <c r="E1977" s="1">
        <f>IFERROR(__xludf.DUMMYFUNCTION("""COMPUTED_VALUE"""),28.78)</f>
        <v>28.78</v>
      </c>
      <c r="F1977" s="1">
        <f>IFERROR(__xludf.DUMMYFUNCTION("""COMPUTED_VALUE"""),421977.0)</f>
        <v>421977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IFERROR(__xludf.DUMMYFUNCTION("""COMPUTED_VALUE"""),28.91)</f>
        <v>28.91</v>
      </c>
      <c r="C1978" s="1">
        <f>IFERROR(__xludf.DUMMYFUNCTION("""COMPUTED_VALUE"""),28.91)</f>
        <v>28.91</v>
      </c>
      <c r="D1978" s="1">
        <f>IFERROR(__xludf.DUMMYFUNCTION("""COMPUTED_VALUE"""),28.53)</f>
        <v>28.53</v>
      </c>
      <c r="E1978" s="1">
        <f>IFERROR(__xludf.DUMMYFUNCTION("""COMPUTED_VALUE"""),28.57)</f>
        <v>28.57</v>
      </c>
      <c r="F1978" s="1">
        <f>IFERROR(__xludf.DUMMYFUNCTION("""COMPUTED_VALUE"""),246838.0)</f>
        <v>246838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IFERROR(__xludf.DUMMYFUNCTION("""COMPUTED_VALUE"""),28.68)</f>
        <v>28.68</v>
      </c>
      <c r="C1979" s="1">
        <f>IFERROR(__xludf.DUMMYFUNCTION("""COMPUTED_VALUE"""),28.71)</f>
        <v>28.71</v>
      </c>
      <c r="D1979" s="1">
        <f>IFERROR(__xludf.DUMMYFUNCTION("""COMPUTED_VALUE"""),28.06)</f>
        <v>28.06</v>
      </c>
      <c r="E1979" s="1">
        <f>IFERROR(__xludf.DUMMYFUNCTION("""COMPUTED_VALUE"""),28.16)</f>
        <v>28.16</v>
      </c>
      <c r="F1979" s="1">
        <f>IFERROR(__xludf.DUMMYFUNCTION("""COMPUTED_VALUE"""),371113.0)</f>
        <v>371113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IFERROR(__xludf.DUMMYFUNCTION("""COMPUTED_VALUE"""),28.16)</f>
        <v>28.16</v>
      </c>
      <c r="C1980" s="1">
        <f>IFERROR(__xludf.DUMMYFUNCTION("""COMPUTED_VALUE"""),28.3)</f>
        <v>28.3</v>
      </c>
      <c r="D1980" s="1">
        <f>IFERROR(__xludf.DUMMYFUNCTION("""COMPUTED_VALUE"""),27.82)</f>
        <v>27.82</v>
      </c>
      <c r="E1980" s="1">
        <f>IFERROR(__xludf.DUMMYFUNCTION("""COMPUTED_VALUE"""),28.2)</f>
        <v>28.2</v>
      </c>
      <c r="F1980" s="1">
        <f>IFERROR(__xludf.DUMMYFUNCTION("""COMPUTED_VALUE"""),611611.0)</f>
        <v>611611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IFERROR(__xludf.DUMMYFUNCTION("""COMPUTED_VALUE"""),28.0)</f>
        <v>28</v>
      </c>
      <c r="C1981" s="1">
        <f>IFERROR(__xludf.DUMMYFUNCTION("""COMPUTED_VALUE"""),28.08)</f>
        <v>28.08</v>
      </c>
      <c r="D1981" s="1">
        <f>IFERROR(__xludf.DUMMYFUNCTION("""COMPUTED_VALUE"""),25.01)</f>
        <v>25.01</v>
      </c>
      <c r="E1981" s="1">
        <f>IFERROR(__xludf.DUMMYFUNCTION("""COMPUTED_VALUE"""),25.36)</f>
        <v>25.36</v>
      </c>
      <c r="F1981" s="1">
        <f>IFERROR(__xludf.DUMMYFUNCTION("""COMPUTED_VALUE"""),3169400.0)</f>
        <v>3169400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IFERROR(__xludf.DUMMYFUNCTION("""COMPUTED_VALUE"""),24.82)</f>
        <v>24.82</v>
      </c>
      <c r="C1982" s="1">
        <f>IFERROR(__xludf.DUMMYFUNCTION("""COMPUTED_VALUE"""),25.3)</f>
        <v>25.3</v>
      </c>
      <c r="D1982" s="1">
        <f>IFERROR(__xludf.DUMMYFUNCTION("""COMPUTED_VALUE"""),24.08)</f>
        <v>24.08</v>
      </c>
      <c r="E1982" s="1">
        <f>IFERROR(__xludf.DUMMYFUNCTION("""COMPUTED_VALUE"""),25.11)</f>
        <v>25.11</v>
      </c>
      <c r="F1982" s="1">
        <f>IFERROR(__xludf.DUMMYFUNCTION("""COMPUTED_VALUE"""),1857429.0)</f>
        <v>1857429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IFERROR(__xludf.DUMMYFUNCTION("""COMPUTED_VALUE"""),24.98)</f>
        <v>24.98</v>
      </c>
      <c r="C1983" s="1">
        <f>IFERROR(__xludf.DUMMYFUNCTION("""COMPUTED_VALUE"""),25.3)</f>
        <v>25.3</v>
      </c>
      <c r="D1983" s="1">
        <f>IFERROR(__xludf.DUMMYFUNCTION("""COMPUTED_VALUE"""),24.78)</f>
        <v>24.78</v>
      </c>
      <c r="E1983" s="1">
        <f>IFERROR(__xludf.DUMMYFUNCTION("""COMPUTED_VALUE"""),25.04)</f>
        <v>25.04</v>
      </c>
      <c r="F1983" s="1">
        <f>IFERROR(__xludf.DUMMYFUNCTION("""COMPUTED_VALUE"""),1098249.0)</f>
        <v>1098249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IFERROR(__xludf.DUMMYFUNCTION("""COMPUTED_VALUE"""),24.8)</f>
        <v>24.8</v>
      </c>
      <c r="C1984" s="1">
        <f>IFERROR(__xludf.DUMMYFUNCTION("""COMPUTED_VALUE"""),25.11)</f>
        <v>25.11</v>
      </c>
      <c r="D1984" s="1">
        <f>IFERROR(__xludf.DUMMYFUNCTION("""COMPUTED_VALUE"""),24.32)</f>
        <v>24.32</v>
      </c>
      <c r="E1984" s="1">
        <f>IFERROR(__xludf.DUMMYFUNCTION("""COMPUTED_VALUE"""),24.85)</f>
        <v>24.85</v>
      </c>
      <c r="F1984" s="1">
        <f>IFERROR(__xludf.DUMMYFUNCTION("""COMPUTED_VALUE"""),1049904.0)</f>
        <v>1049904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IFERROR(__xludf.DUMMYFUNCTION("""COMPUTED_VALUE"""),24.75)</f>
        <v>24.75</v>
      </c>
      <c r="C1985" s="1">
        <f>IFERROR(__xludf.DUMMYFUNCTION("""COMPUTED_VALUE"""),25.2)</f>
        <v>25.2</v>
      </c>
      <c r="D1985" s="1">
        <f>IFERROR(__xludf.DUMMYFUNCTION("""COMPUTED_VALUE"""),24.75)</f>
        <v>24.75</v>
      </c>
      <c r="E1985" s="1">
        <f>IFERROR(__xludf.DUMMYFUNCTION("""COMPUTED_VALUE"""),25.18)</f>
        <v>25.18</v>
      </c>
      <c r="F1985" s="1">
        <f>IFERROR(__xludf.DUMMYFUNCTION("""COMPUTED_VALUE"""),848740.0)</f>
        <v>848740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IFERROR(__xludf.DUMMYFUNCTION("""COMPUTED_VALUE"""),25.05)</f>
        <v>25.05</v>
      </c>
      <c r="C1986" s="1">
        <f>IFERROR(__xludf.DUMMYFUNCTION("""COMPUTED_VALUE"""),25.76)</f>
        <v>25.76</v>
      </c>
      <c r="D1986" s="1">
        <f>IFERROR(__xludf.DUMMYFUNCTION("""COMPUTED_VALUE"""),24.97)</f>
        <v>24.97</v>
      </c>
      <c r="E1986" s="1">
        <f>IFERROR(__xludf.DUMMYFUNCTION("""COMPUTED_VALUE"""),25.29)</f>
        <v>25.29</v>
      </c>
      <c r="F1986" s="1">
        <f>IFERROR(__xludf.DUMMYFUNCTION("""COMPUTED_VALUE"""),970680.0)</f>
        <v>970680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IFERROR(__xludf.DUMMYFUNCTION("""COMPUTED_VALUE"""),25.91)</f>
        <v>25.91</v>
      </c>
      <c r="C1987" s="1">
        <f>IFERROR(__xludf.DUMMYFUNCTION("""COMPUTED_VALUE"""),26.72)</f>
        <v>26.72</v>
      </c>
      <c r="D1987" s="1">
        <f>IFERROR(__xludf.DUMMYFUNCTION("""COMPUTED_VALUE"""),25.9)</f>
        <v>25.9</v>
      </c>
      <c r="E1987" s="1">
        <f>IFERROR(__xludf.DUMMYFUNCTION("""COMPUTED_VALUE"""),26.11)</f>
        <v>26.11</v>
      </c>
      <c r="F1987" s="1">
        <f>IFERROR(__xludf.DUMMYFUNCTION("""COMPUTED_VALUE"""),1124184.0)</f>
        <v>1124184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IFERROR(__xludf.DUMMYFUNCTION("""COMPUTED_VALUE"""),26.09)</f>
        <v>26.09</v>
      </c>
      <c r="C1988" s="1">
        <f>IFERROR(__xludf.DUMMYFUNCTION("""COMPUTED_VALUE"""),26.33)</f>
        <v>26.33</v>
      </c>
      <c r="D1988" s="1">
        <f>IFERROR(__xludf.DUMMYFUNCTION("""COMPUTED_VALUE"""),25.75)</f>
        <v>25.75</v>
      </c>
      <c r="E1988" s="1">
        <f>IFERROR(__xludf.DUMMYFUNCTION("""COMPUTED_VALUE"""),26.1)</f>
        <v>26.1</v>
      </c>
      <c r="F1988" s="1">
        <f>IFERROR(__xludf.DUMMYFUNCTION("""COMPUTED_VALUE"""),839013.0)</f>
        <v>839013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IFERROR(__xludf.DUMMYFUNCTION("""COMPUTED_VALUE"""),26.07)</f>
        <v>26.07</v>
      </c>
      <c r="C1989" s="1">
        <f>IFERROR(__xludf.DUMMYFUNCTION("""COMPUTED_VALUE"""),26.37)</f>
        <v>26.37</v>
      </c>
      <c r="D1989" s="1">
        <f>IFERROR(__xludf.DUMMYFUNCTION("""COMPUTED_VALUE"""),25.55)</f>
        <v>25.55</v>
      </c>
      <c r="E1989" s="1">
        <f>IFERROR(__xludf.DUMMYFUNCTION("""COMPUTED_VALUE"""),25.57)</f>
        <v>25.57</v>
      </c>
      <c r="F1989" s="1">
        <f>IFERROR(__xludf.DUMMYFUNCTION("""COMPUTED_VALUE"""),487944.0)</f>
        <v>487944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IFERROR(__xludf.DUMMYFUNCTION("""COMPUTED_VALUE"""),25.78)</f>
        <v>25.78</v>
      </c>
      <c r="C1990" s="1">
        <f>IFERROR(__xludf.DUMMYFUNCTION("""COMPUTED_VALUE"""),25.99)</f>
        <v>25.99</v>
      </c>
      <c r="D1990" s="1">
        <f>IFERROR(__xludf.DUMMYFUNCTION("""COMPUTED_VALUE"""),25.73)</f>
        <v>25.73</v>
      </c>
      <c r="E1990" s="1">
        <f>IFERROR(__xludf.DUMMYFUNCTION("""COMPUTED_VALUE"""),25.85)</f>
        <v>25.85</v>
      </c>
      <c r="F1990" s="1">
        <f>IFERROR(__xludf.DUMMYFUNCTION("""COMPUTED_VALUE"""),334418.0)</f>
        <v>334418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IFERROR(__xludf.DUMMYFUNCTION("""COMPUTED_VALUE"""),25.74)</f>
        <v>25.74</v>
      </c>
      <c r="C1991" s="1">
        <f>IFERROR(__xludf.DUMMYFUNCTION("""COMPUTED_VALUE"""),25.97)</f>
        <v>25.97</v>
      </c>
      <c r="D1991" s="1">
        <f>IFERROR(__xludf.DUMMYFUNCTION("""COMPUTED_VALUE"""),25.65)</f>
        <v>25.65</v>
      </c>
      <c r="E1991" s="1">
        <f>IFERROR(__xludf.DUMMYFUNCTION("""COMPUTED_VALUE"""),25.85)</f>
        <v>25.85</v>
      </c>
      <c r="F1991" s="1">
        <f>IFERROR(__xludf.DUMMYFUNCTION("""COMPUTED_VALUE"""),504212.0)</f>
        <v>504212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IFERROR(__xludf.DUMMYFUNCTION("""COMPUTED_VALUE"""),25.81)</f>
        <v>25.81</v>
      </c>
      <c r="C1992" s="1">
        <f>IFERROR(__xludf.DUMMYFUNCTION("""COMPUTED_VALUE"""),26.18)</f>
        <v>26.18</v>
      </c>
      <c r="D1992" s="1">
        <f>IFERROR(__xludf.DUMMYFUNCTION("""COMPUTED_VALUE"""),25.7)</f>
        <v>25.7</v>
      </c>
      <c r="E1992" s="1">
        <f>IFERROR(__xludf.DUMMYFUNCTION("""COMPUTED_VALUE"""),26.17)</f>
        <v>26.17</v>
      </c>
      <c r="F1992" s="1">
        <f>IFERROR(__xludf.DUMMYFUNCTION("""COMPUTED_VALUE"""),609713.0)</f>
        <v>609713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IFERROR(__xludf.DUMMYFUNCTION("""COMPUTED_VALUE"""),26.11)</f>
        <v>26.11</v>
      </c>
      <c r="C1993" s="1">
        <f>IFERROR(__xludf.DUMMYFUNCTION("""COMPUTED_VALUE"""),26.71)</f>
        <v>26.71</v>
      </c>
      <c r="D1993" s="1">
        <f>IFERROR(__xludf.DUMMYFUNCTION("""COMPUTED_VALUE"""),25.99)</f>
        <v>25.99</v>
      </c>
      <c r="E1993" s="1">
        <f>IFERROR(__xludf.DUMMYFUNCTION("""COMPUTED_VALUE"""),26.53)</f>
        <v>26.53</v>
      </c>
      <c r="F1993" s="1">
        <f>IFERROR(__xludf.DUMMYFUNCTION("""COMPUTED_VALUE"""),625496.0)</f>
        <v>625496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IFERROR(__xludf.DUMMYFUNCTION("""COMPUTED_VALUE"""),26.67)</f>
        <v>26.67</v>
      </c>
      <c r="C1994" s="1">
        <f>IFERROR(__xludf.DUMMYFUNCTION("""COMPUTED_VALUE"""),26.67)</f>
        <v>26.67</v>
      </c>
      <c r="D1994" s="1">
        <f>IFERROR(__xludf.DUMMYFUNCTION("""COMPUTED_VALUE"""),26.28)</f>
        <v>26.28</v>
      </c>
      <c r="E1994" s="1">
        <f>IFERROR(__xludf.DUMMYFUNCTION("""COMPUTED_VALUE"""),26.5)</f>
        <v>26.5</v>
      </c>
      <c r="F1994" s="1">
        <f>IFERROR(__xludf.DUMMYFUNCTION("""COMPUTED_VALUE"""),680141.0)</f>
        <v>680141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IFERROR(__xludf.DUMMYFUNCTION("""COMPUTED_VALUE"""),26.55)</f>
        <v>26.55</v>
      </c>
      <c r="C1995" s="1">
        <f>IFERROR(__xludf.DUMMYFUNCTION("""COMPUTED_VALUE"""),26.55)</f>
        <v>26.55</v>
      </c>
      <c r="D1995" s="1">
        <f>IFERROR(__xludf.DUMMYFUNCTION("""COMPUTED_VALUE"""),25.5)</f>
        <v>25.5</v>
      </c>
      <c r="E1995" s="1">
        <f>IFERROR(__xludf.DUMMYFUNCTION("""COMPUTED_VALUE"""),25.88)</f>
        <v>25.88</v>
      </c>
      <c r="F1995" s="1">
        <f>IFERROR(__xludf.DUMMYFUNCTION("""COMPUTED_VALUE"""),876011.0)</f>
        <v>876011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IFERROR(__xludf.DUMMYFUNCTION("""COMPUTED_VALUE"""),26.27)</f>
        <v>26.27</v>
      </c>
      <c r="C1996" s="1">
        <f>IFERROR(__xludf.DUMMYFUNCTION("""COMPUTED_VALUE"""),27.09)</f>
        <v>27.09</v>
      </c>
      <c r="D1996" s="1">
        <f>IFERROR(__xludf.DUMMYFUNCTION("""COMPUTED_VALUE"""),26.23)</f>
        <v>26.23</v>
      </c>
      <c r="E1996" s="1">
        <f>IFERROR(__xludf.DUMMYFUNCTION("""COMPUTED_VALUE"""),27.09)</f>
        <v>27.09</v>
      </c>
      <c r="F1996" s="1">
        <f>IFERROR(__xludf.DUMMYFUNCTION("""COMPUTED_VALUE"""),1120215.0)</f>
        <v>1120215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IFERROR(__xludf.DUMMYFUNCTION("""COMPUTED_VALUE"""),27.13)</f>
        <v>27.13</v>
      </c>
      <c r="C1997" s="1">
        <f>IFERROR(__xludf.DUMMYFUNCTION("""COMPUTED_VALUE"""),27.27)</f>
        <v>27.27</v>
      </c>
      <c r="D1997" s="1">
        <f>IFERROR(__xludf.DUMMYFUNCTION("""COMPUTED_VALUE"""),26.92)</f>
        <v>26.92</v>
      </c>
      <c r="E1997" s="1">
        <f>IFERROR(__xludf.DUMMYFUNCTION("""COMPUTED_VALUE"""),26.93)</f>
        <v>26.93</v>
      </c>
      <c r="F1997" s="1">
        <f>IFERROR(__xludf.DUMMYFUNCTION("""COMPUTED_VALUE"""),955869.0)</f>
        <v>955869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IFERROR(__xludf.DUMMYFUNCTION("""COMPUTED_VALUE"""),26.89)</f>
        <v>26.89</v>
      </c>
      <c r="C1998" s="1">
        <f>IFERROR(__xludf.DUMMYFUNCTION("""COMPUTED_VALUE"""),27.1)</f>
        <v>27.1</v>
      </c>
      <c r="D1998" s="1">
        <f>IFERROR(__xludf.DUMMYFUNCTION("""COMPUTED_VALUE"""),26.76)</f>
        <v>26.76</v>
      </c>
      <c r="E1998" s="1">
        <f>IFERROR(__xludf.DUMMYFUNCTION("""COMPUTED_VALUE"""),27.04)</f>
        <v>27.04</v>
      </c>
      <c r="F1998" s="1">
        <f>IFERROR(__xludf.DUMMYFUNCTION("""COMPUTED_VALUE"""),755763.0)</f>
        <v>755763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IFERROR(__xludf.DUMMYFUNCTION("""COMPUTED_VALUE"""),26.97)</f>
        <v>26.97</v>
      </c>
      <c r="C1999" s="1">
        <f>IFERROR(__xludf.DUMMYFUNCTION("""COMPUTED_VALUE"""),27.82)</f>
        <v>27.82</v>
      </c>
      <c r="D1999" s="1">
        <f>IFERROR(__xludf.DUMMYFUNCTION("""COMPUTED_VALUE"""),26.94)</f>
        <v>26.94</v>
      </c>
      <c r="E1999" s="1">
        <f>IFERROR(__xludf.DUMMYFUNCTION("""COMPUTED_VALUE"""),27.8)</f>
        <v>27.8</v>
      </c>
      <c r="F1999" s="1">
        <f>IFERROR(__xludf.DUMMYFUNCTION("""COMPUTED_VALUE"""),734328.0)</f>
        <v>734328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IFERROR(__xludf.DUMMYFUNCTION("""COMPUTED_VALUE"""),28.06)</f>
        <v>28.06</v>
      </c>
      <c r="C2000" s="1">
        <f>IFERROR(__xludf.DUMMYFUNCTION("""COMPUTED_VALUE"""),28.92)</f>
        <v>28.92</v>
      </c>
      <c r="D2000" s="1">
        <f>IFERROR(__xludf.DUMMYFUNCTION("""COMPUTED_VALUE"""),27.77)</f>
        <v>27.77</v>
      </c>
      <c r="E2000" s="1">
        <f>IFERROR(__xludf.DUMMYFUNCTION("""COMPUTED_VALUE"""),28.64)</f>
        <v>28.64</v>
      </c>
      <c r="F2000" s="1">
        <f>IFERROR(__xludf.DUMMYFUNCTION("""COMPUTED_VALUE"""),1915589.0)</f>
        <v>1915589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IFERROR(__xludf.DUMMYFUNCTION("""COMPUTED_VALUE"""),28.63)</f>
        <v>28.63</v>
      </c>
      <c r="C2001" s="1">
        <f>IFERROR(__xludf.DUMMYFUNCTION("""COMPUTED_VALUE"""),28.92)</f>
        <v>28.92</v>
      </c>
      <c r="D2001" s="1">
        <f>IFERROR(__xludf.DUMMYFUNCTION("""COMPUTED_VALUE"""),28.49)</f>
        <v>28.49</v>
      </c>
      <c r="E2001" s="1">
        <f>IFERROR(__xludf.DUMMYFUNCTION("""COMPUTED_VALUE"""),28.83)</f>
        <v>28.83</v>
      </c>
      <c r="F2001" s="1">
        <f>IFERROR(__xludf.DUMMYFUNCTION("""COMPUTED_VALUE"""),1069865.0)</f>
        <v>1069865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IFERROR(__xludf.DUMMYFUNCTION("""COMPUTED_VALUE"""),28.87)</f>
        <v>28.87</v>
      </c>
      <c r="C2002" s="1">
        <f>IFERROR(__xludf.DUMMYFUNCTION("""COMPUTED_VALUE"""),28.92)</f>
        <v>28.92</v>
      </c>
      <c r="D2002" s="1">
        <f>IFERROR(__xludf.DUMMYFUNCTION("""COMPUTED_VALUE"""),28.2)</f>
        <v>28.2</v>
      </c>
      <c r="E2002" s="1">
        <f>IFERROR(__xludf.DUMMYFUNCTION("""COMPUTED_VALUE"""),28.24)</f>
        <v>28.24</v>
      </c>
      <c r="F2002" s="1">
        <f>IFERROR(__xludf.DUMMYFUNCTION("""COMPUTED_VALUE"""),824590.0)</f>
        <v>824590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IFERROR(__xludf.DUMMYFUNCTION("""COMPUTED_VALUE"""),28.2)</f>
        <v>28.2</v>
      </c>
      <c r="C2003" s="1">
        <f>IFERROR(__xludf.DUMMYFUNCTION("""COMPUTED_VALUE"""),28.56)</f>
        <v>28.56</v>
      </c>
      <c r="D2003" s="1">
        <f>IFERROR(__xludf.DUMMYFUNCTION("""COMPUTED_VALUE"""),28.07)</f>
        <v>28.07</v>
      </c>
      <c r="E2003" s="1">
        <f>IFERROR(__xludf.DUMMYFUNCTION("""COMPUTED_VALUE"""),28.39)</f>
        <v>28.39</v>
      </c>
      <c r="F2003" s="1">
        <f>IFERROR(__xludf.DUMMYFUNCTION("""COMPUTED_VALUE"""),677014.0)</f>
        <v>677014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IFERROR(__xludf.DUMMYFUNCTION("""COMPUTED_VALUE"""),28.47)</f>
        <v>28.47</v>
      </c>
      <c r="C2004" s="1">
        <f>IFERROR(__xludf.DUMMYFUNCTION("""COMPUTED_VALUE"""),28.7)</f>
        <v>28.7</v>
      </c>
      <c r="D2004" s="1">
        <f>IFERROR(__xludf.DUMMYFUNCTION("""COMPUTED_VALUE"""),28.32)</f>
        <v>28.32</v>
      </c>
      <c r="E2004" s="1">
        <f>IFERROR(__xludf.DUMMYFUNCTION("""COMPUTED_VALUE"""),28.69)</f>
        <v>28.69</v>
      </c>
      <c r="F2004" s="1">
        <f>IFERROR(__xludf.DUMMYFUNCTION("""COMPUTED_VALUE"""),681355.0)</f>
        <v>681355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IFERROR(__xludf.DUMMYFUNCTION("""COMPUTED_VALUE"""),28.78)</f>
        <v>28.78</v>
      </c>
      <c r="C2005" s="1">
        <f>IFERROR(__xludf.DUMMYFUNCTION("""COMPUTED_VALUE"""),29.27)</f>
        <v>29.27</v>
      </c>
      <c r="D2005" s="1">
        <f>IFERROR(__xludf.DUMMYFUNCTION("""COMPUTED_VALUE"""),28.65)</f>
        <v>28.65</v>
      </c>
      <c r="E2005" s="1">
        <f>IFERROR(__xludf.DUMMYFUNCTION("""COMPUTED_VALUE"""),28.99)</f>
        <v>28.99</v>
      </c>
      <c r="F2005" s="1">
        <f>IFERROR(__xludf.DUMMYFUNCTION("""COMPUTED_VALUE"""),766220.0)</f>
        <v>766220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IFERROR(__xludf.DUMMYFUNCTION("""COMPUTED_VALUE"""),29.09)</f>
        <v>29.09</v>
      </c>
      <c r="C2006" s="1">
        <f>IFERROR(__xludf.DUMMYFUNCTION("""COMPUTED_VALUE"""),29.45)</f>
        <v>29.45</v>
      </c>
      <c r="D2006" s="1">
        <f>IFERROR(__xludf.DUMMYFUNCTION("""COMPUTED_VALUE"""),28.86)</f>
        <v>28.86</v>
      </c>
      <c r="E2006" s="1">
        <f>IFERROR(__xludf.DUMMYFUNCTION("""COMPUTED_VALUE"""),28.96)</f>
        <v>28.96</v>
      </c>
      <c r="F2006" s="1">
        <f>IFERROR(__xludf.DUMMYFUNCTION("""COMPUTED_VALUE"""),534481.0)</f>
        <v>534481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IFERROR(__xludf.DUMMYFUNCTION("""COMPUTED_VALUE"""),28.99)</f>
        <v>28.99</v>
      </c>
      <c r="C2007" s="1">
        <f>IFERROR(__xludf.DUMMYFUNCTION("""COMPUTED_VALUE"""),29.32)</f>
        <v>29.32</v>
      </c>
      <c r="D2007" s="1">
        <f>IFERROR(__xludf.DUMMYFUNCTION("""COMPUTED_VALUE"""),28.72)</f>
        <v>28.72</v>
      </c>
      <c r="E2007" s="1">
        <f>IFERROR(__xludf.DUMMYFUNCTION("""COMPUTED_VALUE"""),28.78)</f>
        <v>28.78</v>
      </c>
      <c r="F2007" s="1">
        <f>IFERROR(__xludf.DUMMYFUNCTION("""COMPUTED_VALUE"""),487240.0)</f>
        <v>487240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IFERROR(__xludf.DUMMYFUNCTION("""COMPUTED_VALUE"""),28.77)</f>
        <v>28.77</v>
      </c>
      <c r="C2008" s="1">
        <f>IFERROR(__xludf.DUMMYFUNCTION("""COMPUTED_VALUE"""),29.53)</f>
        <v>29.53</v>
      </c>
      <c r="D2008" s="1">
        <f>IFERROR(__xludf.DUMMYFUNCTION("""COMPUTED_VALUE"""),28.77)</f>
        <v>28.77</v>
      </c>
      <c r="E2008" s="1">
        <f>IFERROR(__xludf.DUMMYFUNCTION("""COMPUTED_VALUE"""),29.15)</f>
        <v>29.15</v>
      </c>
      <c r="F2008" s="1">
        <f>IFERROR(__xludf.DUMMYFUNCTION("""COMPUTED_VALUE"""),860101.0)</f>
        <v>860101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IFERROR(__xludf.DUMMYFUNCTION("""COMPUTED_VALUE"""),29.21)</f>
        <v>29.21</v>
      </c>
      <c r="C2009" s="1">
        <f>IFERROR(__xludf.DUMMYFUNCTION("""COMPUTED_VALUE"""),29.42)</f>
        <v>29.42</v>
      </c>
      <c r="D2009" s="1">
        <f>IFERROR(__xludf.DUMMYFUNCTION("""COMPUTED_VALUE"""),29.03)</f>
        <v>29.03</v>
      </c>
      <c r="E2009" s="1">
        <f>IFERROR(__xludf.DUMMYFUNCTION("""COMPUTED_VALUE"""),29.32)</f>
        <v>29.32</v>
      </c>
      <c r="F2009" s="1">
        <f>IFERROR(__xludf.DUMMYFUNCTION("""COMPUTED_VALUE"""),447198.0)</f>
        <v>447198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IFERROR(__xludf.DUMMYFUNCTION("""COMPUTED_VALUE"""),29.37)</f>
        <v>29.37</v>
      </c>
      <c r="C2010" s="1">
        <f>IFERROR(__xludf.DUMMYFUNCTION("""COMPUTED_VALUE"""),29.63)</f>
        <v>29.63</v>
      </c>
      <c r="D2010" s="1">
        <f>IFERROR(__xludf.DUMMYFUNCTION("""COMPUTED_VALUE"""),29.1)</f>
        <v>29.1</v>
      </c>
      <c r="E2010" s="1">
        <f>IFERROR(__xludf.DUMMYFUNCTION("""COMPUTED_VALUE"""),29.55)</f>
        <v>29.55</v>
      </c>
      <c r="F2010" s="1">
        <f>IFERROR(__xludf.DUMMYFUNCTION("""COMPUTED_VALUE"""),282497.0)</f>
        <v>282497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IFERROR(__xludf.DUMMYFUNCTION("""COMPUTED_VALUE"""),29.6)</f>
        <v>29.6</v>
      </c>
      <c r="C2011" s="1">
        <f>IFERROR(__xludf.DUMMYFUNCTION("""COMPUTED_VALUE"""),29.89)</f>
        <v>29.89</v>
      </c>
      <c r="D2011" s="1">
        <f>IFERROR(__xludf.DUMMYFUNCTION("""COMPUTED_VALUE"""),29.42)</f>
        <v>29.42</v>
      </c>
      <c r="E2011" s="1">
        <f>IFERROR(__xludf.DUMMYFUNCTION("""COMPUTED_VALUE"""),29.74)</f>
        <v>29.74</v>
      </c>
      <c r="F2011" s="1">
        <f>IFERROR(__xludf.DUMMYFUNCTION("""COMPUTED_VALUE"""),252692.0)</f>
        <v>252692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IFERROR(__xludf.DUMMYFUNCTION("""COMPUTED_VALUE"""),29.69)</f>
        <v>29.69</v>
      </c>
      <c r="C2012" s="1">
        <f>IFERROR(__xludf.DUMMYFUNCTION("""COMPUTED_VALUE"""),29.76)</f>
        <v>29.76</v>
      </c>
      <c r="D2012" s="1">
        <f>IFERROR(__xludf.DUMMYFUNCTION("""COMPUTED_VALUE"""),29.2)</f>
        <v>29.2</v>
      </c>
      <c r="E2012" s="1">
        <f>IFERROR(__xludf.DUMMYFUNCTION("""COMPUTED_VALUE"""),29.23)</f>
        <v>29.23</v>
      </c>
      <c r="F2012" s="1">
        <f>IFERROR(__xludf.DUMMYFUNCTION("""COMPUTED_VALUE"""),374926.0)</f>
        <v>374926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IFERROR(__xludf.DUMMYFUNCTION("""COMPUTED_VALUE"""),29.37)</f>
        <v>29.37</v>
      </c>
      <c r="C2013" s="1">
        <f>IFERROR(__xludf.DUMMYFUNCTION("""COMPUTED_VALUE"""),29.7)</f>
        <v>29.7</v>
      </c>
      <c r="D2013" s="1">
        <f>IFERROR(__xludf.DUMMYFUNCTION("""COMPUTED_VALUE"""),29.15)</f>
        <v>29.15</v>
      </c>
      <c r="E2013" s="1">
        <f>IFERROR(__xludf.DUMMYFUNCTION("""COMPUTED_VALUE"""),29.65)</f>
        <v>29.65</v>
      </c>
      <c r="F2013" s="1">
        <f>IFERROR(__xludf.DUMMYFUNCTION("""COMPUTED_VALUE"""),299052.0)</f>
        <v>299052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IFERROR(__xludf.DUMMYFUNCTION("""COMPUTED_VALUE"""),29.79)</f>
        <v>29.79</v>
      </c>
      <c r="C2014" s="1">
        <f>IFERROR(__xludf.DUMMYFUNCTION("""COMPUTED_VALUE"""),30.13)</f>
        <v>30.13</v>
      </c>
      <c r="D2014" s="1">
        <f>IFERROR(__xludf.DUMMYFUNCTION("""COMPUTED_VALUE"""),29.69)</f>
        <v>29.69</v>
      </c>
      <c r="E2014" s="1">
        <f>IFERROR(__xludf.DUMMYFUNCTION("""COMPUTED_VALUE"""),29.93)</f>
        <v>29.93</v>
      </c>
      <c r="F2014" s="1">
        <f>IFERROR(__xludf.DUMMYFUNCTION("""COMPUTED_VALUE"""),464840.0)</f>
        <v>464840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IFERROR(__xludf.DUMMYFUNCTION("""COMPUTED_VALUE"""),29.94)</f>
        <v>29.94</v>
      </c>
      <c r="C2015" s="1">
        <f>IFERROR(__xludf.DUMMYFUNCTION("""COMPUTED_VALUE"""),30.21)</f>
        <v>30.21</v>
      </c>
      <c r="D2015" s="1">
        <f>IFERROR(__xludf.DUMMYFUNCTION("""COMPUTED_VALUE"""),29.64)</f>
        <v>29.64</v>
      </c>
      <c r="E2015" s="1">
        <f>IFERROR(__xludf.DUMMYFUNCTION("""COMPUTED_VALUE"""),30.06)</f>
        <v>30.06</v>
      </c>
      <c r="F2015" s="1">
        <f>IFERROR(__xludf.DUMMYFUNCTION("""COMPUTED_VALUE"""),521608.0)</f>
        <v>521608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IFERROR(__xludf.DUMMYFUNCTION("""COMPUTED_VALUE"""),30.1)</f>
        <v>30.1</v>
      </c>
      <c r="C2016" s="1">
        <f>IFERROR(__xludf.DUMMYFUNCTION("""COMPUTED_VALUE"""),31.2)</f>
        <v>31.2</v>
      </c>
      <c r="D2016" s="1">
        <f>IFERROR(__xludf.DUMMYFUNCTION("""COMPUTED_VALUE"""),30.09)</f>
        <v>30.09</v>
      </c>
      <c r="E2016" s="1">
        <f>IFERROR(__xludf.DUMMYFUNCTION("""COMPUTED_VALUE"""),31.12)</f>
        <v>31.12</v>
      </c>
      <c r="F2016" s="1">
        <f>IFERROR(__xludf.DUMMYFUNCTION("""COMPUTED_VALUE"""),694459.0)</f>
        <v>694459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IFERROR(__xludf.DUMMYFUNCTION("""COMPUTED_VALUE"""),31.13)</f>
        <v>31.13</v>
      </c>
      <c r="C2017" s="1">
        <f>IFERROR(__xludf.DUMMYFUNCTION("""COMPUTED_VALUE"""),31.6)</f>
        <v>31.6</v>
      </c>
      <c r="D2017" s="1">
        <f>IFERROR(__xludf.DUMMYFUNCTION("""COMPUTED_VALUE"""),31.13)</f>
        <v>31.13</v>
      </c>
      <c r="E2017" s="1">
        <f>IFERROR(__xludf.DUMMYFUNCTION("""COMPUTED_VALUE"""),31.35)</f>
        <v>31.35</v>
      </c>
      <c r="F2017" s="1">
        <f>IFERROR(__xludf.DUMMYFUNCTION("""COMPUTED_VALUE"""),622494.0)</f>
        <v>622494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IFERROR(__xludf.DUMMYFUNCTION("""COMPUTED_VALUE"""),31.38)</f>
        <v>31.38</v>
      </c>
      <c r="C2018" s="1">
        <f>IFERROR(__xludf.DUMMYFUNCTION("""COMPUTED_VALUE"""),31.5)</f>
        <v>31.5</v>
      </c>
      <c r="D2018" s="1">
        <f>IFERROR(__xludf.DUMMYFUNCTION("""COMPUTED_VALUE"""),31.08)</f>
        <v>31.08</v>
      </c>
      <c r="E2018" s="1">
        <f>IFERROR(__xludf.DUMMYFUNCTION("""COMPUTED_VALUE"""),31.33)</f>
        <v>31.33</v>
      </c>
      <c r="F2018" s="1">
        <f>IFERROR(__xludf.DUMMYFUNCTION("""COMPUTED_VALUE"""),400136.0)</f>
        <v>400136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IFERROR(__xludf.DUMMYFUNCTION("""COMPUTED_VALUE"""),31.32)</f>
        <v>31.32</v>
      </c>
      <c r="C2019" s="1">
        <f>IFERROR(__xludf.DUMMYFUNCTION("""COMPUTED_VALUE"""),31.86)</f>
        <v>31.86</v>
      </c>
      <c r="D2019" s="1">
        <f>IFERROR(__xludf.DUMMYFUNCTION("""COMPUTED_VALUE"""),31.31)</f>
        <v>31.31</v>
      </c>
      <c r="E2019" s="1">
        <f>IFERROR(__xludf.DUMMYFUNCTION("""COMPUTED_VALUE"""),31.41)</f>
        <v>31.41</v>
      </c>
      <c r="F2019" s="1">
        <f>IFERROR(__xludf.DUMMYFUNCTION("""COMPUTED_VALUE"""),449701.0)</f>
        <v>449701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IFERROR(__xludf.DUMMYFUNCTION("""COMPUTED_VALUE"""),31.51)</f>
        <v>31.51</v>
      </c>
      <c r="C2020" s="1">
        <f>IFERROR(__xludf.DUMMYFUNCTION("""COMPUTED_VALUE"""),31.73)</f>
        <v>31.73</v>
      </c>
      <c r="D2020" s="1">
        <f>IFERROR(__xludf.DUMMYFUNCTION("""COMPUTED_VALUE"""),30.6)</f>
        <v>30.6</v>
      </c>
      <c r="E2020" s="1">
        <f>IFERROR(__xludf.DUMMYFUNCTION("""COMPUTED_VALUE"""),30.94)</f>
        <v>30.94</v>
      </c>
      <c r="F2020" s="1">
        <f>IFERROR(__xludf.DUMMYFUNCTION("""COMPUTED_VALUE"""),852273.0)</f>
        <v>852273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IFERROR(__xludf.DUMMYFUNCTION("""COMPUTED_VALUE"""),31.03)</f>
        <v>31.03</v>
      </c>
      <c r="C2021" s="1">
        <f>IFERROR(__xludf.DUMMYFUNCTION("""COMPUTED_VALUE"""),31.72)</f>
        <v>31.72</v>
      </c>
      <c r="D2021" s="1">
        <f>IFERROR(__xludf.DUMMYFUNCTION("""COMPUTED_VALUE"""),30.83)</f>
        <v>30.83</v>
      </c>
      <c r="E2021" s="1">
        <f>IFERROR(__xludf.DUMMYFUNCTION("""COMPUTED_VALUE"""),31.44)</f>
        <v>31.44</v>
      </c>
      <c r="F2021" s="1">
        <f>IFERROR(__xludf.DUMMYFUNCTION("""COMPUTED_VALUE"""),713038.0)</f>
        <v>713038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IFERROR(__xludf.DUMMYFUNCTION("""COMPUTED_VALUE"""),31.57)</f>
        <v>31.57</v>
      </c>
      <c r="C2022" s="1">
        <f>IFERROR(__xludf.DUMMYFUNCTION("""COMPUTED_VALUE"""),31.89)</f>
        <v>31.89</v>
      </c>
      <c r="D2022" s="1">
        <f>IFERROR(__xludf.DUMMYFUNCTION("""COMPUTED_VALUE"""),31.36)</f>
        <v>31.36</v>
      </c>
      <c r="E2022" s="1">
        <f>IFERROR(__xludf.DUMMYFUNCTION("""COMPUTED_VALUE"""),31.84)</f>
        <v>31.84</v>
      </c>
      <c r="F2022" s="1">
        <f>IFERROR(__xludf.DUMMYFUNCTION("""COMPUTED_VALUE"""),500625.0)</f>
        <v>500625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IFERROR(__xludf.DUMMYFUNCTION("""COMPUTED_VALUE"""),31.79)</f>
        <v>31.79</v>
      </c>
      <c r="C2023" s="1">
        <f>IFERROR(__xludf.DUMMYFUNCTION("""COMPUTED_VALUE"""),32.13)</f>
        <v>32.13</v>
      </c>
      <c r="D2023" s="1">
        <f>IFERROR(__xludf.DUMMYFUNCTION("""COMPUTED_VALUE"""),31.61)</f>
        <v>31.61</v>
      </c>
      <c r="E2023" s="1">
        <f>IFERROR(__xludf.DUMMYFUNCTION("""COMPUTED_VALUE"""),32.1)</f>
        <v>32.1</v>
      </c>
      <c r="F2023" s="1">
        <f>IFERROR(__xludf.DUMMYFUNCTION("""COMPUTED_VALUE"""),363112.0)</f>
        <v>363112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IFERROR(__xludf.DUMMYFUNCTION("""COMPUTED_VALUE"""),32.21)</f>
        <v>32.21</v>
      </c>
      <c r="C2024" s="1">
        <f>IFERROR(__xludf.DUMMYFUNCTION("""COMPUTED_VALUE"""),32.53)</f>
        <v>32.53</v>
      </c>
      <c r="D2024" s="1">
        <f>IFERROR(__xludf.DUMMYFUNCTION("""COMPUTED_VALUE"""),31.96)</f>
        <v>31.96</v>
      </c>
      <c r="E2024" s="1">
        <f>IFERROR(__xludf.DUMMYFUNCTION("""COMPUTED_VALUE"""),32.07)</f>
        <v>32.07</v>
      </c>
      <c r="F2024" s="1">
        <f>IFERROR(__xludf.DUMMYFUNCTION("""COMPUTED_VALUE"""),412238.0)</f>
        <v>412238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IFERROR(__xludf.DUMMYFUNCTION("""COMPUTED_VALUE"""),32.11)</f>
        <v>32.11</v>
      </c>
      <c r="C2025" s="1">
        <f>IFERROR(__xludf.DUMMYFUNCTION("""COMPUTED_VALUE"""),32.52)</f>
        <v>32.52</v>
      </c>
      <c r="D2025" s="1">
        <f>IFERROR(__xludf.DUMMYFUNCTION("""COMPUTED_VALUE"""),32.11)</f>
        <v>32.11</v>
      </c>
      <c r="E2025" s="1">
        <f>IFERROR(__xludf.DUMMYFUNCTION("""COMPUTED_VALUE"""),32.26)</f>
        <v>32.26</v>
      </c>
      <c r="F2025" s="1">
        <f>IFERROR(__xludf.DUMMYFUNCTION("""COMPUTED_VALUE"""),515360.0)</f>
        <v>515360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IFERROR(__xludf.DUMMYFUNCTION("""COMPUTED_VALUE"""),32.27)</f>
        <v>32.27</v>
      </c>
      <c r="C2026" s="1">
        <f>IFERROR(__xludf.DUMMYFUNCTION("""COMPUTED_VALUE"""),32.48)</f>
        <v>32.48</v>
      </c>
      <c r="D2026" s="1">
        <f>IFERROR(__xludf.DUMMYFUNCTION("""COMPUTED_VALUE"""),31.59)</f>
        <v>31.59</v>
      </c>
      <c r="E2026" s="1">
        <f>IFERROR(__xludf.DUMMYFUNCTION("""COMPUTED_VALUE"""),31.63)</f>
        <v>31.63</v>
      </c>
      <c r="F2026" s="1">
        <f>IFERROR(__xludf.DUMMYFUNCTION("""COMPUTED_VALUE"""),503048.0)</f>
        <v>503048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IFERROR(__xludf.DUMMYFUNCTION("""COMPUTED_VALUE"""),31.67)</f>
        <v>31.67</v>
      </c>
      <c r="C2027" s="1">
        <f>IFERROR(__xludf.DUMMYFUNCTION("""COMPUTED_VALUE"""),31.9)</f>
        <v>31.9</v>
      </c>
      <c r="D2027" s="1">
        <f>IFERROR(__xludf.DUMMYFUNCTION("""COMPUTED_VALUE"""),31.39)</f>
        <v>31.39</v>
      </c>
      <c r="E2027" s="1">
        <f>IFERROR(__xludf.DUMMYFUNCTION("""COMPUTED_VALUE"""),31.41)</f>
        <v>31.41</v>
      </c>
      <c r="F2027" s="1">
        <f>IFERROR(__xludf.DUMMYFUNCTION("""COMPUTED_VALUE"""),735739.0)</f>
        <v>735739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IFERROR(__xludf.DUMMYFUNCTION("""COMPUTED_VALUE"""),31.53)</f>
        <v>31.53</v>
      </c>
      <c r="C2028" s="1">
        <f>IFERROR(__xludf.DUMMYFUNCTION("""COMPUTED_VALUE"""),31.6)</f>
        <v>31.6</v>
      </c>
      <c r="D2028" s="1">
        <f>IFERROR(__xludf.DUMMYFUNCTION("""COMPUTED_VALUE"""),31.21)</f>
        <v>31.21</v>
      </c>
      <c r="E2028" s="1">
        <f>IFERROR(__xludf.DUMMYFUNCTION("""COMPUTED_VALUE"""),31.41)</f>
        <v>31.41</v>
      </c>
      <c r="F2028" s="1">
        <f>IFERROR(__xludf.DUMMYFUNCTION("""COMPUTED_VALUE"""),910944.0)</f>
        <v>910944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IFERROR(__xludf.DUMMYFUNCTION("""COMPUTED_VALUE"""),31.46)</f>
        <v>31.46</v>
      </c>
      <c r="C2029" s="1">
        <f>IFERROR(__xludf.DUMMYFUNCTION("""COMPUTED_VALUE"""),32.08)</f>
        <v>32.08</v>
      </c>
      <c r="D2029" s="1">
        <f>IFERROR(__xludf.DUMMYFUNCTION("""COMPUTED_VALUE"""),31.19)</f>
        <v>31.19</v>
      </c>
      <c r="E2029" s="1">
        <f>IFERROR(__xludf.DUMMYFUNCTION("""COMPUTED_VALUE"""),32.0)</f>
        <v>32</v>
      </c>
      <c r="F2029" s="1">
        <f>IFERROR(__xludf.DUMMYFUNCTION("""COMPUTED_VALUE"""),651055.0)</f>
        <v>651055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IFERROR(__xludf.DUMMYFUNCTION("""COMPUTED_VALUE"""),32.14)</f>
        <v>32.14</v>
      </c>
      <c r="C2030" s="1">
        <f>IFERROR(__xludf.DUMMYFUNCTION("""COMPUTED_VALUE"""),32.49)</f>
        <v>32.49</v>
      </c>
      <c r="D2030" s="1">
        <f>IFERROR(__xludf.DUMMYFUNCTION("""COMPUTED_VALUE"""),31.71)</f>
        <v>31.71</v>
      </c>
      <c r="E2030" s="1">
        <f>IFERROR(__xludf.DUMMYFUNCTION("""COMPUTED_VALUE"""),31.87)</f>
        <v>31.87</v>
      </c>
      <c r="F2030" s="1">
        <f>IFERROR(__xludf.DUMMYFUNCTION("""COMPUTED_VALUE"""),495367.0)</f>
        <v>495367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IFERROR(__xludf.DUMMYFUNCTION("""COMPUTED_VALUE"""),31.99)</f>
        <v>31.99</v>
      </c>
      <c r="C2031" s="1">
        <f>IFERROR(__xludf.DUMMYFUNCTION("""COMPUTED_VALUE"""),32.1)</f>
        <v>32.1</v>
      </c>
      <c r="D2031" s="1">
        <f>IFERROR(__xludf.DUMMYFUNCTION("""COMPUTED_VALUE"""),31.7)</f>
        <v>31.7</v>
      </c>
      <c r="E2031" s="1">
        <f>IFERROR(__xludf.DUMMYFUNCTION("""COMPUTED_VALUE"""),32.07)</f>
        <v>32.07</v>
      </c>
      <c r="F2031" s="1">
        <f>IFERROR(__xludf.DUMMYFUNCTION("""COMPUTED_VALUE"""),229344.0)</f>
        <v>229344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IFERROR(__xludf.DUMMYFUNCTION("""COMPUTED_VALUE"""),32.15)</f>
        <v>32.15</v>
      </c>
      <c r="C2032" s="1">
        <f>IFERROR(__xludf.DUMMYFUNCTION("""COMPUTED_VALUE"""),32.6)</f>
        <v>32.6</v>
      </c>
      <c r="D2032" s="1">
        <f>IFERROR(__xludf.DUMMYFUNCTION("""COMPUTED_VALUE"""),31.98)</f>
        <v>31.98</v>
      </c>
      <c r="E2032" s="1">
        <f>IFERROR(__xludf.DUMMYFUNCTION("""COMPUTED_VALUE"""),32.58)</f>
        <v>32.58</v>
      </c>
      <c r="F2032" s="1">
        <f>IFERROR(__xludf.DUMMYFUNCTION("""COMPUTED_VALUE"""),298563.0)</f>
        <v>298563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IFERROR(__xludf.DUMMYFUNCTION("""COMPUTED_VALUE"""),32.53)</f>
        <v>32.53</v>
      </c>
      <c r="C2033" s="1">
        <f>IFERROR(__xludf.DUMMYFUNCTION("""COMPUTED_VALUE"""),32.74)</f>
        <v>32.74</v>
      </c>
      <c r="D2033" s="1">
        <f>IFERROR(__xludf.DUMMYFUNCTION("""COMPUTED_VALUE"""),32.19)</f>
        <v>32.19</v>
      </c>
      <c r="E2033" s="1">
        <f>IFERROR(__xludf.DUMMYFUNCTION("""COMPUTED_VALUE"""),32.51)</f>
        <v>32.51</v>
      </c>
      <c r="F2033" s="1">
        <f>IFERROR(__xludf.DUMMYFUNCTION("""COMPUTED_VALUE"""),258644.0)</f>
        <v>258644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IFERROR(__xludf.DUMMYFUNCTION("""COMPUTED_VALUE"""),32.35)</f>
        <v>32.35</v>
      </c>
      <c r="C2034" s="1">
        <f>IFERROR(__xludf.DUMMYFUNCTION("""COMPUTED_VALUE"""),32.48)</f>
        <v>32.48</v>
      </c>
      <c r="D2034" s="1">
        <f>IFERROR(__xludf.DUMMYFUNCTION("""COMPUTED_VALUE"""),31.96)</f>
        <v>31.96</v>
      </c>
      <c r="E2034" s="1">
        <f>IFERROR(__xludf.DUMMYFUNCTION("""COMPUTED_VALUE"""),32.04)</f>
        <v>32.04</v>
      </c>
      <c r="F2034" s="1">
        <f>IFERROR(__xludf.DUMMYFUNCTION("""COMPUTED_VALUE"""),267419.0)</f>
        <v>267419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IFERROR(__xludf.DUMMYFUNCTION("""COMPUTED_VALUE"""),32.3)</f>
        <v>32.3</v>
      </c>
      <c r="C2035" s="1">
        <f>IFERROR(__xludf.DUMMYFUNCTION("""COMPUTED_VALUE"""),32.7)</f>
        <v>32.7</v>
      </c>
      <c r="D2035" s="1">
        <f>IFERROR(__xludf.DUMMYFUNCTION("""COMPUTED_VALUE"""),32.29)</f>
        <v>32.29</v>
      </c>
      <c r="E2035" s="1">
        <f>IFERROR(__xludf.DUMMYFUNCTION("""COMPUTED_VALUE"""),32.52)</f>
        <v>32.52</v>
      </c>
      <c r="F2035" s="1">
        <f>IFERROR(__xludf.DUMMYFUNCTION("""COMPUTED_VALUE"""),358941.0)</f>
        <v>358941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IFERROR(__xludf.DUMMYFUNCTION("""COMPUTED_VALUE"""),33.14)</f>
        <v>33.14</v>
      </c>
      <c r="C2036" s="1">
        <f>IFERROR(__xludf.DUMMYFUNCTION("""COMPUTED_VALUE"""),33.3)</f>
        <v>33.3</v>
      </c>
      <c r="D2036" s="1">
        <f>IFERROR(__xludf.DUMMYFUNCTION("""COMPUTED_VALUE"""),32.29)</f>
        <v>32.29</v>
      </c>
      <c r="E2036" s="1">
        <f>IFERROR(__xludf.DUMMYFUNCTION("""COMPUTED_VALUE"""),32.45)</f>
        <v>32.45</v>
      </c>
      <c r="F2036" s="1">
        <f>IFERROR(__xludf.DUMMYFUNCTION("""COMPUTED_VALUE"""),805412.0)</f>
        <v>805412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IFERROR(__xludf.DUMMYFUNCTION("""COMPUTED_VALUE"""),32.36)</f>
        <v>32.36</v>
      </c>
      <c r="C2037" s="1">
        <f>IFERROR(__xludf.DUMMYFUNCTION("""COMPUTED_VALUE"""),32.36)</f>
        <v>32.36</v>
      </c>
      <c r="D2037" s="1">
        <f>IFERROR(__xludf.DUMMYFUNCTION("""COMPUTED_VALUE"""),31.69)</f>
        <v>31.69</v>
      </c>
      <c r="E2037" s="1">
        <f>IFERROR(__xludf.DUMMYFUNCTION("""COMPUTED_VALUE"""),31.75)</f>
        <v>31.75</v>
      </c>
      <c r="F2037" s="1">
        <f>IFERROR(__xludf.DUMMYFUNCTION("""COMPUTED_VALUE"""),618347.0)</f>
        <v>618347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IFERROR(__xludf.DUMMYFUNCTION("""COMPUTED_VALUE"""),31.49)</f>
        <v>31.49</v>
      </c>
      <c r="C2038" s="1">
        <f>IFERROR(__xludf.DUMMYFUNCTION("""COMPUTED_VALUE"""),31.97)</f>
        <v>31.97</v>
      </c>
      <c r="D2038" s="1">
        <f>IFERROR(__xludf.DUMMYFUNCTION("""COMPUTED_VALUE"""),30.91)</f>
        <v>30.91</v>
      </c>
      <c r="E2038" s="1">
        <f>IFERROR(__xludf.DUMMYFUNCTION("""COMPUTED_VALUE"""),30.93)</f>
        <v>30.93</v>
      </c>
      <c r="F2038" s="1">
        <f>IFERROR(__xludf.DUMMYFUNCTION("""COMPUTED_VALUE"""),677777.0)</f>
        <v>677777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IFERROR(__xludf.DUMMYFUNCTION("""COMPUTED_VALUE"""),30.3)</f>
        <v>30.3</v>
      </c>
      <c r="C2039" s="1">
        <f>IFERROR(__xludf.DUMMYFUNCTION("""COMPUTED_VALUE"""),31.39)</f>
        <v>31.39</v>
      </c>
      <c r="D2039" s="1">
        <f>IFERROR(__xludf.DUMMYFUNCTION("""COMPUTED_VALUE"""),29.95)</f>
        <v>29.95</v>
      </c>
      <c r="E2039" s="1">
        <f>IFERROR(__xludf.DUMMYFUNCTION("""COMPUTED_VALUE"""),31.28)</f>
        <v>31.28</v>
      </c>
      <c r="F2039" s="1">
        <f>IFERROR(__xludf.DUMMYFUNCTION("""COMPUTED_VALUE"""),1200286.0)</f>
        <v>1200286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IFERROR(__xludf.DUMMYFUNCTION("""COMPUTED_VALUE"""),31.25)</f>
        <v>31.25</v>
      </c>
      <c r="C2040" s="1">
        <f>IFERROR(__xludf.DUMMYFUNCTION("""COMPUTED_VALUE"""),31.56)</f>
        <v>31.56</v>
      </c>
      <c r="D2040" s="1">
        <f>IFERROR(__xludf.DUMMYFUNCTION("""COMPUTED_VALUE"""),30.82)</f>
        <v>30.82</v>
      </c>
      <c r="E2040" s="1">
        <f>IFERROR(__xludf.DUMMYFUNCTION("""COMPUTED_VALUE"""),31.0)</f>
        <v>31</v>
      </c>
      <c r="F2040" s="1">
        <f>IFERROR(__xludf.DUMMYFUNCTION("""COMPUTED_VALUE"""),410322.0)</f>
        <v>410322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IFERROR(__xludf.DUMMYFUNCTION("""COMPUTED_VALUE"""),31.04)</f>
        <v>31.04</v>
      </c>
      <c r="C2041" s="1">
        <f>IFERROR(__xludf.DUMMYFUNCTION("""COMPUTED_VALUE"""),31.19)</f>
        <v>31.19</v>
      </c>
      <c r="D2041" s="1">
        <f>IFERROR(__xludf.DUMMYFUNCTION("""COMPUTED_VALUE"""),30.38)</f>
        <v>30.38</v>
      </c>
      <c r="E2041" s="1">
        <f>IFERROR(__xludf.DUMMYFUNCTION("""COMPUTED_VALUE"""),30.38)</f>
        <v>30.38</v>
      </c>
      <c r="F2041" s="1">
        <f>IFERROR(__xludf.DUMMYFUNCTION("""COMPUTED_VALUE"""),485558.0)</f>
        <v>485558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IFERROR(__xludf.DUMMYFUNCTION("""COMPUTED_VALUE"""),30.55)</f>
        <v>30.55</v>
      </c>
      <c r="C2042" s="1">
        <f>IFERROR(__xludf.DUMMYFUNCTION("""COMPUTED_VALUE"""),30.89)</f>
        <v>30.89</v>
      </c>
      <c r="D2042" s="1">
        <f>IFERROR(__xludf.DUMMYFUNCTION("""COMPUTED_VALUE"""),29.94)</f>
        <v>29.94</v>
      </c>
      <c r="E2042" s="1">
        <f>IFERROR(__xludf.DUMMYFUNCTION("""COMPUTED_VALUE"""),30.72)</f>
        <v>30.72</v>
      </c>
      <c r="F2042" s="1">
        <f>IFERROR(__xludf.DUMMYFUNCTION("""COMPUTED_VALUE"""),611661.0)</f>
        <v>611661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IFERROR(__xludf.DUMMYFUNCTION("""COMPUTED_VALUE"""),30.69)</f>
        <v>30.69</v>
      </c>
      <c r="C2043" s="1">
        <f>IFERROR(__xludf.DUMMYFUNCTION("""COMPUTED_VALUE"""),31.28)</f>
        <v>31.28</v>
      </c>
      <c r="D2043" s="1">
        <f>IFERROR(__xludf.DUMMYFUNCTION("""COMPUTED_VALUE"""),30.59)</f>
        <v>30.59</v>
      </c>
      <c r="E2043" s="1">
        <f>IFERROR(__xludf.DUMMYFUNCTION("""COMPUTED_VALUE"""),30.92)</f>
        <v>30.92</v>
      </c>
      <c r="F2043" s="1">
        <f>IFERROR(__xludf.DUMMYFUNCTION("""COMPUTED_VALUE"""),681719.0)</f>
        <v>681719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IFERROR(__xludf.DUMMYFUNCTION("""COMPUTED_VALUE"""),30.85)</f>
        <v>30.85</v>
      </c>
      <c r="C2044" s="1">
        <f>IFERROR(__xludf.DUMMYFUNCTION("""COMPUTED_VALUE"""),31.61)</f>
        <v>31.61</v>
      </c>
      <c r="D2044" s="1">
        <f>IFERROR(__xludf.DUMMYFUNCTION("""COMPUTED_VALUE"""),30.7)</f>
        <v>30.7</v>
      </c>
      <c r="E2044" s="1">
        <f>IFERROR(__xludf.DUMMYFUNCTION("""COMPUTED_VALUE"""),31.42)</f>
        <v>31.42</v>
      </c>
      <c r="F2044" s="1">
        <f>IFERROR(__xludf.DUMMYFUNCTION("""COMPUTED_VALUE"""),934928.0)</f>
        <v>934928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IFERROR(__xludf.DUMMYFUNCTION("""COMPUTED_VALUE"""),31.18)</f>
        <v>31.18</v>
      </c>
      <c r="C2045" s="1">
        <f>IFERROR(__xludf.DUMMYFUNCTION("""COMPUTED_VALUE"""),31.71)</f>
        <v>31.71</v>
      </c>
      <c r="D2045" s="1">
        <f>IFERROR(__xludf.DUMMYFUNCTION("""COMPUTED_VALUE"""),30.84)</f>
        <v>30.84</v>
      </c>
      <c r="E2045" s="1">
        <f>IFERROR(__xludf.DUMMYFUNCTION("""COMPUTED_VALUE"""),31.57)</f>
        <v>31.57</v>
      </c>
      <c r="F2045" s="1">
        <f>IFERROR(__xludf.DUMMYFUNCTION("""COMPUTED_VALUE"""),738678.0)</f>
        <v>738678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IFERROR(__xludf.DUMMYFUNCTION("""COMPUTED_VALUE"""),31.62)</f>
        <v>31.62</v>
      </c>
      <c r="C2046" s="1">
        <f>IFERROR(__xludf.DUMMYFUNCTION("""COMPUTED_VALUE"""),32.09)</f>
        <v>32.09</v>
      </c>
      <c r="D2046" s="1">
        <f>IFERROR(__xludf.DUMMYFUNCTION("""COMPUTED_VALUE"""),31.01)</f>
        <v>31.01</v>
      </c>
      <c r="E2046" s="1">
        <f>IFERROR(__xludf.DUMMYFUNCTION("""COMPUTED_VALUE"""),32.08)</f>
        <v>32.08</v>
      </c>
      <c r="F2046" s="1">
        <f>IFERROR(__xludf.DUMMYFUNCTION("""COMPUTED_VALUE"""),525660.0)</f>
        <v>525660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IFERROR(__xludf.DUMMYFUNCTION("""COMPUTED_VALUE"""),31.98)</f>
        <v>31.98</v>
      </c>
      <c r="C2047" s="1">
        <f>IFERROR(__xludf.DUMMYFUNCTION("""COMPUTED_VALUE"""),32.72)</f>
        <v>32.72</v>
      </c>
      <c r="D2047" s="1">
        <f>IFERROR(__xludf.DUMMYFUNCTION("""COMPUTED_VALUE"""),31.95)</f>
        <v>31.95</v>
      </c>
      <c r="E2047" s="1">
        <f>IFERROR(__xludf.DUMMYFUNCTION("""COMPUTED_VALUE"""),32.36)</f>
        <v>32.36</v>
      </c>
      <c r="F2047" s="1">
        <f>IFERROR(__xludf.DUMMYFUNCTION("""COMPUTED_VALUE"""),560401.0)</f>
        <v>560401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IFERROR(__xludf.DUMMYFUNCTION("""COMPUTED_VALUE"""),32.2)</f>
        <v>32.2</v>
      </c>
      <c r="C2048" s="1">
        <f>IFERROR(__xludf.DUMMYFUNCTION("""COMPUTED_VALUE"""),32.2)</f>
        <v>32.2</v>
      </c>
      <c r="D2048" s="1">
        <f>IFERROR(__xludf.DUMMYFUNCTION("""COMPUTED_VALUE"""),31.73)</f>
        <v>31.73</v>
      </c>
      <c r="E2048" s="1">
        <f>IFERROR(__xludf.DUMMYFUNCTION("""COMPUTED_VALUE"""),32.05)</f>
        <v>32.05</v>
      </c>
      <c r="F2048" s="1">
        <f>IFERROR(__xludf.DUMMYFUNCTION("""COMPUTED_VALUE"""),674786.0)</f>
        <v>674786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IFERROR(__xludf.DUMMYFUNCTION("""COMPUTED_VALUE"""),32.02)</f>
        <v>32.02</v>
      </c>
      <c r="C2049" s="1">
        <f>IFERROR(__xludf.DUMMYFUNCTION("""COMPUTED_VALUE"""),32.45)</f>
        <v>32.45</v>
      </c>
      <c r="D2049" s="1">
        <f>IFERROR(__xludf.DUMMYFUNCTION("""COMPUTED_VALUE"""),31.88)</f>
        <v>31.88</v>
      </c>
      <c r="E2049" s="1">
        <f>IFERROR(__xludf.DUMMYFUNCTION("""COMPUTED_VALUE"""),32.0)</f>
        <v>32</v>
      </c>
      <c r="F2049" s="1">
        <f>IFERROR(__xludf.DUMMYFUNCTION("""COMPUTED_VALUE"""),414268.0)</f>
        <v>414268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IFERROR(__xludf.DUMMYFUNCTION("""COMPUTED_VALUE"""),32.25)</f>
        <v>32.25</v>
      </c>
      <c r="C2050" s="1">
        <f>IFERROR(__xludf.DUMMYFUNCTION("""COMPUTED_VALUE"""),32.25)</f>
        <v>32.25</v>
      </c>
      <c r="D2050" s="1">
        <f>IFERROR(__xludf.DUMMYFUNCTION("""COMPUTED_VALUE"""),31.68)</f>
        <v>31.68</v>
      </c>
      <c r="E2050" s="1">
        <f>IFERROR(__xludf.DUMMYFUNCTION("""COMPUTED_VALUE"""),32.09)</f>
        <v>32.09</v>
      </c>
      <c r="F2050" s="1">
        <f>IFERROR(__xludf.DUMMYFUNCTION("""COMPUTED_VALUE"""),698697.0)</f>
        <v>698697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IFERROR(__xludf.DUMMYFUNCTION("""COMPUTED_VALUE"""),32.14)</f>
        <v>32.14</v>
      </c>
      <c r="C2051" s="1">
        <f>IFERROR(__xludf.DUMMYFUNCTION("""COMPUTED_VALUE"""),32.43)</f>
        <v>32.43</v>
      </c>
      <c r="D2051" s="1">
        <f>IFERROR(__xludf.DUMMYFUNCTION("""COMPUTED_VALUE"""),31.94)</f>
        <v>31.94</v>
      </c>
      <c r="E2051" s="1">
        <f>IFERROR(__xludf.DUMMYFUNCTION("""COMPUTED_VALUE"""),32.34)</f>
        <v>32.34</v>
      </c>
      <c r="F2051" s="1">
        <f>IFERROR(__xludf.DUMMYFUNCTION("""COMPUTED_VALUE"""),1778622.0)</f>
        <v>1778622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IFERROR(__xludf.DUMMYFUNCTION("""COMPUTED_VALUE"""),32.51)</f>
        <v>32.51</v>
      </c>
      <c r="C2052" s="1">
        <f>IFERROR(__xludf.DUMMYFUNCTION("""COMPUTED_VALUE"""),33.49)</f>
        <v>33.49</v>
      </c>
      <c r="D2052" s="1">
        <f>IFERROR(__xludf.DUMMYFUNCTION("""COMPUTED_VALUE"""),32.39)</f>
        <v>32.39</v>
      </c>
      <c r="E2052" s="1">
        <f>IFERROR(__xludf.DUMMYFUNCTION("""COMPUTED_VALUE"""),33.38)</f>
        <v>33.38</v>
      </c>
      <c r="F2052" s="1">
        <f>IFERROR(__xludf.DUMMYFUNCTION("""COMPUTED_VALUE"""),898069.0)</f>
        <v>898069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IFERROR(__xludf.DUMMYFUNCTION("""COMPUTED_VALUE"""),34.05)</f>
        <v>34.05</v>
      </c>
      <c r="C2053" s="1">
        <f>IFERROR(__xludf.DUMMYFUNCTION("""COMPUTED_VALUE"""),35.17)</f>
        <v>35.17</v>
      </c>
      <c r="D2053" s="1">
        <f>IFERROR(__xludf.DUMMYFUNCTION("""COMPUTED_VALUE"""),32.87)</f>
        <v>32.87</v>
      </c>
      <c r="E2053" s="1">
        <f>IFERROR(__xludf.DUMMYFUNCTION("""COMPUTED_VALUE"""),32.9)</f>
        <v>32.9</v>
      </c>
      <c r="F2053" s="1">
        <f>IFERROR(__xludf.DUMMYFUNCTION("""COMPUTED_VALUE"""),2009122.0)</f>
        <v>2009122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IFERROR(__xludf.DUMMYFUNCTION("""COMPUTED_VALUE"""),33.37)</f>
        <v>33.37</v>
      </c>
      <c r="C2054" s="1">
        <f>IFERROR(__xludf.DUMMYFUNCTION("""COMPUTED_VALUE"""),33.52)</f>
        <v>33.52</v>
      </c>
      <c r="D2054" s="1">
        <f>IFERROR(__xludf.DUMMYFUNCTION("""COMPUTED_VALUE"""),32.39)</f>
        <v>32.39</v>
      </c>
      <c r="E2054" s="1">
        <f>IFERROR(__xludf.DUMMYFUNCTION("""COMPUTED_VALUE"""),32.39)</f>
        <v>32.39</v>
      </c>
      <c r="F2054" s="1">
        <f>IFERROR(__xludf.DUMMYFUNCTION("""COMPUTED_VALUE"""),1305825.0)</f>
        <v>1305825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IFERROR(__xludf.DUMMYFUNCTION("""COMPUTED_VALUE"""),32.42)</f>
        <v>32.42</v>
      </c>
      <c r="C2055" s="1">
        <f>IFERROR(__xludf.DUMMYFUNCTION("""COMPUTED_VALUE"""),32.55)</f>
        <v>32.55</v>
      </c>
      <c r="D2055" s="1">
        <f>IFERROR(__xludf.DUMMYFUNCTION("""COMPUTED_VALUE"""),31.82)</f>
        <v>31.82</v>
      </c>
      <c r="E2055" s="1">
        <f>IFERROR(__xludf.DUMMYFUNCTION("""COMPUTED_VALUE"""),32.16)</f>
        <v>32.16</v>
      </c>
      <c r="F2055" s="1">
        <f>IFERROR(__xludf.DUMMYFUNCTION("""COMPUTED_VALUE"""),1139546.0)</f>
        <v>1139546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IFERROR(__xludf.DUMMYFUNCTION("""COMPUTED_VALUE"""),32.06)</f>
        <v>32.06</v>
      </c>
      <c r="C2056" s="1">
        <f>IFERROR(__xludf.DUMMYFUNCTION("""COMPUTED_VALUE"""),32.61)</f>
        <v>32.61</v>
      </c>
      <c r="D2056" s="1">
        <f>IFERROR(__xludf.DUMMYFUNCTION("""COMPUTED_VALUE"""),31.99)</f>
        <v>31.99</v>
      </c>
      <c r="E2056" s="1">
        <f>IFERROR(__xludf.DUMMYFUNCTION("""COMPUTED_VALUE"""),32.49)</f>
        <v>32.49</v>
      </c>
      <c r="F2056" s="1">
        <f>IFERROR(__xludf.DUMMYFUNCTION("""COMPUTED_VALUE"""),1612303.0)</f>
        <v>1612303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IFERROR(__xludf.DUMMYFUNCTION("""COMPUTED_VALUE"""),32.33)</f>
        <v>32.33</v>
      </c>
      <c r="C2057" s="1">
        <f>IFERROR(__xludf.DUMMYFUNCTION("""COMPUTED_VALUE"""),32.57)</f>
        <v>32.57</v>
      </c>
      <c r="D2057" s="1">
        <f>IFERROR(__xludf.DUMMYFUNCTION("""COMPUTED_VALUE"""),32.08)</f>
        <v>32.08</v>
      </c>
      <c r="E2057" s="1">
        <f>IFERROR(__xludf.DUMMYFUNCTION("""COMPUTED_VALUE"""),32.28)</f>
        <v>32.28</v>
      </c>
      <c r="F2057" s="1">
        <f>IFERROR(__xludf.DUMMYFUNCTION("""COMPUTED_VALUE"""),1123813.0)</f>
        <v>1123813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IFERROR(__xludf.DUMMYFUNCTION("""COMPUTED_VALUE"""),32.33)</f>
        <v>32.33</v>
      </c>
      <c r="C2058" s="1">
        <f>IFERROR(__xludf.DUMMYFUNCTION("""COMPUTED_VALUE"""),32.58)</f>
        <v>32.58</v>
      </c>
      <c r="D2058" s="1">
        <f>IFERROR(__xludf.DUMMYFUNCTION("""COMPUTED_VALUE"""),32.24)</f>
        <v>32.24</v>
      </c>
      <c r="E2058" s="1">
        <f>IFERROR(__xludf.DUMMYFUNCTION("""COMPUTED_VALUE"""),32.53)</f>
        <v>32.53</v>
      </c>
      <c r="F2058" s="1">
        <f>IFERROR(__xludf.DUMMYFUNCTION("""COMPUTED_VALUE"""),982141.0)</f>
        <v>982141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IFERROR(__xludf.DUMMYFUNCTION("""COMPUTED_VALUE"""),32.3)</f>
        <v>32.3</v>
      </c>
      <c r="C2059" s="1">
        <f>IFERROR(__xludf.DUMMYFUNCTION("""COMPUTED_VALUE"""),33.28)</f>
        <v>33.28</v>
      </c>
      <c r="D2059" s="1">
        <f>IFERROR(__xludf.DUMMYFUNCTION("""COMPUTED_VALUE"""),32.14)</f>
        <v>32.14</v>
      </c>
      <c r="E2059" s="1">
        <f>IFERROR(__xludf.DUMMYFUNCTION("""COMPUTED_VALUE"""),33.18)</f>
        <v>33.18</v>
      </c>
      <c r="F2059" s="1">
        <f>IFERROR(__xludf.DUMMYFUNCTION("""COMPUTED_VALUE"""),834084.0)</f>
        <v>834084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IFERROR(__xludf.DUMMYFUNCTION("""COMPUTED_VALUE"""),33.53)</f>
        <v>33.53</v>
      </c>
      <c r="C2060" s="1">
        <f>IFERROR(__xludf.DUMMYFUNCTION("""COMPUTED_VALUE"""),33.85)</f>
        <v>33.85</v>
      </c>
      <c r="D2060" s="1">
        <f>IFERROR(__xludf.DUMMYFUNCTION("""COMPUTED_VALUE"""),32.89)</f>
        <v>32.89</v>
      </c>
      <c r="E2060" s="1">
        <f>IFERROR(__xludf.DUMMYFUNCTION("""COMPUTED_VALUE"""),33.2)</f>
        <v>33.2</v>
      </c>
      <c r="F2060" s="1">
        <f>IFERROR(__xludf.DUMMYFUNCTION("""COMPUTED_VALUE"""),531050.0)</f>
        <v>531050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IFERROR(__xludf.DUMMYFUNCTION("""COMPUTED_VALUE"""),33.33)</f>
        <v>33.33</v>
      </c>
      <c r="C2061" s="1">
        <f>IFERROR(__xludf.DUMMYFUNCTION("""COMPUTED_VALUE"""),33.61)</f>
        <v>33.61</v>
      </c>
      <c r="D2061" s="1">
        <f>IFERROR(__xludf.DUMMYFUNCTION("""COMPUTED_VALUE"""),33.12)</f>
        <v>33.12</v>
      </c>
      <c r="E2061" s="1">
        <f>IFERROR(__xludf.DUMMYFUNCTION("""COMPUTED_VALUE"""),33.2)</f>
        <v>33.2</v>
      </c>
      <c r="F2061" s="1">
        <f>IFERROR(__xludf.DUMMYFUNCTION("""COMPUTED_VALUE"""),1427574.0)</f>
        <v>1427574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IFERROR(__xludf.DUMMYFUNCTION("""COMPUTED_VALUE"""),33.3)</f>
        <v>33.3</v>
      </c>
      <c r="C2062" s="1">
        <f>IFERROR(__xludf.DUMMYFUNCTION("""COMPUTED_VALUE"""),33.46)</f>
        <v>33.46</v>
      </c>
      <c r="D2062" s="1">
        <f>IFERROR(__xludf.DUMMYFUNCTION("""COMPUTED_VALUE"""),33.08)</f>
        <v>33.08</v>
      </c>
      <c r="E2062" s="1">
        <f>IFERROR(__xludf.DUMMYFUNCTION("""COMPUTED_VALUE"""),33.37)</f>
        <v>33.37</v>
      </c>
      <c r="F2062" s="1">
        <f>IFERROR(__xludf.DUMMYFUNCTION("""COMPUTED_VALUE"""),533766.0)</f>
        <v>533766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IFERROR(__xludf.DUMMYFUNCTION("""COMPUTED_VALUE"""),33.6)</f>
        <v>33.6</v>
      </c>
      <c r="C2063" s="1">
        <f>IFERROR(__xludf.DUMMYFUNCTION("""COMPUTED_VALUE"""),33.68)</f>
        <v>33.68</v>
      </c>
      <c r="D2063" s="1">
        <f>IFERROR(__xludf.DUMMYFUNCTION("""COMPUTED_VALUE"""),33.14)</f>
        <v>33.14</v>
      </c>
      <c r="E2063" s="1">
        <f>IFERROR(__xludf.DUMMYFUNCTION("""COMPUTED_VALUE"""),33.26)</f>
        <v>33.26</v>
      </c>
      <c r="F2063" s="1">
        <f>IFERROR(__xludf.DUMMYFUNCTION("""COMPUTED_VALUE"""),403700.0)</f>
        <v>403700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IFERROR(__xludf.DUMMYFUNCTION("""COMPUTED_VALUE"""),33.32)</f>
        <v>33.32</v>
      </c>
      <c r="C2064" s="1">
        <f>IFERROR(__xludf.DUMMYFUNCTION("""COMPUTED_VALUE"""),33.38)</f>
        <v>33.38</v>
      </c>
      <c r="D2064" s="1">
        <f>IFERROR(__xludf.DUMMYFUNCTION("""COMPUTED_VALUE"""),32.75)</f>
        <v>32.75</v>
      </c>
      <c r="E2064" s="1">
        <f>IFERROR(__xludf.DUMMYFUNCTION("""COMPUTED_VALUE"""),32.83)</f>
        <v>32.83</v>
      </c>
      <c r="F2064" s="1">
        <f>IFERROR(__xludf.DUMMYFUNCTION("""COMPUTED_VALUE"""),349386.0)</f>
        <v>349386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IFERROR(__xludf.DUMMYFUNCTION("""COMPUTED_VALUE"""),32.93)</f>
        <v>32.93</v>
      </c>
      <c r="C2065" s="1">
        <f>IFERROR(__xludf.DUMMYFUNCTION("""COMPUTED_VALUE"""),32.93)</f>
        <v>32.93</v>
      </c>
      <c r="D2065" s="1">
        <f>IFERROR(__xludf.DUMMYFUNCTION("""COMPUTED_VALUE"""),32.17)</f>
        <v>32.17</v>
      </c>
      <c r="E2065" s="1">
        <f>IFERROR(__xludf.DUMMYFUNCTION("""COMPUTED_VALUE"""),32.24)</f>
        <v>32.24</v>
      </c>
      <c r="F2065" s="1">
        <f>IFERROR(__xludf.DUMMYFUNCTION("""COMPUTED_VALUE"""),749314.0)</f>
        <v>749314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IFERROR(__xludf.DUMMYFUNCTION("""COMPUTED_VALUE"""),32.31)</f>
        <v>32.31</v>
      </c>
      <c r="C2066" s="1">
        <f>IFERROR(__xludf.DUMMYFUNCTION("""COMPUTED_VALUE"""),32.34)</f>
        <v>32.34</v>
      </c>
      <c r="D2066" s="1">
        <f>IFERROR(__xludf.DUMMYFUNCTION("""COMPUTED_VALUE"""),31.93)</f>
        <v>31.93</v>
      </c>
      <c r="E2066" s="1">
        <f>IFERROR(__xludf.DUMMYFUNCTION("""COMPUTED_VALUE"""),32.17)</f>
        <v>32.17</v>
      </c>
      <c r="F2066" s="1">
        <f>IFERROR(__xludf.DUMMYFUNCTION("""COMPUTED_VALUE"""),768235.0)</f>
        <v>768235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IFERROR(__xludf.DUMMYFUNCTION("""COMPUTED_VALUE"""),32.02)</f>
        <v>32.02</v>
      </c>
      <c r="C2067" s="1">
        <f>IFERROR(__xludf.DUMMYFUNCTION("""COMPUTED_VALUE"""),32.09)</f>
        <v>32.09</v>
      </c>
      <c r="D2067" s="1">
        <f>IFERROR(__xludf.DUMMYFUNCTION("""COMPUTED_VALUE"""),31.41)</f>
        <v>31.41</v>
      </c>
      <c r="E2067" s="1">
        <f>IFERROR(__xludf.DUMMYFUNCTION("""COMPUTED_VALUE"""),31.52)</f>
        <v>31.52</v>
      </c>
      <c r="F2067" s="1">
        <f>IFERROR(__xludf.DUMMYFUNCTION("""COMPUTED_VALUE"""),594021.0)</f>
        <v>594021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IFERROR(__xludf.DUMMYFUNCTION("""COMPUTED_VALUE"""),31.6)</f>
        <v>31.6</v>
      </c>
      <c r="C2068" s="1">
        <f>IFERROR(__xludf.DUMMYFUNCTION("""COMPUTED_VALUE"""),31.89)</f>
        <v>31.89</v>
      </c>
      <c r="D2068" s="1">
        <f>IFERROR(__xludf.DUMMYFUNCTION("""COMPUTED_VALUE"""),31.47)</f>
        <v>31.47</v>
      </c>
      <c r="E2068" s="1">
        <f>IFERROR(__xludf.DUMMYFUNCTION("""COMPUTED_VALUE"""),31.73)</f>
        <v>31.73</v>
      </c>
      <c r="F2068" s="1">
        <f>IFERROR(__xludf.DUMMYFUNCTION("""COMPUTED_VALUE"""),424701.0)</f>
        <v>424701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IFERROR(__xludf.DUMMYFUNCTION("""COMPUTED_VALUE"""),31.81)</f>
        <v>31.81</v>
      </c>
      <c r="C2069" s="1">
        <f>IFERROR(__xludf.DUMMYFUNCTION("""COMPUTED_VALUE"""),32.57)</f>
        <v>32.57</v>
      </c>
      <c r="D2069" s="1">
        <f>IFERROR(__xludf.DUMMYFUNCTION("""COMPUTED_VALUE"""),31.76)</f>
        <v>31.76</v>
      </c>
      <c r="E2069" s="1">
        <f>IFERROR(__xludf.DUMMYFUNCTION("""COMPUTED_VALUE"""),32.07)</f>
        <v>32.07</v>
      </c>
      <c r="F2069" s="1">
        <f>IFERROR(__xludf.DUMMYFUNCTION("""COMPUTED_VALUE"""),530901.0)</f>
        <v>530901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IFERROR(__xludf.DUMMYFUNCTION("""COMPUTED_VALUE"""),31.86)</f>
        <v>31.86</v>
      </c>
      <c r="C2070" s="1">
        <f>IFERROR(__xludf.DUMMYFUNCTION("""COMPUTED_VALUE"""),31.86)</f>
        <v>31.86</v>
      </c>
      <c r="D2070" s="1">
        <f>IFERROR(__xludf.DUMMYFUNCTION("""COMPUTED_VALUE"""),30.81)</f>
        <v>30.81</v>
      </c>
      <c r="E2070" s="1">
        <f>IFERROR(__xludf.DUMMYFUNCTION("""COMPUTED_VALUE"""),30.85)</f>
        <v>30.85</v>
      </c>
      <c r="F2070" s="1">
        <f>IFERROR(__xludf.DUMMYFUNCTION("""COMPUTED_VALUE"""),529740.0)</f>
        <v>529740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IFERROR(__xludf.DUMMYFUNCTION("""COMPUTED_VALUE"""),30.85)</f>
        <v>30.85</v>
      </c>
      <c r="C2071" s="1">
        <f>IFERROR(__xludf.DUMMYFUNCTION("""COMPUTED_VALUE"""),31.11)</f>
        <v>31.11</v>
      </c>
      <c r="D2071" s="1">
        <f>IFERROR(__xludf.DUMMYFUNCTION("""COMPUTED_VALUE"""),30.09)</f>
        <v>30.09</v>
      </c>
      <c r="E2071" s="1">
        <f>IFERROR(__xludf.DUMMYFUNCTION("""COMPUTED_VALUE"""),30.22)</f>
        <v>30.22</v>
      </c>
      <c r="F2071" s="1">
        <f>IFERROR(__xludf.DUMMYFUNCTION("""COMPUTED_VALUE"""),579450.0)</f>
        <v>579450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IFERROR(__xludf.DUMMYFUNCTION("""COMPUTED_VALUE"""),30.66)</f>
        <v>30.66</v>
      </c>
      <c r="C2072" s="1">
        <f>IFERROR(__xludf.DUMMYFUNCTION("""COMPUTED_VALUE"""),30.97)</f>
        <v>30.97</v>
      </c>
      <c r="D2072" s="1">
        <f>IFERROR(__xludf.DUMMYFUNCTION("""COMPUTED_VALUE"""),30.37)</f>
        <v>30.37</v>
      </c>
      <c r="E2072" s="1">
        <f>IFERROR(__xludf.DUMMYFUNCTION("""COMPUTED_VALUE"""),30.89)</f>
        <v>30.89</v>
      </c>
      <c r="F2072" s="1">
        <f>IFERROR(__xludf.DUMMYFUNCTION("""COMPUTED_VALUE"""),747550.0)</f>
        <v>747550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IFERROR(__xludf.DUMMYFUNCTION("""COMPUTED_VALUE"""),30.87)</f>
        <v>30.87</v>
      </c>
      <c r="C2073" s="1">
        <f>IFERROR(__xludf.DUMMYFUNCTION("""COMPUTED_VALUE"""),31.45)</f>
        <v>31.45</v>
      </c>
      <c r="D2073" s="1">
        <f>IFERROR(__xludf.DUMMYFUNCTION("""COMPUTED_VALUE"""),30.85)</f>
        <v>30.85</v>
      </c>
      <c r="E2073" s="1">
        <f>IFERROR(__xludf.DUMMYFUNCTION("""COMPUTED_VALUE"""),31.06)</f>
        <v>31.06</v>
      </c>
      <c r="F2073" s="1">
        <f>IFERROR(__xludf.DUMMYFUNCTION("""COMPUTED_VALUE"""),978898.0)</f>
        <v>978898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IFERROR(__xludf.DUMMYFUNCTION("""COMPUTED_VALUE"""),30.94)</f>
        <v>30.94</v>
      </c>
      <c r="C2074" s="1">
        <f>IFERROR(__xludf.DUMMYFUNCTION("""COMPUTED_VALUE"""),31.3)</f>
        <v>31.3</v>
      </c>
      <c r="D2074" s="1">
        <f>IFERROR(__xludf.DUMMYFUNCTION("""COMPUTED_VALUE"""),30.81)</f>
        <v>30.81</v>
      </c>
      <c r="E2074" s="1">
        <f>IFERROR(__xludf.DUMMYFUNCTION("""COMPUTED_VALUE"""),31.26)</f>
        <v>31.26</v>
      </c>
      <c r="F2074" s="1">
        <f>IFERROR(__xludf.DUMMYFUNCTION("""COMPUTED_VALUE"""),449228.0)</f>
        <v>449228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IFERROR(__xludf.DUMMYFUNCTION("""COMPUTED_VALUE"""),31.23)</f>
        <v>31.23</v>
      </c>
      <c r="C2075" s="1">
        <f>IFERROR(__xludf.DUMMYFUNCTION("""COMPUTED_VALUE"""),31.66)</f>
        <v>31.66</v>
      </c>
      <c r="D2075" s="1">
        <f>IFERROR(__xludf.DUMMYFUNCTION("""COMPUTED_VALUE"""),31.23)</f>
        <v>31.23</v>
      </c>
      <c r="E2075" s="1">
        <f>IFERROR(__xludf.DUMMYFUNCTION("""COMPUTED_VALUE"""),31.47)</f>
        <v>31.47</v>
      </c>
      <c r="F2075" s="1">
        <f>IFERROR(__xludf.DUMMYFUNCTION("""COMPUTED_VALUE"""),869714.0)</f>
        <v>869714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IFERROR(__xludf.DUMMYFUNCTION("""COMPUTED_VALUE"""),31.47)</f>
        <v>31.47</v>
      </c>
      <c r="C2076" s="1">
        <f>IFERROR(__xludf.DUMMYFUNCTION("""COMPUTED_VALUE"""),31.57)</f>
        <v>31.57</v>
      </c>
      <c r="D2076" s="1">
        <f>IFERROR(__xludf.DUMMYFUNCTION("""COMPUTED_VALUE"""),30.95)</f>
        <v>30.95</v>
      </c>
      <c r="E2076" s="1">
        <f>IFERROR(__xludf.DUMMYFUNCTION("""COMPUTED_VALUE"""),31.05)</f>
        <v>31.05</v>
      </c>
      <c r="F2076" s="1">
        <f>IFERROR(__xludf.DUMMYFUNCTION("""COMPUTED_VALUE"""),1085534.0)</f>
        <v>1085534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IFERROR(__xludf.DUMMYFUNCTION("""COMPUTED_VALUE"""),31.27)</f>
        <v>31.27</v>
      </c>
      <c r="C2077" s="1">
        <f>IFERROR(__xludf.DUMMYFUNCTION("""COMPUTED_VALUE"""),32.04)</f>
        <v>32.04</v>
      </c>
      <c r="D2077" s="1">
        <f>IFERROR(__xludf.DUMMYFUNCTION("""COMPUTED_VALUE"""),31.23)</f>
        <v>31.23</v>
      </c>
      <c r="E2077" s="1">
        <f>IFERROR(__xludf.DUMMYFUNCTION("""COMPUTED_VALUE"""),31.98)</f>
        <v>31.98</v>
      </c>
      <c r="F2077" s="1">
        <f>IFERROR(__xludf.DUMMYFUNCTION("""COMPUTED_VALUE"""),484730.0)</f>
        <v>484730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IFERROR(__xludf.DUMMYFUNCTION("""COMPUTED_VALUE"""),31.62)</f>
        <v>31.62</v>
      </c>
      <c r="C2078" s="1">
        <f>IFERROR(__xludf.DUMMYFUNCTION("""COMPUTED_VALUE"""),32.43)</f>
        <v>32.43</v>
      </c>
      <c r="D2078" s="1">
        <f>IFERROR(__xludf.DUMMYFUNCTION("""COMPUTED_VALUE"""),31.57)</f>
        <v>31.57</v>
      </c>
      <c r="E2078" s="1">
        <f>IFERROR(__xludf.DUMMYFUNCTION("""COMPUTED_VALUE"""),32.27)</f>
        <v>32.27</v>
      </c>
      <c r="F2078" s="1">
        <f>IFERROR(__xludf.DUMMYFUNCTION("""COMPUTED_VALUE"""),673995.0)</f>
        <v>673995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IFERROR(__xludf.DUMMYFUNCTION("""COMPUTED_VALUE"""),32.55)</f>
        <v>32.55</v>
      </c>
      <c r="C2079" s="1">
        <f>IFERROR(__xludf.DUMMYFUNCTION("""COMPUTED_VALUE"""),32.99)</f>
        <v>32.99</v>
      </c>
      <c r="D2079" s="1">
        <f>IFERROR(__xludf.DUMMYFUNCTION("""COMPUTED_VALUE"""),32.1)</f>
        <v>32.1</v>
      </c>
      <c r="E2079" s="1">
        <f>IFERROR(__xludf.DUMMYFUNCTION("""COMPUTED_VALUE"""),32.21)</f>
        <v>32.21</v>
      </c>
      <c r="F2079" s="1">
        <f>IFERROR(__xludf.DUMMYFUNCTION("""COMPUTED_VALUE"""),428121.0)</f>
        <v>428121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IFERROR(__xludf.DUMMYFUNCTION("""COMPUTED_VALUE"""),31.88)</f>
        <v>31.88</v>
      </c>
      <c r="C2080" s="1">
        <f>IFERROR(__xludf.DUMMYFUNCTION("""COMPUTED_VALUE"""),32.18)</f>
        <v>32.18</v>
      </c>
      <c r="D2080" s="1">
        <f>IFERROR(__xludf.DUMMYFUNCTION("""COMPUTED_VALUE"""),31.41)</f>
        <v>31.41</v>
      </c>
      <c r="E2080" s="1">
        <f>IFERROR(__xludf.DUMMYFUNCTION("""COMPUTED_VALUE"""),31.64)</f>
        <v>31.64</v>
      </c>
      <c r="F2080" s="1">
        <f>IFERROR(__xludf.DUMMYFUNCTION("""COMPUTED_VALUE"""),536670.0)</f>
        <v>536670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IFERROR(__xludf.DUMMYFUNCTION("""COMPUTED_VALUE"""),32.02)</f>
        <v>32.02</v>
      </c>
      <c r="C2081" s="1">
        <f>IFERROR(__xludf.DUMMYFUNCTION("""COMPUTED_VALUE"""),32.91)</f>
        <v>32.91</v>
      </c>
      <c r="D2081" s="1">
        <f>IFERROR(__xludf.DUMMYFUNCTION("""COMPUTED_VALUE"""),31.81)</f>
        <v>31.81</v>
      </c>
      <c r="E2081" s="1">
        <f>IFERROR(__xludf.DUMMYFUNCTION("""COMPUTED_VALUE"""),32.41)</f>
        <v>32.41</v>
      </c>
      <c r="F2081" s="1">
        <f>IFERROR(__xludf.DUMMYFUNCTION("""COMPUTED_VALUE"""),762399.0)</f>
        <v>762399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IFERROR(__xludf.DUMMYFUNCTION("""COMPUTED_VALUE"""),33.01)</f>
        <v>33.01</v>
      </c>
      <c r="C2082" s="1">
        <f>IFERROR(__xludf.DUMMYFUNCTION("""COMPUTED_VALUE"""),33.17)</f>
        <v>33.17</v>
      </c>
      <c r="D2082" s="1">
        <f>IFERROR(__xludf.DUMMYFUNCTION("""COMPUTED_VALUE"""),32.51)</f>
        <v>32.51</v>
      </c>
      <c r="E2082" s="1">
        <f>IFERROR(__xludf.DUMMYFUNCTION("""COMPUTED_VALUE"""),32.86)</f>
        <v>32.86</v>
      </c>
      <c r="F2082" s="1">
        <f>IFERROR(__xludf.DUMMYFUNCTION("""COMPUTED_VALUE"""),596435.0)</f>
        <v>596435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IFERROR(__xludf.DUMMYFUNCTION("""COMPUTED_VALUE"""),32.75)</f>
        <v>32.75</v>
      </c>
      <c r="C2083" s="1">
        <f>IFERROR(__xludf.DUMMYFUNCTION("""COMPUTED_VALUE"""),32.77)</f>
        <v>32.77</v>
      </c>
      <c r="D2083" s="1">
        <f>IFERROR(__xludf.DUMMYFUNCTION("""COMPUTED_VALUE"""),32.35)</f>
        <v>32.35</v>
      </c>
      <c r="E2083" s="1">
        <f>IFERROR(__xludf.DUMMYFUNCTION("""COMPUTED_VALUE"""),32.65)</f>
        <v>32.65</v>
      </c>
      <c r="F2083" s="1">
        <f>IFERROR(__xludf.DUMMYFUNCTION("""COMPUTED_VALUE"""),273481.0)</f>
        <v>273481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IFERROR(__xludf.DUMMYFUNCTION("""COMPUTED_VALUE"""),32.81)</f>
        <v>32.81</v>
      </c>
      <c r="C2084" s="1">
        <f>IFERROR(__xludf.DUMMYFUNCTION("""COMPUTED_VALUE"""),33.21)</f>
        <v>33.21</v>
      </c>
      <c r="D2084" s="1">
        <f>IFERROR(__xludf.DUMMYFUNCTION("""COMPUTED_VALUE"""),32.69)</f>
        <v>32.69</v>
      </c>
      <c r="E2084" s="1">
        <f>IFERROR(__xludf.DUMMYFUNCTION("""COMPUTED_VALUE"""),33.09)</f>
        <v>33.09</v>
      </c>
      <c r="F2084" s="1">
        <f>IFERROR(__xludf.DUMMYFUNCTION("""COMPUTED_VALUE"""),293043.0)</f>
        <v>293043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IFERROR(__xludf.DUMMYFUNCTION("""COMPUTED_VALUE"""),33.13)</f>
        <v>33.13</v>
      </c>
      <c r="C2085" s="1">
        <f>IFERROR(__xludf.DUMMYFUNCTION("""COMPUTED_VALUE"""),33.21)</f>
        <v>33.21</v>
      </c>
      <c r="D2085" s="1">
        <f>IFERROR(__xludf.DUMMYFUNCTION("""COMPUTED_VALUE"""),32.92)</f>
        <v>32.92</v>
      </c>
      <c r="E2085" s="1">
        <f>IFERROR(__xludf.DUMMYFUNCTION("""COMPUTED_VALUE"""),33.08)</f>
        <v>33.08</v>
      </c>
      <c r="F2085" s="1">
        <f>IFERROR(__xludf.DUMMYFUNCTION("""COMPUTED_VALUE"""),494105.0)</f>
        <v>494105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IFERROR(__xludf.DUMMYFUNCTION("""COMPUTED_VALUE"""),33.2)</f>
        <v>33.2</v>
      </c>
      <c r="C2086" s="1">
        <f>IFERROR(__xludf.DUMMYFUNCTION("""COMPUTED_VALUE"""),33.36)</f>
        <v>33.36</v>
      </c>
      <c r="D2086" s="1">
        <f>IFERROR(__xludf.DUMMYFUNCTION("""COMPUTED_VALUE"""),33.01)</f>
        <v>33.01</v>
      </c>
      <c r="E2086" s="1">
        <f>IFERROR(__xludf.DUMMYFUNCTION("""COMPUTED_VALUE"""),33.29)</f>
        <v>33.29</v>
      </c>
      <c r="F2086" s="1">
        <f>IFERROR(__xludf.DUMMYFUNCTION("""COMPUTED_VALUE"""),265420.0)</f>
        <v>265420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IFERROR(__xludf.DUMMYFUNCTION("""COMPUTED_VALUE"""),33.4)</f>
        <v>33.4</v>
      </c>
      <c r="C2087" s="1">
        <f>IFERROR(__xludf.DUMMYFUNCTION("""COMPUTED_VALUE"""),33.45)</f>
        <v>33.45</v>
      </c>
      <c r="D2087" s="1">
        <f>IFERROR(__xludf.DUMMYFUNCTION("""COMPUTED_VALUE"""),33.17)</f>
        <v>33.17</v>
      </c>
      <c r="E2087" s="1">
        <f>IFERROR(__xludf.DUMMYFUNCTION("""COMPUTED_VALUE"""),33.35)</f>
        <v>33.35</v>
      </c>
      <c r="F2087" s="1">
        <f>IFERROR(__xludf.DUMMYFUNCTION("""COMPUTED_VALUE"""),212750.0)</f>
        <v>212750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IFERROR(__xludf.DUMMYFUNCTION("""COMPUTED_VALUE"""),33.37)</f>
        <v>33.37</v>
      </c>
      <c r="C2088" s="1">
        <f>IFERROR(__xludf.DUMMYFUNCTION("""COMPUTED_VALUE"""),33.68)</f>
        <v>33.68</v>
      </c>
      <c r="D2088" s="1">
        <f>IFERROR(__xludf.DUMMYFUNCTION("""COMPUTED_VALUE"""),33.25)</f>
        <v>33.25</v>
      </c>
      <c r="E2088" s="1">
        <f>IFERROR(__xludf.DUMMYFUNCTION("""COMPUTED_VALUE"""),33.47)</f>
        <v>33.47</v>
      </c>
      <c r="F2088" s="1">
        <f>IFERROR(__xludf.DUMMYFUNCTION("""COMPUTED_VALUE"""),333132.0)</f>
        <v>333132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IFERROR(__xludf.DUMMYFUNCTION("""COMPUTED_VALUE"""),33.31)</f>
        <v>33.31</v>
      </c>
      <c r="C2089" s="1">
        <f>IFERROR(__xludf.DUMMYFUNCTION("""COMPUTED_VALUE"""),33.42)</f>
        <v>33.42</v>
      </c>
      <c r="D2089" s="1">
        <f>IFERROR(__xludf.DUMMYFUNCTION("""COMPUTED_VALUE"""),32.58)</f>
        <v>32.58</v>
      </c>
      <c r="E2089" s="1">
        <f>IFERROR(__xludf.DUMMYFUNCTION("""COMPUTED_VALUE"""),32.96)</f>
        <v>32.96</v>
      </c>
      <c r="F2089" s="1">
        <f>IFERROR(__xludf.DUMMYFUNCTION("""COMPUTED_VALUE"""),378925.0)</f>
        <v>378925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IFERROR(__xludf.DUMMYFUNCTION("""COMPUTED_VALUE"""),32.81)</f>
        <v>32.81</v>
      </c>
      <c r="C2090" s="1">
        <f>IFERROR(__xludf.DUMMYFUNCTION("""COMPUTED_VALUE"""),32.93)</f>
        <v>32.93</v>
      </c>
      <c r="D2090" s="1">
        <f>IFERROR(__xludf.DUMMYFUNCTION("""COMPUTED_VALUE"""),32.47)</f>
        <v>32.47</v>
      </c>
      <c r="E2090" s="1">
        <f>IFERROR(__xludf.DUMMYFUNCTION("""COMPUTED_VALUE"""),32.6)</f>
        <v>32.6</v>
      </c>
      <c r="F2090" s="1">
        <f>IFERROR(__xludf.DUMMYFUNCTION("""COMPUTED_VALUE"""),230737.0)</f>
        <v>230737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IFERROR(__xludf.DUMMYFUNCTION("""COMPUTED_VALUE"""),32.67)</f>
        <v>32.67</v>
      </c>
      <c r="C2091" s="1">
        <f>IFERROR(__xludf.DUMMYFUNCTION("""COMPUTED_VALUE"""),33.06)</f>
        <v>33.06</v>
      </c>
      <c r="D2091" s="1">
        <f>IFERROR(__xludf.DUMMYFUNCTION("""COMPUTED_VALUE"""),32.4)</f>
        <v>32.4</v>
      </c>
      <c r="E2091" s="1">
        <f>IFERROR(__xludf.DUMMYFUNCTION("""COMPUTED_VALUE"""),33.03)</f>
        <v>33.03</v>
      </c>
      <c r="F2091" s="1">
        <f>IFERROR(__xludf.DUMMYFUNCTION("""COMPUTED_VALUE"""),345924.0)</f>
        <v>345924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IFERROR(__xludf.DUMMYFUNCTION("""COMPUTED_VALUE"""),33.24)</f>
        <v>33.24</v>
      </c>
      <c r="C2092" s="1">
        <f>IFERROR(__xludf.DUMMYFUNCTION("""COMPUTED_VALUE"""),33.39)</f>
        <v>33.39</v>
      </c>
      <c r="D2092" s="1">
        <f>IFERROR(__xludf.DUMMYFUNCTION("""COMPUTED_VALUE"""),32.64)</f>
        <v>32.64</v>
      </c>
      <c r="E2092" s="1">
        <f>IFERROR(__xludf.DUMMYFUNCTION("""COMPUTED_VALUE"""),32.84)</f>
        <v>32.84</v>
      </c>
      <c r="F2092" s="1">
        <f>IFERROR(__xludf.DUMMYFUNCTION("""COMPUTED_VALUE"""),262946.0)</f>
        <v>262946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IFERROR(__xludf.DUMMYFUNCTION("""COMPUTED_VALUE"""),32.81)</f>
        <v>32.81</v>
      </c>
      <c r="C2093" s="1">
        <f>IFERROR(__xludf.DUMMYFUNCTION("""COMPUTED_VALUE"""),32.81)</f>
        <v>32.81</v>
      </c>
      <c r="D2093" s="1">
        <f>IFERROR(__xludf.DUMMYFUNCTION("""COMPUTED_VALUE"""),32.27)</f>
        <v>32.27</v>
      </c>
      <c r="E2093" s="1">
        <f>IFERROR(__xludf.DUMMYFUNCTION("""COMPUTED_VALUE"""),32.54)</f>
        <v>32.54</v>
      </c>
      <c r="F2093" s="1">
        <f>IFERROR(__xludf.DUMMYFUNCTION("""COMPUTED_VALUE"""),340589.0)</f>
        <v>340589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IFERROR(__xludf.DUMMYFUNCTION("""COMPUTED_VALUE"""),32.67)</f>
        <v>32.67</v>
      </c>
      <c r="C2094" s="1">
        <f>IFERROR(__xludf.DUMMYFUNCTION("""COMPUTED_VALUE"""),32.68)</f>
        <v>32.68</v>
      </c>
      <c r="D2094" s="1">
        <f>IFERROR(__xludf.DUMMYFUNCTION("""COMPUTED_VALUE"""),32.19)</f>
        <v>32.19</v>
      </c>
      <c r="E2094" s="1">
        <f>IFERROR(__xludf.DUMMYFUNCTION("""COMPUTED_VALUE"""),32.59)</f>
        <v>32.59</v>
      </c>
      <c r="F2094" s="1">
        <f>IFERROR(__xludf.DUMMYFUNCTION("""COMPUTED_VALUE"""),216392.0)</f>
        <v>216392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IFERROR(__xludf.DUMMYFUNCTION("""COMPUTED_VALUE"""),32.56)</f>
        <v>32.56</v>
      </c>
      <c r="C2095" s="1">
        <f>IFERROR(__xludf.DUMMYFUNCTION("""COMPUTED_VALUE"""),33.05)</f>
        <v>33.05</v>
      </c>
      <c r="D2095" s="1">
        <f>IFERROR(__xludf.DUMMYFUNCTION("""COMPUTED_VALUE"""),32.53)</f>
        <v>32.53</v>
      </c>
      <c r="E2095" s="1">
        <f>IFERROR(__xludf.DUMMYFUNCTION("""COMPUTED_VALUE"""),32.98)</f>
        <v>32.98</v>
      </c>
      <c r="F2095" s="1">
        <f>IFERROR(__xludf.DUMMYFUNCTION("""COMPUTED_VALUE"""),237150.0)</f>
        <v>237150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IFERROR(__xludf.DUMMYFUNCTION("""COMPUTED_VALUE"""),33.1)</f>
        <v>33.1</v>
      </c>
      <c r="C2096" s="1">
        <f>IFERROR(__xludf.DUMMYFUNCTION("""COMPUTED_VALUE"""),33.58)</f>
        <v>33.58</v>
      </c>
      <c r="D2096" s="1">
        <f>IFERROR(__xludf.DUMMYFUNCTION("""COMPUTED_VALUE"""),32.69)</f>
        <v>32.69</v>
      </c>
      <c r="E2096" s="1">
        <f>IFERROR(__xludf.DUMMYFUNCTION("""COMPUTED_VALUE"""),32.73)</f>
        <v>32.73</v>
      </c>
      <c r="F2096" s="1">
        <f>IFERROR(__xludf.DUMMYFUNCTION("""COMPUTED_VALUE"""),395563.0)</f>
        <v>395563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IFERROR(__xludf.DUMMYFUNCTION("""COMPUTED_VALUE"""),32.58)</f>
        <v>32.58</v>
      </c>
      <c r="C2097" s="1">
        <f>IFERROR(__xludf.DUMMYFUNCTION("""COMPUTED_VALUE"""),32.91)</f>
        <v>32.91</v>
      </c>
      <c r="D2097" s="1">
        <f>IFERROR(__xludf.DUMMYFUNCTION("""COMPUTED_VALUE"""),32.22)</f>
        <v>32.22</v>
      </c>
      <c r="E2097" s="1">
        <f>IFERROR(__xludf.DUMMYFUNCTION("""COMPUTED_VALUE"""),32.78)</f>
        <v>32.78</v>
      </c>
      <c r="F2097" s="1">
        <f>IFERROR(__xludf.DUMMYFUNCTION("""COMPUTED_VALUE"""),327983.0)</f>
        <v>327983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IFERROR(__xludf.DUMMYFUNCTION("""COMPUTED_VALUE"""),32.79)</f>
        <v>32.79</v>
      </c>
      <c r="C2098" s="1">
        <f>IFERROR(__xludf.DUMMYFUNCTION("""COMPUTED_VALUE"""),33.12)</f>
        <v>33.12</v>
      </c>
      <c r="D2098" s="1">
        <f>IFERROR(__xludf.DUMMYFUNCTION("""COMPUTED_VALUE"""),32.63)</f>
        <v>32.63</v>
      </c>
      <c r="E2098" s="1">
        <f>IFERROR(__xludf.DUMMYFUNCTION("""COMPUTED_VALUE"""),32.84)</f>
        <v>32.84</v>
      </c>
      <c r="F2098" s="1">
        <f>IFERROR(__xludf.DUMMYFUNCTION("""COMPUTED_VALUE"""),251974.0)</f>
        <v>251974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IFERROR(__xludf.DUMMYFUNCTION("""COMPUTED_VALUE"""),32.79)</f>
        <v>32.79</v>
      </c>
      <c r="C2099" s="1">
        <f>IFERROR(__xludf.DUMMYFUNCTION("""COMPUTED_VALUE"""),33.02)</f>
        <v>33.02</v>
      </c>
      <c r="D2099" s="1">
        <f>IFERROR(__xludf.DUMMYFUNCTION("""COMPUTED_VALUE"""),32.53)</f>
        <v>32.53</v>
      </c>
      <c r="E2099" s="1">
        <f>IFERROR(__xludf.DUMMYFUNCTION("""COMPUTED_VALUE"""),32.88)</f>
        <v>32.88</v>
      </c>
      <c r="F2099" s="1">
        <f>IFERROR(__xludf.DUMMYFUNCTION("""COMPUTED_VALUE"""),222903.0)</f>
        <v>222903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IFERROR(__xludf.DUMMYFUNCTION("""COMPUTED_VALUE"""),32.86)</f>
        <v>32.86</v>
      </c>
      <c r="C2100" s="1">
        <f>IFERROR(__xludf.DUMMYFUNCTION("""COMPUTED_VALUE"""),33.59)</f>
        <v>33.59</v>
      </c>
      <c r="D2100" s="1">
        <f>IFERROR(__xludf.DUMMYFUNCTION("""COMPUTED_VALUE"""),32.75)</f>
        <v>32.75</v>
      </c>
      <c r="E2100" s="1">
        <f>IFERROR(__xludf.DUMMYFUNCTION("""COMPUTED_VALUE"""),33.44)</f>
        <v>33.44</v>
      </c>
      <c r="F2100" s="1">
        <f>IFERROR(__xludf.DUMMYFUNCTION("""COMPUTED_VALUE"""),192456.0)</f>
        <v>192456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IFERROR(__xludf.DUMMYFUNCTION("""COMPUTED_VALUE"""),33.35)</f>
        <v>33.35</v>
      </c>
      <c r="C2101" s="1">
        <f>IFERROR(__xludf.DUMMYFUNCTION("""COMPUTED_VALUE"""),33.65)</f>
        <v>33.65</v>
      </c>
      <c r="D2101" s="1">
        <f>IFERROR(__xludf.DUMMYFUNCTION("""COMPUTED_VALUE"""),33.2)</f>
        <v>33.2</v>
      </c>
      <c r="E2101" s="1">
        <f>IFERROR(__xludf.DUMMYFUNCTION("""COMPUTED_VALUE"""),33.44)</f>
        <v>33.44</v>
      </c>
      <c r="F2101" s="1">
        <f>IFERROR(__xludf.DUMMYFUNCTION("""COMPUTED_VALUE"""),239746.0)</f>
        <v>239746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IFERROR(__xludf.DUMMYFUNCTION("""COMPUTED_VALUE"""),33.5)</f>
        <v>33.5</v>
      </c>
      <c r="C2102" s="1">
        <f>IFERROR(__xludf.DUMMYFUNCTION("""COMPUTED_VALUE"""),33.95)</f>
        <v>33.95</v>
      </c>
      <c r="D2102" s="1">
        <f>IFERROR(__xludf.DUMMYFUNCTION("""COMPUTED_VALUE"""),33.08)</f>
        <v>33.08</v>
      </c>
      <c r="E2102" s="1">
        <f>IFERROR(__xludf.DUMMYFUNCTION("""COMPUTED_VALUE"""),33.7)</f>
        <v>33.7</v>
      </c>
      <c r="F2102" s="1">
        <f>IFERROR(__xludf.DUMMYFUNCTION("""COMPUTED_VALUE"""),457864.0)</f>
        <v>457864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IFERROR(__xludf.DUMMYFUNCTION("""COMPUTED_VALUE"""),33.87)</f>
        <v>33.87</v>
      </c>
      <c r="C2103" s="1">
        <f>IFERROR(__xludf.DUMMYFUNCTION("""COMPUTED_VALUE"""),33.93)</f>
        <v>33.93</v>
      </c>
      <c r="D2103" s="1">
        <f>IFERROR(__xludf.DUMMYFUNCTION("""COMPUTED_VALUE"""),33.38)</f>
        <v>33.38</v>
      </c>
      <c r="E2103" s="1">
        <f>IFERROR(__xludf.DUMMYFUNCTION("""COMPUTED_VALUE"""),33.8)</f>
        <v>33.8</v>
      </c>
      <c r="F2103" s="1">
        <f>IFERROR(__xludf.DUMMYFUNCTION("""COMPUTED_VALUE"""),374811.0)</f>
        <v>374811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IFERROR(__xludf.DUMMYFUNCTION("""COMPUTED_VALUE"""),33.91)</f>
        <v>33.91</v>
      </c>
      <c r="C2104" s="1">
        <f>IFERROR(__xludf.DUMMYFUNCTION("""COMPUTED_VALUE"""),34.43)</f>
        <v>34.43</v>
      </c>
      <c r="D2104" s="1">
        <f>IFERROR(__xludf.DUMMYFUNCTION("""COMPUTED_VALUE"""),33.69)</f>
        <v>33.69</v>
      </c>
      <c r="E2104" s="1">
        <f>IFERROR(__xludf.DUMMYFUNCTION("""COMPUTED_VALUE"""),34.03)</f>
        <v>34.03</v>
      </c>
      <c r="F2104" s="1">
        <f>IFERROR(__xludf.DUMMYFUNCTION("""COMPUTED_VALUE"""),684199.0)</f>
        <v>684199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IFERROR(__xludf.DUMMYFUNCTION("""COMPUTED_VALUE"""),33.32)</f>
        <v>33.32</v>
      </c>
      <c r="C2105" s="1">
        <f>IFERROR(__xludf.DUMMYFUNCTION("""COMPUTED_VALUE"""),33.39)</f>
        <v>33.39</v>
      </c>
      <c r="D2105" s="1">
        <f>IFERROR(__xludf.DUMMYFUNCTION("""COMPUTED_VALUE"""),31.91)</f>
        <v>31.91</v>
      </c>
      <c r="E2105" s="1">
        <f>IFERROR(__xludf.DUMMYFUNCTION("""COMPUTED_VALUE"""),33.19)</f>
        <v>33.19</v>
      </c>
      <c r="F2105" s="1">
        <f>IFERROR(__xludf.DUMMYFUNCTION("""COMPUTED_VALUE"""),798285.0)</f>
        <v>798285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IFERROR(__xludf.DUMMYFUNCTION("""COMPUTED_VALUE"""),33.51)</f>
        <v>33.51</v>
      </c>
      <c r="C2106" s="1">
        <f>IFERROR(__xludf.DUMMYFUNCTION("""COMPUTED_VALUE"""),33.82)</f>
        <v>33.82</v>
      </c>
      <c r="D2106" s="1">
        <f>IFERROR(__xludf.DUMMYFUNCTION("""COMPUTED_VALUE"""),32.95)</f>
        <v>32.95</v>
      </c>
      <c r="E2106" s="1">
        <f>IFERROR(__xludf.DUMMYFUNCTION("""COMPUTED_VALUE"""),33.02)</f>
        <v>33.02</v>
      </c>
      <c r="F2106" s="1">
        <f>IFERROR(__xludf.DUMMYFUNCTION("""COMPUTED_VALUE"""),251023.0)</f>
        <v>251023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IFERROR(__xludf.DUMMYFUNCTION("""COMPUTED_VALUE"""),32.85)</f>
        <v>32.85</v>
      </c>
      <c r="C2107" s="1">
        <f>IFERROR(__xludf.DUMMYFUNCTION("""COMPUTED_VALUE"""),33.28)</f>
        <v>33.28</v>
      </c>
      <c r="D2107" s="1">
        <f>IFERROR(__xludf.DUMMYFUNCTION("""COMPUTED_VALUE"""),32.65)</f>
        <v>32.65</v>
      </c>
      <c r="E2107" s="1">
        <f>IFERROR(__xludf.DUMMYFUNCTION("""COMPUTED_VALUE"""),32.96)</f>
        <v>32.96</v>
      </c>
      <c r="F2107" s="1">
        <f>IFERROR(__xludf.DUMMYFUNCTION("""COMPUTED_VALUE"""),498127.0)</f>
        <v>498127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IFERROR(__xludf.DUMMYFUNCTION("""COMPUTED_VALUE"""),32.87)</f>
        <v>32.87</v>
      </c>
      <c r="C2108" s="1">
        <f>IFERROR(__xludf.DUMMYFUNCTION("""COMPUTED_VALUE"""),33.25)</f>
        <v>33.25</v>
      </c>
      <c r="D2108" s="1">
        <f>IFERROR(__xludf.DUMMYFUNCTION("""COMPUTED_VALUE"""),32.81)</f>
        <v>32.81</v>
      </c>
      <c r="E2108" s="1">
        <f>IFERROR(__xludf.DUMMYFUNCTION("""COMPUTED_VALUE"""),33.05)</f>
        <v>33.05</v>
      </c>
      <c r="F2108" s="1">
        <f>IFERROR(__xludf.DUMMYFUNCTION("""COMPUTED_VALUE"""),286578.0)</f>
        <v>286578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IFERROR(__xludf.DUMMYFUNCTION("""COMPUTED_VALUE"""),33.09)</f>
        <v>33.09</v>
      </c>
      <c r="C2109" s="1">
        <f>IFERROR(__xludf.DUMMYFUNCTION("""COMPUTED_VALUE"""),33.31)</f>
        <v>33.31</v>
      </c>
      <c r="D2109" s="1">
        <f>IFERROR(__xludf.DUMMYFUNCTION("""COMPUTED_VALUE"""),32.76)</f>
        <v>32.76</v>
      </c>
      <c r="E2109" s="1">
        <f>IFERROR(__xludf.DUMMYFUNCTION("""COMPUTED_VALUE"""),32.76)</f>
        <v>32.76</v>
      </c>
      <c r="F2109" s="1">
        <f>IFERROR(__xludf.DUMMYFUNCTION("""COMPUTED_VALUE"""),291031.0)</f>
        <v>291031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IFERROR(__xludf.DUMMYFUNCTION("""COMPUTED_VALUE"""),32.68)</f>
        <v>32.68</v>
      </c>
      <c r="C2110" s="1">
        <f>IFERROR(__xludf.DUMMYFUNCTION("""COMPUTED_VALUE"""),32.75)</f>
        <v>32.75</v>
      </c>
      <c r="D2110" s="1">
        <f>IFERROR(__xludf.DUMMYFUNCTION("""COMPUTED_VALUE"""),32.53)</f>
        <v>32.53</v>
      </c>
      <c r="E2110" s="1">
        <f>IFERROR(__xludf.DUMMYFUNCTION("""COMPUTED_VALUE"""),32.61)</f>
        <v>32.61</v>
      </c>
      <c r="F2110" s="1">
        <f>IFERROR(__xludf.DUMMYFUNCTION("""COMPUTED_VALUE"""),491661.0)</f>
        <v>491661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IFERROR(__xludf.DUMMYFUNCTION("""COMPUTED_VALUE"""),32.84)</f>
        <v>32.84</v>
      </c>
      <c r="C2111" s="1">
        <f>IFERROR(__xludf.DUMMYFUNCTION("""COMPUTED_VALUE"""),33.05)</f>
        <v>33.05</v>
      </c>
      <c r="D2111" s="1">
        <f>IFERROR(__xludf.DUMMYFUNCTION("""COMPUTED_VALUE"""),32.84)</f>
        <v>32.84</v>
      </c>
      <c r="E2111" s="1">
        <f>IFERROR(__xludf.DUMMYFUNCTION("""COMPUTED_VALUE"""),32.96)</f>
        <v>32.96</v>
      </c>
      <c r="F2111" s="1">
        <f>IFERROR(__xludf.DUMMYFUNCTION("""COMPUTED_VALUE"""),304046.0)</f>
        <v>304046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IFERROR(__xludf.DUMMYFUNCTION("""COMPUTED_VALUE"""),33.26)</f>
        <v>33.26</v>
      </c>
      <c r="C2112" s="1">
        <f>IFERROR(__xludf.DUMMYFUNCTION("""COMPUTED_VALUE"""),33.37)</f>
        <v>33.37</v>
      </c>
      <c r="D2112" s="1">
        <f>IFERROR(__xludf.DUMMYFUNCTION("""COMPUTED_VALUE"""),32.98)</f>
        <v>32.98</v>
      </c>
      <c r="E2112" s="1">
        <f>IFERROR(__xludf.DUMMYFUNCTION("""COMPUTED_VALUE"""),33.02)</f>
        <v>33.02</v>
      </c>
      <c r="F2112" s="1">
        <f>IFERROR(__xludf.DUMMYFUNCTION("""COMPUTED_VALUE"""),350015.0)</f>
        <v>350015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IFERROR(__xludf.DUMMYFUNCTION("""COMPUTED_VALUE"""),32.94)</f>
        <v>32.94</v>
      </c>
      <c r="C2113" s="1">
        <f>IFERROR(__xludf.DUMMYFUNCTION("""COMPUTED_VALUE"""),33.32)</f>
        <v>33.32</v>
      </c>
      <c r="D2113" s="1">
        <f>IFERROR(__xludf.DUMMYFUNCTION("""COMPUTED_VALUE"""),32.93)</f>
        <v>32.93</v>
      </c>
      <c r="E2113" s="1">
        <f>IFERROR(__xludf.DUMMYFUNCTION("""COMPUTED_VALUE"""),33.2)</f>
        <v>33.2</v>
      </c>
      <c r="F2113" s="1">
        <f>IFERROR(__xludf.DUMMYFUNCTION("""COMPUTED_VALUE"""),320542.0)</f>
        <v>320542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IFERROR(__xludf.DUMMYFUNCTION("""COMPUTED_VALUE"""),33.12)</f>
        <v>33.12</v>
      </c>
      <c r="C2114" s="1">
        <f>IFERROR(__xludf.DUMMYFUNCTION("""COMPUTED_VALUE"""),34.0)</f>
        <v>34</v>
      </c>
      <c r="D2114" s="1">
        <f>IFERROR(__xludf.DUMMYFUNCTION("""COMPUTED_VALUE"""),33.12)</f>
        <v>33.12</v>
      </c>
      <c r="E2114" s="1">
        <f>IFERROR(__xludf.DUMMYFUNCTION("""COMPUTED_VALUE"""),33.94)</f>
        <v>33.94</v>
      </c>
      <c r="F2114" s="1">
        <f>IFERROR(__xludf.DUMMYFUNCTION("""COMPUTED_VALUE"""),353335.0)</f>
        <v>353335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IFERROR(__xludf.DUMMYFUNCTION("""COMPUTED_VALUE"""),33.74)</f>
        <v>33.74</v>
      </c>
      <c r="C2115" s="1">
        <f>IFERROR(__xludf.DUMMYFUNCTION("""COMPUTED_VALUE"""),34.27)</f>
        <v>34.27</v>
      </c>
      <c r="D2115" s="1">
        <f>IFERROR(__xludf.DUMMYFUNCTION("""COMPUTED_VALUE"""),33.74)</f>
        <v>33.74</v>
      </c>
      <c r="E2115" s="1">
        <f>IFERROR(__xludf.DUMMYFUNCTION("""COMPUTED_VALUE"""),34.1)</f>
        <v>34.1</v>
      </c>
      <c r="F2115" s="1">
        <f>IFERROR(__xludf.DUMMYFUNCTION("""COMPUTED_VALUE"""),392122.0)</f>
        <v>392122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IFERROR(__xludf.DUMMYFUNCTION("""COMPUTED_VALUE"""),33.9)</f>
        <v>33.9</v>
      </c>
      <c r="C2116" s="1">
        <f>IFERROR(__xludf.DUMMYFUNCTION("""COMPUTED_VALUE"""),33.9)</f>
        <v>33.9</v>
      </c>
      <c r="D2116" s="1">
        <f>IFERROR(__xludf.DUMMYFUNCTION("""COMPUTED_VALUE"""),33.4)</f>
        <v>33.4</v>
      </c>
      <c r="E2116" s="1">
        <f>IFERROR(__xludf.DUMMYFUNCTION("""COMPUTED_VALUE"""),33.52)</f>
        <v>33.52</v>
      </c>
      <c r="F2116" s="1">
        <f>IFERROR(__xludf.DUMMYFUNCTION("""COMPUTED_VALUE"""),298164.0)</f>
        <v>298164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IFERROR(__xludf.DUMMYFUNCTION("""COMPUTED_VALUE"""),33.58)</f>
        <v>33.58</v>
      </c>
      <c r="C2117" s="1">
        <f>IFERROR(__xludf.DUMMYFUNCTION("""COMPUTED_VALUE"""),34.5)</f>
        <v>34.5</v>
      </c>
      <c r="D2117" s="1">
        <f>IFERROR(__xludf.DUMMYFUNCTION("""COMPUTED_VALUE"""),33.58)</f>
        <v>33.58</v>
      </c>
      <c r="E2117" s="1">
        <f>IFERROR(__xludf.DUMMYFUNCTION("""COMPUTED_VALUE"""),34.22)</f>
        <v>34.22</v>
      </c>
      <c r="F2117" s="1">
        <f>IFERROR(__xludf.DUMMYFUNCTION("""COMPUTED_VALUE"""),425757.0)</f>
        <v>425757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IFERROR(__xludf.DUMMYFUNCTION("""COMPUTED_VALUE"""),34.26)</f>
        <v>34.26</v>
      </c>
      <c r="C2118" s="1">
        <f>IFERROR(__xludf.DUMMYFUNCTION("""COMPUTED_VALUE"""),34.41)</f>
        <v>34.41</v>
      </c>
      <c r="D2118" s="1">
        <f>IFERROR(__xludf.DUMMYFUNCTION("""COMPUTED_VALUE"""),33.89)</f>
        <v>33.89</v>
      </c>
      <c r="E2118" s="1">
        <f>IFERROR(__xludf.DUMMYFUNCTION("""COMPUTED_VALUE"""),34.08)</f>
        <v>34.08</v>
      </c>
      <c r="F2118" s="1">
        <f>IFERROR(__xludf.DUMMYFUNCTION("""COMPUTED_VALUE"""),311997.0)</f>
        <v>311997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IFERROR(__xludf.DUMMYFUNCTION("""COMPUTED_VALUE"""),34.22)</f>
        <v>34.22</v>
      </c>
      <c r="C2119" s="1">
        <f>IFERROR(__xludf.DUMMYFUNCTION("""COMPUTED_VALUE"""),34.92)</f>
        <v>34.92</v>
      </c>
      <c r="D2119" s="1">
        <f>IFERROR(__xludf.DUMMYFUNCTION("""COMPUTED_VALUE"""),34.16)</f>
        <v>34.16</v>
      </c>
      <c r="E2119" s="1">
        <f>IFERROR(__xludf.DUMMYFUNCTION("""COMPUTED_VALUE"""),34.82)</f>
        <v>34.82</v>
      </c>
      <c r="F2119" s="1">
        <f>IFERROR(__xludf.DUMMYFUNCTION("""COMPUTED_VALUE"""),253866.0)</f>
        <v>253866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IFERROR(__xludf.DUMMYFUNCTION("""COMPUTED_VALUE"""),35.0)</f>
        <v>35</v>
      </c>
      <c r="C2120" s="1">
        <f>IFERROR(__xludf.DUMMYFUNCTION("""COMPUTED_VALUE"""),35.41)</f>
        <v>35.41</v>
      </c>
      <c r="D2120" s="1">
        <f>IFERROR(__xludf.DUMMYFUNCTION("""COMPUTED_VALUE"""),34.7)</f>
        <v>34.7</v>
      </c>
      <c r="E2120" s="1">
        <f>IFERROR(__xludf.DUMMYFUNCTION("""COMPUTED_VALUE"""),35.27)</f>
        <v>35.27</v>
      </c>
      <c r="F2120" s="1">
        <f>IFERROR(__xludf.DUMMYFUNCTION("""COMPUTED_VALUE"""),461058.0)</f>
        <v>461058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IFERROR(__xludf.DUMMYFUNCTION("""COMPUTED_VALUE"""),35.36)</f>
        <v>35.36</v>
      </c>
      <c r="C2121" s="1">
        <f>IFERROR(__xludf.DUMMYFUNCTION("""COMPUTED_VALUE"""),35.36)</f>
        <v>35.36</v>
      </c>
      <c r="D2121" s="1">
        <f>IFERROR(__xludf.DUMMYFUNCTION("""COMPUTED_VALUE"""),34.75)</f>
        <v>34.75</v>
      </c>
      <c r="E2121" s="1">
        <f>IFERROR(__xludf.DUMMYFUNCTION("""COMPUTED_VALUE"""),35.22)</f>
        <v>35.22</v>
      </c>
      <c r="F2121" s="1">
        <f>IFERROR(__xludf.DUMMYFUNCTION("""COMPUTED_VALUE"""),325372.0)</f>
        <v>325372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IFERROR(__xludf.DUMMYFUNCTION("""COMPUTED_VALUE"""),35.24)</f>
        <v>35.24</v>
      </c>
      <c r="C2122" s="1">
        <f>IFERROR(__xludf.DUMMYFUNCTION("""COMPUTED_VALUE"""),35.48)</f>
        <v>35.48</v>
      </c>
      <c r="D2122" s="1">
        <f>IFERROR(__xludf.DUMMYFUNCTION("""COMPUTED_VALUE"""),34.98)</f>
        <v>34.98</v>
      </c>
      <c r="E2122" s="1">
        <f>IFERROR(__xludf.DUMMYFUNCTION("""COMPUTED_VALUE"""),35.36)</f>
        <v>35.36</v>
      </c>
      <c r="F2122" s="1">
        <f>IFERROR(__xludf.DUMMYFUNCTION("""COMPUTED_VALUE"""),236869.0)</f>
        <v>236869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IFERROR(__xludf.DUMMYFUNCTION("""COMPUTED_VALUE"""),35.41)</f>
        <v>35.41</v>
      </c>
      <c r="C2123" s="1">
        <f>IFERROR(__xludf.DUMMYFUNCTION("""COMPUTED_VALUE"""),35.53)</f>
        <v>35.53</v>
      </c>
      <c r="D2123" s="1">
        <f>IFERROR(__xludf.DUMMYFUNCTION("""COMPUTED_VALUE"""),35.01)</f>
        <v>35.01</v>
      </c>
      <c r="E2123" s="1">
        <f>IFERROR(__xludf.DUMMYFUNCTION("""COMPUTED_VALUE"""),35.27)</f>
        <v>35.27</v>
      </c>
      <c r="F2123" s="1">
        <f>IFERROR(__xludf.DUMMYFUNCTION("""COMPUTED_VALUE"""),211476.0)</f>
        <v>211476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IFERROR(__xludf.DUMMYFUNCTION("""COMPUTED_VALUE"""),35.26)</f>
        <v>35.26</v>
      </c>
      <c r="C2124" s="1">
        <f>IFERROR(__xludf.DUMMYFUNCTION("""COMPUTED_VALUE"""),35.74)</f>
        <v>35.74</v>
      </c>
      <c r="D2124" s="1">
        <f>IFERROR(__xludf.DUMMYFUNCTION("""COMPUTED_VALUE"""),35.15)</f>
        <v>35.15</v>
      </c>
      <c r="E2124" s="1">
        <f>IFERROR(__xludf.DUMMYFUNCTION("""COMPUTED_VALUE"""),35.49)</f>
        <v>35.49</v>
      </c>
      <c r="F2124" s="1">
        <f>IFERROR(__xludf.DUMMYFUNCTION("""COMPUTED_VALUE"""),408169.0)</f>
        <v>408169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IFERROR(__xludf.DUMMYFUNCTION("""COMPUTED_VALUE"""),35.5)</f>
        <v>35.5</v>
      </c>
      <c r="C2125" s="1">
        <f>IFERROR(__xludf.DUMMYFUNCTION("""COMPUTED_VALUE"""),35.92)</f>
        <v>35.92</v>
      </c>
      <c r="D2125" s="1">
        <f>IFERROR(__xludf.DUMMYFUNCTION("""COMPUTED_VALUE"""),35.42)</f>
        <v>35.42</v>
      </c>
      <c r="E2125" s="1">
        <f>IFERROR(__xludf.DUMMYFUNCTION("""COMPUTED_VALUE"""),35.75)</f>
        <v>35.75</v>
      </c>
      <c r="F2125" s="1">
        <f>IFERROR(__xludf.DUMMYFUNCTION("""COMPUTED_VALUE"""),302245.0)</f>
        <v>302245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IFERROR(__xludf.DUMMYFUNCTION("""COMPUTED_VALUE"""),35.76)</f>
        <v>35.76</v>
      </c>
      <c r="C2126" s="1">
        <f>IFERROR(__xludf.DUMMYFUNCTION("""COMPUTED_VALUE"""),36.0)</f>
        <v>36</v>
      </c>
      <c r="D2126" s="1">
        <f>IFERROR(__xludf.DUMMYFUNCTION("""COMPUTED_VALUE"""),35.55)</f>
        <v>35.55</v>
      </c>
      <c r="E2126" s="1">
        <f>IFERROR(__xludf.DUMMYFUNCTION("""COMPUTED_VALUE"""),35.69)</f>
        <v>35.69</v>
      </c>
      <c r="F2126" s="1">
        <f>IFERROR(__xludf.DUMMYFUNCTION("""COMPUTED_VALUE"""),292926.0)</f>
        <v>292926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IFERROR(__xludf.DUMMYFUNCTION("""COMPUTED_VALUE"""),35.75)</f>
        <v>35.75</v>
      </c>
      <c r="C2127" s="1">
        <f>IFERROR(__xludf.DUMMYFUNCTION("""COMPUTED_VALUE"""),35.83)</f>
        <v>35.83</v>
      </c>
      <c r="D2127" s="1">
        <f>IFERROR(__xludf.DUMMYFUNCTION("""COMPUTED_VALUE"""),35.4)</f>
        <v>35.4</v>
      </c>
      <c r="E2127" s="1">
        <f>IFERROR(__xludf.DUMMYFUNCTION("""COMPUTED_VALUE"""),35.59)</f>
        <v>35.59</v>
      </c>
      <c r="F2127" s="1">
        <f>IFERROR(__xludf.DUMMYFUNCTION("""COMPUTED_VALUE"""),580881.0)</f>
        <v>580881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IFERROR(__xludf.DUMMYFUNCTION("""COMPUTED_VALUE"""),35.68)</f>
        <v>35.68</v>
      </c>
      <c r="C2128" s="1">
        <f>IFERROR(__xludf.DUMMYFUNCTION("""COMPUTED_VALUE"""),35.74)</f>
        <v>35.74</v>
      </c>
      <c r="D2128" s="1">
        <f>IFERROR(__xludf.DUMMYFUNCTION("""COMPUTED_VALUE"""),35.34)</f>
        <v>35.34</v>
      </c>
      <c r="E2128" s="1">
        <f>IFERROR(__xludf.DUMMYFUNCTION("""COMPUTED_VALUE"""),35.43)</f>
        <v>35.43</v>
      </c>
      <c r="F2128" s="1">
        <f>IFERROR(__xludf.DUMMYFUNCTION("""COMPUTED_VALUE"""),232898.0)</f>
        <v>232898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IFERROR(__xludf.DUMMYFUNCTION("""COMPUTED_VALUE"""),35.27)</f>
        <v>35.27</v>
      </c>
      <c r="C2129" s="1">
        <f>IFERROR(__xludf.DUMMYFUNCTION("""COMPUTED_VALUE"""),35.49)</f>
        <v>35.49</v>
      </c>
      <c r="D2129" s="1">
        <f>IFERROR(__xludf.DUMMYFUNCTION("""COMPUTED_VALUE"""),34.81)</f>
        <v>34.81</v>
      </c>
      <c r="E2129" s="1">
        <f>IFERROR(__xludf.DUMMYFUNCTION("""COMPUTED_VALUE"""),35.17)</f>
        <v>35.17</v>
      </c>
      <c r="F2129" s="1">
        <f>IFERROR(__xludf.DUMMYFUNCTION("""COMPUTED_VALUE"""),318037.0)</f>
        <v>318037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IFERROR(__xludf.DUMMYFUNCTION("""COMPUTED_VALUE"""),35.01)</f>
        <v>35.01</v>
      </c>
      <c r="C2130" s="1">
        <f>IFERROR(__xludf.DUMMYFUNCTION("""COMPUTED_VALUE"""),35.5)</f>
        <v>35.5</v>
      </c>
      <c r="D2130" s="1">
        <f>IFERROR(__xludf.DUMMYFUNCTION("""COMPUTED_VALUE"""),34.86)</f>
        <v>34.86</v>
      </c>
      <c r="E2130" s="1">
        <f>IFERROR(__xludf.DUMMYFUNCTION("""COMPUTED_VALUE"""),35.47)</f>
        <v>35.47</v>
      </c>
      <c r="F2130" s="1">
        <f>IFERROR(__xludf.DUMMYFUNCTION("""COMPUTED_VALUE"""),158957.0)</f>
        <v>158957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IFERROR(__xludf.DUMMYFUNCTION("""COMPUTED_VALUE"""),35.05)</f>
        <v>35.05</v>
      </c>
      <c r="C2131" s="1">
        <f>IFERROR(__xludf.DUMMYFUNCTION("""COMPUTED_VALUE"""),35.41)</f>
        <v>35.41</v>
      </c>
      <c r="D2131" s="1">
        <f>IFERROR(__xludf.DUMMYFUNCTION("""COMPUTED_VALUE"""),34.89)</f>
        <v>34.89</v>
      </c>
      <c r="E2131" s="1">
        <f>IFERROR(__xludf.DUMMYFUNCTION("""COMPUTED_VALUE"""),35.26)</f>
        <v>35.26</v>
      </c>
      <c r="F2131" s="1">
        <f>IFERROR(__xludf.DUMMYFUNCTION("""COMPUTED_VALUE"""),210261.0)</f>
        <v>210261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IFERROR(__xludf.DUMMYFUNCTION("""COMPUTED_VALUE"""),35.31)</f>
        <v>35.31</v>
      </c>
      <c r="C2132" s="1">
        <f>IFERROR(__xludf.DUMMYFUNCTION("""COMPUTED_VALUE"""),35.82)</f>
        <v>35.82</v>
      </c>
      <c r="D2132" s="1">
        <f>IFERROR(__xludf.DUMMYFUNCTION("""COMPUTED_VALUE"""),35.2)</f>
        <v>35.2</v>
      </c>
      <c r="E2132" s="1">
        <f>IFERROR(__xludf.DUMMYFUNCTION("""COMPUTED_VALUE"""),35.64)</f>
        <v>35.64</v>
      </c>
      <c r="F2132" s="1">
        <f>IFERROR(__xludf.DUMMYFUNCTION("""COMPUTED_VALUE"""),295824.0)</f>
        <v>295824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IFERROR(__xludf.DUMMYFUNCTION("""COMPUTED_VALUE"""),35.52)</f>
        <v>35.52</v>
      </c>
      <c r="C2133" s="1">
        <f>IFERROR(__xludf.DUMMYFUNCTION("""COMPUTED_VALUE"""),35.7)</f>
        <v>35.7</v>
      </c>
      <c r="D2133" s="1">
        <f>IFERROR(__xludf.DUMMYFUNCTION("""COMPUTED_VALUE"""),35.23)</f>
        <v>35.23</v>
      </c>
      <c r="E2133" s="1">
        <f>IFERROR(__xludf.DUMMYFUNCTION("""COMPUTED_VALUE"""),35.37)</f>
        <v>35.37</v>
      </c>
      <c r="F2133" s="1">
        <f>IFERROR(__xludf.DUMMYFUNCTION("""COMPUTED_VALUE"""),319038.0)</f>
        <v>319038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IFERROR(__xludf.DUMMYFUNCTION("""COMPUTED_VALUE"""),35.63)</f>
        <v>35.63</v>
      </c>
      <c r="C2134" s="1">
        <f>IFERROR(__xludf.DUMMYFUNCTION("""COMPUTED_VALUE"""),35.72)</f>
        <v>35.72</v>
      </c>
      <c r="D2134" s="1">
        <f>IFERROR(__xludf.DUMMYFUNCTION("""COMPUTED_VALUE"""),35.33)</f>
        <v>35.33</v>
      </c>
      <c r="E2134" s="1">
        <f>IFERROR(__xludf.DUMMYFUNCTION("""COMPUTED_VALUE"""),35.35)</f>
        <v>35.35</v>
      </c>
      <c r="F2134" s="1">
        <f>IFERROR(__xludf.DUMMYFUNCTION("""COMPUTED_VALUE"""),310311.0)</f>
        <v>310311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IFERROR(__xludf.DUMMYFUNCTION("""COMPUTED_VALUE"""),35.33)</f>
        <v>35.33</v>
      </c>
      <c r="C2135" s="1">
        <f>IFERROR(__xludf.DUMMYFUNCTION("""COMPUTED_VALUE"""),35.33)</f>
        <v>35.33</v>
      </c>
      <c r="D2135" s="1">
        <f>IFERROR(__xludf.DUMMYFUNCTION("""COMPUTED_VALUE"""),34.44)</f>
        <v>34.44</v>
      </c>
      <c r="E2135" s="1">
        <f>IFERROR(__xludf.DUMMYFUNCTION("""COMPUTED_VALUE"""),34.76)</f>
        <v>34.76</v>
      </c>
      <c r="F2135" s="1">
        <f>IFERROR(__xludf.DUMMYFUNCTION("""COMPUTED_VALUE"""),249198.0)</f>
        <v>249198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IFERROR(__xludf.DUMMYFUNCTION("""COMPUTED_VALUE"""),34.88)</f>
        <v>34.88</v>
      </c>
      <c r="C2136" s="1">
        <f>IFERROR(__xludf.DUMMYFUNCTION("""COMPUTED_VALUE"""),35.34)</f>
        <v>35.34</v>
      </c>
      <c r="D2136" s="1">
        <f>IFERROR(__xludf.DUMMYFUNCTION("""COMPUTED_VALUE"""),34.72)</f>
        <v>34.72</v>
      </c>
      <c r="E2136" s="1">
        <f>IFERROR(__xludf.DUMMYFUNCTION("""COMPUTED_VALUE"""),35.02)</f>
        <v>35.02</v>
      </c>
      <c r="F2136" s="1">
        <f>IFERROR(__xludf.DUMMYFUNCTION("""COMPUTED_VALUE"""),232906.0)</f>
        <v>232906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IFERROR(__xludf.DUMMYFUNCTION("""COMPUTED_VALUE"""),35.02)</f>
        <v>35.02</v>
      </c>
      <c r="C2137" s="1">
        <f>IFERROR(__xludf.DUMMYFUNCTION("""COMPUTED_VALUE"""),35.57)</f>
        <v>35.57</v>
      </c>
      <c r="D2137" s="1">
        <f>IFERROR(__xludf.DUMMYFUNCTION("""COMPUTED_VALUE"""),34.77)</f>
        <v>34.77</v>
      </c>
      <c r="E2137" s="1">
        <f>IFERROR(__xludf.DUMMYFUNCTION("""COMPUTED_VALUE"""),34.79)</f>
        <v>34.79</v>
      </c>
      <c r="F2137" s="1">
        <f>IFERROR(__xludf.DUMMYFUNCTION("""COMPUTED_VALUE"""),244443.0)</f>
        <v>244443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IFERROR(__xludf.DUMMYFUNCTION("""COMPUTED_VALUE"""),33.73)</f>
        <v>33.73</v>
      </c>
      <c r="C2138" s="1">
        <f>IFERROR(__xludf.DUMMYFUNCTION("""COMPUTED_VALUE"""),33.81)</f>
        <v>33.81</v>
      </c>
      <c r="D2138" s="1">
        <f>IFERROR(__xludf.DUMMYFUNCTION("""COMPUTED_VALUE"""),32.04)</f>
        <v>32.04</v>
      </c>
      <c r="E2138" s="1">
        <f>IFERROR(__xludf.DUMMYFUNCTION("""COMPUTED_VALUE"""),33.58)</f>
        <v>33.58</v>
      </c>
      <c r="F2138" s="1">
        <f>IFERROR(__xludf.DUMMYFUNCTION("""COMPUTED_VALUE"""),764265.0)</f>
        <v>764265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IFERROR(__xludf.DUMMYFUNCTION("""COMPUTED_VALUE"""),33.73)</f>
        <v>33.73</v>
      </c>
      <c r="C2139" s="1">
        <f>IFERROR(__xludf.DUMMYFUNCTION("""COMPUTED_VALUE"""),34.32)</f>
        <v>34.32</v>
      </c>
      <c r="D2139" s="1">
        <f>IFERROR(__xludf.DUMMYFUNCTION("""COMPUTED_VALUE"""),33.6)</f>
        <v>33.6</v>
      </c>
      <c r="E2139" s="1">
        <f>IFERROR(__xludf.DUMMYFUNCTION("""COMPUTED_VALUE"""),34.12)</f>
        <v>34.12</v>
      </c>
      <c r="F2139" s="1">
        <f>IFERROR(__xludf.DUMMYFUNCTION("""COMPUTED_VALUE"""),299891.0)</f>
        <v>299891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IFERROR(__xludf.DUMMYFUNCTION("""COMPUTED_VALUE"""),34.01)</f>
        <v>34.01</v>
      </c>
      <c r="C2140" s="1">
        <f>IFERROR(__xludf.DUMMYFUNCTION("""COMPUTED_VALUE"""),34.71)</f>
        <v>34.71</v>
      </c>
      <c r="D2140" s="1">
        <f>IFERROR(__xludf.DUMMYFUNCTION("""COMPUTED_VALUE"""),33.7)</f>
        <v>33.7</v>
      </c>
      <c r="E2140" s="1">
        <f>IFERROR(__xludf.DUMMYFUNCTION("""COMPUTED_VALUE"""),34.65)</f>
        <v>34.65</v>
      </c>
      <c r="F2140" s="1">
        <f>IFERROR(__xludf.DUMMYFUNCTION("""COMPUTED_VALUE"""),206495.0)</f>
        <v>206495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IFERROR(__xludf.DUMMYFUNCTION("""COMPUTED_VALUE"""),34.62)</f>
        <v>34.62</v>
      </c>
      <c r="C2141" s="1">
        <f>IFERROR(__xludf.DUMMYFUNCTION("""COMPUTED_VALUE"""),34.64)</f>
        <v>34.64</v>
      </c>
      <c r="D2141" s="1">
        <f>IFERROR(__xludf.DUMMYFUNCTION("""COMPUTED_VALUE"""),33.67)</f>
        <v>33.67</v>
      </c>
      <c r="E2141" s="1">
        <f>IFERROR(__xludf.DUMMYFUNCTION("""COMPUTED_VALUE"""),33.83)</f>
        <v>33.83</v>
      </c>
      <c r="F2141" s="1">
        <f>IFERROR(__xludf.DUMMYFUNCTION("""COMPUTED_VALUE"""),425675.0)</f>
        <v>425675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IFERROR(__xludf.DUMMYFUNCTION("""COMPUTED_VALUE"""),34.0)</f>
        <v>34</v>
      </c>
      <c r="C2142" s="1">
        <f>IFERROR(__xludf.DUMMYFUNCTION("""COMPUTED_VALUE"""),34.17)</f>
        <v>34.17</v>
      </c>
      <c r="D2142" s="1">
        <f>IFERROR(__xludf.DUMMYFUNCTION("""COMPUTED_VALUE"""),33.77)</f>
        <v>33.77</v>
      </c>
      <c r="E2142" s="1">
        <f>IFERROR(__xludf.DUMMYFUNCTION("""COMPUTED_VALUE"""),34.11)</f>
        <v>34.11</v>
      </c>
      <c r="F2142" s="1">
        <f>IFERROR(__xludf.DUMMYFUNCTION("""COMPUTED_VALUE"""),305043.0)</f>
        <v>305043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IFERROR(__xludf.DUMMYFUNCTION("""COMPUTED_VALUE"""),34.18)</f>
        <v>34.18</v>
      </c>
      <c r="C2143" s="1">
        <f>IFERROR(__xludf.DUMMYFUNCTION("""COMPUTED_VALUE"""),34.33)</f>
        <v>34.33</v>
      </c>
      <c r="D2143" s="1">
        <f>IFERROR(__xludf.DUMMYFUNCTION("""COMPUTED_VALUE"""),33.65)</f>
        <v>33.65</v>
      </c>
      <c r="E2143" s="1">
        <f>IFERROR(__xludf.DUMMYFUNCTION("""COMPUTED_VALUE"""),34.16)</f>
        <v>34.16</v>
      </c>
      <c r="F2143" s="1">
        <f>IFERROR(__xludf.DUMMYFUNCTION("""COMPUTED_VALUE"""),400305.0)</f>
        <v>400305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IFERROR(__xludf.DUMMYFUNCTION("""COMPUTED_VALUE"""),34.36)</f>
        <v>34.36</v>
      </c>
      <c r="C2144" s="1">
        <f>IFERROR(__xludf.DUMMYFUNCTION("""COMPUTED_VALUE"""),34.82)</f>
        <v>34.82</v>
      </c>
      <c r="D2144" s="1">
        <f>IFERROR(__xludf.DUMMYFUNCTION("""COMPUTED_VALUE"""),34.36)</f>
        <v>34.36</v>
      </c>
      <c r="E2144" s="1">
        <f>IFERROR(__xludf.DUMMYFUNCTION("""COMPUTED_VALUE"""),34.7)</f>
        <v>34.7</v>
      </c>
      <c r="F2144" s="1">
        <f>IFERROR(__xludf.DUMMYFUNCTION("""COMPUTED_VALUE"""),217336.0)</f>
        <v>217336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IFERROR(__xludf.DUMMYFUNCTION("""COMPUTED_VALUE"""),34.5)</f>
        <v>34.5</v>
      </c>
      <c r="C2145" s="1">
        <f>IFERROR(__xludf.DUMMYFUNCTION("""COMPUTED_VALUE"""),34.83)</f>
        <v>34.83</v>
      </c>
      <c r="D2145" s="1">
        <f>IFERROR(__xludf.DUMMYFUNCTION("""COMPUTED_VALUE"""),34.44)</f>
        <v>34.44</v>
      </c>
      <c r="E2145" s="1">
        <f>IFERROR(__xludf.DUMMYFUNCTION("""COMPUTED_VALUE"""),34.51)</f>
        <v>34.51</v>
      </c>
      <c r="F2145" s="1">
        <f>IFERROR(__xludf.DUMMYFUNCTION("""COMPUTED_VALUE"""),204984.0)</f>
        <v>204984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IFERROR(__xludf.DUMMYFUNCTION("""COMPUTED_VALUE"""),34.09)</f>
        <v>34.09</v>
      </c>
      <c r="C2146" s="1">
        <f>IFERROR(__xludf.DUMMYFUNCTION("""COMPUTED_VALUE"""),34.1)</f>
        <v>34.1</v>
      </c>
      <c r="D2146" s="1">
        <f>IFERROR(__xludf.DUMMYFUNCTION("""COMPUTED_VALUE"""),32.69)</f>
        <v>32.69</v>
      </c>
      <c r="E2146" s="1">
        <f>IFERROR(__xludf.DUMMYFUNCTION("""COMPUTED_VALUE"""),32.87)</f>
        <v>32.87</v>
      </c>
      <c r="F2146" s="1">
        <f>IFERROR(__xludf.DUMMYFUNCTION("""COMPUTED_VALUE"""),538869.0)</f>
        <v>538869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IFERROR(__xludf.DUMMYFUNCTION("""COMPUTED_VALUE"""),33.05)</f>
        <v>33.05</v>
      </c>
      <c r="C2147" s="1">
        <f>IFERROR(__xludf.DUMMYFUNCTION("""COMPUTED_VALUE"""),33.48)</f>
        <v>33.48</v>
      </c>
      <c r="D2147" s="1">
        <f>IFERROR(__xludf.DUMMYFUNCTION("""COMPUTED_VALUE"""),32.89)</f>
        <v>32.89</v>
      </c>
      <c r="E2147" s="1">
        <f>IFERROR(__xludf.DUMMYFUNCTION("""COMPUTED_VALUE"""),32.93)</f>
        <v>32.93</v>
      </c>
      <c r="F2147" s="1">
        <f>IFERROR(__xludf.DUMMYFUNCTION("""COMPUTED_VALUE"""),396150.0)</f>
        <v>396150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IFERROR(__xludf.DUMMYFUNCTION("""COMPUTED_VALUE"""),32.98)</f>
        <v>32.98</v>
      </c>
      <c r="C2148" s="1">
        <f>IFERROR(__xludf.DUMMYFUNCTION("""COMPUTED_VALUE"""),33.6)</f>
        <v>33.6</v>
      </c>
      <c r="D2148" s="1">
        <f>IFERROR(__xludf.DUMMYFUNCTION("""COMPUTED_VALUE"""),32.8)</f>
        <v>32.8</v>
      </c>
      <c r="E2148" s="1">
        <f>IFERROR(__xludf.DUMMYFUNCTION("""COMPUTED_VALUE"""),33.39)</f>
        <v>33.39</v>
      </c>
      <c r="F2148" s="1">
        <f>IFERROR(__xludf.DUMMYFUNCTION("""COMPUTED_VALUE"""),291283.0)</f>
        <v>291283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IFERROR(__xludf.DUMMYFUNCTION("""COMPUTED_VALUE"""),33.31)</f>
        <v>33.31</v>
      </c>
      <c r="C2149" s="1">
        <f>IFERROR(__xludf.DUMMYFUNCTION("""COMPUTED_VALUE"""),33.55)</f>
        <v>33.55</v>
      </c>
      <c r="D2149" s="1">
        <f>IFERROR(__xludf.DUMMYFUNCTION("""COMPUTED_VALUE"""),33.06)</f>
        <v>33.06</v>
      </c>
      <c r="E2149" s="1">
        <f>IFERROR(__xludf.DUMMYFUNCTION("""COMPUTED_VALUE"""),33.11)</f>
        <v>33.11</v>
      </c>
      <c r="F2149" s="1">
        <f>IFERROR(__xludf.DUMMYFUNCTION("""COMPUTED_VALUE"""),344520.0)</f>
        <v>344520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IFERROR(__xludf.DUMMYFUNCTION("""COMPUTED_VALUE"""),33.15)</f>
        <v>33.15</v>
      </c>
      <c r="C2150" s="1">
        <f>IFERROR(__xludf.DUMMYFUNCTION("""COMPUTED_VALUE"""),33.31)</f>
        <v>33.31</v>
      </c>
      <c r="D2150" s="1">
        <f>IFERROR(__xludf.DUMMYFUNCTION("""COMPUTED_VALUE"""),32.5)</f>
        <v>32.5</v>
      </c>
      <c r="E2150" s="1">
        <f>IFERROR(__xludf.DUMMYFUNCTION("""COMPUTED_VALUE"""),32.57)</f>
        <v>32.57</v>
      </c>
      <c r="F2150" s="1">
        <f>IFERROR(__xludf.DUMMYFUNCTION("""COMPUTED_VALUE"""),527626.0)</f>
        <v>527626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IFERROR(__xludf.DUMMYFUNCTION("""COMPUTED_VALUE"""),32.54)</f>
        <v>32.54</v>
      </c>
      <c r="C2151" s="1">
        <f>IFERROR(__xludf.DUMMYFUNCTION("""COMPUTED_VALUE"""),33.02)</f>
        <v>33.02</v>
      </c>
      <c r="D2151" s="1">
        <f>IFERROR(__xludf.DUMMYFUNCTION("""COMPUTED_VALUE"""),32.5)</f>
        <v>32.5</v>
      </c>
      <c r="E2151" s="1">
        <f>IFERROR(__xludf.DUMMYFUNCTION("""COMPUTED_VALUE"""),32.8)</f>
        <v>32.8</v>
      </c>
      <c r="F2151" s="1">
        <f>IFERROR(__xludf.DUMMYFUNCTION("""COMPUTED_VALUE"""),494364.0)</f>
        <v>494364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IFERROR(__xludf.DUMMYFUNCTION("""COMPUTED_VALUE"""),32.76)</f>
        <v>32.76</v>
      </c>
      <c r="C2152" s="1">
        <f>IFERROR(__xludf.DUMMYFUNCTION("""COMPUTED_VALUE"""),32.94)</f>
        <v>32.94</v>
      </c>
      <c r="D2152" s="1">
        <f>IFERROR(__xludf.DUMMYFUNCTION("""COMPUTED_VALUE"""),32.56)</f>
        <v>32.56</v>
      </c>
      <c r="E2152" s="1">
        <f>IFERROR(__xludf.DUMMYFUNCTION("""COMPUTED_VALUE"""),32.65)</f>
        <v>32.65</v>
      </c>
      <c r="F2152" s="1">
        <f>IFERROR(__xludf.DUMMYFUNCTION("""COMPUTED_VALUE"""),575682.0)</f>
        <v>575682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IFERROR(__xludf.DUMMYFUNCTION("""COMPUTED_VALUE"""),32.62)</f>
        <v>32.62</v>
      </c>
      <c r="C2153" s="1">
        <f>IFERROR(__xludf.DUMMYFUNCTION("""COMPUTED_VALUE"""),33.34)</f>
        <v>33.34</v>
      </c>
      <c r="D2153" s="1">
        <f>IFERROR(__xludf.DUMMYFUNCTION("""COMPUTED_VALUE"""),32.62)</f>
        <v>32.62</v>
      </c>
      <c r="E2153" s="1">
        <f>IFERROR(__xludf.DUMMYFUNCTION("""COMPUTED_VALUE"""),32.71)</f>
        <v>32.71</v>
      </c>
      <c r="F2153" s="1">
        <f>IFERROR(__xludf.DUMMYFUNCTION("""COMPUTED_VALUE"""),293813.0)</f>
        <v>293813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IFERROR(__xludf.DUMMYFUNCTION("""COMPUTED_VALUE"""),32.68)</f>
        <v>32.68</v>
      </c>
      <c r="C2154" s="1">
        <f>IFERROR(__xludf.DUMMYFUNCTION("""COMPUTED_VALUE"""),32.69)</f>
        <v>32.69</v>
      </c>
      <c r="D2154" s="1">
        <f>IFERROR(__xludf.DUMMYFUNCTION("""COMPUTED_VALUE"""),32.34)</f>
        <v>32.34</v>
      </c>
      <c r="E2154" s="1">
        <f>IFERROR(__xludf.DUMMYFUNCTION("""COMPUTED_VALUE"""),32.45)</f>
        <v>32.45</v>
      </c>
      <c r="F2154" s="1">
        <f>IFERROR(__xludf.DUMMYFUNCTION("""COMPUTED_VALUE"""),280570.0)</f>
        <v>280570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IFERROR(__xludf.DUMMYFUNCTION("""COMPUTED_VALUE"""),32.5)</f>
        <v>32.5</v>
      </c>
      <c r="C2155" s="1">
        <f>IFERROR(__xludf.DUMMYFUNCTION("""COMPUTED_VALUE"""),32.71)</f>
        <v>32.71</v>
      </c>
      <c r="D2155" s="1">
        <f>IFERROR(__xludf.DUMMYFUNCTION("""COMPUTED_VALUE"""),31.96)</f>
        <v>31.96</v>
      </c>
      <c r="E2155" s="1">
        <f>IFERROR(__xludf.DUMMYFUNCTION("""COMPUTED_VALUE"""),32.02)</f>
        <v>32.02</v>
      </c>
      <c r="F2155" s="1">
        <f>IFERROR(__xludf.DUMMYFUNCTION("""COMPUTED_VALUE"""),459408.0)</f>
        <v>459408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IFERROR(__xludf.DUMMYFUNCTION("""COMPUTED_VALUE"""),32.12)</f>
        <v>32.12</v>
      </c>
      <c r="C2156" s="1">
        <f>IFERROR(__xludf.DUMMYFUNCTION("""COMPUTED_VALUE"""),32.37)</f>
        <v>32.37</v>
      </c>
      <c r="D2156" s="1">
        <f>IFERROR(__xludf.DUMMYFUNCTION("""COMPUTED_VALUE"""),32.0)</f>
        <v>32</v>
      </c>
      <c r="E2156" s="1">
        <f>IFERROR(__xludf.DUMMYFUNCTION("""COMPUTED_VALUE"""),32.33)</f>
        <v>32.33</v>
      </c>
      <c r="F2156" s="1">
        <f>IFERROR(__xludf.DUMMYFUNCTION("""COMPUTED_VALUE"""),353260.0)</f>
        <v>353260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IFERROR(__xludf.DUMMYFUNCTION("""COMPUTED_VALUE"""),32.3)</f>
        <v>32.3</v>
      </c>
      <c r="C2157" s="1">
        <f>IFERROR(__xludf.DUMMYFUNCTION("""COMPUTED_VALUE"""),33.19)</f>
        <v>33.19</v>
      </c>
      <c r="D2157" s="1">
        <f>IFERROR(__xludf.DUMMYFUNCTION("""COMPUTED_VALUE"""),32.29)</f>
        <v>32.29</v>
      </c>
      <c r="E2157" s="1">
        <f>IFERROR(__xludf.DUMMYFUNCTION("""COMPUTED_VALUE"""),33.02)</f>
        <v>33.02</v>
      </c>
      <c r="F2157" s="1">
        <f>IFERROR(__xludf.DUMMYFUNCTION("""COMPUTED_VALUE"""),234981.0)</f>
        <v>234981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IFERROR(__xludf.DUMMYFUNCTION("""COMPUTED_VALUE"""),32.95)</f>
        <v>32.95</v>
      </c>
      <c r="C2158" s="1">
        <f>IFERROR(__xludf.DUMMYFUNCTION("""COMPUTED_VALUE"""),33.22)</f>
        <v>33.22</v>
      </c>
      <c r="D2158" s="1">
        <f>IFERROR(__xludf.DUMMYFUNCTION("""COMPUTED_VALUE"""),32.51)</f>
        <v>32.51</v>
      </c>
      <c r="E2158" s="1">
        <f>IFERROR(__xludf.DUMMYFUNCTION("""COMPUTED_VALUE"""),32.91)</f>
        <v>32.91</v>
      </c>
      <c r="F2158" s="1">
        <f>IFERROR(__xludf.DUMMYFUNCTION("""COMPUTED_VALUE"""),222136.0)</f>
        <v>222136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IFERROR(__xludf.DUMMYFUNCTION("""COMPUTED_VALUE"""),33.02)</f>
        <v>33.02</v>
      </c>
      <c r="C2159" s="1">
        <f>IFERROR(__xludf.DUMMYFUNCTION("""COMPUTED_VALUE"""),33.15)</f>
        <v>33.15</v>
      </c>
      <c r="D2159" s="1">
        <f>IFERROR(__xludf.DUMMYFUNCTION("""COMPUTED_VALUE"""),32.78)</f>
        <v>32.78</v>
      </c>
      <c r="E2159" s="1">
        <f>IFERROR(__xludf.DUMMYFUNCTION("""COMPUTED_VALUE"""),32.86)</f>
        <v>32.86</v>
      </c>
      <c r="F2159" s="1">
        <f>IFERROR(__xludf.DUMMYFUNCTION("""COMPUTED_VALUE"""),189323.0)</f>
        <v>189323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IFERROR(__xludf.DUMMYFUNCTION("""COMPUTED_VALUE"""),32.92)</f>
        <v>32.92</v>
      </c>
      <c r="C2160" s="1">
        <f>IFERROR(__xludf.DUMMYFUNCTION("""COMPUTED_VALUE"""),33.44)</f>
        <v>33.44</v>
      </c>
      <c r="D2160" s="1">
        <f>IFERROR(__xludf.DUMMYFUNCTION("""COMPUTED_VALUE"""),32.75)</f>
        <v>32.75</v>
      </c>
      <c r="E2160" s="1">
        <f>IFERROR(__xludf.DUMMYFUNCTION("""COMPUTED_VALUE"""),33.27)</f>
        <v>33.27</v>
      </c>
      <c r="F2160" s="1">
        <f>IFERROR(__xludf.DUMMYFUNCTION("""COMPUTED_VALUE"""),142994.0)</f>
        <v>142994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IFERROR(__xludf.DUMMYFUNCTION("""COMPUTED_VALUE"""),33.25)</f>
        <v>33.25</v>
      </c>
      <c r="C2161" s="1">
        <f>IFERROR(__xludf.DUMMYFUNCTION("""COMPUTED_VALUE"""),33.6)</f>
        <v>33.6</v>
      </c>
      <c r="D2161" s="1">
        <f>IFERROR(__xludf.DUMMYFUNCTION("""COMPUTED_VALUE"""),33.15)</f>
        <v>33.15</v>
      </c>
      <c r="E2161" s="1">
        <f>IFERROR(__xludf.DUMMYFUNCTION("""COMPUTED_VALUE"""),33.16)</f>
        <v>33.16</v>
      </c>
      <c r="F2161" s="1">
        <f>IFERROR(__xludf.DUMMYFUNCTION("""COMPUTED_VALUE"""),165361.0)</f>
        <v>165361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IFERROR(__xludf.DUMMYFUNCTION("""COMPUTED_VALUE"""),33.12)</f>
        <v>33.12</v>
      </c>
      <c r="C2162" s="1">
        <f>IFERROR(__xludf.DUMMYFUNCTION("""COMPUTED_VALUE"""),33.87)</f>
        <v>33.87</v>
      </c>
      <c r="D2162" s="1">
        <f>IFERROR(__xludf.DUMMYFUNCTION("""COMPUTED_VALUE"""),32.99)</f>
        <v>32.99</v>
      </c>
      <c r="E2162" s="1">
        <f>IFERROR(__xludf.DUMMYFUNCTION("""COMPUTED_VALUE"""),33.87)</f>
        <v>33.87</v>
      </c>
      <c r="F2162" s="1">
        <f>IFERROR(__xludf.DUMMYFUNCTION("""COMPUTED_VALUE"""),230687.0)</f>
        <v>230687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IFERROR(__xludf.DUMMYFUNCTION("""COMPUTED_VALUE"""),33.79)</f>
        <v>33.79</v>
      </c>
      <c r="C2163" s="1">
        <f>IFERROR(__xludf.DUMMYFUNCTION("""COMPUTED_VALUE"""),34.43)</f>
        <v>34.43</v>
      </c>
      <c r="D2163" s="1">
        <f>IFERROR(__xludf.DUMMYFUNCTION("""COMPUTED_VALUE"""),33.79)</f>
        <v>33.79</v>
      </c>
      <c r="E2163" s="1">
        <f>IFERROR(__xludf.DUMMYFUNCTION("""COMPUTED_VALUE"""),34.27)</f>
        <v>34.27</v>
      </c>
      <c r="F2163" s="1">
        <f>IFERROR(__xludf.DUMMYFUNCTION("""COMPUTED_VALUE"""),289538.0)</f>
        <v>289538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IFERROR(__xludf.DUMMYFUNCTION("""COMPUTED_VALUE"""),34.34)</f>
        <v>34.34</v>
      </c>
      <c r="C2164" s="1">
        <f>IFERROR(__xludf.DUMMYFUNCTION("""COMPUTED_VALUE"""),34.4)</f>
        <v>34.4</v>
      </c>
      <c r="D2164" s="1">
        <f>IFERROR(__xludf.DUMMYFUNCTION("""COMPUTED_VALUE"""),34.04)</f>
        <v>34.04</v>
      </c>
      <c r="E2164" s="1">
        <f>IFERROR(__xludf.DUMMYFUNCTION("""COMPUTED_VALUE"""),34.21)</f>
        <v>34.21</v>
      </c>
      <c r="F2164" s="1">
        <f>IFERROR(__xludf.DUMMYFUNCTION("""COMPUTED_VALUE"""),163622.0)</f>
        <v>163622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IFERROR(__xludf.DUMMYFUNCTION("""COMPUTED_VALUE"""),34.21)</f>
        <v>34.21</v>
      </c>
      <c r="C2165" s="1">
        <f>IFERROR(__xludf.DUMMYFUNCTION("""COMPUTED_VALUE"""),34.6)</f>
        <v>34.6</v>
      </c>
      <c r="D2165" s="1">
        <f>IFERROR(__xludf.DUMMYFUNCTION("""COMPUTED_VALUE"""),34.1)</f>
        <v>34.1</v>
      </c>
      <c r="E2165" s="1">
        <f>IFERROR(__xludf.DUMMYFUNCTION("""COMPUTED_VALUE"""),34.17)</f>
        <v>34.17</v>
      </c>
      <c r="F2165" s="1">
        <f>IFERROR(__xludf.DUMMYFUNCTION("""COMPUTED_VALUE"""),387563.0)</f>
        <v>387563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IFERROR(__xludf.DUMMYFUNCTION("""COMPUTED_VALUE"""),34.29)</f>
        <v>34.29</v>
      </c>
      <c r="C2166" s="1">
        <f>IFERROR(__xludf.DUMMYFUNCTION("""COMPUTED_VALUE"""),34.62)</f>
        <v>34.62</v>
      </c>
      <c r="D2166" s="1">
        <f>IFERROR(__xludf.DUMMYFUNCTION("""COMPUTED_VALUE"""),33.98)</f>
        <v>33.98</v>
      </c>
      <c r="E2166" s="1">
        <f>IFERROR(__xludf.DUMMYFUNCTION("""COMPUTED_VALUE"""),34.52)</f>
        <v>34.52</v>
      </c>
      <c r="F2166" s="1">
        <f>IFERROR(__xludf.DUMMYFUNCTION("""COMPUTED_VALUE"""),230356.0)</f>
        <v>230356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IFERROR(__xludf.DUMMYFUNCTION("""COMPUTED_VALUE"""),34.69)</f>
        <v>34.69</v>
      </c>
      <c r="C2167" s="1">
        <f>IFERROR(__xludf.DUMMYFUNCTION("""COMPUTED_VALUE"""),35.1)</f>
        <v>35.1</v>
      </c>
      <c r="D2167" s="1">
        <f>IFERROR(__xludf.DUMMYFUNCTION("""COMPUTED_VALUE"""),34.58)</f>
        <v>34.58</v>
      </c>
      <c r="E2167" s="1">
        <f>IFERROR(__xludf.DUMMYFUNCTION("""COMPUTED_VALUE"""),34.8)</f>
        <v>34.8</v>
      </c>
      <c r="F2167" s="1">
        <f>IFERROR(__xludf.DUMMYFUNCTION("""COMPUTED_VALUE"""),333694.0)</f>
        <v>333694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IFERROR(__xludf.DUMMYFUNCTION("""COMPUTED_VALUE"""),36.33)</f>
        <v>36.33</v>
      </c>
      <c r="C2168" s="1">
        <f>IFERROR(__xludf.DUMMYFUNCTION("""COMPUTED_VALUE"""),38.54)</f>
        <v>38.54</v>
      </c>
      <c r="D2168" s="1">
        <f>IFERROR(__xludf.DUMMYFUNCTION("""COMPUTED_VALUE"""),36.33)</f>
        <v>36.33</v>
      </c>
      <c r="E2168" s="1">
        <f>IFERROR(__xludf.DUMMYFUNCTION("""COMPUTED_VALUE"""),37.63)</f>
        <v>37.63</v>
      </c>
      <c r="F2168" s="1">
        <f>IFERROR(__xludf.DUMMYFUNCTION("""COMPUTED_VALUE"""),1226047.0)</f>
        <v>1226047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IFERROR(__xludf.DUMMYFUNCTION("""COMPUTED_VALUE"""),37.75)</f>
        <v>37.75</v>
      </c>
      <c r="C2169" s="1">
        <f>IFERROR(__xludf.DUMMYFUNCTION("""COMPUTED_VALUE"""),38.1)</f>
        <v>38.1</v>
      </c>
      <c r="D2169" s="1">
        <f>IFERROR(__xludf.DUMMYFUNCTION("""COMPUTED_VALUE"""),37.44)</f>
        <v>37.44</v>
      </c>
      <c r="E2169" s="1">
        <f>IFERROR(__xludf.DUMMYFUNCTION("""COMPUTED_VALUE"""),37.72)</f>
        <v>37.72</v>
      </c>
      <c r="F2169" s="1">
        <f>IFERROR(__xludf.DUMMYFUNCTION("""COMPUTED_VALUE"""),460102.0)</f>
        <v>460102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IFERROR(__xludf.DUMMYFUNCTION("""COMPUTED_VALUE"""),37.94)</f>
        <v>37.94</v>
      </c>
      <c r="C2170" s="1">
        <f>IFERROR(__xludf.DUMMYFUNCTION("""COMPUTED_VALUE"""),38.29)</f>
        <v>38.29</v>
      </c>
      <c r="D2170" s="1">
        <f>IFERROR(__xludf.DUMMYFUNCTION("""COMPUTED_VALUE"""),37.57)</f>
        <v>37.57</v>
      </c>
      <c r="E2170" s="1">
        <f>IFERROR(__xludf.DUMMYFUNCTION("""COMPUTED_VALUE"""),37.7)</f>
        <v>37.7</v>
      </c>
      <c r="F2170" s="1">
        <f>IFERROR(__xludf.DUMMYFUNCTION("""COMPUTED_VALUE"""),550498.0)</f>
        <v>550498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IFERROR(__xludf.DUMMYFUNCTION("""COMPUTED_VALUE"""),37.62)</f>
        <v>37.62</v>
      </c>
      <c r="C2171" s="1">
        <f>IFERROR(__xludf.DUMMYFUNCTION("""COMPUTED_VALUE"""),37.81)</f>
        <v>37.81</v>
      </c>
      <c r="D2171" s="1">
        <f>IFERROR(__xludf.DUMMYFUNCTION("""COMPUTED_VALUE"""),37.43)</f>
        <v>37.43</v>
      </c>
      <c r="E2171" s="1">
        <f>IFERROR(__xludf.DUMMYFUNCTION("""COMPUTED_VALUE"""),37.65)</f>
        <v>37.65</v>
      </c>
      <c r="F2171" s="1">
        <f>IFERROR(__xludf.DUMMYFUNCTION("""COMPUTED_VALUE"""),457686.0)</f>
        <v>457686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IFERROR(__xludf.DUMMYFUNCTION("""COMPUTED_VALUE"""),37.89)</f>
        <v>37.89</v>
      </c>
      <c r="C2172" s="1">
        <f>IFERROR(__xludf.DUMMYFUNCTION("""COMPUTED_VALUE"""),38.45)</f>
        <v>38.45</v>
      </c>
      <c r="D2172" s="1">
        <f>IFERROR(__xludf.DUMMYFUNCTION("""COMPUTED_VALUE"""),37.54)</f>
        <v>37.54</v>
      </c>
      <c r="E2172" s="1">
        <f>IFERROR(__xludf.DUMMYFUNCTION("""COMPUTED_VALUE"""),37.9)</f>
        <v>37.9</v>
      </c>
      <c r="F2172" s="1">
        <f>IFERROR(__xludf.DUMMYFUNCTION("""COMPUTED_VALUE"""),864476.0)</f>
        <v>864476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IFERROR(__xludf.DUMMYFUNCTION("""COMPUTED_VALUE"""),37.83)</f>
        <v>37.83</v>
      </c>
      <c r="C2173" s="1">
        <f>IFERROR(__xludf.DUMMYFUNCTION("""COMPUTED_VALUE"""),38.25)</f>
        <v>38.25</v>
      </c>
      <c r="D2173" s="1">
        <f>IFERROR(__xludf.DUMMYFUNCTION("""COMPUTED_VALUE"""),37.83)</f>
        <v>37.83</v>
      </c>
      <c r="E2173" s="1">
        <f>IFERROR(__xludf.DUMMYFUNCTION("""COMPUTED_VALUE"""),37.97)</f>
        <v>37.97</v>
      </c>
      <c r="F2173" s="1">
        <f>IFERROR(__xludf.DUMMYFUNCTION("""COMPUTED_VALUE"""),346485.0)</f>
        <v>346485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IFERROR(__xludf.DUMMYFUNCTION("""COMPUTED_VALUE"""),37.97)</f>
        <v>37.97</v>
      </c>
      <c r="C2174" s="1">
        <f>IFERROR(__xludf.DUMMYFUNCTION("""COMPUTED_VALUE"""),38.53)</f>
        <v>38.53</v>
      </c>
      <c r="D2174" s="1">
        <f>IFERROR(__xludf.DUMMYFUNCTION("""COMPUTED_VALUE"""),37.83)</f>
        <v>37.83</v>
      </c>
      <c r="E2174" s="1">
        <f>IFERROR(__xludf.DUMMYFUNCTION("""COMPUTED_VALUE"""),38.28)</f>
        <v>38.28</v>
      </c>
      <c r="F2174" s="1">
        <f>IFERROR(__xludf.DUMMYFUNCTION("""COMPUTED_VALUE"""),368461.0)</f>
        <v>368461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IFERROR(__xludf.DUMMYFUNCTION("""COMPUTED_VALUE"""),38.26)</f>
        <v>38.26</v>
      </c>
      <c r="C2175" s="1">
        <f>IFERROR(__xludf.DUMMYFUNCTION("""COMPUTED_VALUE"""),38.77)</f>
        <v>38.77</v>
      </c>
      <c r="D2175" s="1">
        <f>IFERROR(__xludf.DUMMYFUNCTION("""COMPUTED_VALUE"""),38.26)</f>
        <v>38.26</v>
      </c>
      <c r="E2175" s="1">
        <f>IFERROR(__xludf.DUMMYFUNCTION("""COMPUTED_VALUE"""),38.53)</f>
        <v>38.53</v>
      </c>
      <c r="F2175" s="1">
        <f>IFERROR(__xludf.DUMMYFUNCTION("""COMPUTED_VALUE"""),738202.0)</f>
        <v>738202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IFERROR(__xludf.DUMMYFUNCTION("""COMPUTED_VALUE"""),38.5)</f>
        <v>38.5</v>
      </c>
      <c r="C2176" s="1">
        <f>IFERROR(__xludf.DUMMYFUNCTION("""COMPUTED_VALUE"""),38.73)</f>
        <v>38.73</v>
      </c>
      <c r="D2176" s="1">
        <f>IFERROR(__xludf.DUMMYFUNCTION("""COMPUTED_VALUE"""),38.15)</f>
        <v>38.15</v>
      </c>
      <c r="E2176" s="1">
        <f>IFERROR(__xludf.DUMMYFUNCTION("""COMPUTED_VALUE"""),38.27)</f>
        <v>38.27</v>
      </c>
      <c r="F2176" s="1">
        <f>IFERROR(__xludf.DUMMYFUNCTION("""COMPUTED_VALUE"""),260480.0)</f>
        <v>260480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IFERROR(__xludf.DUMMYFUNCTION("""COMPUTED_VALUE"""),38.29)</f>
        <v>38.29</v>
      </c>
      <c r="C2177" s="1">
        <f>IFERROR(__xludf.DUMMYFUNCTION("""COMPUTED_VALUE"""),38.44)</f>
        <v>38.44</v>
      </c>
      <c r="D2177" s="1">
        <f>IFERROR(__xludf.DUMMYFUNCTION("""COMPUTED_VALUE"""),38.02)</f>
        <v>38.02</v>
      </c>
      <c r="E2177" s="1">
        <f>IFERROR(__xludf.DUMMYFUNCTION("""COMPUTED_VALUE"""),38.14)</f>
        <v>38.14</v>
      </c>
      <c r="F2177" s="1">
        <f>IFERROR(__xludf.DUMMYFUNCTION("""COMPUTED_VALUE"""),220274.0)</f>
        <v>220274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IFERROR(__xludf.DUMMYFUNCTION("""COMPUTED_VALUE"""),38.34)</f>
        <v>38.34</v>
      </c>
      <c r="C2178" s="1">
        <f>IFERROR(__xludf.DUMMYFUNCTION("""COMPUTED_VALUE"""),38.36)</f>
        <v>38.36</v>
      </c>
      <c r="D2178" s="1">
        <f>IFERROR(__xludf.DUMMYFUNCTION("""COMPUTED_VALUE"""),38.07)</f>
        <v>38.07</v>
      </c>
      <c r="E2178" s="1">
        <f>IFERROR(__xludf.DUMMYFUNCTION("""COMPUTED_VALUE"""),38.22)</f>
        <v>38.22</v>
      </c>
      <c r="F2178" s="1">
        <f>IFERROR(__xludf.DUMMYFUNCTION("""COMPUTED_VALUE"""),290541.0)</f>
        <v>290541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IFERROR(__xludf.DUMMYFUNCTION("""COMPUTED_VALUE"""),38.38)</f>
        <v>38.38</v>
      </c>
      <c r="C2179" s="1">
        <f>IFERROR(__xludf.DUMMYFUNCTION("""COMPUTED_VALUE"""),38.6)</f>
        <v>38.6</v>
      </c>
      <c r="D2179" s="1">
        <f>IFERROR(__xludf.DUMMYFUNCTION("""COMPUTED_VALUE"""),38.26)</f>
        <v>38.26</v>
      </c>
      <c r="E2179" s="1">
        <f>IFERROR(__xludf.DUMMYFUNCTION("""COMPUTED_VALUE"""),38.37)</f>
        <v>38.37</v>
      </c>
      <c r="F2179" s="1">
        <f>IFERROR(__xludf.DUMMYFUNCTION("""COMPUTED_VALUE"""),288280.0)</f>
        <v>288280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IFERROR(__xludf.DUMMYFUNCTION("""COMPUTED_VALUE"""),38.45)</f>
        <v>38.45</v>
      </c>
      <c r="C2180" s="1">
        <f>IFERROR(__xludf.DUMMYFUNCTION("""COMPUTED_VALUE"""),38.57)</f>
        <v>38.57</v>
      </c>
      <c r="D2180" s="1">
        <f>IFERROR(__xludf.DUMMYFUNCTION("""COMPUTED_VALUE"""),37.89)</f>
        <v>37.89</v>
      </c>
      <c r="E2180" s="1">
        <f>IFERROR(__xludf.DUMMYFUNCTION("""COMPUTED_VALUE"""),37.94)</f>
        <v>37.94</v>
      </c>
      <c r="F2180" s="1">
        <f>IFERROR(__xludf.DUMMYFUNCTION("""COMPUTED_VALUE"""),311333.0)</f>
        <v>311333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IFERROR(__xludf.DUMMYFUNCTION("""COMPUTED_VALUE"""),37.99)</f>
        <v>37.99</v>
      </c>
      <c r="C2181" s="1">
        <f>IFERROR(__xludf.DUMMYFUNCTION("""COMPUTED_VALUE"""),38.1)</f>
        <v>38.1</v>
      </c>
      <c r="D2181" s="1">
        <f>IFERROR(__xludf.DUMMYFUNCTION("""COMPUTED_VALUE"""),37.86)</f>
        <v>37.86</v>
      </c>
      <c r="E2181" s="1">
        <f>IFERROR(__xludf.DUMMYFUNCTION("""COMPUTED_VALUE"""),37.99)</f>
        <v>37.99</v>
      </c>
      <c r="F2181" s="1">
        <f>IFERROR(__xludf.DUMMYFUNCTION("""COMPUTED_VALUE"""),279922.0)</f>
        <v>279922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IFERROR(__xludf.DUMMYFUNCTION("""COMPUTED_VALUE"""),37.96)</f>
        <v>37.96</v>
      </c>
      <c r="C2182" s="1">
        <f>IFERROR(__xludf.DUMMYFUNCTION("""COMPUTED_VALUE"""),38.33)</f>
        <v>38.33</v>
      </c>
      <c r="D2182" s="1">
        <f>IFERROR(__xludf.DUMMYFUNCTION("""COMPUTED_VALUE"""),37.95)</f>
        <v>37.95</v>
      </c>
      <c r="E2182" s="1">
        <f>IFERROR(__xludf.DUMMYFUNCTION("""COMPUTED_VALUE"""),38.18)</f>
        <v>38.18</v>
      </c>
      <c r="F2182" s="1">
        <f>IFERROR(__xludf.DUMMYFUNCTION("""COMPUTED_VALUE"""),177336.0)</f>
        <v>177336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IFERROR(__xludf.DUMMYFUNCTION("""COMPUTED_VALUE"""),38.13)</f>
        <v>38.13</v>
      </c>
      <c r="C2183" s="1">
        <f>IFERROR(__xludf.DUMMYFUNCTION("""COMPUTED_VALUE"""),38.34)</f>
        <v>38.34</v>
      </c>
      <c r="D2183" s="1">
        <f>IFERROR(__xludf.DUMMYFUNCTION("""COMPUTED_VALUE"""),37.93)</f>
        <v>37.93</v>
      </c>
      <c r="E2183" s="1">
        <f>IFERROR(__xludf.DUMMYFUNCTION("""COMPUTED_VALUE"""),38.11)</f>
        <v>38.11</v>
      </c>
      <c r="F2183" s="1">
        <f>IFERROR(__xludf.DUMMYFUNCTION("""COMPUTED_VALUE"""),219037.0)</f>
        <v>219037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IFERROR(__xludf.DUMMYFUNCTION("""COMPUTED_VALUE"""),38.11)</f>
        <v>38.11</v>
      </c>
      <c r="C2184" s="1">
        <f>IFERROR(__xludf.DUMMYFUNCTION("""COMPUTED_VALUE"""),38.41)</f>
        <v>38.41</v>
      </c>
      <c r="D2184" s="1">
        <f>IFERROR(__xludf.DUMMYFUNCTION("""COMPUTED_VALUE"""),37.9)</f>
        <v>37.9</v>
      </c>
      <c r="E2184" s="1">
        <f>IFERROR(__xludf.DUMMYFUNCTION("""COMPUTED_VALUE"""),38.26)</f>
        <v>38.26</v>
      </c>
      <c r="F2184" s="1">
        <f>IFERROR(__xludf.DUMMYFUNCTION("""COMPUTED_VALUE"""),426070.0)</f>
        <v>426070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IFERROR(__xludf.DUMMYFUNCTION("""COMPUTED_VALUE"""),38.33)</f>
        <v>38.33</v>
      </c>
      <c r="C2185" s="1">
        <f>IFERROR(__xludf.DUMMYFUNCTION("""COMPUTED_VALUE"""),38.4)</f>
        <v>38.4</v>
      </c>
      <c r="D2185" s="1">
        <f>IFERROR(__xludf.DUMMYFUNCTION("""COMPUTED_VALUE"""),37.61)</f>
        <v>37.61</v>
      </c>
      <c r="E2185" s="1">
        <f>IFERROR(__xludf.DUMMYFUNCTION("""COMPUTED_VALUE"""),37.89)</f>
        <v>37.89</v>
      </c>
      <c r="F2185" s="1">
        <f>IFERROR(__xludf.DUMMYFUNCTION("""COMPUTED_VALUE"""),213212.0)</f>
        <v>213212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IFERROR(__xludf.DUMMYFUNCTION("""COMPUTED_VALUE"""),37.76)</f>
        <v>37.76</v>
      </c>
      <c r="C2186" s="1">
        <f>IFERROR(__xludf.DUMMYFUNCTION("""COMPUTED_VALUE"""),38.2)</f>
        <v>38.2</v>
      </c>
      <c r="D2186" s="1">
        <f>IFERROR(__xludf.DUMMYFUNCTION("""COMPUTED_VALUE"""),37.64)</f>
        <v>37.64</v>
      </c>
      <c r="E2186" s="1">
        <f>IFERROR(__xludf.DUMMYFUNCTION("""COMPUTED_VALUE"""),37.73)</f>
        <v>37.73</v>
      </c>
      <c r="F2186" s="1">
        <f>IFERROR(__xludf.DUMMYFUNCTION("""COMPUTED_VALUE"""),179679.0)</f>
        <v>179679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IFERROR(__xludf.DUMMYFUNCTION("""COMPUTED_VALUE"""),37.54)</f>
        <v>37.54</v>
      </c>
      <c r="C2187" s="1">
        <f>IFERROR(__xludf.DUMMYFUNCTION("""COMPUTED_VALUE"""),37.7)</f>
        <v>37.7</v>
      </c>
      <c r="D2187" s="1">
        <f>IFERROR(__xludf.DUMMYFUNCTION("""COMPUTED_VALUE"""),37.18)</f>
        <v>37.18</v>
      </c>
      <c r="E2187" s="1">
        <f>IFERROR(__xludf.DUMMYFUNCTION("""COMPUTED_VALUE"""),37.25)</f>
        <v>37.25</v>
      </c>
      <c r="F2187" s="1">
        <f>IFERROR(__xludf.DUMMYFUNCTION("""COMPUTED_VALUE"""),205835.0)</f>
        <v>205835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IFERROR(__xludf.DUMMYFUNCTION("""COMPUTED_VALUE"""),37.17)</f>
        <v>37.17</v>
      </c>
      <c r="C2188" s="1">
        <f>IFERROR(__xludf.DUMMYFUNCTION("""COMPUTED_VALUE"""),37.63)</f>
        <v>37.63</v>
      </c>
      <c r="D2188" s="1">
        <f>IFERROR(__xludf.DUMMYFUNCTION("""COMPUTED_VALUE"""),37.17)</f>
        <v>37.17</v>
      </c>
      <c r="E2188" s="1">
        <f>IFERROR(__xludf.DUMMYFUNCTION("""COMPUTED_VALUE"""),37.49)</f>
        <v>37.49</v>
      </c>
      <c r="F2188" s="1">
        <f>IFERROR(__xludf.DUMMYFUNCTION("""COMPUTED_VALUE"""),423085.0)</f>
        <v>423085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IFERROR(__xludf.DUMMYFUNCTION("""COMPUTED_VALUE"""),37.73)</f>
        <v>37.73</v>
      </c>
      <c r="C2189" s="1">
        <f>IFERROR(__xludf.DUMMYFUNCTION("""COMPUTED_VALUE"""),37.91)</f>
        <v>37.91</v>
      </c>
      <c r="D2189" s="1">
        <f>IFERROR(__xludf.DUMMYFUNCTION("""COMPUTED_VALUE"""),37.47)</f>
        <v>37.47</v>
      </c>
      <c r="E2189" s="1">
        <f>IFERROR(__xludf.DUMMYFUNCTION("""COMPUTED_VALUE"""),37.7)</f>
        <v>37.7</v>
      </c>
      <c r="F2189" s="1">
        <f>IFERROR(__xludf.DUMMYFUNCTION("""COMPUTED_VALUE"""),327024.0)</f>
        <v>327024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IFERROR(__xludf.DUMMYFUNCTION("""COMPUTED_VALUE"""),37.75)</f>
        <v>37.75</v>
      </c>
      <c r="C2190" s="1">
        <f>IFERROR(__xludf.DUMMYFUNCTION("""COMPUTED_VALUE"""),38.28)</f>
        <v>38.28</v>
      </c>
      <c r="D2190" s="1">
        <f>IFERROR(__xludf.DUMMYFUNCTION("""COMPUTED_VALUE"""),37.51)</f>
        <v>37.51</v>
      </c>
      <c r="E2190" s="1">
        <f>IFERROR(__xludf.DUMMYFUNCTION("""COMPUTED_VALUE"""),37.85)</f>
        <v>37.85</v>
      </c>
      <c r="F2190" s="1">
        <f>IFERROR(__xludf.DUMMYFUNCTION("""COMPUTED_VALUE"""),457333.0)</f>
        <v>457333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IFERROR(__xludf.DUMMYFUNCTION("""COMPUTED_VALUE"""),37.88)</f>
        <v>37.88</v>
      </c>
      <c r="C2191" s="1">
        <f>IFERROR(__xludf.DUMMYFUNCTION("""COMPUTED_VALUE"""),38.3)</f>
        <v>38.3</v>
      </c>
      <c r="D2191" s="1">
        <f>IFERROR(__xludf.DUMMYFUNCTION("""COMPUTED_VALUE"""),37.76)</f>
        <v>37.76</v>
      </c>
      <c r="E2191" s="1">
        <f>IFERROR(__xludf.DUMMYFUNCTION("""COMPUTED_VALUE"""),37.85)</f>
        <v>37.85</v>
      </c>
      <c r="F2191" s="1">
        <f>IFERROR(__xludf.DUMMYFUNCTION("""COMPUTED_VALUE"""),215231.0)</f>
        <v>215231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IFERROR(__xludf.DUMMYFUNCTION("""COMPUTED_VALUE"""),37.75)</f>
        <v>37.75</v>
      </c>
      <c r="C2192" s="1">
        <f>IFERROR(__xludf.DUMMYFUNCTION("""COMPUTED_VALUE"""),38.12)</f>
        <v>38.12</v>
      </c>
      <c r="D2192" s="1">
        <f>IFERROR(__xludf.DUMMYFUNCTION("""COMPUTED_VALUE"""),37.64)</f>
        <v>37.64</v>
      </c>
      <c r="E2192" s="1">
        <f>IFERROR(__xludf.DUMMYFUNCTION("""COMPUTED_VALUE"""),37.89)</f>
        <v>37.89</v>
      </c>
      <c r="F2192" s="1">
        <f>IFERROR(__xludf.DUMMYFUNCTION("""COMPUTED_VALUE"""),247097.0)</f>
        <v>247097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IFERROR(__xludf.DUMMYFUNCTION("""COMPUTED_VALUE"""),37.89)</f>
        <v>37.89</v>
      </c>
      <c r="C2193" s="1">
        <f>IFERROR(__xludf.DUMMYFUNCTION("""COMPUTED_VALUE"""),37.95)</f>
        <v>37.95</v>
      </c>
      <c r="D2193" s="1">
        <f>IFERROR(__xludf.DUMMYFUNCTION("""COMPUTED_VALUE"""),37.36)</f>
        <v>37.36</v>
      </c>
      <c r="E2193" s="1">
        <f>IFERROR(__xludf.DUMMYFUNCTION("""COMPUTED_VALUE"""),37.58)</f>
        <v>37.58</v>
      </c>
      <c r="F2193" s="1">
        <f>IFERROR(__xludf.DUMMYFUNCTION("""COMPUTED_VALUE"""),179161.0)</f>
        <v>179161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IFERROR(__xludf.DUMMYFUNCTION("""COMPUTED_VALUE"""),37.43)</f>
        <v>37.43</v>
      </c>
      <c r="C2194" s="1">
        <f>IFERROR(__xludf.DUMMYFUNCTION("""COMPUTED_VALUE"""),37.71)</f>
        <v>37.71</v>
      </c>
      <c r="D2194" s="1">
        <f>IFERROR(__xludf.DUMMYFUNCTION("""COMPUTED_VALUE"""),37.38)</f>
        <v>37.38</v>
      </c>
      <c r="E2194" s="1">
        <f>IFERROR(__xludf.DUMMYFUNCTION("""COMPUTED_VALUE"""),37.52)</f>
        <v>37.52</v>
      </c>
      <c r="F2194" s="1">
        <f>IFERROR(__xludf.DUMMYFUNCTION("""COMPUTED_VALUE"""),185831.0)</f>
        <v>185831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IFERROR(__xludf.DUMMYFUNCTION("""COMPUTED_VALUE"""),37.44)</f>
        <v>37.44</v>
      </c>
      <c r="C2195" s="1">
        <f>IFERROR(__xludf.DUMMYFUNCTION("""COMPUTED_VALUE"""),37.53)</f>
        <v>37.53</v>
      </c>
      <c r="D2195" s="1">
        <f>IFERROR(__xludf.DUMMYFUNCTION("""COMPUTED_VALUE"""),36.96)</f>
        <v>36.96</v>
      </c>
      <c r="E2195" s="1">
        <f>IFERROR(__xludf.DUMMYFUNCTION("""COMPUTED_VALUE"""),36.98)</f>
        <v>36.98</v>
      </c>
      <c r="F2195" s="1">
        <f>IFERROR(__xludf.DUMMYFUNCTION("""COMPUTED_VALUE"""),226154.0)</f>
        <v>226154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IFERROR(__xludf.DUMMYFUNCTION("""COMPUTED_VALUE"""),37.15)</f>
        <v>37.15</v>
      </c>
      <c r="C2196" s="1">
        <f>IFERROR(__xludf.DUMMYFUNCTION("""COMPUTED_VALUE"""),37.5)</f>
        <v>37.5</v>
      </c>
      <c r="D2196" s="1">
        <f>IFERROR(__xludf.DUMMYFUNCTION("""COMPUTED_VALUE"""),36.93)</f>
        <v>36.93</v>
      </c>
      <c r="E2196" s="1">
        <f>IFERROR(__xludf.DUMMYFUNCTION("""COMPUTED_VALUE"""),37.37)</f>
        <v>37.37</v>
      </c>
      <c r="F2196" s="1">
        <f>IFERROR(__xludf.DUMMYFUNCTION("""COMPUTED_VALUE"""),386193.0)</f>
        <v>386193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IFERROR(__xludf.DUMMYFUNCTION("""COMPUTED_VALUE"""),37.38)</f>
        <v>37.38</v>
      </c>
      <c r="C2197" s="1">
        <f>IFERROR(__xludf.DUMMYFUNCTION("""COMPUTED_VALUE"""),37.41)</f>
        <v>37.41</v>
      </c>
      <c r="D2197" s="1">
        <f>IFERROR(__xludf.DUMMYFUNCTION("""COMPUTED_VALUE"""),36.66)</f>
        <v>36.66</v>
      </c>
      <c r="E2197" s="1">
        <f>IFERROR(__xludf.DUMMYFUNCTION("""COMPUTED_VALUE"""),36.68)</f>
        <v>36.68</v>
      </c>
      <c r="F2197" s="1">
        <f>IFERROR(__xludf.DUMMYFUNCTION("""COMPUTED_VALUE"""),221659.0)</f>
        <v>221659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IFERROR(__xludf.DUMMYFUNCTION("""COMPUTED_VALUE"""),36.69)</f>
        <v>36.69</v>
      </c>
      <c r="C2198" s="1">
        <f>IFERROR(__xludf.DUMMYFUNCTION("""COMPUTED_VALUE"""),36.76)</f>
        <v>36.76</v>
      </c>
      <c r="D2198" s="1">
        <f>IFERROR(__xludf.DUMMYFUNCTION("""COMPUTED_VALUE"""),36.1)</f>
        <v>36.1</v>
      </c>
      <c r="E2198" s="1">
        <f>IFERROR(__xludf.DUMMYFUNCTION("""COMPUTED_VALUE"""),36.28)</f>
        <v>36.28</v>
      </c>
      <c r="F2198" s="1">
        <f>IFERROR(__xludf.DUMMYFUNCTION("""COMPUTED_VALUE"""),233766.0)</f>
        <v>233766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IFERROR(__xludf.DUMMYFUNCTION("""COMPUTED_VALUE"""),36.38)</f>
        <v>36.38</v>
      </c>
      <c r="C2199" s="1">
        <f>IFERROR(__xludf.DUMMYFUNCTION("""COMPUTED_VALUE"""),36.78)</f>
        <v>36.78</v>
      </c>
      <c r="D2199" s="1">
        <f>IFERROR(__xludf.DUMMYFUNCTION("""COMPUTED_VALUE"""),36.12)</f>
        <v>36.12</v>
      </c>
      <c r="E2199" s="1">
        <f>IFERROR(__xludf.DUMMYFUNCTION("""COMPUTED_VALUE"""),36.54)</f>
        <v>36.54</v>
      </c>
      <c r="F2199" s="1">
        <f>IFERROR(__xludf.DUMMYFUNCTION("""COMPUTED_VALUE"""),386583.0)</f>
        <v>386583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IFERROR(__xludf.DUMMYFUNCTION("""COMPUTED_VALUE"""),36.5)</f>
        <v>36.5</v>
      </c>
      <c r="C2200" s="1">
        <f>IFERROR(__xludf.DUMMYFUNCTION("""COMPUTED_VALUE"""),36.73)</f>
        <v>36.73</v>
      </c>
      <c r="D2200" s="1">
        <f>IFERROR(__xludf.DUMMYFUNCTION("""COMPUTED_VALUE"""),36.15)</f>
        <v>36.15</v>
      </c>
      <c r="E2200" s="1">
        <f>IFERROR(__xludf.DUMMYFUNCTION("""COMPUTED_VALUE"""),36.24)</f>
        <v>36.24</v>
      </c>
      <c r="F2200" s="1">
        <f>IFERROR(__xludf.DUMMYFUNCTION("""COMPUTED_VALUE"""),226271.0)</f>
        <v>226271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IFERROR(__xludf.DUMMYFUNCTION("""COMPUTED_VALUE"""),36.33)</f>
        <v>36.33</v>
      </c>
      <c r="C2201" s="1">
        <f>IFERROR(__xludf.DUMMYFUNCTION("""COMPUTED_VALUE"""),36.55)</f>
        <v>36.55</v>
      </c>
      <c r="D2201" s="1">
        <f>IFERROR(__xludf.DUMMYFUNCTION("""COMPUTED_VALUE"""),36.03)</f>
        <v>36.03</v>
      </c>
      <c r="E2201" s="1">
        <f>IFERROR(__xludf.DUMMYFUNCTION("""COMPUTED_VALUE"""),36.38)</f>
        <v>36.38</v>
      </c>
      <c r="F2201" s="1">
        <f>IFERROR(__xludf.DUMMYFUNCTION("""COMPUTED_VALUE"""),197771.0)</f>
        <v>197771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IFERROR(__xludf.DUMMYFUNCTION("""COMPUTED_VALUE"""),36.42)</f>
        <v>36.42</v>
      </c>
      <c r="C2202" s="1">
        <f>IFERROR(__xludf.DUMMYFUNCTION("""COMPUTED_VALUE"""),36.42)</f>
        <v>36.42</v>
      </c>
      <c r="D2202" s="1">
        <f>IFERROR(__xludf.DUMMYFUNCTION("""COMPUTED_VALUE"""),36.0)</f>
        <v>36</v>
      </c>
      <c r="E2202" s="1">
        <f>IFERROR(__xludf.DUMMYFUNCTION("""COMPUTED_VALUE"""),36.13)</f>
        <v>36.13</v>
      </c>
      <c r="F2202" s="1">
        <f>IFERROR(__xludf.DUMMYFUNCTION("""COMPUTED_VALUE"""),296891.0)</f>
        <v>296891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IFERROR(__xludf.DUMMYFUNCTION("""COMPUTED_VALUE"""),36.34)</f>
        <v>36.34</v>
      </c>
      <c r="C2203" s="1">
        <f>IFERROR(__xludf.DUMMYFUNCTION("""COMPUTED_VALUE"""),36.46)</f>
        <v>36.46</v>
      </c>
      <c r="D2203" s="1">
        <f>IFERROR(__xludf.DUMMYFUNCTION("""COMPUTED_VALUE"""),35.86)</f>
        <v>35.86</v>
      </c>
      <c r="E2203" s="1">
        <f>IFERROR(__xludf.DUMMYFUNCTION("""COMPUTED_VALUE"""),36.17)</f>
        <v>36.17</v>
      </c>
      <c r="F2203" s="1">
        <f>IFERROR(__xludf.DUMMYFUNCTION("""COMPUTED_VALUE"""),370527.0)</f>
        <v>370527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IFERROR(__xludf.DUMMYFUNCTION("""COMPUTED_VALUE"""),36.18)</f>
        <v>36.18</v>
      </c>
      <c r="C2204" s="1">
        <f>IFERROR(__xludf.DUMMYFUNCTION("""COMPUTED_VALUE"""),36.59)</f>
        <v>36.59</v>
      </c>
      <c r="D2204" s="1">
        <f>IFERROR(__xludf.DUMMYFUNCTION("""COMPUTED_VALUE"""),36.1)</f>
        <v>36.1</v>
      </c>
      <c r="E2204" s="1">
        <f>IFERROR(__xludf.DUMMYFUNCTION("""COMPUTED_VALUE"""),36.25)</f>
        <v>36.25</v>
      </c>
      <c r="F2204" s="1">
        <f>IFERROR(__xludf.DUMMYFUNCTION("""COMPUTED_VALUE"""),237725.0)</f>
        <v>237725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IFERROR(__xludf.DUMMYFUNCTION("""COMPUTED_VALUE"""),36.35)</f>
        <v>36.35</v>
      </c>
      <c r="C2205" s="1">
        <f>IFERROR(__xludf.DUMMYFUNCTION("""COMPUTED_VALUE"""),36.48)</f>
        <v>36.48</v>
      </c>
      <c r="D2205" s="1">
        <f>IFERROR(__xludf.DUMMYFUNCTION("""COMPUTED_VALUE"""),36.04)</f>
        <v>36.04</v>
      </c>
      <c r="E2205" s="1">
        <f>IFERROR(__xludf.DUMMYFUNCTION("""COMPUTED_VALUE"""),36.32)</f>
        <v>36.32</v>
      </c>
      <c r="F2205" s="1">
        <f>IFERROR(__xludf.DUMMYFUNCTION("""COMPUTED_VALUE"""),257008.0)</f>
        <v>257008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IFERROR(__xludf.DUMMYFUNCTION("""COMPUTED_VALUE"""),36.15)</f>
        <v>36.15</v>
      </c>
      <c r="C2206" s="1">
        <f>IFERROR(__xludf.DUMMYFUNCTION("""COMPUTED_VALUE"""),36.57)</f>
        <v>36.57</v>
      </c>
      <c r="D2206" s="1">
        <f>IFERROR(__xludf.DUMMYFUNCTION("""COMPUTED_VALUE"""),36.11)</f>
        <v>36.11</v>
      </c>
      <c r="E2206" s="1">
        <f>IFERROR(__xludf.DUMMYFUNCTION("""COMPUTED_VALUE"""),36.18)</f>
        <v>36.18</v>
      </c>
      <c r="F2206" s="1">
        <f>IFERROR(__xludf.DUMMYFUNCTION("""COMPUTED_VALUE"""),279422.0)</f>
        <v>279422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IFERROR(__xludf.DUMMYFUNCTION("""COMPUTED_VALUE"""),36.1)</f>
        <v>36.1</v>
      </c>
      <c r="C2207" s="1">
        <f>IFERROR(__xludf.DUMMYFUNCTION("""COMPUTED_VALUE"""),36.67)</f>
        <v>36.67</v>
      </c>
      <c r="D2207" s="1">
        <f>IFERROR(__xludf.DUMMYFUNCTION("""COMPUTED_VALUE"""),36.1)</f>
        <v>36.1</v>
      </c>
      <c r="E2207" s="1">
        <f>IFERROR(__xludf.DUMMYFUNCTION("""COMPUTED_VALUE"""),36.51)</f>
        <v>36.51</v>
      </c>
      <c r="F2207" s="1">
        <f>IFERROR(__xludf.DUMMYFUNCTION("""COMPUTED_VALUE"""),218120.0)</f>
        <v>218120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IFERROR(__xludf.DUMMYFUNCTION("""COMPUTED_VALUE"""),36.5)</f>
        <v>36.5</v>
      </c>
      <c r="C2208" s="1">
        <f>IFERROR(__xludf.DUMMYFUNCTION("""COMPUTED_VALUE"""),36.77)</f>
        <v>36.77</v>
      </c>
      <c r="D2208" s="1">
        <f>IFERROR(__xludf.DUMMYFUNCTION("""COMPUTED_VALUE"""),36.05)</f>
        <v>36.05</v>
      </c>
      <c r="E2208" s="1">
        <f>IFERROR(__xludf.DUMMYFUNCTION("""COMPUTED_VALUE"""),36.12)</f>
        <v>36.12</v>
      </c>
      <c r="F2208" s="1">
        <f>IFERROR(__xludf.DUMMYFUNCTION("""COMPUTED_VALUE"""),178024.0)</f>
        <v>178024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IFERROR(__xludf.DUMMYFUNCTION("""COMPUTED_VALUE"""),35.75)</f>
        <v>35.75</v>
      </c>
      <c r="C2209" s="1">
        <f>IFERROR(__xludf.DUMMYFUNCTION("""COMPUTED_VALUE"""),36.12)</f>
        <v>36.12</v>
      </c>
      <c r="D2209" s="1">
        <f>IFERROR(__xludf.DUMMYFUNCTION("""COMPUTED_VALUE"""),33.09)</f>
        <v>33.09</v>
      </c>
      <c r="E2209" s="1">
        <f>IFERROR(__xludf.DUMMYFUNCTION("""COMPUTED_VALUE"""),34.84)</f>
        <v>34.84</v>
      </c>
      <c r="F2209" s="1">
        <f>IFERROR(__xludf.DUMMYFUNCTION("""COMPUTED_VALUE"""),1142758.0)</f>
        <v>1142758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IFERROR(__xludf.DUMMYFUNCTION("""COMPUTED_VALUE"""),34.84)</f>
        <v>34.84</v>
      </c>
      <c r="C2210" s="1">
        <f>IFERROR(__xludf.DUMMYFUNCTION("""COMPUTED_VALUE"""),35.17)</f>
        <v>35.17</v>
      </c>
      <c r="D2210" s="1">
        <f>IFERROR(__xludf.DUMMYFUNCTION("""COMPUTED_VALUE"""),33.36)</f>
        <v>33.36</v>
      </c>
      <c r="E2210" s="1">
        <f>IFERROR(__xludf.DUMMYFUNCTION("""COMPUTED_VALUE"""),33.44)</f>
        <v>33.44</v>
      </c>
      <c r="F2210" s="1">
        <f>IFERROR(__xludf.DUMMYFUNCTION("""COMPUTED_VALUE"""),489376.0)</f>
        <v>489376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IFERROR(__xludf.DUMMYFUNCTION("""COMPUTED_VALUE"""),33.19)</f>
        <v>33.19</v>
      </c>
      <c r="C2211" s="1">
        <f>IFERROR(__xludf.DUMMYFUNCTION("""COMPUTED_VALUE"""),33.94)</f>
        <v>33.94</v>
      </c>
      <c r="D2211" s="1">
        <f>IFERROR(__xludf.DUMMYFUNCTION("""COMPUTED_VALUE"""),33.19)</f>
        <v>33.19</v>
      </c>
      <c r="E2211" s="1">
        <f>IFERROR(__xludf.DUMMYFUNCTION("""COMPUTED_VALUE"""),33.25)</f>
        <v>33.25</v>
      </c>
      <c r="F2211" s="1">
        <f>IFERROR(__xludf.DUMMYFUNCTION("""COMPUTED_VALUE"""),582429.0)</f>
        <v>582429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IFERROR(__xludf.DUMMYFUNCTION("""COMPUTED_VALUE"""),33.79)</f>
        <v>33.79</v>
      </c>
      <c r="C2212" s="1">
        <f>IFERROR(__xludf.DUMMYFUNCTION("""COMPUTED_VALUE"""),34.03)</f>
        <v>34.03</v>
      </c>
      <c r="D2212" s="1">
        <f>IFERROR(__xludf.DUMMYFUNCTION("""COMPUTED_VALUE"""),32.96)</f>
        <v>32.96</v>
      </c>
      <c r="E2212" s="1">
        <f>IFERROR(__xludf.DUMMYFUNCTION("""COMPUTED_VALUE"""),33.13)</f>
        <v>33.13</v>
      </c>
      <c r="F2212" s="1">
        <f>IFERROR(__xludf.DUMMYFUNCTION("""COMPUTED_VALUE"""),521960.0)</f>
        <v>521960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IFERROR(__xludf.DUMMYFUNCTION("""COMPUTED_VALUE"""),33.13)</f>
        <v>33.13</v>
      </c>
      <c r="C2213" s="1">
        <f>IFERROR(__xludf.DUMMYFUNCTION("""COMPUTED_VALUE"""),33.75)</f>
        <v>33.75</v>
      </c>
      <c r="D2213" s="1">
        <f>IFERROR(__xludf.DUMMYFUNCTION("""COMPUTED_VALUE"""),33.05)</f>
        <v>33.05</v>
      </c>
      <c r="E2213" s="1">
        <f>IFERROR(__xludf.DUMMYFUNCTION("""COMPUTED_VALUE"""),33.49)</f>
        <v>33.49</v>
      </c>
      <c r="F2213" s="1">
        <f>IFERROR(__xludf.DUMMYFUNCTION("""COMPUTED_VALUE"""),243976.0)</f>
        <v>243976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IFERROR(__xludf.DUMMYFUNCTION("""COMPUTED_VALUE"""),33.74)</f>
        <v>33.74</v>
      </c>
      <c r="C2214" s="1">
        <f>IFERROR(__xludf.DUMMYFUNCTION("""COMPUTED_VALUE"""),34.16)</f>
        <v>34.16</v>
      </c>
      <c r="D2214" s="1">
        <f>IFERROR(__xludf.DUMMYFUNCTION("""COMPUTED_VALUE"""),33.57)</f>
        <v>33.57</v>
      </c>
      <c r="E2214" s="1">
        <f>IFERROR(__xludf.DUMMYFUNCTION("""COMPUTED_VALUE"""),33.91)</f>
        <v>33.91</v>
      </c>
      <c r="F2214" s="1">
        <f>IFERROR(__xludf.DUMMYFUNCTION("""COMPUTED_VALUE"""),370643.0)</f>
        <v>370643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IFERROR(__xludf.DUMMYFUNCTION("""COMPUTED_VALUE"""),33.84)</f>
        <v>33.84</v>
      </c>
      <c r="C2215" s="1">
        <f>IFERROR(__xludf.DUMMYFUNCTION("""COMPUTED_VALUE"""),33.85)</f>
        <v>33.85</v>
      </c>
      <c r="D2215" s="1">
        <f>IFERROR(__xludf.DUMMYFUNCTION("""COMPUTED_VALUE"""),33.27)</f>
        <v>33.27</v>
      </c>
      <c r="E2215" s="1">
        <f>IFERROR(__xludf.DUMMYFUNCTION("""COMPUTED_VALUE"""),33.41)</f>
        <v>33.41</v>
      </c>
      <c r="F2215" s="1">
        <f>IFERROR(__xludf.DUMMYFUNCTION("""COMPUTED_VALUE"""),329703.0)</f>
        <v>329703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IFERROR(__xludf.DUMMYFUNCTION("""COMPUTED_VALUE"""),33.4)</f>
        <v>33.4</v>
      </c>
      <c r="C2216" s="1">
        <f>IFERROR(__xludf.DUMMYFUNCTION("""COMPUTED_VALUE"""),33.4)</f>
        <v>33.4</v>
      </c>
      <c r="D2216" s="1">
        <f>IFERROR(__xludf.DUMMYFUNCTION("""COMPUTED_VALUE"""),32.63)</f>
        <v>32.63</v>
      </c>
      <c r="E2216" s="1">
        <f>IFERROR(__xludf.DUMMYFUNCTION("""COMPUTED_VALUE"""),33.06)</f>
        <v>33.06</v>
      </c>
      <c r="F2216" s="1">
        <f>IFERROR(__xludf.DUMMYFUNCTION("""COMPUTED_VALUE"""),234043.0)</f>
        <v>234043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IFERROR(__xludf.DUMMYFUNCTION("""COMPUTED_VALUE"""),33.1)</f>
        <v>33.1</v>
      </c>
      <c r="C2217" s="1">
        <f>IFERROR(__xludf.DUMMYFUNCTION("""COMPUTED_VALUE"""),33.26)</f>
        <v>33.26</v>
      </c>
      <c r="D2217" s="1">
        <f>IFERROR(__xludf.DUMMYFUNCTION("""COMPUTED_VALUE"""),32.84)</f>
        <v>32.84</v>
      </c>
      <c r="E2217" s="1">
        <f>IFERROR(__xludf.DUMMYFUNCTION("""COMPUTED_VALUE"""),33.0)</f>
        <v>33</v>
      </c>
      <c r="F2217" s="1">
        <f>IFERROR(__xludf.DUMMYFUNCTION("""COMPUTED_VALUE"""),449378.0)</f>
        <v>449378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IFERROR(__xludf.DUMMYFUNCTION("""COMPUTED_VALUE"""),32.99)</f>
        <v>32.99</v>
      </c>
      <c r="C2218" s="1">
        <f>IFERROR(__xludf.DUMMYFUNCTION("""COMPUTED_VALUE"""),33.23)</f>
        <v>33.23</v>
      </c>
      <c r="D2218" s="1">
        <f>IFERROR(__xludf.DUMMYFUNCTION("""COMPUTED_VALUE"""),32.68)</f>
        <v>32.68</v>
      </c>
      <c r="E2218" s="1">
        <f>IFERROR(__xludf.DUMMYFUNCTION("""COMPUTED_VALUE"""),32.88)</f>
        <v>32.88</v>
      </c>
      <c r="F2218" s="1">
        <f>IFERROR(__xludf.DUMMYFUNCTION("""COMPUTED_VALUE"""),261516.0)</f>
        <v>261516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IFERROR(__xludf.DUMMYFUNCTION("""COMPUTED_VALUE"""),32.6)</f>
        <v>32.6</v>
      </c>
      <c r="C2219" s="1">
        <f>IFERROR(__xludf.DUMMYFUNCTION("""COMPUTED_VALUE"""),32.88)</f>
        <v>32.88</v>
      </c>
      <c r="D2219" s="1">
        <f>IFERROR(__xludf.DUMMYFUNCTION("""COMPUTED_VALUE"""),32.0)</f>
        <v>32</v>
      </c>
      <c r="E2219" s="1">
        <f>IFERROR(__xludf.DUMMYFUNCTION("""COMPUTED_VALUE"""),32.7)</f>
        <v>32.7</v>
      </c>
      <c r="F2219" s="1">
        <f>IFERROR(__xludf.DUMMYFUNCTION("""COMPUTED_VALUE"""),273229.0)</f>
        <v>273229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IFERROR(__xludf.DUMMYFUNCTION("""COMPUTED_VALUE"""),32.6)</f>
        <v>32.6</v>
      </c>
      <c r="C2220" s="1">
        <f>IFERROR(__xludf.DUMMYFUNCTION("""COMPUTED_VALUE"""),33.02)</f>
        <v>33.02</v>
      </c>
      <c r="D2220" s="1">
        <f>IFERROR(__xludf.DUMMYFUNCTION("""COMPUTED_VALUE"""),32.04)</f>
        <v>32.04</v>
      </c>
      <c r="E2220" s="1">
        <f>IFERROR(__xludf.DUMMYFUNCTION("""COMPUTED_VALUE"""),32.07)</f>
        <v>32.07</v>
      </c>
      <c r="F2220" s="1">
        <f>IFERROR(__xludf.DUMMYFUNCTION("""COMPUTED_VALUE"""),364428.0)</f>
        <v>364428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IFERROR(__xludf.DUMMYFUNCTION("""COMPUTED_VALUE"""),32.19)</f>
        <v>32.19</v>
      </c>
      <c r="C2221" s="1">
        <f>IFERROR(__xludf.DUMMYFUNCTION("""COMPUTED_VALUE"""),32.63)</f>
        <v>32.63</v>
      </c>
      <c r="D2221" s="1">
        <f>IFERROR(__xludf.DUMMYFUNCTION("""COMPUTED_VALUE"""),32.11)</f>
        <v>32.11</v>
      </c>
      <c r="E2221" s="1">
        <f>IFERROR(__xludf.DUMMYFUNCTION("""COMPUTED_VALUE"""),32.35)</f>
        <v>32.35</v>
      </c>
      <c r="F2221" s="1">
        <f>IFERROR(__xludf.DUMMYFUNCTION("""COMPUTED_VALUE"""),294038.0)</f>
        <v>294038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IFERROR(__xludf.DUMMYFUNCTION("""COMPUTED_VALUE"""),32.13)</f>
        <v>32.13</v>
      </c>
      <c r="C2222" s="1">
        <f>IFERROR(__xludf.DUMMYFUNCTION("""COMPUTED_VALUE"""),32.22)</f>
        <v>32.22</v>
      </c>
      <c r="D2222" s="1">
        <f>IFERROR(__xludf.DUMMYFUNCTION("""COMPUTED_VALUE"""),31.51)</f>
        <v>31.51</v>
      </c>
      <c r="E2222" s="1">
        <f>IFERROR(__xludf.DUMMYFUNCTION("""COMPUTED_VALUE"""),31.73)</f>
        <v>31.73</v>
      </c>
      <c r="F2222" s="1">
        <f>IFERROR(__xludf.DUMMYFUNCTION("""COMPUTED_VALUE"""),408868.0)</f>
        <v>408868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IFERROR(__xludf.DUMMYFUNCTION("""COMPUTED_VALUE"""),32.14)</f>
        <v>32.14</v>
      </c>
      <c r="C2223" s="1">
        <f>IFERROR(__xludf.DUMMYFUNCTION("""COMPUTED_VALUE"""),32.58)</f>
        <v>32.58</v>
      </c>
      <c r="D2223" s="1">
        <f>IFERROR(__xludf.DUMMYFUNCTION("""COMPUTED_VALUE"""),31.75)</f>
        <v>31.75</v>
      </c>
      <c r="E2223" s="1">
        <f>IFERROR(__xludf.DUMMYFUNCTION("""COMPUTED_VALUE"""),32.09)</f>
        <v>32.09</v>
      </c>
      <c r="F2223" s="1">
        <f>IFERROR(__xludf.DUMMYFUNCTION("""COMPUTED_VALUE"""),249546.0)</f>
        <v>249546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IFERROR(__xludf.DUMMYFUNCTION("""COMPUTED_VALUE"""),32.1)</f>
        <v>32.1</v>
      </c>
      <c r="C2224" s="1">
        <f>IFERROR(__xludf.DUMMYFUNCTION("""COMPUTED_VALUE"""),33.09)</f>
        <v>33.09</v>
      </c>
      <c r="D2224" s="1">
        <f>IFERROR(__xludf.DUMMYFUNCTION("""COMPUTED_VALUE"""),32.1)</f>
        <v>32.1</v>
      </c>
      <c r="E2224" s="1">
        <f>IFERROR(__xludf.DUMMYFUNCTION("""COMPUTED_VALUE"""),33.03)</f>
        <v>33.03</v>
      </c>
      <c r="F2224" s="1">
        <f>IFERROR(__xludf.DUMMYFUNCTION("""COMPUTED_VALUE"""),268928.0)</f>
        <v>268928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IFERROR(__xludf.DUMMYFUNCTION("""COMPUTED_VALUE"""),33.28)</f>
        <v>33.28</v>
      </c>
      <c r="C2225" s="1">
        <f>IFERROR(__xludf.DUMMYFUNCTION("""COMPUTED_VALUE"""),33.79)</f>
        <v>33.79</v>
      </c>
      <c r="D2225" s="1">
        <f>IFERROR(__xludf.DUMMYFUNCTION("""COMPUTED_VALUE"""),33.08)</f>
        <v>33.08</v>
      </c>
      <c r="E2225" s="1">
        <f>IFERROR(__xludf.DUMMYFUNCTION("""COMPUTED_VALUE"""),33.61)</f>
        <v>33.61</v>
      </c>
      <c r="F2225" s="1">
        <f>IFERROR(__xludf.DUMMYFUNCTION("""COMPUTED_VALUE"""),290160.0)</f>
        <v>290160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IFERROR(__xludf.DUMMYFUNCTION("""COMPUTED_VALUE"""),33.69)</f>
        <v>33.69</v>
      </c>
      <c r="C2226" s="1">
        <f>IFERROR(__xludf.DUMMYFUNCTION("""COMPUTED_VALUE"""),34.08)</f>
        <v>34.08</v>
      </c>
      <c r="D2226" s="1">
        <f>IFERROR(__xludf.DUMMYFUNCTION("""COMPUTED_VALUE"""),33.46)</f>
        <v>33.46</v>
      </c>
      <c r="E2226" s="1">
        <f>IFERROR(__xludf.DUMMYFUNCTION("""COMPUTED_VALUE"""),33.95)</f>
        <v>33.95</v>
      </c>
      <c r="F2226" s="1">
        <f>IFERROR(__xludf.DUMMYFUNCTION("""COMPUTED_VALUE"""),286397.0)</f>
        <v>286397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IFERROR(__xludf.DUMMYFUNCTION("""COMPUTED_VALUE"""),34.02)</f>
        <v>34.02</v>
      </c>
      <c r="C2227" s="1">
        <f>IFERROR(__xludf.DUMMYFUNCTION("""COMPUTED_VALUE"""),34.28)</f>
        <v>34.28</v>
      </c>
      <c r="D2227" s="1">
        <f>IFERROR(__xludf.DUMMYFUNCTION("""COMPUTED_VALUE"""),33.49)</f>
        <v>33.49</v>
      </c>
      <c r="E2227" s="1">
        <f>IFERROR(__xludf.DUMMYFUNCTION("""COMPUTED_VALUE"""),33.52)</f>
        <v>33.52</v>
      </c>
      <c r="F2227" s="1">
        <f>IFERROR(__xludf.DUMMYFUNCTION("""COMPUTED_VALUE"""),332861.0)</f>
        <v>332861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IFERROR(__xludf.DUMMYFUNCTION("""COMPUTED_VALUE"""),33.61)</f>
        <v>33.61</v>
      </c>
      <c r="C2228" s="1">
        <f>IFERROR(__xludf.DUMMYFUNCTION("""COMPUTED_VALUE"""),33.74)</f>
        <v>33.74</v>
      </c>
      <c r="D2228" s="1">
        <f>IFERROR(__xludf.DUMMYFUNCTION("""COMPUTED_VALUE"""),33.41)</f>
        <v>33.41</v>
      </c>
      <c r="E2228" s="1">
        <f>IFERROR(__xludf.DUMMYFUNCTION("""COMPUTED_VALUE"""),33.45)</f>
        <v>33.45</v>
      </c>
      <c r="F2228" s="1">
        <f>IFERROR(__xludf.DUMMYFUNCTION("""COMPUTED_VALUE"""),348081.0)</f>
        <v>348081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IFERROR(__xludf.DUMMYFUNCTION("""COMPUTED_VALUE"""),33.25)</f>
        <v>33.25</v>
      </c>
      <c r="C2229" s="1">
        <f>IFERROR(__xludf.DUMMYFUNCTION("""COMPUTED_VALUE"""),33.52)</f>
        <v>33.52</v>
      </c>
      <c r="D2229" s="1">
        <f>IFERROR(__xludf.DUMMYFUNCTION("""COMPUTED_VALUE"""),32.59)</f>
        <v>32.59</v>
      </c>
      <c r="E2229" s="1">
        <f>IFERROR(__xludf.DUMMYFUNCTION("""COMPUTED_VALUE"""),32.84)</f>
        <v>32.84</v>
      </c>
      <c r="F2229" s="1">
        <f>IFERROR(__xludf.DUMMYFUNCTION("""COMPUTED_VALUE"""),389819.0)</f>
        <v>389819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IFERROR(__xludf.DUMMYFUNCTION("""COMPUTED_VALUE"""),32.86)</f>
        <v>32.86</v>
      </c>
      <c r="C2230" s="1">
        <f>IFERROR(__xludf.DUMMYFUNCTION("""COMPUTED_VALUE"""),33.4)</f>
        <v>33.4</v>
      </c>
      <c r="D2230" s="1">
        <f>IFERROR(__xludf.DUMMYFUNCTION("""COMPUTED_VALUE"""),32.38)</f>
        <v>32.38</v>
      </c>
      <c r="E2230" s="1">
        <f>IFERROR(__xludf.DUMMYFUNCTION("""COMPUTED_VALUE"""),33.33)</f>
        <v>33.33</v>
      </c>
      <c r="F2230" s="1">
        <f>IFERROR(__xludf.DUMMYFUNCTION("""COMPUTED_VALUE"""),559909.0)</f>
        <v>559909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IFERROR(__xludf.DUMMYFUNCTION("""COMPUTED_VALUE"""),33.21)</f>
        <v>33.21</v>
      </c>
      <c r="C2231" s="1">
        <f>IFERROR(__xludf.DUMMYFUNCTION("""COMPUTED_VALUE"""),33.69)</f>
        <v>33.69</v>
      </c>
      <c r="D2231" s="1">
        <f>IFERROR(__xludf.DUMMYFUNCTION("""COMPUTED_VALUE"""),32.81)</f>
        <v>32.81</v>
      </c>
      <c r="E2231" s="1">
        <f>IFERROR(__xludf.DUMMYFUNCTION("""COMPUTED_VALUE"""),33.45)</f>
        <v>33.45</v>
      </c>
      <c r="F2231" s="1">
        <f>IFERROR(__xludf.DUMMYFUNCTION("""COMPUTED_VALUE"""),515899.0)</f>
        <v>515899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IFERROR(__xludf.DUMMYFUNCTION("""COMPUTED_VALUE"""),33.06)</f>
        <v>33.06</v>
      </c>
      <c r="C2232" s="1">
        <f>IFERROR(__xludf.DUMMYFUNCTION("""COMPUTED_VALUE"""),36.27)</f>
        <v>36.27</v>
      </c>
      <c r="D2232" s="1">
        <f>IFERROR(__xludf.DUMMYFUNCTION("""COMPUTED_VALUE"""),32.78)</f>
        <v>32.78</v>
      </c>
      <c r="E2232" s="1">
        <f>IFERROR(__xludf.DUMMYFUNCTION("""COMPUTED_VALUE"""),35.34)</f>
        <v>35.34</v>
      </c>
      <c r="F2232" s="1">
        <f>IFERROR(__xludf.DUMMYFUNCTION("""COMPUTED_VALUE"""),1157431.0)</f>
        <v>1157431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IFERROR(__xludf.DUMMYFUNCTION("""COMPUTED_VALUE"""),35.21)</f>
        <v>35.21</v>
      </c>
      <c r="C2233" s="1">
        <f>IFERROR(__xludf.DUMMYFUNCTION("""COMPUTED_VALUE"""),35.56)</f>
        <v>35.56</v>
      </c>
      <c r="D2233" s="1">
        <f>IFERROR(__xludf.DUMMYFUNCTION("""COMPUTED_VALUE"""),34.82)</f>
        <v>34.82</v>
      </c>
      <c r="E2233" s="1">
        <f>IFERROR(__xludf.DUMMYFUNCTION("""COMPUTED_VALUE"""),34.94)</f>
        <v>34.94</v>
      </c>
      <c r="F2233" s="1">
        <f>IFERROR(__xludf.DUMMYFUNCTION("""COMPUTED_VALUE"""),571192.0)</f>
        <v>571192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IFERROR(__xludf.DUMMYFUNCTION("""COMPUTED_VALUE"""),35.13)</f>
        <v>35.13</v>
      </c>
      <c r="C2234" s="1">
        <f>IFERROR(__xludf.DUMMYFUNCTION("""COMPUTED_VALUE"""),35.36)</f>
        <v>35.36</v>
      </c>
      <c r="D2234" s="1">
        <f>IFERROR(__xludf.DUMMYFUNCTION("""COMPUTED_VALUE"""),34.78)</f>
        <v>34.78</v>
      </c>
      <c r="E2234" s="1">
        <f>IFERROR(__xludf.DUMMYFUNCTION("""COMPUTED_VALUE"""),35.13)</f>
        <v>35.13</v>
      </c>
      <c r="F2234" s="1">
        <f>IFERROR(__xludf.DUMMYFUNCTION("""COMPUTED_VALUE"""),408543.0)</f>
        <v>408543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IFERROR(__xludf.DUMMYFUNCTION("""COMPUTED_VALUE"""),35.44)</f>
        <v>35.44</v>
      </c>
      <c r="C2235" s="1">
        <f>IFERROR(__xludf.DUMMYFUNCTION("""COMPUTED_VALUE"""),35.51)</f>
        <v>35.51</v>
      </c>
      <c r="D2235" s="1">
        <f>IFERROR(__xludf.DUMMYFUNCTION("""COMPUTED_VALUE"""),34.33)</f>
        <v>34.33</v>
      </c>
      <c r="E2235" s="1">
        <f>IFERROR(__xludf.DUMMYFUNCTION("""COMPUTED_VALUE"""),34.4)</f>
        <v>34.4</v>
      </c>
      <c r="F2235" s="1">
        <f>IFERROR(__xludf.DUMMYFUNCTION("""COMPUTED_VALUE"""),457865.0)</f>
        <v>457865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IFERROR(__xludf.DUMMYFUNCTION("""COMPUTED_VALUE"""),34.04)</f>
        <v>34.04</v>
      </c>
      <c r="C2236" s="1">
        <f>IFERROR(__xludf.DUMMYFUNCTION("""COMPUTED_VALUE"""),34.42)</f>
        <v>34.42</v>
      </c>
      <c r="D2236" s="1">
        <f>IFERROR(__xludf.DUMMYFUNCTION("""COMPUTED_VALUE"""),33.52)</f>
        <v>33.52</v>
      </c>
      <c r="E2236" s="1">
        <f>IFERROR(__xludf.DUMMYFUNCTION("""COMPUTED_VALUE"""),34.34)</f>
        <v>34.34</v>
      </c>
      <c r="F2236" s="1">
        <f>IFERROR(__xludf.DUMMYFUNCTION("""COMPUTED_VALUE"""),381784.0)</f>
        <v>381784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IFERROR(__xludf.DUMMYFUNCTION("""COMPUTED_VALUE"""),34.21)</f>
        <v>34.21</v>
      </c>
      <c r="C2237" s="1">
        <f>IFERROR(__xludf.DUMMYFUNCTION("""COMPUTED_VALUE"""),34.95)</f>
        <v>34.95</v>
      </c>
      <c r="D2237" s="1">
        <f>IFERROR(__xludf.DUMMYFUNCTION("""COMPUTED_VALUE"""),34.12)</f>
        <v>34.12</v>
      </c>
      <c r="E2237" s="1">
        <f>IFERROR(__xludf.DUMMYFUNCTION("""COMPUTED_VALUE"""),34.73)</f>
        <v>34.73</v>
      </c>
      <c r="F2237" s="1">
        <f>IFERROR(__xludf.DUMMYFUNCTION("""COMPUTED_VALUE"""),244429.0)</f>
        <v>244429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IFERROR(__xludf.DUMMYFUNCTION("""COMPUTED_VALUE"""),34.54)</f>
        <v>34.54</v>
      </c>
      <c r="C2238" s="1">
        <f>IFERROR(__xludf.DUMMYFUNCTION("""COMPUTED_VALUE"""),34.88)</f>
        <v>34.88</v>
      </c>
      <c r="D2238" s="1">
        <f>IFERROR(__xludf.DUMMYFUNCTION("""COMPUTED_VALUE"""),34.33)</f>
        <v>34.33</v>
      </c>
      <c r="E2238" s="1">
        <f>IFERROR(__xludf.DUMMYFUNCTION("""COMPUTED_VALUE"""),34.57)</f>
        <v>34.57</v>
      </c>
      <c r="F2238" s="1">
        <f>IFERROR(__xludf.DUMMYFUNCTION("""COMPUTED_VALUE"""),362539.0)</f>
        <v>362539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IFERROR(__xludf.DUMMYFUNCTION("""COMPUTED_VALUE"""),34.18)</f>
        <v>34.18</v>
      </c>
      <c r="C2239" s="1">
        <f>IFERROR(__xludf.DUMMYFUNCTION("""COMPUTED_VALUE"""),35.1)</f>
        <v>35.1</v>
      </c>
      <c r="D2239" s="1">
        <f>IFERROR(__xludf.DUMMYFUNCTION("""COMPUTED_VALUE"""),33.98)</f>
        <v>33.98</v>
      </c>
      <c r="E2239" s="1">
        <f>IFERROR(__xludf.DUMMYFUNCTION("""COMPUTED_VALUE"""),34.26)</f>
        <v>34.26</v>
      </c>
      <c r="F2239" s="1">
        <f>IFERROR(__xludf.DUMMYFUNCTION("""COMPUTED_VALUE"""),696019.0)</f>
        <v>696019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IFERROR(__xludf.DUMMYFUNCTION("""COMPUTED_VALUE"""),34.35)</f>
        <v>34.35</v>
      </c>
      <c r="C2240" s="1">
        <f>IFERROR(__xludf.DUMMYFUNCTION("""COMPUTED_VALUE"""),35.12)</f>
        <v>35.12</v>
      </c>
      <c r="D2240" s="1">
        <f>IFERROR(__xludf.DUMMYFUNCTION("""COMPUTED_VALUE"""),34.24)</f>
        <v>34.24</v>
      </c>
      <c r="E2240" s="1">
        <f>IFERROR(__xludf.DUMMYFUNCTION("""COMPUTED_VALUE"""),34.34)</f>
        <v>34.34</v>
      </c>
      <c r="F2240" s="1">
        <f>IFERROR(__xludf.DUMMYFUNCTION("""COMPUTED_VALUE"""),255931.0)</f>
        <v>255931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IFERROR(__xludf.DUMMYFUNCTION("""COMPUTED_VALUE"""),34.14)</f>
        <v>34.14</v>
      </c>
      <c r="C2241" s="1">
        <f>IFERROR(__xludf.DUMMYFUNCTION("""COMPUTED_VALUE"""),34.27)</f>
        <v>34.27</v>
      </c>
      <c r="D2241" s="1">
        <f>IFERROR(__xludf.DUMMYFUNCTION("""COMPUTED_VALUE"""),34.0)</f>
        <v>34</v>
      </c>
      <c r="E2241" s="1">
        <f>IFERROR(__xludf.DUMMYFUNCTION("""COMPUTED_VALUE"""),34.09)</f>
        <v>34.09</v>
      </c>
      <c r="F2241" s="1">
        <f>IFERROR(__xludf.DUMMYFUNCTION("""COMPUTED_VALUE"""),81912.0)</f>
        <v>81912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IFERROR(__xludf.DUMMYFUNCTION("""COMPUTED_VALUE"""),34.25)</f>
        <v>34.25</v>
      </c>
      <c r="C2242" s="1">
        <f>IFERROR(__xludf.DUMMYFUNCTION("""COMPUTED_VALUE"""),34.85)</f>
        <v>34.85</v>
      </c>
      <c r="D2242" s="1">
        <f>IFERROR(__xludf.DUMMYFUNCTION("""COMPUTED_VALUE"""),34.25)</f>
        <v>34.25</v>
      </c>
      <c r="E2242" s="1">
        <f>IFERROR(__xludf.DUMMYFUNCTION("""COMPUTED_VALUE"""),34.7)</f>
        <v>34.7</v>
      </c>
      <c r="F2242" s="1">
        <f>IFERROR(__xludf.DUMMYFUNCTION("""COMPUTED_VALUE"""),421086.0)</f>
        <v>421086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IFERROR(__xludf.DUMMYFUNCTION("""COMPUTED_VALUE"""),34.44)</f>
        <v>34.44</v>
      </c>
      <c r="C2243" s="1">
        <f>IFERROR(__xludf.DUMMYFUNCTION("""COMPUTED_VALUE"""),34.71)</f>
        <v>34.71</v>
      </c>
      <c r="D2243" s="1">
        <f>IFERROR(__xludf.DUMMYFUNCTION("""COMPUTED_VALUE"""),34.06)</f>
        <v>34.06</v>
      </c>
      <c r="E2243" s="1">
        <f>IFERROR(__xludf.DUMMYFUNCTION("""COMPUTED_VALUE"""),34.11)</f>
        <v>34.11</v>
      </c>
      <c r="F2243" s="1">
        <f>IFERROR(__xludf.DUMMYFUNCTION("""COMPUTED_VALUE"""),246851.0)</f>
        <v>246851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IFERROR(__xludf.DUMMYFUNCTION("""COMPUTED_VALUE"""),34.14)</f>
        <v>34.14</v>
      </c>
      <c r="C2244" s="1">
        <f>IFERROR(__xludf.DUMMYFUNCTION("""COMPUTED_VALUE"""),35.06)</f>
        <v>35.06</v>
      </c>
      <c r="D2244" s="1">
        <f>IFERROR(__xludf.DUMMYFUNCTION("""COMPUTED_VALUE"""),34.05)</f>
        <v>34.05</v>
      </c>
      <c r="E2244" s="1">
        <f>IFERROR(__xludf.DUMMYFUNCTION("""COMPUTED_VALUE"""),34.95)</f>
        <v>34.95</v>
      </c>
      <c r="F2244" s="1">
        <f>IFERROR(__xludf.DUMMYFUNCTION("""COMPUTED_VALUE"""),339747.0)</f>
        <v>339747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IFERROR(__xludf.DUMMYFUNCTION("""COMPUTED_VALUE"""),34.94)</f>
        <v>34.94</v>
      </c>
      <c r="C2245" s="1">
        <f>IFERROR(__xludf.DUMMYFUNCTION("""COMPUTED_VALUE"""),35.32)</f>
        <v>35.32</v>
      </c>
      <c r="D2245" s="1">
        <f>IFERROR(__xludf.DUMMYFUNCTION("""COMPUTED_VALUE"""),34.89)</f>
        <v>34.89</v>
      </c>
      <c r="E2245" s="1">
        <f>IFERROR(__xludf.DUMMYFUNCTION("""COMPUTED_VALUE"""),35.19)</f>
        <v>35.19</v>
      </c>
      <c r="F2245" s="1">
        <f>IFERROR(__xludf.DUMMYFUNCTION("""COMPUTED_VALUE"""),246222.0)</f>
        <v>246222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IFERROR(__xludf.DUMMYFUNCTION("""COMPUTED_VALUE"""),35.24)</f>
        <v>35.24</v>
      </c>
      <c r="C2246" s="1">
        <f>IFERROR(__xludf.DUMMYFUNCTION("""COMPUTED_VALUE"""),35.28)</f>
        <v>35.28</v>
      </c>
      <c r="D2246" s="1">
        <f>IFERROR(__xludf.DUMMYFUNCTION("""COMPUTED_VALUE"""),34.32)</f>
        <v>34.32</v>
      </c>
      <c r="E2246" s="1">
        <f>IFERROR(__xludf.DUMMYFUNCTION("""COMPUTED_VALUE"""),34.78)</f>
        <v>34.78</v>
      </c>
      <c r="F2246" s="1">
        <f>IFERROR(__xludf.DUMMYFUNCTION("""COMPUTED_VALUE"""),237467.0)</f>
        <v>237467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IFERROR(__xludf.DUMMYFUNCTION("""COMPUTED_VALUE"""),35.22)</f>
        <v>35.22</v>
      </c>
      <c r="C2247" s="1">
        <f>IFERROR(__xludf.DUMMYFUNCTION("""COMPUTED_VALUE"""),35.32)</f>
        <v>35.32</v>
      </c>
      <c r="D2247" s="1">
        <f>IFERROR(__xludf.DUMMYFUNCTION("""COMPUTED_VALUE"""),34.36)</f>
        <v>34.36</v>
      </c>
      <c r="E2247" s="1">
        <f>IFERROR(__xludf.DUMMYFUNCTION("""COMPUTED_VALUE"""),34.39)</f>
        <v>34.39</v>
      </c>
      <c r="F2247" s="1">
        <f>IFERROR(__xludf.DUMMYFUNCTION("""COMPUTED_VALUE"""),277420.0)</f>
        <v>277420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IFERROR(__xludf.DUMMYFUNCTION("""COMPUTED_VALUE"""),34.45)</f>
        <v>34.45</v>
      </c>
      <c r="C2248" s="1">
        <f>IFERROR(__xludf.DUMMYFUNCTION("""COMPUTED_VALUE"""),34.62)</f>
        <v>34.62</v>
      </c>
      <c r="D2248" s="1">
        <f>IFERROR(__xludf.DUMMYFUNCTION("""COMPUTED_VALUE"""),33.36)</f>
        <v>33.36</v>
      </c>
      <c r="E2248" s="1">
        <f>IFERROR(__xludf.DUMMYFUNCTION("""COMPUTED_VALUE"""),33.38)</f>
        <v>33.38</v>
      </c>
      <c r="F2248" s="1">
        <f>IFERROR(__xludf.DUMMYFUNCTION("""COMPUTED_VALUE"""),401852.0)</f>
        <v>401852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IFERROR(__xludf.DUMMYFUNCTION("""COMPUTED_VALUE"""),32.91)</f>
        <v>32.91</v>
      </c>
      <c r="C2249" s="1">
        <f>IFERROR(__xludf.DUMMYFUNCTION("""COMPUTED_VALUE"""),33.34)</f>
        <v>33.34</v>
      </c>
      <c r="D2249" s="1">
        <f>IFERROR(__xludf.DUMMYFUNCTION("""COMPUTED_VALUE"""),32.58)</f>
        <v>32.58</v>
      </c>
      <c r="E2249" s="1">
        <f>IFERROR(__xludf.DUMMYFUNCTION("""COMPUTED_VALUE"""),33.28)</f>
        <v>33.28</v>
      </c>
      <c r="F2249" s="1">
        <f>IFERROR(__xludf.DUMMYFUNCTION("""COMPUTED_VALUE"""),474326.0)</f>
        <v>474326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IFERROR(__xludf.DUMMYFUNCTION("""COMPUTED_VALUE"""),33.25)</f>
        <v>33.25</v>
      </c>
      <c r="C2250" s="1">
        <f>IFERROR(__xludf.DUMMYFUNCTION("""COMPUTED_VALUE"""),34.05)</f>
        <v>34.05</v>
      </c>
      <c r="D2250" s="1">
        <f>IFERROR(__xludf.DUMMYFUNCTION("""COMPUTED_VALUE"""),33.17)</f>
        <v>33.17</v>
      </c>
      <c r="E2250" s="1">
        <f>IFERROR(__xludf.DUMMYFUNCTION("""COMPUTED_VALUE"""),33.28)</f>
        <v>33.28</v>
      </c>
      <c r="F2250" s="1">
        <f>IFERROR(__xludf.DUMMYFUNCTION("""COMPUTED_VALUE"""),435589.0)</f>
        <v>435589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IFERROR(__xludf.DUMMYFUNCTION("""COMPUTED_VALUE"""),33.36)</f>
        <v>33.36</v>
      </c>
      <c r="C2251" s="1">
        <f>IFERROR(__xludf.DUMMYFUNCTION("""COMPUTED_VALUE"""),33.73)</f>
        <v>33.73</v>
      </c>
      <c r="D2251" s="1">
        <f>IFERROR(__xludf.DUMMYFUNCTION("""COMPUTED_VALUE"""),33.12)</f>
        <v>33.12</v>
      </c>
      <c r="E2251" s="1">
        <f>IFERROR(__xludf.DUMMYFUNCTION("""COMPUTED_VALUE"""),33.21)</f>
        <v>33.21</v>
      </c>
      <c r="F2251" s="1">
        <f>IFERROR(__xludf.DUMMYFUNCTION("""COMPUTED_VALUE"""),389605.0)</f>
        <v>389605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IFERROR(__xludf.DUMMYFUNCTION("""COMPUTED_VALUE"""),33.47)</f>
        <v>33.47</v>
      </c>
      <c r="C2252" s="1">
        <f>IFERROR(__xludf.DUMMYFUNCTION("""COMPUTED_VALUE"""),33.68)</f>
        <v>33.68</v>
      </c>
      <c r="D2252" s="1">
        <f>IFERROR(__xludf.DUMMYFUNCTION("""COMPUTED_VALUE"""),32.64)</f>
        <v>32.64</v>
      </c>
      <c r="E2252" s="1">
        <f>IFERROR(__xludf.DUMMYFUNCTION("""COMPUTED_VALUE"""),32.87)</f>
        <v>32.87</v>
      </c>
      <c r="F2252" s="1">
        <f>IFERROR(__xludf.DUMMYFUNCTION("""COMPUTED_VALUE"""),313542.0)</f>
        <v>313542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IFERROR(__xludf.DUMMYFUNCTION("""COMPUTED_VALUE"""),33.0)</f>
        <v>33</v>
      </c>
      <c r="C2253" s="1">
        <f>IFERROR(__xludf.DUMMYFUNCTION("""COMPUTED_VALUE"""),33.46)</f>
        <v>33.46</v>
      </c>
      <c r="D2253" s="1">
        <f>IFERROR(__xludf.DUMMYFUNCTION("""COMPUTED_VALUE"""),32.64)</f>
        <v>32.64</v>
      </c>
      <c r="E2253" s="1">
        <f>IFERROR(__xludf.DUMMYFUNCTION("""COMPUTED_VALUE"""),32.68)</f>
        <v>32.68</v>
      </c>
      <c r="F2253" s="1">
        <f>IFERROR(__xludf.DUMMYFUNCTION("""COMPUTED_VALUE"""),422559.0)</f>
        <v>422559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IFERROR(__xludf.DUMMYFUNCTION("""COMPUTED_VALUE"""),32.77)</f>
        <v>32.77</v>
      </c>
      <c r="C2254" s="1">
        <f>IFERROR(__xludf.DUMMYFUNCTION("""COMPUTED_VALUE"""),33.09)</f>
        <v>33.09</v>
      </c>
      <c r="D2254" s="1">
        <f>IFERROR(__xludf.DUMMYFUNCTION("""COMPUTED_VALUE"""),32.33)</f>
        <v>32.33</v>
      </c>
      <c r="E2254" s="1">
        <f>IFERROR(__xludf.DUMMYFUNCTION("""COMPUTED_VALUE"""),32.38)</f>
        <v>32.38</v>
      </c>
      <c r="F2254" s="1">
        <f>IFERROR(__xludf.DUMMYFUNCTION("""COMPUTED_VALUE"""),307300.0)</f>
        <v>307300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IFERROR(__xludf.DUMMYFUNCTION("""COMPUTED_VALUE"""),32.1)</f>
        <v>32.1</v>
      </c>
      <c r="C2255" s="1">
        <f>IFERROR(__xludf.DUMMYFUNCTION("""COMPUTED_VALUE"""),32.66)</f>
        <v>32.66</v>
      </c>
      <c r="D2255" s="1">
        <f>IFERROR(__xludf.DUMMYFUNCTION("""COMPUTED_VALUE"""),31.84)</f>
        <v>31.84</v>
      </c>
      <c r="E2255" s="1">
        <f>IFERROR(__xludf.DUMMYFUNCTION("""COMPUTED_VALUE"""),32.13)</f>
        <v>32.13</v>
      </c>
      <c r="F2255" s="1">
        <f>IFERROR(__xludf.DUMMYFUNCTION("""COMPUTED_VALUE"""),257641.0)</f>
        <v>257641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IFERROR(__xludf.DUMMYFUNCTION("""COMPUTED_VALUE"""),32.03)</f>
        <v>32.03</v>
      </c>
      <c r="C2256" s="1">
        <f>IFERROR(__xludf.DUMMYFUNCTION("""COMPUTED_VALUE"""),32.12)</f>
        <v>32.12</v>
      </c>
      <c r="D2256" s="1">
        <f>IFERROR(__xludf.DUMMYFUNCTION("""COMPUTED_VALUE"""),31.53)</f>
        <v>31.53</v>
      </c>
      <c r="E2256" s="1">
        <f>IFERROR(__xludf.DUMMYFUNCTION("""COMPUTED_VALUE"""),31.83)</f>
        <v>31.83</v>
      </c>
      <c r="F2256" s="1">
        <f>IFERROR(__xludf.DUMMYFUNCTION("""COMPUTED_VALUE"""),300457.0)</f>
        <v>300457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IFERROR(__xludf.DUMMYFUNCTION("""COMPUTED_VALUE"""),32.03)</f>
        <v>32.03</v>
      </c>
      <c r="C2257" s="1">
        <f>IFERROR(__xludf.DUMMYFUNCTION("""COMPUTED_VALUE"""),32.36)</f>
        <v>32.36</v>
      </c>
      <c r="D2257" s="1">
        <f>IFERROR(__xludf.DUMMYFUNCTION("""COMPUTED_VALUE"""),31.78)</f>
        <v>31.78</v>
      </c>
      <c r="E2257" s="1">
        <f>IFERROR(__xludf.DUMMYFUNCTION("""COMPUTED_VALUE"""),32.01)</f>
        <v>32.01</v>
      </c>
      <c r="F2257" s="1">
        <f>IFERROR(__xludf.DUMMYFUNCTION("""COMPUTED_VALUE"""),468636.0)</f>
        <v>468636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IFERROR(__xludf.DUMMYFUNCTION("""COMPUTED_VALUE"""),32.04)</f>
        <v>32.04</v>
      </c>
      <c r="C2258" s="1">
        <f>IFERROR(__xludf.DUMMYFUNCTION("""COMPUTED_VALUE"""),32.88)</f>
        <v>32.88</v>
      </c>
      <c r="D2258" s="1">
        <f>IFERROR(__xludf.DUMMYFUNCTION("""COMPUTED_VALUE"""),31.97)</f>
        <v>31.97</v>
      </c>
      <c r="E2258" s="1">
        <f>IFERROR(__xludf.DUMMYFUNCTION("""COMPUTED_VALUE"""),32.19)</f>
        <v>32.19</v>
      </c>
      <c r="F2258" s="1">
        <f>IFERROR(__xludf.DUMMYFUNCTION("""COMPUTED_VALUE"""),353128.0)</f>
        <v>353128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IFERROR(__xludf.DUMMYFUNCTION("""COMPUTED_VALUE"""),31.93)</f>
        <v>31.93</v>
      </c>
      <c r="C2259" s="1">
        <f>IFERROR(__xludf.DUMMYFUNCTION("""COMPUTED_VALUE"""),32.27)</f>
        <v>32.27</v>
      </c>
      <c r="D2259" s="1">
        <f>IFERROR(__xludf.DUMMYFUNCTION("""COMPUTED_VALUE"""),31.72)</f>
        <v>31.72</v>
      </c>
      <c r="E2259" s="1">
        <f>IFERROR(__xludf.DUMMYFUNCTION("""COMPUTED_VALUE"""),32.05)</f>
        <v>32.05</v>
      </c>
      <c r="F2259" s="1">
        <f>IFERROR(__xludf.DUMMYFUNCTION("""COMPUTED_VALUE"""),486429.0)</f>
        <v>486429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IFERROR(__xludf.DUMMYFUNCTION("""COMPUTED_VALUE"""),32.09)</f>
        <v>32.09</v>
      </c>
      <c r="C2260" s="1">
        <f>IFERROR(__xludf.DUMMYFUNCTION("""COMPUTED_VALUE"""),32.26)</f>
        <v>32.26</v>
      </c>
      <c r="D2260" s="1">
        <f>IFERROR(__xludf.DUMMYFUNCTION("""COMPUTED_VALUE"""),31.35)</f>
        <v>31.35</v>
      </c>
      <c r="E2260" s="1">
        <f>IFERROR(__xludf.DUMMYFUNCTION("""COMPUTED_VALUE"""),31.39)</f>
        <v>31.39</v>
      </c>
      <c r="F2260" s="1">
        <f>IFERROR(__xludf.DUMMYFUNCTION("""COMPUTED_VALUE"""),488252.0)</f>
        <v>488252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IFERROR(__xludf.DUMMYFUNCTION("""COMPUTED_VALUE"""),31.26)</f>
        <v>31.26</v>
      </c>
      <c r="C2261" s="1">
        <f>IFERROR(__xludf.DUMMYFUNCTION("""COMPUTED_VALUE"""),31.33)</f>
        <v>31.33</v>
      </c>
      <c r="D2261" s="1">
        <f>IFERROR(__xludf.DUMMYFUNCTION("""COMPUTED_VALUE"""),30.82)</f>
        <v>30.82</v>
      </c>
      <c r="E2261" s="1">
        <f>IFERROR(__xludf.DUMMYFUNCTION("""COMPUTED_VALUE"""),31.18)</f>
        <v>31.18</v>
      </c>
      <c r="F2261" s="1">
        <f>IFERROR(__xludf.DUMMYFUNCTION("""COMPUTED_VALUE"""),125244.0)</f>
        <v>125244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IFERROR(__xludf.DUMMYFUNCTION("""COMPUTED_VALUE"""),31.25)</f>
        <v>31.25</v>
      </c>
      <c r="C2262" s="1">
        <f>IFERROR(__xludf.DUMMYFUNCTION("""COMPUTED_VALUE"""),32.47)</f>
        <v>32.47</v>
      </c>
      <c r="D2262" s="1">
        <f>IFERROR(__xludf.DUMMYFUNCTION("""COMPUTED_VALUE"""),30.76)</f>
        <v>30.76</v>
      </c>
      <c r="E2262" s="1">
        <f>IFERROR(__xludf.DUMMYFUNCTION("""COMPUTED_VALUE"""),32.44)</f>
        <v>32.44</v>
      </c>
      <c r="F2262" s="1">
        <f>IFERROR(__xludf.DUMMYFUNCTION("""COMPUTED_VALUE"""),210131.0)</f>
        <v>210131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IFERROR(__xludf.DUMMYFUNCTION("""COMPUTED_VALUE"""),31.87)</f>
        <v>31.87</v>
      </c>
      <c r="C2263" s="1">
        <f>IFERROR(__xludf.DUMMYFUNCTION("""COMPUTED_VALUE"""),32.37)</f>
        <v>32.37</v>
      </c>
      <c r="D2263" s="1">
        <f>IFERROR(__xludf.DUMMYFUNCTION("""COMPUTED_VALUE"""),31.58)</f>
        <v>31.58</v>
      </c>
      <c r="E2263" s="1">
        <f>IFERROR(__xludf.DUMMYFUNCTION("""COMPUTED_VALUE"""),32.37)</f>
        <v>32.37</v>
      </c>
      <c r="F2263" s="1">
        <f>IFERROR(__xludf.DUMMYFUNCTION("""COMPUTED_VALUE"""),214229.0)</f>
        <v>214229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IFERROR(__xludf.DUMMYFUNCTION("""COMPUTED_VALUE"""),32.59)</f>
        <v>32.59</v>
      </c>
      <c r="C2264" s="1">
        <f>IFERROR(__xludf.DUMMYFUNCTION("""COMPUTED_VALUE"""),32.92)</f>
        <v>32.92</v>
      </c>
      <c r="D2264" s="1">
        <f>IFERROR(__xludf.DUMMYFUNCTION("""COMPUTED_VALUE"""),32.1)</f>
        <v>32.1</v>
      </c>
      <c r="E2264" s="1">
        <f>IFERROR(__xludf.DUMMYFUNCTION("""COMPUTED_VALUE"""),32.5)</f>
        <v>32.5</v>
      </c>
      <c r="F2264" s="1">
        <f>IFERROR(__xludf.DUMMYFUNCTION("""COMPUTED_VALUE"""),324915.0)</f>
        <v>324915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IFERROR(__xludf.DUMMYFUNCTION("""COMPUTED_VALUE"""),32.49)</f>
        <v>32.49</v>
      </c>
      <c r="C2265" s="1">
        <f>IFERROR(__xludf.DUMMYFUNCTION("""COMPUTED_VALUE"""),33.1)</f>
        <v>33.1</v>
      </c>
      <c r="D2265" s="1">
        <f>IFERROR(__xludf.DUMMYFUNCTION("""COMPUTED_VALUE"""),32.45)</f>
        <v>32.45</v>
      </c>
      <c r="E2265" s="1">
        <f>IFERROR(__xludf.DUMMYFUNCTION("""COMPUTED_VALUE"""),32.72)</f>
        <v>32.72</v>
      </c>
      <c r="F2265" s="1">
        <f>IFERROR(__xludf.DUMMYFUNCTION("""COMPUTED_VALUE"""),475182.0)</f>
        <v>475182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IFERROR(__xludf.DUMMYFUNCTION("""COMPUTED_VALUE"""),32.33)</f>
        <v>32.33</v>
      </c>
      <c r="C2266" s="1">
        <f>IFERROR(__xludf.DUMMYFUNCTION("""COMPUTED_VALUE"""),33.0)</f>
        <v>33</v>
      </c>
      <c r="D2266" s="1">
        <f>IFERROR(__xludf.DUMMYFUNCTION("""COMPUTED_VALUE"""),31.95)</f>
        <v>31.95</v>
      </c>
      <c r="E2266" s="1">
        <f>IFERROR(__xludf.DUMMYFUNCTION("""COMPUTED_VALUE"""),32.95)</f>
        <v>32.95</v>
      </c>
      <c r="F2266" s="1">
        <f>IFERROR(__xludf.DUMMYFUNCTION("""COMPUTED_VALUE"""),260176.0)</f>
        <v>260176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IFERROR(__xludf.DUMMYFUNCTION("""COMPUTED_VALUE"""),32.8)</f>
        <v>32.8</v>
      </c>
      <c r="C2267" s="1">
        <f>IFERROR(__xludf.DUMMYFUNCTION("""COMPUTED_VALUE"""),33.83)</f>
        <v>33.83</v>
      </c>
      <c r="D2267" s="1">
        <f>IFERROR(__xludf.DUMMYFUNCTION("""COMPUTED_VALUE"""),32.75)</f>
        <v>32.75</v>
      </c>
      <c r="E2267" s="1">
        <f>IFERROR(__xludf.DUMMYFUNCTION("""COMPUTED_VALUE"""),33.5)</f>
        <v>33.5</v>
      </c>
      <c r="F2267" s="1">
        <f>IFERROR(__xludf.DUMMYFUNCTION("""COMPUTED_VALUE"""),1083184.0)</f>
        <v>1083184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IFERROR(__xludf.DUMMYFUNCTION("""COMPUTED_VALUE"""),33.94)</f>
        <v>33.94</v>
      </c>
      <c r="C2268" s="1">
        <f>IFERROR(__xludf.DUMMYFUNCTION("""COMPUTED_VALUE"""),34.37)</f>
        <v>34.37</v>
      </c>
      <c r="D2268" s="1">
        <f>IFERROR(__xludf.DUMMYFUNCTION("""COMPUTED_VALUE"""),33.56)</f>
        <v>33.56</v>
      </c>
      <c r="E2268" s="1">
        <f>IFERROR(__xludf.DUMMYFUNCTION("""COMPUTED_VALUE"""),34.13)</f>
        <v>34.13</v>
      </c>
      <c r="F2268" s="1">
        <f>IFERROR(__xludf.DUMMYFUNCTION("""COMPUTED_VALUE"""),610294.0)</f>
        <v>610294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IFERROR(__xludf.DUMMYFUNCTION("""COMPUTED_VALUE"""),34.23)</f>
        <v>34.23</v>
      </c>
      <c r="C2269" s="1">
        <f>IFERROR(__xludf.DUMMYFUNCTION("""COMPUTED_VALUE"""),35.0)</f>
        <v>35</v>
      </c>
      <c r="D2269" s="1">
        <f>IFERROR(__xludf.DUMMYFUNCTION("""COMPUTED_VALUE"""),34.09)</f>
        <v>34.09</v>
      </c>
      <c r="E2269" s="1">
        <f>IFERROR(__xludf.DUMMYFUNCTION("""COMPUTED_VALUE"""),34.66)</f>
        <v>34.66</v>
      </c>
      <c r="F2269" s="1">
        <f>IFERROR(__xludf.DUMMYFUNCTION("""COMPUTED_VALUE"""),1045615.0)</f>
        <v>1045615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IFERROR(__xludf.DUMMYFUNCTION("""COMPUTED_VALUE"""),34.7)</f>
        <v>34.7</v>
      </c>
      <c r="C2270" s="1">
        <f>IFERROR(__xludf.DUMMYFUNCTION("""COMPUTED_VALUE"""),35.22)</f>
        <v>35.22</v>
      </c>
      <c r="D2270" s="1">
        <f>IFERROR(__xludf.DUMMYFUNCTION("""COMPUTED_VALUE"""),34.52)</f>
        <v>34.52</v>
      </c>
      <c r="E2270" s="1">
        <f>IFERROR(__xludf.DUMMYFUNCTION("""COMPUTED_VALUE"""),34.65)</f>
        <v>34.65</v>
      </c>
      <c r="F2270" s="1">
        <f>IFERROR(__xludf.DUMMYFUNCTION("""COMPUTED_VALUE"""),725967.0)</f>
        <v>725967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IFERROR(__xludf.DUMMYFUNCTION("""COMPUTED_VALUE"""),34.48)</f>
        <v>34.48</v>
      </c>
      <c r="C2271" s="1">
        <f>IFERROR(__xludf.DUMMYFUNCTION("""COMPUTED_VALUE"""),34.97)</f>
        <v>34.97</v>
      </c>
      <c r="D2271" s="1">
        <f>IFERROR(__xludf.DUMMYFUNCTION("""COMPUTED_VALUE"""),34.48)</f>
        <v>34.48</v>
      </c>
      <c r="E2271" s="1">
        <f>IFERROR(__xludf.DUMMYFUNCTION("""COMPUTED_VALUE"""),34.65)</f>
        <v>34.65</v>
      </c>
      <c r="F2271" s="1">
        <f>IFERROR(__xludf.DUMMYFUNCTION("""COMPUTED_VALUE"""),600567.0)</f>
        <v>600567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IFERROR(__xludf.DUMMYFUNCTION("""COMPUTED_VALUE"""),34.68)</f>
        <v>34.68</v>
      </c>
      <c r="C2272" s="1">
        <f>IFERROR(__xludf.DUMMYFUNCTION("""COMPUTED_VALUE"""),35.21)</f>
        <v>35.21</v>
      </c>
      <c r="D2272" s="1">
        <f>IFERROR(__xludf.DUMMYFUNCTION("""COMPUTED_VALUE"""),34.3)</f>
        <v>34.3</v>
      </c>
      <c r="E2272" s="1">
        <f>IFERROR(__xludf.DUMMYFUNCTION("""COMPUTED_VALUE"""),34.88)</f>
        <v>34.88</v>
      </c>
      <c r="F2272" s="1">
        <f>IFERROR(__xludf.DUMMYFUNCTION("""COMPUTED_VALUE"""),766913.0)</f>
        <v>766913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IFERROR(__xludf.DUMMYFUNCTION("""COMPUTED_VALUE"""),34.78)</f>
        <v>34.78</v>
      </c>
      <c r="C2273" s="1">
        <f>IFERROR(__xludf.DUMMYFUNCTION("""COMPUTED_VALUE"""),35.42)</f>
        <v>35.42</v>
      </c>
      <c r="D2273" s="1">
        <f>IFERROR(__xludf.DUMMYFUNCTION("""COMPUTED_VALUE"""),34.78)</f>
        <v>34.78</v>
      </c>
      <c r="E2273" s="1">
        <f>IFERROR(__xludf.DUMMYFUNCTION("""COMPUTED_VALUE"""),34.8)</f>
        <v>34.8</v>
      </c>
      <c r="F2273" s="1">
        <f>IFERROR(__xludf.DUMMYFUNCTION("""COMPUTED_VALUE"""),637227.0)</f>
        <v>637227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IFERROR(__xludf.DUMMYFUNCTION("""COMPUTED_VALUE"""),34.71)</f>
        <v>34.71</v>
      </c>
      <c r="C2274" s="1">
        <f>IFERROR(__xludf.DUMMYFUNCTION("""COMPUTED_VALUE"""),35.02)</f>
        <v>35.02</v>
      </c>
      <c r="D2274" s="1">
        <f>IFERROR(__xludf.DUMMYFUNCTION("""COMPUTED_VALUE"""),34.59)</f>
        <v>34.59</v>
      </c>
      <c r="E2274" s="1">
        <f>IFERROR(__xludf.DUMMYFUNCTION("""COMPUTED_VALUE"""),34.85)</f>
        <v>34.85</v>
      </c>
      <c r="F2274" s="1">
        <f>IFERROR(__xludf.DUMMYFUNCTION("""COMPUTED_VALUE"""),537103.0)</f>
        <v>537103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IFERROR(__xludf.DUMMYFUNCTION("""COMPUTED_VALUE"""),34.73)</f>
        <v>34.73</v>
      </c>
      <c r="C2275" s="1">
        <f>IFERROR(__xludf.DUMMYFUNCTION("""COMPUTED_VALUE"""),35.29)</f>
        <v>35.29</v>
      </c>
      <c r="D2275" s="1">
        <f>IFERROR(__xludf.DUMMYFUNCTION("""COMPUTED_VALUE"""),34.73)</f>
        <v>34.73</v>
      </c>
      <c r="E2275" s="1">
        <f>IFERROR(__xludf.DUMMYFUNCTION("""COMPUTED_VALUE"""),34.99)</f>
        <v>34.99</v>
      </c>
      <c r="F2275" s="1">
        <f>IFERROR(__xludf.DUMMYFUNCTION("""COMPUTED_VALUE"""),400221.0)</f>
        <v>400221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IFERROR(__xludf.DUMMYFUNCTION("""COMPUTED_VALUE"""),35.01)</f>
        <v>35.01</v>
      </c>
      <c r="C2276" s="1">
        <f>IFERROR(__xludf.DUMMYFUNCTION("""COMPUTED_VALUE"""),35.4)</f>
        <v>35.4</v>
      </c>
      <c r="D2276" s="1">
        <f>IFERROR(__xludf.DUMMYFUNCTION("""COMPUTED_VALUE"""),34.9)</f>
        <v>34.9</v>
      </c>
      <c r="E2276" s="1">
        <f>IFERROR(__xludf.DUMMYFUNCTION("""COMPUTED_VALUE"""),35.12)</f>
        <v>35.12</v>
      </c>
      <c r="F2276" s="1">
        <f>IFERROR(__xludf.DUMMYFUNCTION("""COMPUTED_VALUE"""),840564.0)</f>
        <v>840564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IFERROR(__xludf.DUMMYFUNCTION("""COMPUTED_VALUE"""),35.12)</f>
        <v>35.12</v>
      </c>
      <c r="C2277" s="1">
        <f>IFERROR(__xludf.DUMMYFUNCTION("""COMPUTED_VALUE"""),36.0)</f>
        <v>36</v>
      </c>
      <c r="D2277" s="1">
        <f>IFERROR(__xludf.DUMMYFUNCTION("""COMPUTED_VALUE"""),35.12)</f>
        <v>35.12</v>
      </c>
      <c r="E2277" s="1">
        <f>IFERROR(__xludf.DUMMYFUNCTION("""COMPUTED_VALUE"""),35.64)</f>
        <v>35.64</v>
      </c>
      <c r="F2277" s="1">
        <f>IFERROR(__xludf.DUMMYFUNCTION("""COMPUTED_VALUE"""),811803.0)</f>
        <v>811803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IFERROR(__xludf.DUMMYFUNCTION("""COMPUTED_VALUE"""),35.7)</f>
        <v>35.7</v>
      </c>
      <c r="C2278" s="1">
        <f>IFERROR(__xludf.DUMMYFUNCTION("""COMPUTED_VALUE"""),36.58)</f>
        <v>36.58</v>
      </c>
      <c r="D2278" s="1">
        <f>IFERROR(__xludf.DUMMYFUNCTION("""COMPUTED_VALUE"""),35.6)</f>
        <v>35.6</v>
      </c>
      <c r="E2278" s="1">
        <f>IFERROR(__xludf.DUMMYFUNCTION("""COMPUTED_VALUE"""),36.25)</f>
        <v>36.25</v>
      </c>
      <c r="F2278" s="1">
        <f>IFERROR(__xludf.DUMMYFUNCTION("""COMPUTED_VALUE"""),1026166.0)</f>
        <v>1026166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IFERROR(__xludf.DUMMYFUNCTION("""COMPUTED_VALUE"""),36.12)</f>
        <v>36.12</v>
      </c>
      <c r="C2279" s="1">
        <f>IFERROR(__xludf.DUMMYFUNCTION("""COMPUTED_VALUE"""),36.56)</f>
        <v>36.56</v>
      </c>
      <c r="D2279" s="1">
        <f>IFERROR(__xludf.DUMMYFUNCTION("""COMPUTED_VALUE"""),36.08)</f>
        <v>36.08</v>
      </c>
      <c r="E2279" s="1">
        <f>IFERROR(__xludf.DUMMYFUNCTION("""COMPUTED_VALUE"""),36.28)</f>
        <v>36.28</v>
      </c>
      <c r="F2279" s="1">
        <f>IFERROR(__xludf.DUMMYFUNCTION("""COMPUTED_VALUE"""),453890.0)</f>
        <v>453890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IFERROR(__xludf.DUMMYFUNCTION("""COMPUTED_VALUE"""),36.34)</f>
        <v>36.34</v>
      </c>
      <c r="C2280" s="1">
        <f>IFERROR(__xludf.DUMMYFUNCTION("""COMPUTED_VALUE"""),36.61)</f>
        <v>36.61</v>
      </c>
      <c r="D2280" s="1">
        <f>IFERROR(__xludf.DUMMYFUNCTION("""COMPUTED_VALUE"""),35.94)</f>
        <v>35.94</v>
      </c>
      <c r="E2280" s="1">
        <f>IFERROR(__xludf.DUMMYFUNCTION("""COMPUTED_VALUE"""),36.01)</f>
        <v>36.01</v>
      </c>
      <c r="F2280" s="1">
        <f>IFERROR(__xludf.DUMMYFUNCTION("""COMPUTED_VALUE"""),325357.0)</f>
        <v>325357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IFERROR(__xludf.DUMMYFUNCTION("""COMPUTED_VALUE"""),36.04)</f>
        <v>36.04</v>
      </c>
      <c r="C2281" s="1">
        <f>IFERROR(__xludf.DUMMYFUNCTION("""COMPUTED_VALUE"""),36.45)</f>
        <v>36.45</v>
      </c>
      <c r="D2281" s="1">
        <f>IFERROR(__xludf.DUMMYFUNCTION("""COMPUTED_VALUE"""),35.8)</f>
        <v>35.8</v>
      </c>
      <c r="E2281" s="1">
        <f>IFERROR(__xludf.DUMMYFUNCTION("""COMPUTED_VALUE"""),35.86)</f>
        <v>35.86</v>
      </c>
      <c r="F2281" s="1">
        <f>IFERROR(__xludf.DUMMYFUNCTION("""COMPUTED_VALUE"""),239871.0)</f>
        <v>239871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IFERROR(__xludf.DUMMYFUNCTION("""COMPUTED_VALUE"""),36.09)</f>
        <v>36.09</v>
      </c>
      <c r="C2282" s="1">
        <f>IFERROR(__xludf.DUMMYFUNCTION("""COMPUTED_VALUE"""),36.35)</f>
        <v>36.35</v>
      </c>
      <c r="D2282" s="1">
        <f>IFERROR(__xludf.DUMMYFUNCTION("""COMPUTED_VALUE"""),35.84)</f>
        <v>35.84</v>
      </c>
      <c r="E2282" s="1">
        <f>IFERROR(__xludf.DUMMYFUNCTION("""COMPUTED_VALUE"""),36.23)</f>
        <v>36.23</v>
      </c>
      <c r="F2282" s="1">
        <f>IFERROR(__xludf.DUMMYFUNCTION("""COMPUTED_VALUE"""),223129.0)</f>
        <v>223129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IFERROR(__xludf.DUMMYFUNCTION("""COMPUTED_VALUE"""),36.1)</f>
        <v>36.1</v>
      </c>
      <c r="C2283" s="1">
        <f>IFERROR(__xludf.DUMMYFUNCTION("""COMPUTED_VALUE"""),36.27)</f>
        <v>36.27</v>
      </c>
      <c r="D2283" s="1">
        <f>IFERROR(__xludf.DUMMYFUNCTION("""COMPUTED_VALUE"""),35.89)</f>
        <v>35.89</v>
      </c>
      <c r="E2283" s="1">
        <f>IFERROR(__xludf.DUMMYFUNCTION("""COMPUTED_VALUE"""),36.21)</f>
        <v>36.21</v>
      </c>
      <c r="F2283" s="1">
        <f>IFERROR(__xludf.DUMMYFUNCTION("""COMPUTED_VALUE"""),334215.0)</f>
        <v>334215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IFERROR(__xludf.DUMMYFUNCTION("""COMPUTED_VALUE"""),36.23)</f>
        <v>36.23</v>
      </c>
      <c r="C2284" s="1">
        <f>IFERROR(__xludf.DUMMYFUNCTION("""COMPUTED_VALUE"""),36.34)</f>
        <v>36.34</v>
      </c>
      <c r="D2284" s="1">
        <f>IFERROR(__xludf.DUMMYFUNCTION("""COMPUTED_VALUE"""),35.92)</f>
        <v>35.92</v>
      </c>
      <c r="E2284" s="1">
        <f>IFERROR(__xludf.DUMMYFUNCTION("""COMPUTED_VALUE"""),35.95)</f>
        <v>35.95</v>
      </c>
      <c r="F2284" s="1">
        <f>IFERROR(__xludf.DUMMYFUNCTION("""COMPUTED_VALUE"""),214588.0)</f>
        <v>214588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IFERROR(__xludf.DUMMYFUNCTION("""COMPUTED_VALUE"""),36.11)</f>
        <v>36.11</v>
      </c>
      <c r="C2285" s="1">
        <f>IFERROR(__xludf.DUMMYFUNCTION("""COMPUTED_VALUE"""),36.19)</f>
        <v>36.19</v>
      </c>
      <c r="D2285" s="1">
        <f>IFERROR(__xludf.DUMMYFUNCTION("""COMPUTED_VALUE"""),35.52)</f>
        <v>35.52</v>
      </c>
      <c r="E2285" s="1">
        <f>IFERROR(__xludf.DUMMYFUNCTION("""COMPUTED_VALUE"""),35.96)</f>
        <v>35.96</v>
      </c>
      <c r="F2285" s="1">
        <f>IFERROR(__xludf.DUMMYFUNCTION("""COMPUTED_VALUE"""),311053.0)</f>
        <v>311053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IFERROR(__xludf.DUMMYFUNCTION("""COMPUTED_VALUE"""),36.01)</f>
        <v>36.01</v>
      </c>
      <c r="C2286" s="1">
        <f>IFERROR(__xludf.DUMMYFUNCTION("""COMPUTED_VALUE"""),36.15)</f>
        <v>36.15</v>
      </c>
      <c r="D2286" s="1">
        <f>IFERROR(__xludf.DUMMYFUNCTION("""COMPUTED_VALUE"""),35.79)</f>
        <v>35.79</v>
      </c>
      <c r="E2286" s="1">
        <f>IFERROR(__xludf.DUMMYFUNCTION("""COMPUTED_VALUE"""),35.96)</f>
        <v>35.96</v>
      </c>
      <c r="F2286" s="1">
        <f>IFERROR(__xludf.DUMMYFUNCTION("""COMPUTED_VALUE"""),245866.0)</f>
        <v>245866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IFERROR(__xludf.DUMMYFUNCTION("""COMPUTED_VALUE"""),35.96)</f>
        <v>35.96</v>
      </c>
      <c r="C2287" s="1">
        <f>IFERROR(__xludf.DUMMYFUNCTION("""COMPUTED_VALUE"""),36.34)</f>
        <v>36.34</v>
      </c>
      <c r="D2287" s="1">
        <f>IFERROR(__xludf.DUMMYFUNCTION("""COMPUTED_VALUE"""),35.96)</f>
        <v>35.96</v>
      </c>
      <c r="E2287" s="1">
        <f>IFERROR(__xludf.DUMMYFUNCTION("""COMPUTED_VALUE"""),36.14)</f>
        <v>36.14</v>
      </c>
      <c r="F2287" s="1">
        <f>IFERROR(__xludf.DUMMYFUNCTION("""COMPUTED_VALUE"""),307038.0)</f>
        <v>307038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IFERROR(__xludf.DUMMYFUNCTION("""COMPUTED_VALUE"""),36.57)</f>
        <v>36.57</v>
      </c>
      <c r="C2288" s="1">
        <f>IFERROR(__xludf.DUMMYFUNCTION("""COMPUTED_VALUE"""),37.18)</f>
        <v>37.18</v>
      </c>
      <c r="D2288" s="1">
        <f>IFERROR(__xludf.DUMMYFUNCTION("""COMPUTED_VALUE"""),36.14)</f>
        <v>36.14</v>
      </c>
      <c r="E2288" s="1">
        <f>IFERROR(__xludf.DUMMYFUNCTION("""COMPUTED_VALUE"""),36.4)</f>
        <v>36.4</v>
      </c>
      <c r="F2288" s="1">
        <f>IFERROR(__xludf.DUMMYFUNCTION("""COMPUTED_VALUE"""),439585.0)</f>
        <v>439585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IFERROR(__xludf.DUMMYFUNCTION("""COMPUTED_VALUE"""),36.41)</f>
        <v>36.41</v>
      </c>
      <c r="C2289" s="1">
        <f>IFERROR(__xludf.DUMMYFUNCTION("""COMPUTED_VALUE"""),36.95)</f>
        <v>36.95</v>
      </c>
      <c r="D2289" s="1">
        <f>IFERROR(__xludf.DUMMYFUNCTION("""COMPUTED_VALUE"""),36.33)</f>
        <v>36.33</v>
      </c>
      <c r="E2289" s="1">
        <f>IFERROR(__xludf.DUMMYFUNCTION("""COMPUTED_VALUE"""),36.81)</f>
        <v>36.81</v>
      </c>
      <c r="F2289" s="1">
        <f>IFERROR(__xludf.DUMMYFUNCTION("""COMPUTED_VALUE"""),428113.0)</f>
        <v>428113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IFERROR(__xludf.DUMMYFUNCTION("""COMPUTED_VALUE"""),36.84)</f>
        <v>36.84</v>
      </c>
      <c r="C2290" s="1">
        <f>IFERROR(__xludf.DUMMYFUNCTION("""COMPUTED_VALUE"""),36.9)</f>
        <v>36.9</v>
      </c>
      <c r="D2290" s="1">
        <f>IFERROR(__xludf.DUMMYFUNCTION("""COMPUTED_VALUE"""),36.6)</f>
        <v>36.6</v>
      </c>
      <c r="E2290" s="1">
        <f>IFERROR(__xludf.DUMMYFUNCTION("""COMPUTED_VALUE"""),36.71)</f>
        <v>36.71</v>
      </c>
      <c r="F2290" s="1">
        <f>IFERROR(__xludf.DUMMYFUNCTION("""COMPUTED_VALUE"""),300345.0)</f>
        <v>300345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IFERROR(__xludf.DUMMYFUNCTION("""COMPUTED_VALUE"""),36.55)</f>
        <v>36.55</v>
      </c>
      <c r="C2291" s="1">
        <f>IFERROR(__xludf.DUMMYFUNCTION("""COMPUTED_VALUE"""),36.73)</f>
        <v>36.73</v>
      </c>
      <c r="D2291" s="1">
        <f>IFERROR(__xludf.DUMMYFUNCTION("""COMPUTED_VALUE"""),36.35)</f>
        <v>36.35</v>
      </c>
      <c r="E2291" s="1">
        <f>IFERROR(__xludf.DUMMYFUNCTION("""COMPUTED_VALUE"""),36.37)</f>
        <v>36.37</v>
      </c>
      <c r="F2291" s="1">
        <f>IFERROR(__xludf.DUMMYFUNCTION("""COMPUTED_VALUE"""),224296.0)</f>
        <v>224296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IFERROR(__xludf.DUMMYFUNCTION("""COMPUTED_VALUE"""),36.25)</f>
        <v>36.25</v>
      </c>
      <c r="C2292" s="1">
        <f>IFERROR(__xludf.DUMMYFUNCTION("""COMPUTED_VALUE"""),36.43)</f>
        <v>36.43</v>
      </c>
      <c r="D2292" s="1">
        <f>IFERROR(__xludf.DUMMYFUNCTION("""COMPUTED_VALUE"""),36.02)</f>
        <v>36.02</v>
      </c>
      <c r="E2292" s="1">
        <f>IFERROR(__xludf.DUMMYFUNCTION("""COMPUTED_VALUE"""),36.3)</f>
        <v>36.3</v>
      </c>
      <c r="F2292" s="1">
        <f>IFERROR(__xludf.DUMMYFUNCTION("""COMPUTED_VALUE"""),228535.0)</f>
        <v>228535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IFERROR(__xludf.DUMMYFUNCTION("""COMPUTED_VALUE"""),36.3)</f>
        <v>36.3</v>
      </c>
      <c r="C2293" s="1">
        <f>IFERROR(__xludf.DUMMYFUNCTION("""COMPUTED_VALUE"""),36.57)</f>
        <v>36.57</v>
      </c>
      <c r="D2293" s="1">
        <f>IFERROR(__xludf.DUMMYFUNCTION("""COMPUTED_VALUE"""),36.04)</f>
        <v>36.04</v>
      </c>
      <c r="E2293" s="1">
        <f>IFERROR(__xludf.DUMMYFUNCTION("""COMPUTED_VALUE"""),36.19)</f>
        <v>36.19</v>
      </c>
      <c r="F2293" s="1">
        <f>IFERROR(__xludf.DUMMYFUNCTION("""COMPUTED_VALUE"""),404281.0)</f>
        <v>404281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IFERROR(__xludf.DUMMYFUNCTION("""COMPUTED_VALUE"""),36.28)</f>
        <v>36.28</v>
      </c>
      <c r="C2294" s="1">
        <f>IFERROR(__xludf.DUMMYFUNCTION("""COMPUTED_VALUE"""),36.42)</f>
        <v>36.42</v>
      </c>
      <c r="D2294" s="1">
        <f>IFERROR(__xludf.DUMMYFUNCTION("""COMPUTED_VALUE"""),36.16)</f>
        <v>36.16</v>
      </c>
      <c r="E2294" s="1">
        <f>IFERROR(__xludf.DUMMYFUNCTION("""COMPUTED_VALUE"""),36.37)</f>
        <v>36.37</v>
      </c>
      <c r="F2294" s="1">
        <f>IFERROR(__xludf.DUMMYFUNCTION("""COMPUTED_VALUE"""),192798.0)</f>
        <v>192798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IFERROR(__xludf.DUMMYFUNCTION("""COMPUTED_VALUE"""),36.57)</f>
        <v>36.57</v>
      </c>
      <c r="C2295" s="1">
        <f>IFERROR(__xludf.DUMMYFUNCTION("""COMPUTED_VALUE"""),36.57)</f>
        <v>36.57</v>
      </c>
      <c r="D2295" s="1">
        <f>IFERROR(__xludf.DUMMYFUNCTION("""COMPUTED_VALUE"""),35.98)</f>
        <v>35.98</v>
      </c>
      <c r="E2295" s="1">
        <f>IFERROR(__xludf.DUMMYFUNCTION("""COMPUTED_VALUE"""),36.11)</f>
        <v>36.11</v>
      </c>
      <c r="F2295" s="1">
        <f>IFERROR(__xludf.DUMMYFUNCTION("""COMPUTED_VALUE"""),254939.0)</f>
        <v>254939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IFERROR(__xludf.DUMMYFUNCTION("""COMPUTED_VALUE"""),36.0)</f>
        <v>36</v>
      </c>
      <c r="C2296" s="1">
        <f>IFERROR(__xludf.DUMMYFUNCTION("""COMPUTED_VALUE"""),36.48)</f>
        <v>36.48</v>
      </c>
      <c r="D2296" s="1">
        <f>IFERROR(__xludf.DUMMYFUNCTION("""COMPUTED_VALUE"""),35.71)</f>
        <v>35.71</v>
      </c>
      <c r="E2296" s="1">
        <f>IFERROR(__xludf.DUMMYFUNCTION("""COMPUTED_VALUE"""),36.32)</f>
        <v>36.32</v>
      </c>
      <c r="F2296" s="1">
        <f>IFERROR(__xludf.DUMMYFUNCTION("""COMPUTED_VALUE"""),265120.0)</f>
        <v>265120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IFERROR(__xludf.DUMMYFUNCTION("""COMPUTED_VALUE"""),36.4)</f>
        <v>36.4</v>
      </c>
      <c r="C2297" s="1">
        <f>IFERROR(__xludf.DUMMYFUNCTION("""COMPUTED_VALUE"""),36.75)</f>
        <v>36.75</v>
      </c>
      <c r="D2297" s="1">
        <f>IFERROR(__xludf.DUMMYFUNCTION("""COMPUTED_VALUE"""),36.39)</f>
        <v>36.39</v>
      </c>
      <c r="E2297" s="1">
        <f>IFERROR(__xludf.DUMMYFUNCTION("""COMPUTED_VALUE"""),36.64)</f>
        <v>36.64</v>
      </c>
      <c r="F2297" s="1">
        <f>IFERROR(__xludf.DUMMYFUNCTION("""COMPUTED_VALUE"""),325136.0)</f>
        <v>325136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IFERROR(__xludf.DUMMYFUNCTION("""COMPUTED_VALUE"""),36.54)</f>
        <v>36.54</v>
      </c>
      <c r="C2298" s="1">
        <f>IFERROR(__xludf.DUMMYFUNCTION("""COMPUTED_VALUE"""),36.72)</f>
        <v>36.72</v>
      </c>
      <c r="D2298" s="1">
        <f>IFERROR(__xludf.DUMMYFUNCTION("""COMPUTED_VALUE"""),36.41)</f>
        <v>36.41</v>
      </c>
      <c r="E2298" s="1">
        <f>IFERROR(__xludf.DUMMYFUNCTION("""COMPUTED_VALUE"""),36.48)</f>
        <v>36.48</v>
      </c>
      <c r="F2298" s="1">
        <f>IFERROR(__xludf.DUMMYFUNCTION("""COMPUTED_VALUE"""),264888.0)</f>
        <v>264888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IFERROR(__xludf.DUMMYFUNCTION("""COMPUTED_VALUE"""),36.35)</f>
        <v>36.35</v>
      </c>
      <c r="C2299" s="1">
        <f>IFERROR(__xludf.DUMMYFUNCTION("""COMPUTED_VALUE"""),36.75)</f>
        <v>36.75</v>
      </c>
      <c r="D2299" s="1">
        <f>IFERROR(__xludf.DUMMYFUNCTION("""COMPUTED_VALUE"""),36.32)</f>
        <v>36.32</v>
      </c>
      <c r="E2299" s="1">
        <f>IFERROR(__xludf.DUMMYFUNCTION("""COMPUTED_VALUE"""),36.59)</f>
        <v>36.59</v>
      </c>
      <c r="F2299" s="1">
        <f>IFERROR(__xludf.DUMMYFUNCTION("""COMPUTED_VALUE"""),387059.0)</f>
        <v>387059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IFERROR(__xludf.DUMMYFUNCTION("""COMPUTED_VALUE"""),36.52)</f>
        <v>36.52</v>
      </c>
      <c r="C2300" s="1">
        <f>IFERROR(__xludf.DUMMYFUNCTION("""COMPUTED_VALUE"""),36.81)</f>
        <v>36.81</v>
      </c>
      <c r="D2300" s="1">
        <f>IFERROR(__xludf.DUMMYFUNCTION("""COMPUTED_VALUE"""),36.44)</f>
        <v>36.44</v>
      </c>
      <c r="E2300" s="1">
        <f>IFERROR(__xludf.DUMMYFUNCTION("""COMPUTED_VALUE"""),36.52)</f>
        <v>36.52</v>
      </c>
      <c r="F2300" s="1">
        <f>IFERROR(__xludf.DUMMYFUNCTION("""COMPUTED_VALUE"""),237760.0)</f>
        <v>237760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IFERROR(__xludf.DUMMYFUNCTION("""COMPUTED_VALUE"""),36.72)</f>
        <v>36.72</v>
      </c>
      <c r="C2301" s="1">
        <f>IFERROR(__xludf.DUMMYFUNCTION("""COMPUTED_VALUE"""),37.07)</f>
        <v>37.07</v>
      </c>
      <c r="D2301" s="1">
        <f>IFERROR(__xludf.DUMMYFUNCTION("""COMPUTED_VALUE"""),36.46)</f>
        <v>36.46</v>
      </c>
      <c r="E2301" s="1">
        <f>IFERROR(__xludf.DUMMYFUNCTION("""COMPUTED_VALUE"""),37.02)</f>
        <v>37.02</v>
      </c>
      <c r="F2301" s="1">
        <f>IFERROR(__xludf.DUMMYFUNCTION("""COMPUTED_VALUE"""),289145.0)</f>
        <v>289145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IFERROR(__xludf.DUMMYFUNCTION("""COMPUTED_VALUE"""),37.15)</f>
        <v>37.15</v>
      </c>
      <c r="C2302" s="1">
        <f>IFERROR(__xludf.DUMMYFUNCTION("""COMPUTED_VALUE"""),37.15)</f>
        <v>37.15</v>
      </c>
      <c r="D2302" s="1">
        <f>IFERROR(__xludf.DUMMYFUNCTION("""COMPUTED_VALUE"""),36.65)</f>
        <v>36.65</v>
      </c>
      <c r="E2302" s="1">
        <f>IFERROR(__xludf.DUMMYFUNCTION("""COMPUTED_VALUE"""),36.79)</f>
        <v>36.79</v>
      </c>
      <c r="F2302" s="1">
        <f>IFERROR(__xludf.DUMMYFUNCTION("""COMPUTED_VALUE"""),547483.0)</f>
        <v>547483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IFERROR(__xludf.DUMMYFUNCTION("""COMPUTED_VALUE"""),36.81)</f>
        <v>36.81</v>
      </c>
      <c r="C2303" s="1">
        <f>IFERROR(__xludf.DUMMYFUNCTION("""COMPUTED_VALUE"""),37.18)</f>
        <v>37.18</v>
      </c>
      <c r="D2303" s="1">
        <f>IFERROR(__xludf.DUMMYFUNCTION("""COMPUTED_VALUE"""),36.7)</f>
        <v>36.7</v>
      </c>
      <c r="E2303" s="1">
        <f>IFERROR(__xludf.DUMMYFUNCTION("""COMPUTED_VALUE"""),36.93)</f>
        <v>36.93</v>
      </c>
      <c r="F2303" s="1">
        <f>IFERROR(__xludf.DUMMYFUNCTION("""COMPUTED_VALUE"""),429979.0)</f>
        <v>429979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IFERROR(__xludf.DUMMYFUNCTION("""COMPUTED_VALUE"""),36.89)</f>
        <v>36.89</v>
      </c>
      <c r="C2304" s="1">
        <f>IFERROR(__xludf.DUMMYFUNCTION("""COMPUTED_VALUE"""),37.52)</f>
        <v>37.52</v>
      </c>
      <c r="D2304" s="1">
        <f>IFERROR(__xludf.DUMMYFUNCTION("""COMPUTED_VALUE"""),36.75)</f>
        <v>36.75</v>
      </c>
      <c r="E2304" s="1">
        <f>IFERROR(__xludf.DUMMYFUNCTION("""COMPUTED_VALUE"""),37.37)</f>
        <v>37.37</v>
      </c>
      <c r="F2304" s="1">
        <f>IFERROR(__xludf.DUMMYFUNCTION("""COMPUTED_VALUE"""),621600.0)</f>
        <v>621600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IFERROR(__xludf.DUMMYFUNCTION("""COMPUTED_VALUE"""),37.37)</f>
        <v>37.37</v>
      </c>
      <c r="C2305" s="1">
        <f>IFERROR(__xludf.DUMMYFUNCTION("""COMPUTED_VALUE"""),37.9)</f>
        <v>37.9</v>
      </c>
      <c r="D2305" s="1">
        <f>IFERROR(__xludf.DUMMYFUNCTION("""COMPUTED_VALUE"""),37.04)</f>
        <v>37.04</v>
      </c>
      <c r="E2305" s="1">
        <f>IFERROR(__xludf.DUMMYFUNCTION("""COMPUTED_VALUE"""),37.5)</f>
        <v>37.5</v>
      </c>
      <c r="F2305" s="1">
        <f>IFERROR(__xludf.DUMMYFUNCTION("""COMPUTED_VALUE"""),711637.0)</f>
        <v>711637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IFERROR(__xludf.DUMMYFUNCTION("""COMPUTED_VALUE"""),36.11)</f>
        <v>36.11</v>
      </c>
      <c r="C2306" s="1">
        <f>IFERROR(__xludf.DUMMYFUNCTION("""COMPUTED_VALUE"""),37.12)</f>
        <v>37.12</v>
      </c>
      <c r="D2306" s="1">
        <f>IFERROR(__xludf.DUMMYFUNCTION("""COMPUTED_VALUE"""),35.71)</f>
        <v>35.71</v>
      </c>
      <c r="E2306" s="1">
        <f>IFERROR(__xludf.DUMMYFUNCTION("""COMPUTED_VALUE"""),36.93)</f>
        <v>36.93</v>
      </c>
      <c r="F2306" s="1">
        <f>IFERROR(__xludf.DUMMYFUNCTION("""COMPUTED_VALUE"""),817533.0)</f>
        <v>817533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IFERROR(__xludf.DUMMYFUNCTION("""COMPUTED_VALUE"""),36.94)</f>
        <v>36.94</v>
      </c>
      <c r="C2307" s="1">
        <f>IFERROR(__xludf.DUMMYFUNCTION("""COMPUTED_VALUE"""),36.94)</f>
        <v>36.94</v>
      </c>
      <c r="D2307" s="1">
        <f>IFERROR(__xludf.DUMMYFUNCTION("""COMPUTED_VALUE"""),34.92)</f>
        <v>34.92</v>
      </c>
      <c r="E2307" s="1">
        <f>IFERROR(__xludf.DUMMYFUNCTION("""COMPUTED_VALUE"""),34.99)</f>
        <v>34.99</v>
      </c>
      <c r="F2307" s="1">
        <f>IFERROR(__xludf.DUMMYFUNCTION("""COMPUTED_VALUE"""),529371.0)</f>
        <v>529371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IFERROR(__xludf.DUMMYFUNCTION("""COMPUTED_VALUE"""),34.89)</f>
        <v>34.89</v>
      </c>
      <c r="C2308" s="1">
        <f>IFERROR(__xludf.DUMMYFUNCTION("""COMPUTED_VALUE"""),35.12)</f>
        <v>35.12</v>
      </c>
      <c r="D2308" s="1">
        <f>IFERROR(__xludf.DUMMYFUNCTION("""COMPUTED_VALUE"""),34.63)</f>
        <v>34.63</v>
      </c>
      <c r="E2308" s="1">
        <f>IFERROR(__xludf.DUMMYFUNCTION("""COMPUTED_VALUE"""),34.64)</f>
        <v>34.64</v>
      </c>
      <c r="F2308" s="1">
        <f>IFERROR(__xludf.DUMMYFUNCTION("""COMPUTED_VALUE"""),380738.0)</f>
        <v>380738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IFERROR(__xludf.DUMMYFUNCTION("""COMPUTED_VALUE"""),34.59)</f>
        <v>34.59</v>
      </c>
      <c r="C2309" s="1">
        <f>IFERROR(__xludf.DUMMYFUNCTION("""COMPUTED_VALUE"""),34.73)</f>
        <v>34.73</v>
      </c>
      <c r="D2309" s="1">
        <f>IFERROR(__xludf.DUMMYFUNCTION("""COMPUTED_VALUE"""),33.99)</f>
        <v>33.99</v>
      </c>
      <c r="E2309" s="1">
        <f>IFERROR(__xludf.DUMMYFUNCTION("""COMPUTED_VALUE"""),34.09)</f>
        <v>34.09</v>
      </c>
      <c r="F2309" s="1">
        <f>IFERROR(__xludf.DUMMYFUNCTION("""COMPUTED_VALUE"""),316116.0)</f>
        <v>316116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IFERROR(__xludf.DUMMYFUNCTION("""COMPUTED_VALUE"""),33.97)</f>
        <v>33.97</v>
      </c>
      <c r="C2310" s="1">
        <f>IFERROR(__xludf.DUMMYFUNCTION("""COMPUTED_VALUE"""),34.13)</f>
        <v>34.13</v>
      </c>
      <c r="D2310" s="1">
        <f>IFERROR(__xludf.DUMMYFUNCTION("""COMPUTED_VALUE"""),33.69)</f>
        <v>33.69</v>
      </c>
      <c r="E2310" s="1">
        <f>IFERROR(__xludf.DUMMYFUNCTION("""COMPUTED_VALUE"""),33.79)</f>
        <v>33.79</v>
      </c>
      <c r="F2310" s="1">
        <f>IFERROR(__xludf.DUMMYFUNCTION("""COMPUTED_VALUE"""),416578.0)</f>
        <v>416578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IFERROR(__xludf.DUMMYFUNCTION("""COMPUTED_VALUE"""),33.71)</f>
        <v>33.71</v>
      </c>
      <c r="C2311" s="1">
        <f>IFERROR(__xludf.DUMMYFUNCTION("""COMPUTED_VALUE"""),33.83)</f>
        <v>33.83</v>
      </c>
      <c r="D2311" s="1">
        <f>IFERROR(__xludf.DUMMYFUNCTION("""COMPUTED_VALUE"""),33.52)</f>
        <v>33.52</v>
      </c>
      <c r="E2311" s="1">
        <f>IFERROR(__xludf.DUMMYFUNCTION("""COMPUTED_VALUE"""),33.79)</f>
        <v>33.79</v>
      </c>
      <c r="F2311" s="1">
        <f>IFERROR(__xludf.DUMMYFUNCTION("""COMPUTED_VALUE"""),425981.0)</f>
        <v>425981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IFERROR(__xludf.DUMMYFUNCTION("""COMPUTED_VALUE"""),33.74)</f>
        <v>33.74</v>
      </c>
      <c r="C2312" s="1">
        <f>IFERROR(__xludf.DUMMYFUNCTION("""COMPUTED_VALUE"""),33.85)</f>
        <v>33.85</v>
      </c>
      <c r="D2312" s="1">
        <f>IFERROR(__xludf.DUMMYFUNCTION("""COMPUTED_VALUE"""),33.19)</f>
        <v>33.19</v>
      </c>
      <c r="E2312" s="1">
        <f>IFERROR(__xludf.DUMMYFUNCTION("""COMPUTED_VALUE"""),33.77)</f>
        <v>33.77</v>
      </c>
      <c r="F2312" s="1">
        <f>IFERROR(__xludf.DUMMYFUNCTION("""COMPUTED_VALUE"""),355293.0)</f>
        <v>355293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IFERROR(__xludf.DUMMYFUNCTION("""COMPUTED_VALUE"""),33.84)</f>
        <v>33.84</v>
      </c>
      <c r="C2313" s="1">
        <f>IFERROR(__xludf.DUMMYFUNCTION("""COMPUTED_VALUE"""),33.84)</f>
        <v>33.84</v>
      </c>
      <c r="D2313" s="1">
        <f>IFERROR(__xludf.DUMMYFUNCTION("""COMPUTED_VALUE"""),33.46)</f>
        <v>33.46</v>
      </c>
      <c r="E2313" s="1">
        <f>IFERROR(__xludf.DUMMYFUNCTION("""COMPUTED_VALUE"""),33.51)</f>
        <v>33.51</v>
      </c>
      <c r="F2313" s="1">
        <f>IFERROR(__xludf.DUMMYFUNCTION("""COMPUTED_VALUE"""),272993.0)</f>
        <v>272993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IFERROR(__xludf.DUMMYFUNCTION("""COMPUTED_VALUE"""),33.52)</f>
        <v>33.52</v>
      </c>
      <c r="C2314" s="1">
        <f>IFERROR(__xludf.DUMMYFUNCTION("""COMPUTED_VALUE"""),34.01)</f>
        <v>34.01</v>
      </c>
      <c r="D2314" s="1">
        <f>IFERROR(__xludf.DUMMYFUNCTION("""COMPUTED_VALUE"""),33.52)</f>
        <v>33.52</v>
      </c>
      <c r="E2314" s="1">
        <f>IFERROR(__xludf.DUMMYFUNCTION("""COMPUTED_VALUE"""),33.88)</f>
        <v>33.88</v>
      </c>
      <c r="F2314" s="1">
        <f>IFERROR(__xludf.DUMMYFUNCTION("""COMPUTED_VALUE"""),327612.0)</f>
        <v>327612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IFERROR(__xludf.DUMMYFUNCTION("""COMPUTED_VALUE"""),33.79)</f>
        <v>33.79</v>
      </c>
      <c r="C2315" s="1">
        <f>IFERROR(__xludf.DUMMYFUNCTION("""COMPUTED_VALUE"""),34.02)</f>
        <v>34.02</v>
      </c>
      <c r="D2315" s="1">
        <f>IFERROR(__xludf.DUMMYFUNCTION("""COMPUTED_VALUE"""),33.61)</f>
        <v>33.61</v>
      </c>
      <c r="E2315" s="1">
        <f>IFERROR(__xludf.DUMMYFUNCTION("""COMPUTED_VALUE"""),34.01)</f>
        <v>34.01</v>
      </c>
      <c r="F2315" s="1">
        <f>IFERROR(__xludf.DUMMYFUNCTION("""COMPUTED_VALUE"""),335858.0)</f>
        <v>335858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IFERROR(__xludf.DUMMYFUNCTION("""COMPUTED_VALUE"""),34.0)</f>
        <v>34</v>
      </c>
      <c r="C2316" s="1">
        <f>IFERROR(__xludf.DUMMYFUNCTION("""COMPUTED_VALUE"""),34.35)</f>
        <v>34.35</v>
      </c>
      <c r="D2316" s="1">
        <f>IFERROR(__xludf.DUMMYFUNCTION("""COMPUTED_VALUE"""),33.85)</f>
        <v>33.85</v>
      </c>
      <c r="E2316" s="1">
        <f>IFERROR(__xludf.DUMMYFUNCTION("""COMPUTED_VALUE"""),33.86)</f>
        <v>33.86</v>
      </c>
      <c r="F2316" s="1">
        <f>IFERROR(__xludf.DUMMYFUNCTION("""COMPUTED_VALUE"""),356136.0)</f>
        <v>356136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IFERROR(__xludf.DUMMYFUNCTION("""COMPUTED_VALUE"""),33.87)</f>
        <v>33.87</v>
      </c>
      <c r="C2317" s="1">
        <f>IFERROR(__xludf.DUMMYFUNCTION("""COMPUTED_VALUE"""),34.08)</f>
        <v>34.08</v>
      </c>
      <c r="D2317" s="1">
        <f>IFERROR(__xludf.DUMMYFUNCTION("""COMPUTED_VALUE"""),33.72)</f>
        <v>33.72</v>
      </c>
      <c r="E2317" s="1">
        <f>IFERROR(__xludf.DUMMYFUNCTION("""COMPUTED_VALUE"""),33.92)</f>
        <v>33.92</v>
      </c>
      <c r="F2317" s="1">
        <f>IFERROR(__xludf.DUMMYFUNCTION("""COMPUTED_VALUE"""),228998.0)</f>
        <v>228998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IFERROR(__xludf.DUMMYFUNCTION("""COMPUTED_VALUE"""),33.97)</f>
        <v>33.97</v>
      </c>
      <c r="C2318" s="1">
        <f>IFERROR(__xludf.DUMMYFUNCTION("""COMPUTED_VALUE"""),34.44)</f>
        <v>34.44</v>
      </c>
      <c r="D2318" s="1">
        <f>IFERROR(__xludf.DUMMYFUNCTION("""COMPUTED_VALUE"""),33.96)</f>
        <v>33.96</v>
      </c>
      <c r="E2318" s="1">
        <f>IFERROR(__xludf.DUMMYFUNCTION("""COMPUTED_VALUE"""),34.08)</f>
        <v>34.08</v>
      </c>
      <c r="F2318" s="1">
        <f>IFERROR(__xludf.DUMMYFUNCTION("""COMPUTED_VALUE"""),388343.0)</f>
        <v>388343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IFERROR(__xludf.DUMMYFUNCTION("""COMPUTED_VALUE"""),34.14)</f>
        <v>34.14</v>
      </c>
      <c r="C2319" s="1">
        <f>IFERROR(__xludf.DUMMYFUNCTION("""COMPUTED_VALUE"""),34.14)</f>
        <v>34.14</v>
      </c>
      <c r="D2319" s="1">
        <f>IFERROR(__xludf.DUMMYFUNCTION("""COMPUTED_VALUE"""),33.65)</f>
        <v>33.65</v>
      </c>
      <c r="E2319" s="1">
        <f>IFERROR(__xludf.DUMMYFUNCTION("""COMPUTED_VALUE"""),33.83)</f>
        <v>33.83</v>
      </c>
      <c r="F2319" s="1">
        <f>IFERROR(__xludf.DUMMYFUNCTION("""COMPUTED_VALUE"""),189258.0)</f>
        <v>189258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IFERROR(__xludf.DUMMYFUNCTION("""COMPUTED_VALUE"""),33.82)</f>
        <v>33.82</v>
      </c>
      <c r="C2320" s="1">
        <f>IFERROR(__xludf.DUMMYFUNCTION("""COMPUTED_VALUE"""),33.94)</f>
        <v>33.94</v>
      </c>
      <c r="D2320" s="1">
        <f>IFERROR(__xludf.DUMMYFUNCTION("""COMPUTED_VALUE"""),33.71)</f>
        <v>33.71</v>
      </c>
      <c r="E2320" s="1">
        <f>IFERROR(__xludf.DUMMYFUNCTION("""COMPUTED_VALUE"""),33.82)</f>
        <v>33.82</v>
      </c>
      <c r="F2320" s="1">
        <f>IFERROR(__xludf.DUMMYFUNCTION("""COMPUTED_VALUE"""),311856.0)</f>
        <v>311856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IFERROR(__xludf.DUMMYFUNCTION("""COMPUTED_VALUE"""),33.78)</f>
        <v>33.78</v>
      </c>
      <c r="C2321" s="1">
        <f>IFERROR(__xludf.DUMMYFUNCTION("""COMPUTED_VALUE"""),33.79)</f>
        <v>33.79</v>
      </c>
      <c r="D2321" s="1">
        <f>IFERROR(__xludf.DUMMYFUNCTION("""COMPUTED_VALUE"""),33.25)</f>
        <v>33.25</v>
      </c>
      <c r="E2321" s="1">
        <f>IFERROR(__xludf.DUMMYFUNCTION("""COMPUTED_VALUE"""),33.35)</f>
        <v>33.35</v>
      </c>
      <c r="F2321" s="1">
        <f>IFERROR(__xludf.DUMMYFUNCTION("""COMPUTED_VALUE"""),321458.0)</f>
        <v>321458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IFERROR(__xludf.DUMMYFUNCTION("""COMPUTED_VALUE"""),33.24)</f>
        <v>33.24</v>
      </c>
      <c r="C2322" s="1">
        <f>IFERROR(__xludf.DUMMYFUNCTION("""COMPUTED_VALUE"""),33.35)</f>
        <v>33.35</v>
      </c>
      <c r="D2322" s="1">
        <f>IFERROR(__xludf.DUMMYFUNCTION("""COMPUTED_VALUE"""),32.99)</f>
        <v>32.99</v>
      </c>
      <c r="E2322" s="1">
        <f>IFERROR(__xludf.DUMMYFUNCTION("""COMPUTED_VALUE"""),33.06)</f>
        <v>33.06</v>
      </c>
      <c r="F2322" s="1">
        <f>IFERROR(__xludf.DUMMYFUNCTION("""COMPUTED_VALUE"""),270441.0)</f>
        <v>270441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IFERROR(__xludf.DUMMYFUNCTION("""COMPUTED_VALUE"""),33.2)</f>
        <v>33.2</v>
      </c>
      <c r="C2323" s="1">
        <f>IFERROR(__xludf.DUMMYFUNCTION("""COMPUTED_VALUE"""),33.49)</f>
        <v>33.49</v>
      </c>
      <c r="D2323" s="1">
        <f>IFERROR(__xludf.DUMMYFUNCTION("""COMPUTED_VALUE"""),32.93)</f>
        <v>32.93</v>
      </c>
      <c r="E2323" s="1">
        <f>IFERROR(__xludf.DUMMYFUNCTION("""COMPUTED_VALUE"""),33.41)</f>
        <v>33.41</v>
      </c>
      <c r="F2323" s="1">
        <f>IFERROR(__xludf.DUMMYFUNCTION("""COMPUTED_VALUE"""),333666.0)</f>
        <v>333666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IFERROR(__xludf.DUMMYFUNCTION("""COMPUTED_VALUE"""),33.41)</f>
        <v>33.41</v>
      </c>
      <c r="C2324" s="1">
        <f>IFERROR(__xludf.DUMMYFUNCTION("""COMPUTED_VALUE"""),33.62)</f>
        <v>33.62</v>
      </c>
      <c r="D2324" s="1">
        <f>IFERROR(__xludf.DUMMYFUNCTION("""COMPUTED_VALUE"""),33.29)</f>
        <v>33.29</v>
      </c>
      <c r="E2324" s="1">
        <f>IFERROR(__xludf.DUMMYFUNCTION("""COMPUTED_VALUE"""),33.44)</f>
        <v>33.44</v>
      </c>
      <c r="F2324" s="1">
        <f>IFERROR(__xludf.DUMMYFUNCTION("""COMPUTED_VALUE"""),211931.0)</f>
        <v>211931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IFERROR(__xludf.DUMMYFUNCTION("""COMPUTED_VALUE"""),33.52)</f>
        <v>33.52</v>
      </c>
      <c r="C2325" s="1">
        <f>IFERROR(__xludf.DUMMYFUNCTION("""COMPUTED_VALUE"""),33.8)</f>
        <v>33.8</v>
      </c>
      <c r="D2325" s="1">
        <f>IFERROR(__xludf.DUMMYFUNCTION("""COMPUTED_VALUE"""),33.45)</f>
        <v>33.45</v>
      </c>
      <c r="E2325" s="1">
        <f>IFERROR(__xludf.DUMMYFUNCTION("""COMPUTED_VALUE"""),33.77)</f>
        <v>33.77</v>
      </c>
      <c r="F2325" s="1">
        <f>IFERROR(__xludf.DUMMYFUNCTION("""COMPUTED_VALUE"""),168537.0)</f>
        <v>168537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IFERROR(__xludf.DUMMYFUNCTION("""COMPUTED_VALUE"""),33.93)</f>
        <v>33.93</v>
      </c>
      <c r="C2326" s="1">
        <f>IFERROR(__xludf.DUMMYFUNCTION("""COMPUTED_VALUE"""),34.23)</f>
        <v>34.23</v>
      </c>
      <c r="D2326" s="1">
        <f>IFERROR(__xludf.DUMMYFUNCTION("""COMPUTED_VALUE"""),33.83)</f>
        <v>33.83</v>
      </c>
      <c r="E2326" s="1">
        <f>IFERROR(__xludf.DUMMYFUNCTION("""COMPUTED_VALUE"""),34.0)</f>
        <v>34</v>
      </c>
      <c r="F2326" s="1">
        <f>IFERROR(__xludf.DUMMYFUNCTION("""COMPUTED_VALUE"""),226184.0)</f>
        <v>226184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IFERROR(__xludf.DUMMYFUNCTION("""COMPUTED_VALUE"""),34.26)</f>
        <v>34.26</v>
      </c>
      <c r="C2327" s="1">
        <f>IFERROR(__xludf.DUMMYFUNCTION("""COMPUTED_VALUE"""),34.58)</f>
        <v>34.58</v>
      </c>
      <c r="D2327" s="1">
        <f>IFERROR(__xludf.DUMMYFUNCTION("""COMPUTED_VALUE"""),34.12)</f>
        <v>34.12</v>
      </c>
      <c r="E2327" s="1">
        <f>IFERROR(__xludf.DUMMYFUNCTION("""COMPUTED_VALUE"""),34.56)</f>
        <v>34.56</v>
      </c>
      <c r="F2327" s="1">
        <f>IFERROR(__xludf.DUMMYFUNCTION("""COMPUTED_VALUE"""),345608.0)</f>
        <v>345608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IFERROR(__xludf.DUMMYFUNCTION("""COMPUTED_VALUE"""),34.55)</f>
        <v>34.55</v>
      </c>
      <c r="C2328" s="1">
        <f>IFERROR(__xludf.DUMMYFUNCTION("""COMPUTED_VALUE"""),34.6)</f>
        <v>34.6</v>
      </c>
      <c r="D2328" s="1">
        <f>IFERROR(__xludf.DUMMYFUNCTION("""COMPUTED_VALUE"""),34.13)</f>
        <v>34.13</v>
      </c>
      <c r="E2328" s="1">
        <f>IFERROR(__xludf.DUMMYFUNCTION("""COMPUTED_VALUE"""),34.51)</f>
        <v>34.51</v>
      </c>
      <c r="F2328" s="1">
        <f>IFERROR(__xludf.DUMMYFUNCTION("""COMPUTED_VALUE"""),182343.0)</f>
        <v>182343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IFERROR(__xludf.DUMMYFUNCTION("""COMPUTED_VALUE"""),34.62)</f>
        <v>34.62</v>
      </c>
      <c r="C2329" s="1">
        <f>IFERROR(__xludf.DUMMYFUNCTION("""COMPUTED_VALUE"""),34.9)</f>
        <v>34.9</v>
      </c>
      <c r="D2329" s="1">
        <f>IFERROR(__xludf.DUMMYFUNCTION("""COMPUTED_VALUE"""),34.3)</f>
        <v>34.3</v>
      </c>
      <c r="E2329" s="1">
        <f>IFERROR(__xludf.DUMMYFUNCTION("""COMPUTED_VALUE"""),34.37)</f>
        <v>34.37</v>
      </c>
      <c r="F2329" s="1">
        <f>IFERROR(__xludf.DUMMYFUNCTION("""COMPUTED_VALUE"""),204905.0)</f>
        <v>204905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IFERROR(__xludf.DUMMYFUNCTION("""COMPUTED_VALUE"""),34.19)</f>
        <v>34.19</v>
      </c>
      <c r="C2330" s="1">
        <f>IFERROR(__xludf.DUMMYFUNCTION("""COMPUTED_VALUE"""),34.39)</f>
        <v>34.39</v>
      </c>
      <c r="D2330" s="1">
        <f>IFERROR(__xludf.DUMMYFUNCTION("""COMPUTED_VALUE"""),34.11)</f>
        <v>34.11</v>
      </c>
      <c r="E2330" s="1">
        <f>IFERROR(__xludf.DUMMYFUNCTION("""COMPUTED_VALUE"""),34.28)</f>
        <v>34.28</v>
      </c>
      <c r="F2330" s="1">
        <f>IFERROR(__xludf.DUMMYFUNCTION("""COMPUTED_VALUE"""),188121.0)</f>
        <v>188121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IFERROR(__xludf.DUMMYFUNCTION("""COMPUTED_VALUE"""),34.28)</f>
        <v>34.28</v>
      </c>
      <c r="C2331" s="1">
        <f>IFERROR(__xludf.DUMMYFUNCTION("""COMPUTED_VALUE"""),34.4)</f>
        <v>34.4</v>
      </c>
      <c r="D2331" s="1">
        <f>IFERROR(__xludf.DUMMYFUNCTION("""COMPUTED_VALUE"""),34.12)</f>
        <v>34.12</v>
      </c>
      <c r="E2331" s="1">
        <f>IFERROR(__xludf.DUMMYFUNCTION("""COMPUTED_VALUE"""),34.26)</f>
        <v>34.26</v>
      </c>
      <c r="F2331" s="1">
        <f>IFERROR(__xludf.DUMMYFUNCTION("""COMPUTED_VALUE"""),104088.0)</f>
        <v>104088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IFERROR(__xludf.DUMMYFUNCTION("""COMPUTED_VALUE"""),34.18)</f>
        <v>34.18</v>
      </c>
      <c r="C2332" s="1">
        <f>IFERROR(__xludf.DUMMYFUNCTION("""COMPUTED_VALUE"""),34.36)</f>
        <v>34.36</v>
      </c>
      <c r="D2332" s="1">
        <f>IFERROR(__xludf.DUMMYFUNCTION("""COMPUTED_VALUE"""),34.03)</f>
        <v>34.03</v>
      </c>
      <c r="E2332" s="1">
        <f>IFERROR(__xludf.DUMMYFUNCTION("""COMPUTED_VALUE"""),34.26)</f>
        <v>34.26</v>
      </c>
      <c r="F2332" s="1">
        <f>IFERROR(__xludf.DUMMYFUNCTION("""COMPUTED_VALUE"""),201711.0)</f>
        <v>201711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IFERROR(__xludf.DUMMYFUNCTION("""COMPUTED_VALUE"""),34.12)</f>
        <v>34.12</v>
      </c>
      <c r="C2333" s="1">
        <f>IFERROR(__xludf.DUMMYFUNCTION("""COMPUTED_VALUE"""),34.35)</f>
        <v>34.35</v>
      </c>
      <c r="D2333" s="1">
        <f>IFERROR(__xludf.DUMMYFUNCTION("""COMPUTED_VALUE"""),33.78)</f>
        <v>33.78</v>
      </c>
      <c r="E2333" s="1">
        <f>IFERROR(__xludf.DUMMYFUNCTION("""COMPUTED_VALUE"""),33.93)</f>
        <v>33.93</v>
      </c>
      <c r="F2333" s="1">
        <f>IFERROR(__xludf.DUMMYFUNCTION("""COMPUTED_VALUE"""),220162.0)</f>
        <v>220162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IFERROR(__xludf.DUMMYFUNCTION("""COMPUTED_VALUE"""),33.85)</f>
        <v>33.85</v>
      </c>
      <c r="C2334" s="1">
        <f>IFERROR(__xludf.DUMMYFUNCTION("""COMPUTED_VALUE"""),34.19)</f>
        <v>34.19</v>
      </c>
      <c r="D2334" s="1">
        <f>IFERROR(__xludf.DUMMYFUNCTION("""COMPUTED_VALUE"""),33.85)</f>
        <v>33.85</v>
      </c>
      <c r="E2334" s="1">
        <f>IFERROR(__xludf.DUMMYFUNCTION("""COMPUTED_VALUE"""),33.92)</f>
        <v>33.92</v>
      </c>
      <c r="F2334" s="1">
        <f>IFERROR(__xludf.DUMMYFUNCTION("""COMPUTED_VALUE"""),180048.0)</f>
        <v>180048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IFERROR(__xludf.DUMMYFUNCTION("""COMPUTED_VALUE"""),33.84)</f>
        <v>33.84</v>
      </c>
      <c r="C2335" s="1">
        <f>IFERROR(__xludf.DUMMYFUNCTION("""COMPUTED_VALUE"""),33.97)</f>
        <v>33.97</v>
      </c>
      <c r="D2335" s="1">
        <f>IFERROR(__xludf.DUMMYFUNCTION("""COMPUTED_VALUE"""),33.64)</f>
        <v>33.64</v>
      </c>
      <c r="E2335" s="1">
        <f>IFERROR(__xludf.DUMMYFUNCTION("""COMPUTED_VALUE"""),33.73)</f>
        <v>33.73</v>
      </c>
      <c r="F2335" s="1">
        <f>IFERROR(__xludf.DUMMYFUNCTION("""COMPUTED_VALUE"""),154945.0)</f>
        <v>154945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IFERROR(__xludf.DUMMYFUNCTION("""COMPUTED_VALUE"""),33.9)</f>
        <v>33.9</v>
      </c>
      <c r="C2336" s="1">
        <f>IFERROR(__xludf.DUMMYFUNCTION("""COMPUTED_VALUE"""),34.35)</f>
        <v>34.35</v>
      </c>
      <c r="D2336" s="1">
        <f>IFERROR(__xludf.DUMMYFUNCTION("""COMPUTED_VALUE"""),33.72)</f>
        <v>33.72</v>
      </c>
      <c r="E2336" s="1">
        <f>IFERROR(__xludf.DUMMYFUNCTION("""COMPUTED_VALUE"""),34.33)</f>
        <v>34.33</v>
      </c>
      <c r="F2336" s="1">
        <f>IFERROR(__xludf.DUMMYFUNCTION("""COMPUTED_VALUE"""),172899.0)</f>
        <v>172899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IFERROR(__xludf.DUMMYFUNCTION("""COMPUTED_VALUE"""),34.37)</f>
        <v>34.37</v>
      </c>
      <c r="C2337" s="1">
        <f>IFERROR(__xludf.DUMMYFUNCTION("""COMPUTED_VALUE"""),34.48)</f>
        <v>34.48</v>
      </c>
      <c r="D2337" s="1">
        <f>IFERROR(__xludf.DUMMYFUNCTION("""COMPUTED_VALUE"""),34.04)</f>
        <v>34.04</v>
      </c>
      <c r="E2337" s="1">
        <f>IFERROR(__xludf.DUMMYFUNCTION("""COMPUTED_VALUE"""),34.1)</f>
        <v>34.1</v>
      </c>
      <c r="F2337" s="1">
        <f>IFERROR(__xludf.DUMMYFUNCTION("""COMPUTED_VALUE"""),156509.0)</f>
        <v>156509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IFERROR(__xludf.DUMMYFUNCTION("""COMPUTED_VALUE"""),34.01)</f>
        <v>34.01</v>
      </c>
      <c r="C2338" s="1">
        <f>IFERROR(__xludf.DUMMYFUNCTION("""COMPUTED_VALUE"""),34.23)</f>
        <v>34.23</v>
      </c>
      <c r="D2338" s="1">
        <f>IFERROR(__xludf.DUMMYFUNCTION("""COMPUTED_VALUE"""),33.97)</f>
        <v>33.97</v>
      </c>
      <c r="E2338" s="1">
        <f>IFERROR(__xludf.DUMMYFUNCTION("""COMPUTED_VALUE"""),34.02)</f>
        <v>34.02</v>
      </c>
      <c r="F2338" s="1">
        <f>IFERROR(__xludf.DUMMYFUNCTION("""COMPUTED_VALUE"""),167189.0)</f>
        <v>167189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IFERROR(__xludf.DUMMYFUNCTION("""COMPUTED_VALUE"""),34.12)</f>
        <v>34.12</v>
      </c>
      <c r="C2339" s="1">
        <f>IFERROR(__xludf.DUMMYFUNCTION("""COMPUTED_VALUE"""),34.75)</f>
        <v>34.75</v>
      </c>
      <c r="D2339" s="1">
        <f>IFERROR(__xludf.DUMMYFUNCTION("""COMPUTED_VALUE"""),34.12)</f>
        <v>34.12</v>
      </c>
      <c r="E2339" s="1">
        <f>IFERROR(__xludf.DUMMYFUNCTION("""COMPUTED_VALUE"""),34.63)</f>
        <v>34.63</v>
      </c>
      <c r="F2339" s="1">
        <f>IFERROR(__xludf.DUMMYFUNCTION("""COMPUTED_VALUE"""),196239.0)</f>
        <v>196239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IFERROR(__xludf.DUMMYFUNCTION("""COMPUTED_VALUE"""),34.54)</f>
        <v>34.54</v>
      </c>
      <c r="C2340" s="1">
        <f>IFERROR(__xludf.DUMMYFUNCTION("""COMPUTED_VALUE"""),35.06)</f>
        <v>35.06</v>
      </c>
      <c r="D2340" s="1">
        <f>IFERROR(__xludf.DUMMYFUNCTION("""COMPUTED_VALUE"""),34.49)</f>
        <v>34.49</v>
      </c>
      <c r="E2340" s="1">
        <f>IFERROR(__xludf.DUMMYFUNCTION("""COMPUTED_VALUE"""),34.86)</f>
        <v>34.86</v>
      </c>
      <c r="F2340" s="1">
        <f>IFERROR(__xludf.DUMMYFUNCTION("""COMPUTED_VALUE"""),212577.0)</f>
        <v>212577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IFERROR(__xludf.DUMMYFUNCTION("""COMPUTED_VALUE"""),34.68)</f>
        <v>34.68</v>
      </c>
      <c r="C2341" s="1">
        <f>IFERROR(__xludf.DUMMYFUNCTION("""COMPUTED_VALUE"""),34.76)</f>
        <v>34.76</v>
      </c>
      <c r="D2341" s="1">
        <f>IFERROR(__xludf.DUMMYFUNCTION("""COMPUTED_VALUE"""),34.21)</f>
        <v>34.21</v>
      </c>
      <c r="E2341" s="1">
        <f>IFERROR(__xludf.DUMMYFUNCTION("""COMPUTED_VALUE"""),34.25)</f>
        <v>34.25</v>
      </c>
      <c r="F2341" s="1">
        <f>IFERROR(__xludf.DUMMYFUNCTION("""COMPUTED_VALUE"""),110574.0)</f>
        <v>110574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IFERROR(__xludf.DUMMYFUNCTION("""COMPUTED_VALUE"""),34.26)</f>
        <v>34.26</v>
      </c>
      <c r="C2342" s="1">
        <f>IFERROR(__xludf.DUMMYFUNCTION("""COMPUTED_VALUE"""),34.76)</f>
        <v>34.76</v>
      </c>
      <c r="D2342" s="1">
        <f>IFERROR(__xludf.DUMMYFUNCTION("""COMPUTED_VALUE"""),34.23)</f>
        <v>34.23</v>
      </c>
      <c r="E2342" s="1">
        <f>IFERROR(__xludf.DUMMYFUNCTION("""COMPUTED_VALUE"""),34.6)</f>
        <v>34.6</v>
      </c>
      <c r="F2342" s="1">
        <f>IFERROR(__xludf.DUMMYFUNCTION("""COMPUTED_VALUE"""),171153.0)</f>
        <v>171153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IFERROR(__xludf.DUMMYFUNCTION("""COMPUTED_VALUE"""),34.69)</f>
        <v>34.69</v>
      </c>
      <c r="C2343" s="1">
        <f>IFERROR(__xludf.DUMMYFUNCTION("""COMPUTED_VALUE"""),34.99)</f>
        <v>34.99</v>
      </c>
      <c r="D2343" s="1">
        <f>IFERROR(__xludf.DUMMYFUNCTION("""COMPUTED_VALUE"""),34.58)</f>
        <v>34.58</v>
      </c>
      <c r="E2343" s="1">
        <f>IFERROR(__xludf.DUMMYFUNCTION("""COMPUTED_VALUE"""),34.88)</f>
        <v>34.88</v>
      </c>
      <c r="F2343" s="1">
        <f>IFERROR(__xludf.DUMMYFUNCTION("""COMPUTED_VALUE"""),185505.0)</f>
        <v>185505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IFERROR(__xludf.DUMMYFUNCTION("""COMPUTED_VALUE"""),34.84)</f>
        <v>34.84</v>
      </c>
      <c r="C2344" s="1">
        <f>IFERROR(__xludf.DUMMYFUNCTION("""COMPUTED_VALUE"""),34.84)</f>
        <v>34.84</v>
      </c>
      <c r="D2344" s="1">
        <f>IFERROR(__xludf.DUMMYFUNCTION("""COMPUTED_VALUE"""),34.2)</f>
        <v>34.2</v>
      </c>
      <c r="E2344" s="1">
        <f>IFERROR(__xludf.DUMMYFUNCTION("""COMPUTED_VALUE"""),34.31)</f>
        <v>34.31</v>
      </c>
      <c r="F2344" s="1">
        <f>IFERROR(__xludf.DUMMYFUNCTION("""COMPUTED_VALUE"""),134120.0)</f>
        <v>134120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IFERROR(__xludf.DUMMYFUNCTION("""COMPUTED_VALUE"""),34.24)</f>
        <v>34.24</v>
      </c>
      <c r="C2345" s="1">
        <f>IFERROR(__xludf.DUMMYFUNCTION("""COMPUTED_VALUE"""),34.57)</f>
        <v>34.57</v>
      </c>
      <c r="D2345" s="1">
        <f>IFERROR(__xludf.DUMMYFUNCTION("""COMPUTED_VALUE"""),34.24)</f>
        <v>34.24</v>
      </c>
      <c r="E2345" s="1">
        <f>IFERROR(__xludf.DUMMYFUNCTION("""COMPUTED_VALUE"""),34.48)</f>
        <v>34.48</v>
      </c>
      <c r="F2345" s="1">
        <f>IFERROR(__xludf.DUMMYFUNCTION("""COMPUTED_VALUE"""),90568.0)</f>
        <v>90568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IFERROR(__xludf.DUMMYFUNCTION("""COMPUTED_VALUE"""),34.69)</f>
        <v>34.69</v>
      </c>
      <c r="C2346" s="1">
        <f>IFERROR(__xludf.DUMMYFUNCTION("""COMPUTED_VALUE"""),34.76)</f>
        <v>34.76</v>
      </c>
      <c r="D2346" s="1">
        <f>IFERROR(__xludf.DUMMYFUNCTION("""COMPUTED_VALUE"""),34.38)</f>
        <v>34.38</v>
      </c>
      <c r="E2346" s="1">
        <f>IFERROR(__xludf.DUMMYFUNCTION("""COMPUTED_VALUE"""),34.6)</f>
        <v>34.6</v>
      </c>
      <c r="F2346" s="1">
        <f>IFERROR(__xludf.DUMMYFUNCTION("""COMPUTED_VALUE"""),153320.0)</f>
        <v>153320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IFERROR(__xludf.DUMMYFUNCTION("""COMPUTED_VALUE"""),34.58)</f>
        <v>34.58</v>
      </c>
      <c r="C2347" s="1">
        <f>IFERROR(__xludf.DUMMYFUNCTION("""COMPUTED_VALUE"""),34.89)</f>
        <v>34.89</v>
      </c>
      <c r="D2347" s="1">
        <f>IFERROR(__xludf.DUMMYFUNCTION("""COMPUTED_VALUE"""),34.38)</f>
        <v>34.38</v>
      </c>
      <c r="E2347" s="1">
        <f>IFERROR(__xludf.DUMMYFUNCTION("""COMPUTED_VALUE"""),34.79)</f>
        <v>34.79</v>
      </c>
      <c r="F2347" s="1">
        <f>IFERROR(__xludf.DUMMYFUNCTION("""COMPUTED_VALUE"""),132297.0)</f>
        <v>132297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IFERROR(__xludf.DUMMYFUNCTION("""COMPUTED_VALUE"""),34.77)</f>
        <v>34.77</v>
      </c>
      <c r="C2348" s="1">
        <f>IFERROR(__xludf.DUMMYFUNCTION("""COMPUTED_VALUE"""),34.83)</f>
        <v>34.83</v>
      </c>
      <c r="D2348" s="1">
        <f>IFERROR(__xludf.DUMMYFUNCTION("""COMPUTED_VALUE"""),34.41)</f>
        <v>34.41</v>
      </c>
      <c r="E2348" s="1">
        <f>IFERROR(__xludf.DUMMYFUNCTION("""COMPUTED_VALUE"""),34.57)</f>
        <v>34.57</v>
      </c>
      <c r="F2348" s="1">
        <f>IFERROR(__xludf.DUMMYFUNCTION("""COMPUTED_VALUE"""),175027.0)</f>
        <v>175027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IFERROR(__xludf.DUMMYFUNCTION("""COMPUTED_VALUE"""),34.47)</f>
        <v>34.47</v>
      </c>
      <c r="C2349" s="1">
        <f>IFERROR(__xludf.DUMMYFUNCTION("""COMPUTED_VALUE"""),34.72)</f>
        <v>34.72</v>
      </c>
      <c r="D2349" s="1">
        <f>IFERROR(__xludf.DUMMYFUNCTION("""COMPUTED_VALUE"""),34.28)</f>
        <v>34.28</v>
      </c>
      <c r="E2349" s="1">
        <f>IFERROR(__xludf.DUMMYFUNCTION("""COMPUTED_VALUE"""),34.54)</f>
        <v>34.54</v>
      </c>
      <c r="F2349" s="1">
        <f>IFERROR(__xludf.DUMMYFUNCTION("""COMPUTED_VALUE"""),131901.0)</f>
        <v>131901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IFERROR(__xludf.DUMMYFUNCTION("""COMPUTED_VALUE"""),34.71)</f>
        <v>34.71</v>
      </c>
      <c r="C2350" s="1">
        <f>IFERROR(__xludf.DUMMYFUNCTION("""COMPUTED_VALUE"""),34.8)</f>
        <v>34.8</v>
      </c>
      <c r="D2350" s="1">
        <f>IFERROR(__xludf.DUMMYFUNCTION("""COMPUTED_VALUE"""),34.46)</f>
        <v>34.46</v>
      </c>
      <c r="E2350" s="1">
        <f>IFERROR(__xludf.DUMMYFUNCTION("""COMPUTED_VALUE"""),34.72)</f>
        <v>34.72</v>
      </c>
      <c r="F2350" s="1">
        <f>IFERROR(__xludf.DUMMYFUNCTION("""COMPUTED_VALUE"""),97705.0)</f>
        <v>97705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IFERROR(__xludf.DUMMYFUNCTION("""COMPUTED_VALUE"""),34.35)</f>
        <v>34.35</v>
      </c>
      <c r="C2351" s="1">
        <f>IFERROR(__xludf.DUMMYFUNCTION("""COMPUTED_VALUE"""),34.78)</f>
        <v>34.78</v>
      </c>
      <c r="D2351" s="1">
        <f>IFERROR(__xludf.DUMMYFUNCTION("""COMPUTED_VALUE"""),34.3)</f>
        <v>34.3</v>
      </c>
      <c r="E2351" s="1">
        <f>IFERROR(__xludf.DUMMYFUNCTION("""COMPUTED_VALUE"""),34.63)</f>
        <v>34.63</v>
      </c>
      <c r="F2351" s="1">
        <f>IFERROR(__xludf.DUMMYFUNCTION("""COMPUTED_VALUE"""),150735.0)</f>
        <v>150735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IFERROR(__xludf.DUMMYFUNCTION("""COMPUTED_VALUE"""),34.43)</f>
        <v>34.43</v>
      </c>
      <c r="C2352" s="1">
        <f>IFERROR(__xludf.DUMMYFUNCTION("""COMPUTED_VALUE"""),34.9)</f>
        <v>34.9</v>
      </c>
      <c r="D2352" s="1">
        <f>IFERROR(__xludf.DUMMYFUNCTION("""COMPUTED_VALUE"""),34.39)</f>
        <v>34.39</v>
      </c>
      <c r="E2352" s="1">
        <f>IFERROR(__xludf.DUMMYFUNCTION("""COMPUTED_VALUE"""),34.55)</f>
        <v>34.55</v>
      </c>
      <c r="F2352" s="1">
        <f>IFERROR(__xludf.DUMMYFUNCTION("""COMPUTED_VALUE"""),407063.0)</f>
        <v>407063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IFERROR(__xludf.DUMMYFUNCTION("""COMPUTED_VALUE"""),34.55)</f>
        <v>34.55</v>
      </c>
      <c r="C2353" s="1">
        <f>IFERROR(__xludf.DUMMYFUNCTION("""COMPUTED_VALUE"""),34.92)</f>
        <v>34.92</v>
      </c>
      <c r="D2353" s="1">
        <f>IFERROR(__xludf.DUMMYFUNCTION("""COMPUTED_VALUE"""),34.32)</f>
        <v>34.32</v>
      </c>
      <c r="E2353" s="1">
        <f>IFERROR(__xludf.DUMMYFUNCTION("""COMPUTED_VALUE"""),34.59)</f>
        <v>34.59</v>
      </c>
      <c r="F2353" s="1">
        <f>IFERROR(__xludf.DUMMYFUNCTION("""COMPUTED_VALUE"""),360318.0)</f>
        <v>360318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IFERROR(__xludf.DUMMYFUNCTION("""COMPUTED_VALUE"""),34.52)</f>
        <v>34.52</v>
      </c>
      <c r="C2354" s="1">
        <f>IFERROR(__xludf.DUMMYFUNCTION("""COMPUTED_VALUE"""),34.81)</f>
        <v>34.81</v>
      </c>
      <c r="D2354" s="1">
        <f>IFERROR(__xludf.DUMMYFUNCTION("""COMPUTED_VALUE"""),34.27)</f>
        <v>34.27</v>
      </c>
      <c r="E2354" s="1">
        <f>IFERROR(__xludf.DUMMYFUNCTION("""COMPUTED_VALUE"""),34.61)</f>
        <v>34.61</v>
      </c>
      <c r="F2354" s="1">
        <f>IFERROR(__xludf.DUMMYFUNCTION("""COMPUTED_VALUE"""),251307.0)</f>
        <v>251307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IFERROR(__xludf.DUMMYFUNCTION("""COMPUTED_VALUE"""),34.17)</f>
        <v>34.17</v>
      </c>
      <c r="C2355" s="1">
        <f>IFERROR(__xludf.DUMMYFUNCTION("""COMPUTED_VALUE"""),34.17)</f>
        <v>34.17</v>
      </c>
      <c r="D2355" s="1">
        <f>IFERROR(__xludf.DUMMYFUNCTION("""COMPUTED_VALUE"""),31.84)</f>
        <v>31.84</v>
      </c>
      <c r="E2355" s="1">
        <f>IFERROR(__xludf.DUMMYFUNCTION("""COMPUTED_VALUE"""),33.54)</f>
        <v>33.54</v>
      </c>
      <c r="F2355" s="1">
        <f>IFERROR(__xludf.DUMMYFUNCTION("""COMPUTED_VALUE"""),1521926.0)</f>
        <v>1521926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IFERROR(__xludf.DUMMYFUNCTION("""COMPUTED_VALUE"""),32.84)</f>
        <v>32.84</v>
      </c>
      <c r="C2356" s="1">
        <f>IFERROR(__xludf.DUMMYFUNCTION("""COMPUTED_VALUE"""),33.46)</f>
        <v>33.46</v>
      </c>
      <c r="D2356" s="1">
        <f>IFERROR(__xludf.DUMMYFUNCTION("""COMPUTED_VALUE"""),32.34)</f>
        <v>32.34</v>
      </c>
      <c r="E2356" s="1">
        <f>IFERROR(__xludf.DUMMYFUNCTION("""COMPUTED_VALUE"""),32.37)</f>
        <v>32.37</v>
      </c>
      <c r="F2356" s="1">
        <f>IFERROR(__xludf.DUMMYFUNCTION("""COMPUTED_VALUE"""),480907.0)</f>
        <v>480907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IFERROR(__xludf.DUMMYFUNCTION("""COMPUTED_VALUE"""),32.54)</f>
        <v>32.54</v>
      </c>
      <c r="C2357" s="1">
        <f>IFERROR(__xludf.DUMMYFUNCTION("""COMPUTED_VALUE"""),33.47)</f>
        <v>33.47</v>
      </c>
      <c r="D2357" s="1">
        <f>IFERROR(__xludf.DUMMYFUNCTION("""COMPUTED_VALUE"""),32.34)</f>
        <v>32.34</v>
      </c>
      <c r="E2357" s="1">
        <f>IFERROR(__xludf.DUMMYFUNCTION("""COMPUTED_VALUE"""),33.23)</f>
        <v>33.23</v>
      </c>
      <c r="F2357" s="1">
        <f>IFERROR(__xludf.DUMMYFUNCTION("""COMPUTED_VALUE"""),358998.0)</f>
        <v>358998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IFERROR(__xludf.DUMMYFUNCTION("""COMPUTED_VALUE"""),32.99)</f>
        <v>32.99</v>
      </c>
      <c r="C2358" s="1">
        <f>IFERROR(__xludf.DUMMYFUNCTION("""COMPUTED_VALUE"""),33.18)</f>
        <v>33.18</v>
      </c>
      <c r="D2358" s="1">
        <f>IFERROR(__xludf.DUMMYFUNCTION("""COMPUTED_VALUE"""),32.92)</f>
        <v>32.92</v>
      </c>
      <c r="E2358" s="1">
        <f>IFERROR(__xludf.DUMMYFUNCTION("""COMPUTED_VALUE"""),32.97)</f>
        <v>32.97</v>
      </c>
      <c r="F2358" s="1">
        <f>IFERROR(__xludf.DUMMYFUNCTION("""COMPUTED_VALUE"""),251286.0)</f>
        <v>251286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IFERROR(__xludf.DUMMYFUNCTION("""COMPUTED_VALUE"""),33.08)</f>
        <v>33.08</v>
      </c>
      <c r="C2359" s="1">
        <f>IFERROR(__xludf.DUMMYFUNCTION("""COMPUTED_VALUE"""),33.66)</f>
        <v>33.66</v>
      </c>
      <c r="D2359" s="1">
        <f>IFERROR(__xludf.DUMMYFUNCTION("""COMPUTED_VALUE"""),33.05)</f>
        <v>33.05</v>
      </c>
      <c r="E2359" s="1">
        <f>IFERROR(__xludf.DUMMYFUNCTION("""COMPUTED_VALUE"""),33.44)</f>
        <v>33.44</v>
      </c>
      <c r="F2359" s="1">
        <f>IFERROR(__xludf.DUMMYFUNCTION("""COMPUTED_VALUE"""),149710.0)</f>
        <v>149710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IFERROR(__xludf.DUMMYFUNCTION("""COMPUTED_VALUE"""),33.29)</f>
        <v>33.29</v>
      </c>
      <c r="C2360" s="1">
        <f>IFERROR(__xludf.DUMMYFUNCTION("""COMPUTED_VALUE"""),33.66)</f>
        <v>33.66</v>
      </c>
      <c r="D2360" s="1">
        <f>IFERROR(__xludf.DUMMYFUNCTION("""COMPUTED_VALUE"""),33.09)</f>
        <v>33.09</v>
      </c>
      <c r="E2360" s="1">
        <f>IFERROR(__xludf.DUMMYFUNCTION("""COMPUTED_VALUE"""),33.44)</f>
        <v>33.44</v>
      </c>
      <c r="F2360" s="1">
        <f>IFERROR(__xludf.DUMMYFUNCTION("""COMPUTED_VALUE"""),148661.0)</f>
        <v>148661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IFERROR(__xludf.DUMMYFUNCTION("""COMPUTED_VALUE"""),33.05)</f>
        <v>33.05</v>
      </c>
      <c r="C2361" s="1">
        <f>IFERROR(__xludf.DUMMYFUNCTION("""COMPUTED_VALUE"""),33.7)</f>
        <v>33.7</v>
      </c>
      <c r="D2361" s="1">
        <f>IFERROR(__xludf.DUMMYFUNCTION("""COMPUTED_VALUE"""),33.05)</f>
        <v>33.05</v>
      </c>
      <c r="E2361" s="1">
        <f>IFERROR(__xludf.DUMMYFUNCTION("""COMPUTED_VALUE"""),33.53)</f>
        <v>33.53</v>
      </c>
      <c r="F2361" s="1">
        <f>IFERROR(__xludf.DUMMYFUNCTION("""COMPUTED_VALUE"""),142813.0)</f>
        <v>142813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IFERROR(__xludf.DUMMYFUNCTION("""COMPUTED_VALUE"""),33.74)</f>
        <v>33.74</v>
      </c>
      <c r="C2362" s="1">
        <f>IFERROR(__xludf.DUMMYFUNCTION("""COMPUTED_VALUE"""),33.89)</f>
        <v>33.89</v>
      </c>
      <c r="D2362" s="1">
        <f>IFERROR(__xludf.DUMMYFUNCTION("""COMPUTED_VALUE"""),33.61)</f>
        <v>33.61</v>
      </c>
      <c r="E2362" s="1">
        <f>IFERROR(__xludf.DUMMYFUNCTION("""COMPUTED_VALUE"""),33.72)</f>
        <v>33.72</v>
      </c>
      <c r="F2362" s="1">
        <f>IFERROR(__xludf.DUMMYFUNCTION("""COMPUTED_VALUE"""),195030.0)</f>
        <v>195030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IFERROR(__xludf.DUMMYFUNCTION("""COMPUTED_VALUE"""),33.56)</f>
        <v>33.56</v>
      </c>
      <c r="C2363" s="1">
        <f>IFERROR(__xludf.DUMMYFUNCTION("""COMPUTED_VALUE"""),33.83)</f>
        <v>33.83</v>
      </c>
      <c r="D2363" s="1">
        <f>IFERROR(__xludf.DUMMYFUNCTION("""COMPUTED_VALUE"""),33.48)</f>
        <v>33.48</v>
      </c>
      <c r="E2363" s="1">
        <f>IFERROR(__xludf.DUMMYFUNCTION("""COMPUTED_VALUE"""),33.7)</f>
        <v>33.7</v>
      </c>
      <c r="F2363" s="1">
        <f>IFERROR(__xludf.DUMMYFUNCTION("""COMPUTED_VALUE"""),204323.0)</f>
        <v>204323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IFERROR(__xludf.DUMMYFUNCTION("""COMPUTED_VALUE"""),33.59)</f>
        <v>33.59</v>
      </c>
      <c r="C2364" s="1">
        <f>IFERROR(__xludf.DUMMYFUNCTION("""COMPUTED_VALUE"""),33.98)</f>
        <v>33.98</v>
      </c>
      <c r="D2364" s="1">
        <f>IFERROR(__xludf.DUMMYFUNCTION("""COMPUTED_VALUE"""),33.4)</f>
        <v>33.4</v>
      </c>
      <c r="E2364" s="1">
        <f>IFERROR(__xludf.DUMMYFUNCTION("""COMPUTED_VALUE"""),33.61)</f>
        <v>33.61</v>
      </c>
      <c r="F2364" s="1">
        <f>IFERROR(__xludf.DUMMYFUNCTION("""COMPUTED_VALUE"""),253216.0)</f>
        <v>253216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IFERROR(__xludf.DUMMYFUNCTION("""COMPUTED_VALUE"""),33.87)</f>
        <v>33.87</v>
      </c>
      <c r="C2365" s="1">
        <f>IFERROR(__xludf.DUMMYFUNCTION("""COMPUTED_VALUE"""),34.2)</f>
        <v>34.2</v>
      </c>
      <c r="D2365" s="1">
        <f>IFERROR(__xludf.DUMMYFUNCTION("""COMPUTED_VALUE"""),33.77)</f>
        <v>33.77</v>
      </c>
      <c r="E2365" s="1">
        <f>IFERROR(__xludf.DUMMYFUNCTION("""COMPUTED_VALUE"""),33.81)</f>
        <v>33.81</v>
      </c>
      <c r="F2365" s="1">
        <f>IFERROR(__xludf.DUMMYFUNCTION("""COMPUTED_VALUE"""),167025.0)</f>
        <v>167025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IFERROR(__xludf.DUMMYFUNCTION("""COMPUTED_VALUE"""),33.61)</f>
        <v>33.61</v>
      </c>
      <c r="C2366" s="1">
        <f>IFERROR(__xludf.DUMMYFUNCTION("""COMPUTED_VALUE"""),33.97)</f>
        <v>33.97</v>
      </c>
      <c r="D2366" s="1">
        <f>IFERROR(__xludf.DUMMYFUNCTION("""COMPUTED_VALUE"""),33.34)</f>
        <v>33.34</v>
      </c>
      <c r="E2366" s="1">
        <f>IFERROR(__xludf.DUMMYFUNCTION("""COMPUTED_VALUE"""),33.46)</f>
        <v>33.46</v>
      </c>
      <c r="F2366" s="1">
        <f>IFERROR(__xludf.DUMMYFUNCTION("""COMPUTED_VALUE"""),192493.0)</f>
        <v>192493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IFERROR(__xludf.DUMMYFUNCTION("""COMPUTED_VALUE"""),33.35)</f>
        <v>33.35</v>
      </c>
      <c r="C2367" s="1">
        <f>IFERROR(__xludf.DUMMYFUNCTION("""COMPUTED_VALUE"""),33.45)</f>
        <v>33.45</v>
      </c>
      <c r="D2367" s="1">
        <f>IFERROR(__xludf.DUMMYFUNCTION("""COMPUTED_VALUE"""),32.99)</f>
        <v>32.99</v>
      </c>
      <c r="E2367" s="1">
        <f>IFERROR(__xludf.DUMMYFUNCTION("""COMPUTED_VALUE"""),32.99)</f>
        <v>32.99</v>
      </c>
      <c r="F2367" s="1">
        <f>IFERROR(__xludf.DUMMYFUNCTION("""COMPUTED_VALUE"""),164498.0)</f>
        <v>164498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IFERROR(__xludf.DUMMYFUNCTION("""COMPUTED_VALUE"""),33.0)</f>
        <v>33</v>
      </c>
      <c r="C2368" s="1">
        <f>IFERROR(__xludf.DUMMYFUNCTION("""COMPUTED_VALUE"""),33.34)</f>
        <v>33.34</v>
      </c>
      <c r="D2368" s="1">
        <f>IFERROR(__xludf.DUMMYFUNCTION("""COMPUTED_VALUE"""),32.9)</f>
        <v>32.9</v>
      </c>
      <c r="E2368" s="1">
        <f>IFERROR(__xludf.DUMMYFUNCTION("""COMPUTED_VALUE"""),33.14)</f>
        <v>33.14</v>
      </c>
      <c r="F2368" s="1">
        <f>IFERROR(__xludf.DUMMYFUNCTION("""COMPUTED_VALUE"""),195680.0)</f>
        <v>195680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IFERROR(__xludf.DUMMYFUNCTION("""COMPUTED_VALUE"""),32.95)</f>
        <v>32.95</v>
      </c>
      <c r="C2369" s="1">
        <f>IFERROR(__xludf.DUMMYFUNCTION("""COMPUTED_VALUE"""),33.37)</f>
        <v>33.37</v>
      </c>
      <c r="D2369" s="1">
        <f>IFERROR(__xludf.DUMMYFUNCTION("""COMPUTED_VALUE"""),32.88)</f>
        <v>32.88</v>
      </c>
      <c r="E2369" s="1">
        <f>IFERROR(__xludf.DUMMYFUNCTION("""COMPUTED_VALUE"""),33.37)</f>
        <v>33.37</v>
      </c>
      <c r="F2369" s="1">
        <f>IFERROR(__xludf.DUMMYFUNCTION("""COMPUTED_VALUE"""),225661.0)</f>
        <v>225661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IFERROR(__xludf.DUMMYFUNCTION("""COMPUTED_VALUE"""),33.12)</f>
        <v>33.12</v>
      </c>
      <c r="C2370" s="1">
        <f>IFERROR(__xludf.DUMMYFUNCTION("""COMPUTED_VALUE"""),33.59)</f>
        <v>33.59</v>
      </c>
      <c r="D2370" s="1">
        <f>IFERROR(__xludf.DUMMYFUNCTION("""COMPUTED_VALUE"""),33.12)</f>
        <v>33.12</v>
      </c>
      <c r="E2370" s="1">
        <f>IFERROR(__xludf.DUMMYFUNCTION("""COMPUTED_VALUE"""),33.29)</f>
        <v>33.29</v>
      </c>
      <c r="F2370" s="1">
        <f>IFERROR(__xludf.DUMMYFUNCTION("""COMPUTED_VALUE"""),240775.0)</f>
        <v>240775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IFERROR(__xludf.DUMMYFUNCTION("""COMPUTED_VALUE"""),33.38)</f>
        <v>33.38</v>
      </c>
      <c r="C2371" s="1">
        <f>IFERROR(__xludf.DUMMYFUNCTION("""COMPUTED_VALUE"""),33.52)</f>
        <v>33.52</v>
      </c>
      <c r="D2371" s="1">
        <f>IFERROR(__xludf.DUMMYFUNCTION("""COMPUTED_VALUE"""),33.18)</f>
        <v>33.18</v>
      </c>
      <c r="E2371" s="1">
        <f>IFERROR(__xludf.DUMMYFUNCTION("""COMPUTED_VALUE"""),33.24)</f>
        <v>33.24</v>
      </c>
      <c r="F2371" s="1">
        <f>IFERROR(__xludf.DUMMYFUNCTION("""COMPUTED_VALUE"""),259217.0)</f>
        <v>259217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IFERROR(__xludf.DUMMYFUNCTION("""COMPUTED_VALUE"""),33.2)</f>
        <v>33.2</v>
      </c>
      <c r="C2372" s="1">
        <f>IFERROR(__xludf.DUMMYFUNCTION("""COMPUTED_VALUE"""),33.79)</f>
        <v>33.79</v>
      </c>
      <c r="D2372" s="1">
        <f>IFERROR(__xludf.DUMMYFUNCTION("""COMPUTED_VALUE"""),33.17)</f>
        <v>33.17</v>
      </c>
      <c r="E2372" s="1">
        <f>IFERROR(__xludf.DUMMYFUNCTION("""COMPUTED_VALUE"""),33.79)</f>
        <v>33.79</v>
      </c>
      <c r="F2372" s="1">
        <f>IFERROR(__xludf.DUMMYFUNCTION("""COMPUTED_VALUE"""),211490.0)</f>
        <v>211490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IFERROR(__xludf.DUMMYFUNCTION("""COMPUTED_VALUE"""),33.82)</f>
        <v>33.82</v>
      </c>
      <c r="C2373" s="1">
        <f>IFERROR(__xludf.DUMMYFUNCTION("""COMPUTED_VALUE"""),33.89)</f>
        <v>33.89</v>
      </c>
      <c r="D2373" s="1">
        <f>IFERROR(__xludf.DUMMYFUNCTION("""COMPUTED_VALUE"""),33.57)</f>
        <v>33.57</v>
      </c>
      <c r="E2373" s="1">
        <f>IFERROR(__xludf.DUMMYFUNCTION("""COMPUTED_VALUE"""),33.82)</f>
        <v>33.82</v>
      </c>
      <c r="F2373" s="1">
        <f>IFERROR(__xludf.DUMMYFUNCTION("""COMPUTED_VALUE"""),149781.0)</f>
        <v>149781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IFERROR(__xludf.DUMMYFUNCTION("""COMPUTED_VALUE"""),33.92)</f>
        <v>33.92</v>
      </c>
      <c r="C2374" s="1">
        <f>IFERROR(__xludf.DUMMYFUNCTION("""COMPUTED_VALUE"""),34.54)</f>
        <v>34.54</v>
      </c>
      <c r="D2374" s="1">
        <f>IFERROR(__xludf.DUMMYFUNCTION("""COMPUTED_VALUE"""),33.84)</f>
        <v>33.84</v>
      </c>
      <c r="E2374" s="1">
        <f>IFERROR(__xludf.DUMMYFUNCTION("""COMPUTED_VALUE"""),34.29)</f>
        <v>34.29</v>
      </c>
      <c r="F2374" s="1">
        <f>IFERROR(__xludf.DUMMYFUNCTION("""COMPUTED_VALUE"""),156207.0)</f>
        <v>156207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IFERROR(__xludf.DUMMYFUNCTION("""COMPUTED_VALUE"""),34.42)</f>
        <v>34.42</v>
      </c>
      <c r="C2375" s="1">
        <f>IFERROR(__xludf.DUMMYFUNCTION("""COMPUTED_VALUE"""),34.73)</f>
        <v>34.73</v>
      </c>
      <c r="D2375" s="1">
        <f>IFERROR(__xludf.DUMMYFUNCTION("""COMPUTED_VALUE"""),34.26)</f>
        <v>34.26</v>
      </c>
      <c r="E2375" s="1">
        <f>IFERROR(__xludf.DUMMYFUNCTION("""COMPUTED_VALUE"""),34.63)</f>
        <v>34.63</v>
      </c>
      <c r="F2375" s="1">
        <f>IFERROR(__xludf.DUMMYFUNCTION("""COMPUTED_VALUE"""),154290.0)</f>
        <v>154290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IFERROR(__xludf.DUMMYFUNCTION("""COMPUTED_VALUE"""),34.66)</f>
        <v>34.66</v>
      </c>
      <c r="C2376" s="1">
        <f>IFERROR(__xludf.DUMMYFUNCTION("""COMPUTED_VALUE"""),34.87)</f>
        <v>34.87</v>
      </c>
      <c r="D2376" s="1">
        <f>IFERROR(__xludf.DUMMYFUNCTION("""COMPUTED_VALUE"""),34.52)</f>
        <v>34.52</v>
      </c>
      <c r="E2376" s="1">
        <f>IFERROR(__xludf.DUMMYFUNCTION("""COMPUTED_VALUE"""),34.61)</f>
        <v>34.61</v>
      </c>
      <c r="F2376" s="1">
        <f>IFERROR(__xludf.DUMMYFUNCTION("""COMPUTED_VALUE"""),185433.0)</f>
        <v>185433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IFERROR(__xludf.DUMMYFUNCTION("""COMPUTED_VALUE"""),34.6)</f>
        <v>34.6</v>
      </c>
      <c r="C2377" s="1">
        <f>IFERROR(__xludf.DUMMYFUNCTION("""COMPUTED_VALUE"""),35.12)</f>
        <v>35.12</v>
      </c>
      <c r="D2377" s="1">
        <f>IFERROR(__xludf.DUMMYFUNCTION("""COMPUTED_VALUE"""),34.45)</f>
        <v>34.45</v>
      </c>
      <c r="E2377" s="1">
        <f>IFERROR(__xludf.DUMMYFUNCTION("""COMPUTED_VALUE"""),34.92)</f>
        <v>34.92</v>
      </c>
      <c r="F2377" s="1">
        <f>IFERROR(__xludf.DUMMYFUNCTION("""COMPUTED_VALUE"""),248073.0)</f>
        <v>248073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IFERROR(__xludf.DUMMYFUNCTION("""COMPUTED_VALUE"""),34.94)</f>
        <v>34.94</v>
      </c>
      <c r="C2378" s="1">
        <f>IFERROR(__xludf.DUMMYFUNCTION("""COMPUTED_VALUE"""),35.36)</f>
        <v>35.36</v>
      </c>
      <c r="D2378" s="1">
        <f>IFERROR(__xludf.DUMMYFUNCTION("""COMPUTED_VALUE"""),34.81)</f>
        <v>34.81</v>
      </c>
      <c r="E2378" s="1">
        <f>IFERROR(__xludf.DUMMYFUNCTION("""COMPUTED_VALUE"""),35.03)</f>
        <v>35.03</v>
      </c>
      <c r="F2378" s="1">
        <f>IFERROR(__xludf.DUMMYFUNCTION("""COMPUTED_VALUE"""),244110.0)</f>
        <v>244110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IFERROR(__xludf.DUMMYFUNCTION("""COMPUTED_VALUE"""),34.99)</f>
        <v>34.99</v>
      </c>
      <c r="C2379" s="1">
        <f>IFERROR(__xludf.DUMMYFUNCTION("""COMPUTED_VALUE"""),35.72)</f>
        <v>35.72</v>
      </c>
      <c r="D2379" s="1">
        <f>IFERROR(__xludf.DUMMYFUNCTION("""COMPUTED_VALUE"""),34.95)</f>
        <v>34.95</v>
      </c>
      <c r="E2379" s="1">
        <f>IFERROR(__xludf.DUMMYFUNCTION("""COMPUTED_VALUE"""),35.64)</f>
        <v>35.64</v>
      </c>
      <c r="F2379" s="1">
        <f>IFERROR(__xludf.DUMMYFUNCTION("""COMPUTED_VALUE"""),227665.0)</f>
        <v>227665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IFERROR(__xludf.DUMMYFUNCTION("""COMPUTED_VALUE"""),35.78)</f>
        <v>35.78</v>
      </c>
      <c r="C2380" s="1">
        <f>IFERROR(__xludf.DUMMYFUNCTION("""COMPUTED_VALUE"""),36.33)</f>
        <v>36.33</v>
      </c>
      <c r="D2380" s="1">
        <f>IFERROR(__xludf.DUMMYFUNCTION("""COMPUTED_VALUE"""),35.77)</f>
        <v>35.77</v>
      </c>
      <c r="E2380" s="1">
        <f>IFERROR(__xludf.DUMMYFUNCTION("""COMPUTED_VALUE"""),35.83)</f>
        <v>35.83</v>
      </c>
      <c r="F2380" s="1">
        <f>IFERROR(__xludf.DUMMYFUNCTION("""COMPUTED_VALUE"""),315793.0)</f>
        <v>315793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IFERROR(__xludf.DUMMYFUNCTION("""COMPUTED_VALUE"""),35.88)</f>
        <v>35.88</v>
      </c>
      <c r="C2381" s="1">
        <f>IFERROR(__xludf.DUMMYFUNCTION("""COMPUTED_VALUE"""),36.24)</f>
        <v>36.24</v>
      </c>
      <c r="D2381" s="1">
        <f>IFERROR(__xludf.DUMMYFUNCTION("""COMPUTED_VALUE"""),35.77)</f>
        <v>35.77</v>
      </c>
      <c r="E2381" s="1">
        <f>IFERROR(__xludf.DUMMYFUNCTION("""COMPUTED_VALUE"""),35.89)</f>
        <v>35.89</v>
      </c>
      <c r="F2381" s="1">
        <f>IFERROR(__xludf.DUMMYFUNCTION("""COMPUTED_VALUE"""),155807.0)</f>
        <v>155807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IFERROR(__xludf.DUMMYFUNCTION("""COMPUTED_VALUE"""),35.72)</f>
        <v>35.72</v>
      </c>
      <c r="C2382" s="1">
        <f>IFERROR(__xludf.DUMMYFUNCTION("""COMPUTED_VALUE"""),36.3)</f>
        <v>36.3</v>
      </c>
      <c r="D2382" s="1">
        <f>IFERROR(__xludf.DUMMYFUNCTION("""COMPUTED_VALUE"""),35.72)</f>
        <v>35.72</v>
      </c>
      <c r="E2382" s="1">
        <f>IFERROR(__xludf.DUMMYFUNCTION("""COMPUTED_VALUE"""),36.26)</f>
        <v>36.26</v>
      </c>
      <c r="F2382" s="1">
        <f>IFERROR(__xludf.DUMMYFUNCTION("""COMPUTED_VALUE"""),184316.0)</f>
        <v>184316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IFERROR(__xludf.DUMMYFUNCTION("""COMPUTED_VALUE"""),36.52)</f>
        <v>36.52</v>
      </c>
      <c r="C2383" s="1">
        <f>IFERROR(__xludf.DUMMYFUNCTION("""COMPUTED_VALUE"""),36.59)</f>
        <v>36.59</v>
      </c>
      <c r="D2383" s="1">
        <f>IFERROR(__xludf.DUMMYFUNCTION("""COMPUTED_VALUE"""),35.89)</f>
        <v>35.89</v>
      </c>
      <c r="E2383" s="1">
        <f>IFERROR(__xludf.DUMMYFUNCTION("""COMPUTED_VALUE"""),35.9)</f>
        <v>35.9</v>
      </c>
      <c r="F2383" s="1">
        <f>IFERROR(__xludf.DUMMYFUNCTION("""COMPUTED_VALUE"""),215422.0)</f>
        <v>215422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IFERROR(__xludf.DUMMYFUNCTION("""COMPUTED_VALUE"""),35.91)</f>
        <v>35.91</v>
      </c>
      <c r="C2384" s="1">
        <f>IFERROR(__xludf.DUMMYFUNCTION("""COMPUTED_VALUE"""),36.17)</f>
        <v>36.17</v>
      </c>
      <c r="D2384" s="1">
        <f>IFERROR(__xludf.DUMMYFUNCTION("""COMPUTED_VALUE"""),35.8)</f>
        <v>35.8</v>
      </c>
      <c r="E2384" s="1">
        <f>IFERROR(__xludf.DUMMYFUNCTION("""COMPUTED_VALUE"""),36.04)</f>
        <v>36.04</v>
      </c>
      <c r="F2384" s="1">
        <f>IFERROR(__xludf.DUMMYFUNCTION("""COMPUTED_VALUE"""),179861.0)</f>
        <v>179861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IFERROR(__xludf.DUMMYFUNCTION("""COMPUTED_VALUE"""),35.22)</f>
        <v>35.22</v>
      </c>
      <c r="C2385" s="1">
        <f>IFERROR(__xludf.DUMMYFUNCTION("""COMPUTED_VALUE"""),35.69)</f>
        <v>35.69</v>
      </c>
      <c r="D2385" s="1">
        <f>IFERROR(__xludf.DUMMYFUNCTION("""COMPUTED_VALUE"""),34.57)</f>
        <v>34.57</v>
      </c>
      <c r="E2385" s="1">
        <f>IFERROR(__xludf.DUMMYFUNCTION("""COMPUTED_VALUE"""),34.61)</f>
        <v>34.61</v>
      </c>
      <c r="F2385" s="1">
        <f>IFERROR(__xludf.DUMMYFUNCTION("""COMPUTED_VALUE"""),294462.0)</f>
        <v>294462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IFERROR(__xludf.DUMMYFUNCTION("""COMPUTED_VALUE"""),34.68)</f>
        <v>34.68</v>
      </c>
      <c r="C2386" s="1">
        <f>IFERROR(__xludf.DUMMYFUNCTION("""COMPUTED_VALUE"""),34.68)</f>
        <v>34.68</v>
      </c>
      <c r="D2386" s="1">
        <f>IFERROR(__xludf.DUMMYFUNCTION("""COMPUTED_VALUE"""),33.31)</f>
        <v>33.31</v>
      </c>
      <c r="E2386" s="1">
        <f>IFERROR(__xludf.DUMMYFUNCTION("""COMPUTED_VALUE"""),33.79)</f>
        <v>33.79</v>
      </c>
      <c r="F2386" s="1">
        <f>IFERROR(__xludf.DUMMYFUNCTION("""COMPUTED_VALUE"""),464821.0)</f>
        <v>464821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IFERROR(__xludf.DUMMYFUNCTION("""COMPUTED_VALUE"""),33.8)</f>
        <v>33.8</v>
      </c>
      <c r="C2387" s="1">
        <f>IFERROR(__xludf.DUMMYFUNCTION("""COMPUTED_VALUE"""),34.23)</f>
        <v>34.23</v>
      </c>
      <c r="D2387" s="1">
        <f>IFERROR(__xludf.DUMMYFUNCTION("""COMPUTED_VALUE"""),33.43)</f>
        <v>33.43</v>
      </c>
      <c r="E2387" s="1">
        <f>IFERROR(__xludf.DUMMYFUNCTION("""COMPUTED_VALUE"""),33.48)</f>
        <v>33.48</v>
      </c>
      <c r="F2387" s="1">
        <f>IFERROR(__xludf.DUMMYFUNCTION("""COMPUTED_VALUE"""),245104.0)</f>
        <v>245104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IFERROR(__xludf.DUMMYFUNCTION("""COMPUTED_VALUE"""),33.5)</f>
        <v>33.5</v>
      </c>
      <c r="C2388" s="1">
        <f>IFERROR(__xludf.DUMMYFUNCTION("""COMPUTED_VALUE"""),33.69)</f>
        <v>33.69</v>
      </c>
      <c r="D2388" s="1">
        <f>IFERROR(__xludf.DUMMYFUNCTION("""COMPUTED_VALUE"""),33.15)</f>
        <v>33.15</v>
      </c>
      <c r="E2388" s="1">
        <f>IFERROR(__xludf.DUMMYFUNCTION("""COMPUTED_VALUE"""),33.25)</f>
        <v>33.25</v>
      </c>
      <c r="F2388" s="1">
        <f>IFERROR(__xludf.DUMMYFUNCTION("""COMPUTED_VALUE"""),335181.0)</f>
        <v>335181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IFERROR(__xludf.DUMMYFUNCTION("""COMPUTED_VALUE"""),33.39)</f>
        <v>33.39</v>
      </c>
      <c r="C2389" s="1">
        <f>IFERROR(__xludf.DUMMYFUNCTION("""COMPUTED_VALUE"""),33.64)</f>
        <v>33.64</v>
      </c>
      <c r="D2389" s="1">
        <f>IFERROR(__xludf.DUMMYFUNCTION("""COMPUTED_VALUE"""),33.17)</f>
        <v>33.17</v>
      </c>
      <c r="E2389" s="1">
        <f>IFERROR(__xludf.DUMMYFUNCTION("""COMPUTED_VALUE"""),33.22)</f>
        <v>33.22</v>
      </c>
      <c r="F2389" s="1">
        <f>IFERROR(__xludf.DUMMYFUNCTION("""COMPUTED_VALUE"""),358993.0)</f>
        <v>358993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IFERROR(__xludf.DUMMYFUNCTION("""COMPUTED_VALUE"""),33.56)</f>
        <v>33.56</v>
      </c>
      <c r="C2390" s="1">
        <f>IFERROR(__xludf.DUMMYFUNCTION("""COMPUTED_VALUE"""),33.9)</f>
        <v>33.9</v>
      </c>
      <c r="D2390" s="1">
        <f>IFERROR(__xludf.DUMMYFUNCTION("""COMPUTED_VALUE"""),33.29)</f>
        <v>33.29</v>
      </c>
      <c r="E2390" s="1">
        <f>IFERROR(__xludf.DUMMYFUNCTION("""COMPUTED_VALUE"""),33.64)</f>
        <v>33.64</v>
      </c>
      <c r="F2390" s="1">
        <f>IFERROR(__xludf.DUMMYFUNCTION("""COMPUTED_VALUE"""),190455.0)</f>
        <v>190455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IFERROR(__xludf.DUMMYFUNCTION("""COMPUTED_VALUE"""),33.8)</f>
        <v>33.8</v>
      </c>
      <c r="C2391" s="1">
        <f>IFERROR(__xludf.DUMMYFUNCTION("""COMPUTED_VALUE"""),33.8)</f>
        <v>33.8</v>
      </c>
      <c r="D2391" s="1">
        <f>IFERROR(__xludf.DUMMYFUNCTION("""COMPUTED_VALUE"""),33.16)</f>
        <v>33.16</v>
      </c>
      <c r="E2391" s="1">
        <f>IFERROR(__xludf.DUMMYFUNCTION("""COMPUTED_VALUE"""),33.55)</f>
        <v>33.55</v>
      </c>
      <c r="F2391" s="1">
        <f>IFERROR(__xludf.DUMMYFUNCTION("""COMPUTED_VALUE"""),298050.0)</f>
        <v>298050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IFERROR(__xludf.DUMMYFUNCTION("""COMPUTED_VALUE"""),33.63)</f>
        <v>33.63</v>
      </c>
      <c r="C2392" s="1">
        <f>IFERROR(__xludf.DUMMYFUNCTION("""COMPUTED_VALUE"""),33.81)</f>
        <v>33.81</v>
      </c>
      <c r="D2392" s="1">
        <f>IFERROR(__xludf.DUMMYFUNCTION("""COMPUTED_VALUE"""),33.6)</f>
        <v>33.6</v>
      </c>
      <c r="E2392" s="1">
        <f>IFERROR(__xludf.DUMMYFUNCTION("""COMPUTED_VALUE"""),33.74)</f>
        <v>33.74</v>
      </c>
      <c r="F2392" s="1">
        <f>IFERROR(__xludf.DUMMYFUNCTION("""COMPUTED_VALUE"""),81404.0)</f>
        <v>81404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IFERROR(__xludf.DUMMYFUNCTION("""COMPUTED_VALUE"""),33.73)</f>
        <v>33.73</v>
      </c>
      <c r="C2393" s="1">
        <f>IFERROR(__xludf.DUMMYFUNCTION("""COMPUTED_VALUE"""),33.93)</f>
        <v>33.93</v>
      </c>
      <c r="D2393" s="1">
        <f>IFERROR(__xludf.DUMMYFUNCTION("""COMPUTED_VALUE"""),33.44)</f>
        <v>33.44</v>
      </c>
      <c r="E2393" s="1">
        <f>IFERROR(__xludf.DUMMYFUNCTION("""COMPUTED_VALUE"""),33.76)</f>
        <v>33.76</v>
      </c>
      <c r="F2393" s="1">
        <f>IFERROR(__xludf.DUMMYFUNCTION("""COMPUTED_VALUE"""),309281.0)</f>
        <v>309281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IFERROR(__xludf.DUMMYFUNCTION("""COMPUTED_VALUE"""),33.69)</f>
        <v>33.69</v>
      </c>
      <c r="C2394" s="1">
        <f>IFERROR(__xludf.DUMMYFUNCTION("""COMPUTED_VALUE"""),33.78)</f>
        <v>33.78</v>
      </c>
      <c r="D2394" s="1">
        <f>IFERROR(__xludf.DUMMYFUNCTION("""COMPUTED_VALUE"""),33.52)</f>
        <v>33.52</v>
      </c>
      <c r="E2394" s="1">
        <f>IFERROR(__xludf.DUMMYFUNCTION("""COMPUTED_VALUE"""),33.59)</f>
        <v>33.59</v>
      </c>
      <c r="F2394" s="1">
        <f>IFERROR(__xludf.DUMMYFUNCTION("""COMPUTED_VALUE"""),164473.0)</f>
        <v>164473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IFERROR(__xludf.DUMMYFUNCTION("""COMPUTED_VALUE"""),33.67)</f>
        <v>33.67</v>
      </c>
      <c r="C2395" s="1">
        <f>IFERROR(__xludf.DUMMYFUNCTION("""COMPUTED_VALUE"""),33.75)</f>
        <v>33.75</v>
      </c>
      <c r="D2395" s="1">
        <f>IFERROR(__xludf.DUMMYFUNCTION("""COMPUTED_VALUE"""),33.42)</f>
        <v>33.42</v>
      </c>
      <c r="E2395" s="1">
        <f>IFERROR(__xludf.DUMMYFUNCTION("""COMPUTED_VALUE"""),33.62)</f>
        <v>33.62</v>
      </c>
      <c r="F2395" s="1">
        <f>IFERROR(__xludf.DUMMYFUNCTION("""COMPUTED_VALUE"""),234093.0)</f>
        <v>234093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IFERROR(__xludf.DUMMYFUNCTION("""COMPUTED_VALUE"""),33.7)</f>
        <v>33.7</v>
      </c>
      <c r="C2396" s="1">
        <f>IFERROR(__xludf.DUMMYFUNCTION("""COMPUTED_VALUE"""),33.85)</f>
        <v>33.85</v>
      </c>
      <c r="D2396" s="1">
        <f>IFERROR(__xludf.DUMMYFUNCTION("""COMPUTED_VALUE"""),33.48)</f>
        <v>33.48</v>
      </c>
      <c r="E2396" s="1">
        <f>IFERROR(__xludf.DUMMYFUNCTION("""COMPUTED_VALUE"""),33.56)</f>
        <v>33.56</v>
      </c>
      <c r="F2396" s="1">
        <f>IFERROR(__xludf.DUMMYFUNCTION("""COMPUTED_VALUE"""),279748.0)</f>
        <v>279748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IFERROR(__xludf.DUMMYFUNCTION("""COMPUTED_VALUE"""),33.6)</f>
        <v>33.6</v>
      </c>
      <c r="C2397" s="1">
        <f>IFERROR(__xludf.DUMMYFUNCTION("""COMPUTED_VALUE"""),33.91)</f>
        <v>33.91</v>
      </c>
      <c r="D2397" s="1">
        <f>IFERROR(__xludf.DUMMYFUNCTION("""COMPUTED_VALUE"""),33.57)</f>
        <v>33.57</v>
      </c>
      <c r="E2397" s="1">
        <f>IFERROR(__xludf.DUMMYFUNCTION("""COMPUTED_VALUE"""),33.8)</f>
        <v>33.8</v>
      </c>
      <c r="F2397" s="1">
        <f>IFERROR(__xludf.DUMMYFUNCTION("""COMPUTED_VALUE"""),347971.0)</f>
        <v>347971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IFERROR(__xludf.DUMMYFUNCTION("""COMPUTED_VALUE"""),33.91)</f>
        <v>33.91</v>
      </c>
      <c r="C2398" s="1">
        <f>IFERROR(__xludf.DUMMYFUNCTION("""COMPUTED_VALUE"""),34.51)</f>
        <v>34.51</v>
      </c>
      <c r="D2398" s="1">
        <f>IFERROR(__xludf.DUMMYFUNCTION("""COMPUTED_VALUE"""),33.89)</f>
        <v>33.89</v>
      </c>
      <c r="E2398" s="1">
        <f>IFERROR(__xludf.DUMMYFUNCTION("""COMPUTED_VALUE"""),34.38)</f>
        <v>34.38</v>
      </c>
      <c r="F2398" s="1">
        <f>IFERROR(__xludf.DUMMYFUNCTION("""COMPUTED_VALUE"""),702664.0)</f>
        <v>702664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IFERROR(__xludf.DUMMYFUNCTION("""COMPUTED_VALUE"""),34.43)</f>
        <v>34.43</v>
      </c>
      <c r="C2399" s="1">
        <f>IFERROR(__xludf.DUMMYFUNCTION("""COMPUTED_VALUE"""),35.34)</f>
        <v>35.34</v>
      </c>
      <c r="D2399" s="1">
        <f>IFERROR(__xludf.DUMMYFUNCTION("""COMPUTED_VALUE"""),34.43)</f>
        <v>34.43</v>
      </c>
      <c r="E2399" s="1">
        <f>IFERROR(__xludf.DUMMYFUNCTION("""COMPUTED_VALUE"""),35.24)</f>
        <v>35.24</v>
      </c>
      <c r="F2399" s="1">
        <f>IFERROR(__xludf.DUMMYFUNCTION("""COMPUTED_VALUE"""),401970.0)</f>
        <v>401970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IFERROR(__xludf.DUMMYFUNCTION("""COMPUTED_VALUE"""),35.19)</f>
        <v>35.19</v>
      </c>
      <c r="C2400" s="1">
        <f>IFERROR(__xludf.DUMMYFUNCTION("""COMPUTED_VALUE"""),36.12)</f>
        <v>36.12</v>
      </c>
      <c r="D2400" s="1">
        <f>IFERROR(__xludf.DUMMYFUNCTION("""COMPUTED_VALUE"""),35.15)</f>
        <v>35.15</v>
      </c>
      <c r="E2400" s="1">
        <f>IFERROR(__xludf.DUMMYFUNCTION("""COMPUTED_VALUE"""),35.9)</f>
        <v>35.9</v>
      </c>
      <c r="F2400" s="1">
        <f>IFERROR(__xludf.DUMMYFUNCTION("""COMPUTED_VALUE"""),989946.0)</f>
        <v>989946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IFERROR(__xludf.DUMMYFUNCTION("""COMPUTED_VALUE"""),35.9)</f>
        <v>35.9</v>
      </c>
      <c r="C2401" s="1">
        <f>IFERROR(__xludf.DUMMYFUNCTION("""COMPUTED_VALUE"""),36.14)</f>
        <v>36.14</v>
      </c>
      <c r="D2401" s="1">
        <f>IFERROR(__xludf.DUMMYFUNCTION("""COMPUTED_VALUE"""),35.75)</f>
        <v>35.75</v>
      </c>
      <c r="E2401" s="1">
        <f>IFERROR(__xludf.DUMMYFUNCTION("""COMPUTED_VALUE"""),35.89)</f>
        <v>35.89</v>
      </c>
      <c r="F2401" s="1">
        <f>IFERROR(__xludf.DUMMYFUNCTION("""COMPUTED_VALUE"""),646345.0)</f>
        <v>646345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IFERROR(__xludf.DUMMYFUNCTION("""COMPUTED_VALUE"""),35.95)</f>
        <v>35.95</v>
      </c>
      <c r="C2402" s="1">
        <f>IFERROR(__xludf.DUMMYFUNCTION("""COMPUTED_VALUE"""),36.23)</f>
        <v>36.23</v>
      </c>
      <c r="D2402" s="1">
        <f>IFERROR(__xludf.DUMMYFUNCTION("""COMPUTED_VALUE"""),35.73)</f>
        <v>35.73</v>
      </c>
      <c r="E2402" s="1">
        <f>IFERROR(__xludf.DUMMYFUNCTION("""COMPUTED_VALUE"""),36.2)</f>
        <v>36.2</v>
      </c>
      <c r="F2402" s="1">
        <f>IFERROR(__xludf.DUMMYFUNCTION("""COMPUTED_VALUE"""),663611.0)</f>
        <v>663611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IFERROR(__xludf.DUMMYFUNCTION("""COMPUTED_VALUE"""),36.25)</f>
        <v>36.25</v>
      </c>
      <c r="C2403" s="1">
        <f>IFERROR(__xludf.DUMMYFUNCTION("""COMPUTED_VALUE"""),36.32)</f>
        <v>36.32</v>
      </c>
      <c r="D2403" s="1">
        <f>IFERROR(__xludf.DUMMYFUNCTION("""COMPUTED_VALUE"""),36.07)</f>
        <v>36.07</v>
      </c>
      <c r="E2403" s="1">
        <f>IFERROR(__xludf.DUMMYFUNCTION("""COMPUTED_VALUE"""),36.18)</f>
        <v>36.18</v>
      </c>
      <c r="F2403" s="1">
        <f>IFERROR(__xludf.DUMMYFUNCTION("""COMPUTED_VALUE"""),740106.0)</f>
        <v>740106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IFERROR(__xludf.DUMMYFUNCTION("""COMPUTED_VALUE"""),36.25)</f>
        <v>36.25</v>
      </c>
      <c r="C2404" s="1">
        <f>IFERROR(__xludf.DUMMYFUNCTION("""COMPUTED_VALUE"""),36.31)</f>
        <v>36.31</v>
      </c>
      <c r="D2404" s="1">
        <f>IFERROR(__xludf.DUMMYFUNCTION("""COMPUTED_VALUE"""),35.47)</f>
        <v>35.47</v>
      </c>
      <c r="E2404" s="1">
        <f>IFERROR(__xludf.DUMMYFUNCTION("""COMPUTED_VALUE"""),35.48)</f>
        <v>35.48</v>
      </c>
      <c r="F2404" s="1">
        <f>IFERROR(__xludf.DUMMYFUNCTION("""COMPUTED_VALUE"""),319888.0)</f>
        <v>319888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IFERROR(__xludf.DUMMYFUNCTION("""COMPUTED_VALUE"""),35.57)</f>
        <v>35.57</v>
      </c>
      <c r="C2405" s="1">
        <f>IFERROR(__xludf.DUMMYFUNCTION("""COMPUTED_VALUE"""),35.72)</f>
        <v>35.72</v>
      </c>
      <c r="D2405" s="1">
        <f>IFERROR(__xludf.DUMMYFUNCTION("""COMPUTED_VALUE"""),35.22)</f>
        <v>35.22</v>
      </c>
      <c r="E2405" s="1">
        <f>IFERROR(__xludf.DUMMYFUNCTION("""COMPUTED_VALUE"""),35.49)</f>
        <v>35.49</v>
      </c>
      <c r="F2405" s="1">
        <f>IFERROR(__xludf.DUMMYFUNCTION("""COMPUTED_VALUE"""),380417.0)</f>
        <v>380417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IFERROR(__xludf.DUMMYFUNCTION("""COMPUTED_VALUE"""),35.4)</f>
        <v>35.4</v>
      </c>
      <c r="C2406" s="1">
        <f>IFERROR(__xludf.DUMMYFUNCTION("""COMPUTED_VALUE"""),35.55)</f>
        <v>35.55</v>
      </c>
      <c r="D2406" s="1">
        <f>IFERROR(__xludf.DUMMYFUNCTION("""COMPUTED_VALUE"""),35.11)</f>
        <v>35.11</v>
      </c>
      <c r="E2406" s="1">
        <f>IFERROR(__xludf.DUMMYFUNCTION("""COMPUTED_VALUE"""),35.53)</f>
        <v>35.53</v>
      </c>
      <c r="F2406" s="1">
        <f>IFERROR(__xludf.DUMMYFUNCTION("""COMPUTED_VALUE"""),272123.0)</f>
        <v>272123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IFERROR(__xludf.DUMMYFUNCTION("""COMPUTED_VALUE"""),35.51)</f>
        <v>35.51</v>
      </c>
      <c r="C2407" s="1">
        <f>IFERROR(__xludf.DUMMYFUNCTION("""COMPUTED_VALUE"""),35.69)</f>
        <v>35.69</v>
      </c>
      <c r="D2407" s="1">
        <f>IFERROR(__xludf.DUMMYFUNCTION("""COMPUTED_VALUE"""),35.34)</f>
        <v>35.34</v>
      </c>
      <c r="E2407" s="1">
        <f>IFERROR(__xludf.DUMMYFUNCTION("""COMPUTED_VALUE"""),35.4)</f>
        <v>35.4</v>
      </c>
      <c r="F2407" s="1">
        <f>IFERROR(__xludf.DUMMYFUNCTION("""COMPUTED_VALUE"""),138383.0)</f>
        <v>138383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IFERROR(__xludf.DUMMYFUNCTION("""COMPUTED_VALUE"""),35.26)</f>
        <v>35.26</v>
      </c>
      <c r="C2408" s="1">
        <f>IFERROR(__xludf.DUMMYFUNCTION("""COMPUTED_VALUE"""),35.49)</f>
        <v>35.49</v>
      </c>
      <c r="D2408" s="1">
        <f>IFERROR(__xludf.DUMMYFUNCTION("""COMPUTED_VALUE"""),35.0)</f>
        <v>35</v>
      </c>
      <c r="E2408" s="1">
        <f>IFERROR(__xludf.DUMMYFUNCTION("""COMPUTED_VALUE"""),35.33)</f>
        <v>35.33</v>
      </c>
      <c r="F2408" s="1">
        <f>IFERROR(__xludf.DUMMYFUNCTION("""COMPUTED_VALUE"""),199003.0)</f>
        <v>199003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IFERROR(__xludf.DUMMYFUNCTION("""COMPUTED_VALUE"""),35.33)</f>
        <v>35.33</v>
      </c>
      <c r="C2409" s="1">
        <f>IFERROR(__xludf.DUMMYFUNCTION("""COMPUTED_VALUE"""),35.63)</f>
        <v>35.63</v>
      </c>
      <c r="D2409" s="1">
        <f>IFERROR(__xludf.DUMMYFUNCTION("""COMPUTED_VALUE"""),35.11)</f>
        <v>35.11</v>
      </c>
      <c r="E2409" s="1">
        <f>IFERROR(__xludf.DUMMYFUNCTION("""COMPUTED_VALUE"""),35.55)</f>
        <v>35.55</v>
      </c>
      <c r="F2409" s="1">
        <f>IFERROR(__xludf.DUMMYFUNCTION("""COMPUTED_VALUE"""),231536.0)</f>
        <v>231536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IFERROR(__xludf.DUMMYFUNCTION("""COMPUTED_VALUE"""),35.32)</f>
        <v>35.32</v>
      </c>
      <c r="C2410" s="1">
        <f>IFERROR(__xludf.DUMMYFUNCTION("""COMPUTED_VALUE"""),36.0)</f>
        <v>36</v>
      </c>
      <c r="D2410" s="1">
        <f>IFERROR(__xludf.DUMMYFUNCTION("""COMPUTED_VALUE"""),35.32)</f>
        <v>35.32</v>
      </c>
      <c r="E2410" s="1">
        <f>IFERROR(__xludf.DUMMYFUNCTION("""COMPUTED_VALUE"""),35.96)</f>
        <v>35.96</v>
      </c>
      <c r="F2410" s="1">
        <f>IFERROR(__xludf.DUMMYFUNCTION("""COMPUTED_VALUE"""),307101.0)</f>
        <v>307101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IFERROR(__xludf.DUMMYFUNCTION("""COMPUTED_VALUE"""),35.99)</f>
        <v>35.99</v>
      </c>
      <c r="C2411" s="1">
        <f>IFERROR(__xludf.DUMMYFUNCTION("""COMPUTED_VALUE"""),36.3)</f>
        <v>36.3</v>
      </c>
      <c r="D2411" s="1">
        <f>IFERROR(__xludf.DUMMYFUNCTION("""COMPUTED_VALUE"""),35.87)</f>
        <v>35.87</v>
      </c>
      <c r="E2411" s="1">
        <f>IFERROR(__xludf.DUMMYFUNCTION("""COMPUTED_VALUE"""),36.09)</f>
        <v>36.09</v>
      </c>
      <c r="F2411" s="1">
        <f>IFERROR(__xludf.DUMMYFUNCTION("""COMPUTED_VALUE"""),324145.0)</f>
        <v>324145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IFERROR(__xludf.DUMMYFUNCTION("""COMPUTED_VALUE"""),36.09)</f>
        <v>36.09</v>
      </c>
      <c r="C2412" s="1">
        <f>IFERROR(__xludf.DUMMYFUNCTION("""COMPUTED_VALUE"""),36.15)</f>
        <v>36.15</v>
      </c>
      <c r="D2412" s="1">
        <f>IFERROR(__xludf.DUMMYFUNCTION("""COMPUTED_VALUE"""),35.56)</f>
        <v>35.56</v>
      </c>
      <c r="E2412" s="1">
        <f>IFERROR(__xludf.DUMMYFUNCTION("""COMPUTED_VALUE"""),35.76)</f>
        <v>35.76</v>
      </c>
      <c r="F2412" s="1">
        <f>IFERROR(__xludf.DUMMYFUNCTION("""COMPUTED_VALUE"""),187241.0)</f>
        <v>187241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IFERROR(__xludf.DUMMYFUNCTION("""COMPUTED_VALUE"""),35.68)</f>
        <v>35.68</v>
      </c>
      <c r="C2413" s="1">
        <f>IFERROR(__xludf.DUMMYFUNCTION("""COMPUTED_VALUE"""),35.75)</f>
        <v>35.75</v>
      </c>
      <c r="D2413" s="1">
        <f>IFERROR(__xludf.DUMMYFUNCTION("""COMPUTED_VALUE"""),35.32)</f>
        <v>35.32</v>
      </c>
      <c r="E2413" s="1">
        <f>IFERROR(__xludf.DUMMYFUNCTION("""COMPUTED_VALUE"""),35.52)</f>
        <v>35.52</v>
      </c>
      <c r="F2413" s="1">
        <f>IFERROR(__xludf.DUMMYFUNCTION("""COMPUTED_VALUE"""),152405.0)</f>
        <v>152405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IFERROR(__xludf.DUMMYFUNCTION("""COMPUTED_VALUE"""),35.06)</f>
        <v>35.06</v>
      </c>
      <c r="C2414" s="1">
        <f>IFERROR(__xludf.DUMMYFUNCTION("""COMPUTED_VALUE"""),35.27)</f>
        <v>35.27</v>
      </c>
      <c r="D2414" s="1">
        <f>IFERROR(__xludf.DUMMYFUNCTION("""COMPUTED_VALUE"""),34.49)</f>
        <v>34.49</v>
      </c>
      <c r="E2414" s="1">
        <f>IFERROR(__xludf.DUMMYFUNCTION("""COMPUTED_VALUE"""),34.75)</f>
        <v>34.75</v>
      </c>
      <c r="F2414" s="1">
        <f>IFERROR(__xludf.DUMMYFUNCTION("""COMPUTED_VALUE"""),226758.0)</f>
        <v>226758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IFERROR(__xludf.DUMMYFUNCTION("""COMPUTED_VALUE"""),34.8)</f>
        <v>34.8</v>
      </c>
      <c r="C2415" s="1">
        <f>IFERROR(__xludf.DUMMYFUNCTION("""COMPUTED_VALUE"""),35.54)</f>
        <v>35.54</v>
      </c>
      <c r="D2415" s="1">
        <f>IFERROR(__xludf.DUMMYFUNCTION("""COMPUTED_VALUE"""),34.8)</f>
        <v>34.8</v>
      </c>
      <c r="E2415" s="1">
        <f>IFERROR(__xludf.DUMMYFUNCTION("""COMPUTED_VALUE"""),35.44)</f>
        <v>35.44</v>
      </c>
      <c r="F2415" s="1">
        <f>IFERROR(__xludf.DUMMYFUNCTION("""COMPUTED_VALUE"""),272903.0)</f>
        <v>272903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IFERROR(__xludf.DUMMYFUNCTION("""COMPUTED_VALUE"""),35.21)</f>
        <v>35.21</v>
      </c>
      <c r="C2416" s="1">
        <f>IFERROR(__xludf.DUMMYFUNCTION("""COMPUTED_VALUE"""),35.33)</f>
        <v>35.33</v>
      </c>
      <c r="D2416" s="1">
        <f>IFERROR(__xludf.DUMMYFUNCTION("""COMPUTED_VALUE"""),34.73)</f>
        <v>34.73</v>
      </c>
      <c r="E2416" s="1">
        <f>IFERROR(__xludf.DUMMYFUNCTION("""COMPUTED_VALUE"""),35.15)</f>
        <v>35.15</v>
      </c>
      <c r="F2416" s="1">
        <f>IFERROR(__xludf.DUMMYFUNCTION("""COMPUTED_VALUE"""),393235.0)</f>
        <v>393235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IFERROR(__xludf.DUMMYFUNCTION("""COMPUTED_VALUE"""),35.14)</f>
        <v>35.14</v>
      </c>
      <c r="C2417" s="1">
        <f>IFERROR(__xludf.DUMMYFUNCTION("""COMPUTED_VALUE"""),35.73)</f>
        <v>35.73</v>
      </c>
      <c r="D2417" s="1">
        <f>IFERROR(__xludf.DUMMYFUNCTION("""COMPUTED_VALUE"""),35.13)</f>
        <v>35.13</v>
      </c>
      <c r="E2417" s="1">
        <f>IFERROR(__xludf.DUMMYFUNCTION("""COMPUTED_VALUE"""),35.5)</f>
        <v>35.5</v>
      </c>
      <c r="F2417" s="1">
        <f>IFERROR(__xludf.DUMMYFUNCTION("""COMPUTED_VALUE"""),898005.0)</f>
        <v>898005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IFERROR(__xludf.DUMMYFUNCTION("""COMPUTED_VALUE"""),36.34)</f>
        <v>36.34</v>
      </c>
      <c r="C2418" s="1">
        <f>IFERROR(__xludf.DUMMYFUNCTION("""COMPUTED_VALUE"""),37.94)</f>
        <v>37.94</v>
      </c>
      <c r="D2418" s="1">
        <f>IFERROR(__xludf.DUMMYFUNCTION("""COMPUTED_VALUE"""),36.2)</f>
        <v>36.2</v>
      </c>
      <c r="E2418" s="1">
        <f>IFERROR(__xludf.DUMMYFUNCTION("""COMPUTED_VALUE"""),37.3)</f>
        <v>37.3</v>
      </c>
      <c r="F2418" s="1">
        <f>IFERROR(__xludf.DUMMYFUNCTION("""COMPUTED_VALUE"""),1248706.0)</f>
        <v>1248706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IFERROR(__xludf.DUMMYFUNCTION("""COMPUTED_VALUE"""),37.37)</f>
        <v>37.37</v>
      </c>
      <c r="C2419" s="1">
        <f>IFERROR(__xludf.DUMMYFUNCTION("""COMPUTED_VALUE"""),38.74)</f>
        <v>38.74</v>
      </c>
      <c r="D2419" s="1">
        <f>IFERROR(__xludf.DUMMYFUNCTION("""COMPUTED_VALUE"""),37.37)</f>
        <v>37.37</v>
      </c>
      <c r="E2419" s="1">
        <f>IFERROR(__xludf.DUMMYFUNCTION("""COMPUTED_VALUE"""),38.31)</f>
        <v>38.31</v>
      </c>
      <c r="F2419" s="1">
        <f>IFERROR(__xludf.DUMMYFUNCTION("""COMPUTED_VALUE"""),1143433.0)</f>
        <v>1143433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IFERROR(__xludf.DUMMYFUNCTION("""COMPUTED_VALUE"""),38.2)</f>
        <v>38.2</v>
      </c>
      <c r="C2420" s="1">
        <f>IFERROR(__xludf.DUMMYFUNCTION("""COMPUTED_VALUE"""),38.47)</f>
        <v>38.47</v>
      </c>
      <c r="D2420" s="1">
        <f>IFERROR(__xludf.DUMMYFUNCTION("""COMPUTED_VALUE"""),37.95)</f>
        <v>37.95</v>
      </c>
      <c r="E2420" s="1">
        <f>IFERROR(__xludf.DUMMYFUNCTION("""COMPUTED_VALUE"""),38.34)</f>
        <v>38.34</v>
      </c>
      <c r="F2420" s="1">
        <f>IFERROR(__xludf.DUMMYFUNCTION("""COMPUTED_VALUE"""),644257.0)</f>
        <v>644257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IFERROR(__xludf.DUMMYFUNCTION("""COMPUTED_VALUE"""),38.03)</f>
        <v>38.03</v>
      </c>
      <c r="C2421" s="1">
        <f>IFERROR(__xludf.DUMMYFUNCTION("""COMPUTED_VALUE"""),38.35)</f>
        <v>38.35</v>
      </c>
      <c r="D2421" s="1">
        <f>IFERROR(__xludf.DUMMYFUNCTION("""COMPUTED_VALUE"""),37.84)</f>
        <v>37.84</v>
      </c>
      <c r="E2421" s="1">
        <f>IFERROR(__xludf.DUMMYFUNCTION("""COMPUTED_VALUE"""),38.29)</f>
        <v>38.29</v>
      </c>
      <c r="F2421" s="1">
        <f>IFERROR(__xludf.DUMMYFUNCTION("""COMPUTED_VALUE"""),631235.0)</f>
        <v>631235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IFERROR(__xludf.DUMMYFUNCTION("""COMPUTED_VALUE"""),38.35)</f>
        <v>38.35</v>
      </c>
      <c r="C2422" s="1">
        <f>IFERROR(__xludf.DUMMYFUNCTION("""COMPUTED_VALUE"""),38.39)</f>
        <v>38.39</v>
      </c>
      <c r="D2422" s="1">
        <f>IFERROR(__xludf.DUMMYFUNCTION("""COMPUTED_VALUE"""),37.65)</f>
        <v>37.65</v>
      </c>
      <c r="E2422" s="1">
        <f>IFERROR(__xludf.DUMMYFUNCTION("""COMPUTED_VALUE"""),38.33)</f>
        <v>38.33</v>
      </c>
      <c r="F2422" s="1">
        <f>IFERROR(__xludf.DUMMYFUNCTION("""COMPUTED_VALUE"""),547775.0)</f>
        <v>547775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IFERROR(__xludf.DUMMYFUNCTION("""COMPUTED_VALUE"""),38.27)</f>
        <v>38.27</v>
      </c>
      <c r="C2423" s="1">
        <f>IFERROR(__xludf.DUMMYFUNCTION("""COMPUTED_VALUE"""),38.97)</f>
        <v>38.97</v>
      </c>
      <c r="D2423" s="1">
        <f>IFERROR(__xludf.DUMMYFUNCTION("""COMPUTED_VALUE"""),38.27)</f>
        <v>38.27</v>
      </c>
      <c r="E2423" s="1">
        <f>IFERROR(__xludf.DUMMYFUNCTION("""COMPUTED_VALUE"""),38.84)</f>
        <v>38.84</v>
      </c>
      <c r="F2423" s="1">
        <f>IFERROR(__xludf.DUMMYFUNCTION("""COMPUTED_VALUE"""),376458.0)</f>
        <v>376458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IFERROR(__xludf.DUMMYFUNCTION("""COMPUTED_VALUE"""),39.0)</f>
        <v>39</v>
      </c>
      <c r="C2424" s="1">
        <f>IFERROR(__xludf.DUMMYFUNCTION("""COMPUTED_VALUE"""),39.7)</f>
        <v>39.7</v>
      </c>
      <c r="D2424" s="1">
        <f>IFERROR(__xludf.DUMMYFUNCTION("""COMPUTED_VALUE"""),38.98)</f>
        <v>38.98</v>
      </c>
      <c r="E2424" s="1">
        <f>IFERROR(__xludf.DUMMYFUNCTION("""COMPUTED_VALUE"""),39.25)</f>
        <v>39.25</v>
      </c>
      <c r="F2424" s="1">
        <f>IFERROR(__xludf.DUMMYFUNCTION("""COMPUTED_VALUE"""),407545.0)</f>
        <v>407545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IFERROR(__xludf.DUMMYFUNCTION("""COMPUTED_VALUE"""),39.11)</f>
        <v>39.11</v>
      </c>
      <c r="C2425" s="1">
        <f>IFERROR(__xludf.DUMMYFUNCTION("""COMPUTED_VALUE"""),39.45)</f>
        <v>39.45</v>
      </c>
      <c r="D2425" s="1">
        <f>IFERROR(__xludf.DUMMYFUNCTION("""COMPUTED_VALUE"""),38.89)</f>
        <v>38.89</v>
      </c>
      <c r="E2425" s="1">
        <f>IFERROR(__xludf.DUMMYFUNCTION("""COMPUTED_VALUE"""),39.23)</f>
        <v>39.23</v>
      </c>
      <c r="F2425" s="1">
        <f>IFERROR(__xludf.DUMMYFUNCTION("""COMPUTED_VALUE"""),243147.0)</f>
        <v>243147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IFERROR(__xludf.DUMMYFUNCTION("""COMPUTED_VALUE"""),39.33)</f>
        <v>39.33</v>
      </c>
      <c r="C2426" s="1">
        <f>IFERROR(__xludf.DUMMYFUNCTION("""COMPUTED_VALUE"""),39.85)</f>
        <v>39.85</v>
      </c>
      <c r="D2426" s="1">
        <f>IFERROR(__xludf.DUMMYFUNCTION("""COMPUTED_VALUE"""),39.28)</f>
        <v>39.28</v>
      </c>
      <c r="E2426" s="1">
        <f>IFERROR(__xludf.DUMMYFUNCTION("""COMPUTED_VALUE"""),39.5)</f>
        <v>39.5</v>
      </c>
      <c r="F2426" s="1">
        <f>IFERROR(__xludf.DUMMYFUNCTION("""COMPUTED_VALUE"""),269633.0)</f>
        <v>269633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IFERROR(__xludf.DUMMYFUNCTION("""COMPUTED_VALUE"""),39.48)</f>
        <v>39.48</v>
      </c>
      <c r="C2427" s="1">
        <f>IFERROR(__xludf.DUMMYFUNCTION("""COMPUTED_VALUE"""),39.63)</f>
        <v>39.63</v>
      </c>
      <c r="D2427" s="1">
        <f>IFERROR(__xludf.DUMMYFUNCTION("""COMPUTED_VALUE"""),39.18)</f>
        <v>39.18</v>
      </c>
      <c r="E2427" s="1">
        <f>IFERROR(__xludf.DUMMYFUNCTION("""COMPUTED_VALUE"""),39.24)</f>
        <v>39.24</v>
      </c>
      <c r="F2427" s="1">
        <f>IFERROR(__xludf.DUMMYFUNCTION("""COMPUTED_VALUE"""),195057.0)</f>
        <v>195057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IFERROR(__xludf.DUMMYFUNCTION("""COMPUTED_VALUE"""),39.32)</f>
        <v>39.32</v>
      </c>
      <c r="C2428" s="1">
        <f>IFERROR(__xludf.DUMMYFUNCTION("""COMPUTED_VALUE"""),39.55)</f>
        <v>39.55</v>
      </c>
      <c r="D2428" s="1">
        <f>IFERROR(__xludf.DUMMYFUNCTION("""COMPUTED_VALUE"""),38.99)</f>
        <v>38.99</v>
      </c>
      <c r="E2428" s="1">
        <f>IFERROR(__xludf.DUMMYFUNCTION("""COMPUTED_VALUE"""),39.09)</f>
        <v>39.09</v>
      </c>
      <c r="F2428" s="1">
        <f>IFERROR(__xludf.DUMMYFUNCTION("""COMPUTED_VALUE"""),306805.0)</f>
        <v>306805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IFERROR(__xludf.DUMMYFUNCTION("""COMPUTED_VALUE"""),39.19)</f>
        <v>39.19</v>
      </c>
      <c r="C2429" s="1">
        <f>IFERROR(__xludf.DUMMYFUNCTION("""COMPUTED_VALUE"""),39.36)</f>
        <v>39.36</v>
      </c>
      <c r="D2429" s="1">
        <f>IFERROR(__xludf.DUMMYFUNCTION("""COMPUTED_VALUE"""),39.07)</f>
        <v>39.07</v>
      </c>
      <c r="E2429" s="1">
        <f>IFERROR(__xludf.DUMMYFUNCTION("""COMPUTED_VALUE"""),39.25)</f>
        <v>39.25</v>
      </c>
      <c r="F2429" s="1">
        <f>IFERROR(__xludf.DUMMYFUNCTION("""COMPUTED_VALUE"""),204725.0)</f>
        <v>204725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IFERROR(__xludf.DUMMYFUNCTION("""COMPUTED_VALUE"""),39.25)</f>
        <v>39.25</v>
      </c>
      <c r="C2430" s="1">
        <f>IFERROR(__xludf.DUMMYFUNCTION("""COMPUTED_VALUE"""),39.34)</f>
        <v>39.34</v>
      </c>
      <c r="D2430" s="1">
        <f>IFERROR(__xludf.DUMMYFUNCTION("""COMPUTED_VALUE"""),38.68)</f>
        <v>38.68</v>
      </c>
      <c r="E2430" s="1">
        <f>IFERROR(__xludf.DUMMYFUNCTION("""COMPUTED_VALUE"""),38.75)</f>
        <v>38.75</v>
      </c>
      <c r="F2430" s="1">
        <f>IFERROR(__xludf.DUMMYFUNCTION("""COMPUTED_VALUE"""),275799.0)</f>
        <v>275799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IFERROR(__xludf.DUMMYFUNCTION("""COMPUTED_VALUE"""),38.7)</f>
        <v>38.7</v>
      </c>
      <c r="C2431" s="1">
        <f>IFERROR(__xludf.DUMMYFUNCTION("""COMPUTED_VALUE"""),39.34)</f>
        <v>39.34</v>
      </c>
      <c r="D2431" s="1">
        <f>IFERROR(__xludf.DUMMYFUNCTION("""COMPUTED_VALUE"""),38.54)</f>
        <v>38.54</v>
      </c>
      <c r="E2431" s="1">
        <f>IFERROR(__xludf.DUMMYFUNCTION("""COMPUTED_VALUE"""),39.28)</f>
        <v>39.28</v>
      </c>
      <c r="F2431" s="1">
        <f>IFERROR(__xludf.DUMMYFUNCTION("""COMPUTED_VALUE"""),303389.0)</f>
        <v>303389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IFERROR(__xludf.DUMMYFUNCTION("""COMPUTED_VALUE"""),39.5)</f>
        <v>39.5</v>
      </c>
      <c r="C2432" s="1">
        <f>IFERROR(__xludf.DUMMYFUNCTION("""COMPUTED_VALUE"""),39.71)</f>
        <v>39.71</v>
      </c>
      <c r="D2432" s="1">
        <f>IFERROR(__xludf.DUMMYFUNCTION("""COMPUTED_VALUE"""),39.31)</f>
        <v>39.31</v>
      </c>
      <c r="E2432" s="1">
        <f>IFERROR(__xludf.DUMMYFUNCTION("""COMPUTED_VALUE"""),39.58)</f>
        <v>39.58</v>
      </c>
      <c r="F2432" s="1">
        <f>IFERROR(__xludf.DUMMYFUNCTION("""COMPUTED_VALUE"""),248084.0)</f>
        <v>248084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IFERROR(__xludf.DUMMYFUNCTION("""COMPUTED_VALUE"""),39.6)</f>
        <v>39.6</v>
      </c>
      <c r="C2433" s="1">
        <f>IFERROR(__xludf.DUMMYFUNCTION("""COMPUTED_VALUE"""),39.72)</f>
        <v>39.72</v>
      </c>
      <c r="D2433" s="1">
        <f>IFERROR(__xludf.DUMMYFUNCTION("""COMPUTED_VALUE"""),39.37)</f>
        <v>39.37</v>
      </c>
      <c r="E2433" s="1">
        <f>IFERROR(__xludf.DUMMYFUNCTION("""COMPUTED_VALUE"""),39.55)</f>
        <v>39.55</v>
      </c>
      <c r="F2433" s="1">
        <f>IFERROR(__xludf.DUMMYFUNCTION("""COMPUTED_VALUE"""),142933.0)</f>
        <v>142933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IFERROR(__xludf.DUMMYFUNCTION("""COMPUTED_VALUE"""),39.23)</f>
        <v>39.23</v>
      </c>
      <c r="C2434" s="1">
        <f>IFERROR(__xludf.DUMMYFUNCTION("""COMPUTED_VALUE"""),39.56)</f>
        <v>39.56</v>
      </c>
      <c r="D2434" s="1">
        <f>IFERROR(__xludf.DUMMYFUNCTION("""COMPUTED_VALUE"""),39.04)</f>
        <v>39.04</v>
      </c>
      <c r="E2434" s="1">
        <f>IFERROR(__xludf.DUMMYFUNCTION("""COMPUTED_VALUE"""),39.51)</f>
        <v>39.51</v>
      </c>
      <c r="F2434" s="1">
        <f>IFERROR(__xludf.DUMMYFUNCTION("""COMPUTED_VALUE"""),223991.0)</f>
        <v>223991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IFERROR(__xludf.DUMMYFUNCTION("""COMPUTED_VALUE"""),39.7)</f>
        <v>39.7</v>
      </c>
      <c r="C2435" s="1">
        <f>IFERROR(__xludf.DUMMYFUNCTION("""COMPUTED_VALUE"""),39.74)</f>
        <v>39.74</v>
      </c>
      <c r="D2435" s="1">
        <f>IFERROR(__xludf.DUMMYFUNCTION("""COMPUTED_VALUE"""),39.34)</f>
        <v>39.34</v>
      </c>
      <c r="E2435" s="1">
        <f>IFERROR(__xludf.DUMMYFUNCTION("""COMPUTED_VALUE"""),39.62)</f>
        <v>39.62</v>
      </c>
      <c r="F2435" s="1">
        <f>IFERROR(__xludf.DUMMYFUNCTION("""COMPUTED_VALUE"""),175983.0)</f>
        <v>175983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IFERROR(__xludf.DUMMYFUNCTION("""COMPUTED_VALUE"""),39.8)</f>
        <v>39.8</v>
      </c>
      <c r="C2436" s="1">
        <f>IFERROR(__xludf.DUMMYFUNCTION("""COMPUTED_VALUE"""),39.95)</f>
        <v>39.95</v>
      </c>
      <c r="D2436" s="1">
        <f>IFERROR(__xludf.DUMMYFUNCTION("""COMPUTED_VALUE"""),38.96)</f>
        <v>38.96</v>
      </c>
      <c r="E2436" s="1">
        <f>IFERROR(__xludf.DUMMYFUNCTION("""COMPUTED_VALUE"""),39.29)</f>
        <v>39.29</v>
      </c>
      <c r="F2436" s="1">
        <f>IFERROR(__xludf.DUMMYFUNCTION("""COMPUTED_VALUE"""),537945.0)</f>
        <v>537945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IFERROR(__xludf.DUMMYFUNCTION("""COMPUTED_VALUE"""),39.2)</f>
        <v>39.2</v>
      </c>
      <c r="C2437" s="1">
        <f>IFERROR(__xludf.DUMMYFUNCTION("""COMPUTED_VALUE"""),39.57)</f>
        <v>39.57</v>
      </c>
      <c r="D2437" s="1">
        <f>IFERROR(__xludf.DUMMYFUNCTION("""COMPUTED_VALUE"""),39.07)</f>
        <v>39.07</v>
      </c>
      <c r="E2437" s="1">
        <f>IFERROR(__xludf.DUMMYFUNCTION("""COMPUTED_VALUE"""),39.09)</f>
        <v>39.09</v>
      </c>
      <c r="F2437" s="1">
        <f>IFERROR(__xludf.DUMMYFUNCTION("""COMPUTED_VALUE"""),340361.0)</f>
        <v>340361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IFERROR(__xludf.DUMMYFUNCTION("""COMPUTED_VALUE"""),39.27)</f>
        <v>39.27</v>
      </c>
      <c r="C2438" s="1">
        <f>IFERROR(__xludf.DUMMYFUNCTION("""COMPUTED_VALUE"""),39.27)</f>
        <v>39.27</v>
      </c>
      <c r="D2438" s="1">
        <f>IFERROR(__xludf.DUMMYFUNCTION("""COMPUTED_VALUE"""),38.64)</f>
        <v>38.64</v>
      </c>
      <c r="E2438" s="1">
        <f>IFERROR(__xludf.DUMMYFUNCTION("""COMPUTED_VALUE"""),38.94)</f>
        <v>38.94</v>
      </c>
      <c r="F2438" s="1">
        <f>IFERROR(__xludf.DUMMYFUNCTION("""COMPUTED_VALUE"""),320646.0)</f>
        <v>320646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IFERROR(__xludf.DUMMYFUNCTION("""COMPUTED_VALUE"""),38.89)</f>
        <v>38.89</v>
      </c>
      <c r="C2439" s="1">
        <f>IFERROR(__xludf.DUMMYFUNCTION("""COMPUTED_VALUE"""),38.89)</f>
        <v>38.89</v>
      </c>
      <c r="D2439" s="1">
        <f>IFERROR(__xludf.DUMMYFUNCTION("""COMPUTED_VALUE"""),38.31)</f>
        <v>38.31</v>
      </c>
      <c r="E2439" s="1">
        <f>IFERROR(__xludf.DUMMYFUNCTION("""COMPUTED_VALUE"""),38.43)</f>
        <v>38.43</v>
      </c>
      <c r="F2439" s="1">
        <f>IFERROR(__xludf.DUMMYFUNCTION("""COMPUTED_VALUE"""),404546.0)</f>
        <v>404546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IFERROR(__xludf.DUMMYFUNCTION("""COMPUTED_VALUE"""),38.45)</f>
        <v>38.45</v>
      </c>
      <c r="C2440" s="1">
        <f>IFERROR(__xludf.DUMMYFUNCTION("""COMPUTED_VALUE"""),38.53)</f>
        <v>38.53</v>
      </c>
      <c r="D2440" s="1">
        <f>IFERROR(__xludf.DUMMYFUNCTION("""COMPUTED_VALUE"""),37.93)</f>
        <v>37.93</v>
      </c>
      <c r="E2440" s="1">
        <f>IFERROR(__xludf.DUMMYFUNCTION("""COMPUTED_VALUE"""),38.2)</f>
        <v>38.2</v>
      </c>
      <c r="F2440" s="1">
        <f>IFERROR(__xludf.DUMMYFUNCTION("""COMPUTED_VALUE"""),517689.0)</f>
        <v>517689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IFERROR(__xludf.DUMMYFUNCTION("""COMPUTED_VALUE"""),38.24)</f>
        <v>38.24</v>
      </c>
      <c r="C2441" s="1">
        <f>IFERROR(__xludf.DUMMYFUNCTION("""COMPUTED_VALUE"""),38.51)</f>
        <v>38.51</v>
      </c>
      <c r="D2441" s="1">
        <f>IFERROR(__xludf.DUMMYFUNCTION("""COMPUTED_VALUE"""),38.07)</f>
        <v>38.07</v>
      </c>
      <c r="E2441" s="1">
        <f>IFERROR(__xludf.DUMMYFUNCTION("""COMPUTED_VALUE"""),38.08)</f>
        <v>38.08</v>
      </c>
      <c r="F2441" s="1">
        <f>IFERROR(__xludf.DUMMYFUNCTION("""COMPUTED_VALUE"""),215283.0)</f>
        <v>215283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IFERROR(__xludf.DUMMYFUNCTION("""COMPUTED_VALUE"""),38.16)</f>
        <v>38.16</v>
      </c>
      <c r="C2442" s="1">
        <f>IFERROR(__xludf.DUMMYFUNCTION("""COMPUTED_VALUE"""),38.24)</f>
        <v>38.24</v>
      </c>
      <c r="D2442" s="1">
        <f>IFERROR(__xludf.DUMMYFUNCTION("""COMPUTED_VALUE"""),37.89)</f>
        <v>37.89</v>
      </c>
      <c r="E2442" s="1">
        <f>IFERROR(__xludf.DUMMYFUNCTION("""COMPUTED_VALUE"""),38.01)</f>
        <v>38.01</v>
      </c>
      <c r="F2442" s="1">
        <f>IFERROR(__xludf.DUMMYFUNCTION("""COMPUTED_VALUE"""),198759.0)</f>
        <v>198759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IFERROR(__xludf.DUMMYFUNCTION("""COMPUTED_VALUE"""),37.87)</f>
        <v>37.87</v>
      </c>
      <c r="C2443" s="1">
        <f>IFERROR(__xludf.DUMMYFUNCTION("""COMPUTED_VALUE"""),38.33)</f>
        <v>38.33</v>
      </c>
      <c r="D2443" s="1">
        <f>IFERROR(__xludf.DUMMYFUNCTION("""COMPUTED_VALUE"""),37.6)</f>
        <v>37.6</v>
      </c>
      <c r="E2443" s="1">
        <f>IFERROR(__xludf.DUMMYFUNCTION("""COMPUTED_VALUE"""),38.21)</f>
        <v>38.21</v>
      </c>
      <c r="F2443" s="1">
        <f>IFERROR(__xludf.DUMMYFUNCTION("""COMPUTED_VALUE"""),211865.0)</f>
        <v>211865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IFERROR(__xludf.DUMMYFUNCTION("""COMPUTED_VALUE"""),38.14)</f>
        <v>38.14</v>
      </c>
      <c r="C2444" s="1">
        <f>IFERROR(__xludf.DUMMYFUNCTION("""COMPUTED_VALUE"""),38.48)</f>
        <v>38.48</v>
      </c>
      <c r="D2444" s="1">
        <f>IFERROR(__xludf.DUMMYFUNCTION("""COMPUTED_VALUE"""),37.97)</f>
        <v>37.97</v>
      </c>
      <c r="E2444" s="1">
        <f>IFERROR(__xludf.DUMMYFUNCTION("""COMPUTED_VALUE"""),38.48)</f>
        <v>38.48</v>
      </c>
      <c r="F2444" s="1">
        <f>IFERROR(__xludf.DUMMYFUNCTION("""COMPUTED_VALUE"""),181576.0)</f>
        <v>181576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IFERROR(__xludf.DUMMYFUNCTION("""COMPUTED_VALUE"""),38.46)</f>
        <v>38.46</v>
      </c>
      <c r="C2445" s="1">
        <f>IFERROR(__xludf.DUMMYFUNCTION("""COMPUTED_VALUE"""),38.46)</f>
        <v>38.46</v>
      </c>
      <c r="D2445" s="1">
        <f>IFERROR(__xludf.DUMMYFUNCTION("""COMPUTED_VALUE"""),37.94)</f>
        <v>37.94</v>
      </c>
      <c r="E2445" s="1">
        <f>IFERROR(__xludf.DUMMYFUNCTION("""COMPUTED_VALUE"""),38.22)</f>
        <v>38.22</v>
      </c>
      <c r="F2445" s="1">
        <f>IFERROR(__xludf.DUMMYFUNCTION("""COMPUTED_VALUE"""),157274.0)</f>
        <v>157274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IFERROR(__xludf.DUMMYFUNCTION("""COMPUTED_VALUE"""),38.2)</f>
        <v>38.2</v>
      </c>
      <c r="C2446" s="1">
        <f>IFERROR(__xludf.DUMMYFUNCTION("""COMPUTED_VALUE"""),38.74)</f>
        <v>38.74</v>
      </c>
      <c r="D2446" s="1">
        <f>IFERROR(__xludf.DUMMYFUNCTION("""COMPUTED_VALUE"""),38.09)</f>
        <v>38.09</v>
      </c>
      <c r="E2446" s="1">
        <f>IFERROR(__xludf.DUMMYFUNCTION("""COMPUTED_VALUE"""),38.33)</f>
        <v>38.33</v>
      </c>
      <c r="F2446" s="1">
        <f>IFERROR(__xludf.DUMMYFUNCTION("""COMPUTED_VALUE"""),177391.0)</f>
        <v>177391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IFERROR(__xludf.DUMMYFUNCTION("""COMPUTED_VALUE"""),38.31)</f>
        <v>38.31</v>
      </c>
      <c r="C2447" s="1">
        <f>IFERROR(__xludf.DUMMYFUNCTION("""COMPUTED_VALUE"""),38.63)</f>
        <v>38.63</v>
      </c>
      <c r="D2447" s="1">
        <f>IFERROR(__xludf.DUMMYFUNCTION("""COMPUTED_VALUE"""),38.1)</f>
        <v>38.1</v>
      </c>
      <c r="E2447" s="1">
        <f>IFERROR(__xludf.DUMMYFUNCTION("""COMPUTED_VALUE"""),38.24)</f>
        <v>38.24</v>
      </c>
      <c r="F2447" s="1">
        <f>IFERROR(__xludf.DUMMYFUNCTION("""COMPUTED_VALUE"""),348936.0)</f>
        <v>348936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IFERROR(__xludf.DUMMYFUNCTION("""COMPUTED_VALUE"""),38.28)</f>
        <v>38.28</v>
      </c>
      <c r="C2448" s="1">
        <f>IFERROR(__xludf.DUMMYFUNCTION("""COMPUTED_VALUE"""),38.61)</f>
        <v>38.61</v>
      </c>
      <c r="D2448" s="1">
        <f>IFERROR(__xludf.DUMMYFUNCTION("""COMPUTED_VALUE"""),37.99)</f>
        <v>37.99</v>
      </c>
      <c r="E2448" s="1">
        <f>IFERROR(__xludf.DUMMYFUNCTION("""COMPUTED_VALUE"""),38.6)</f>
        <v>38.6</v>
      </c>
      <c r="F2448" s="1">
        <f>IFERROR(__xludf.DUMMYFUNCTION("""COMPUTED_VALUE"""),333332.0)</f>
        <v>333332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IFERROR(__xludf.DUMMYFUNCTION("""COMPUTED_VALUE"""),38.69)</f>
        <v>38.69</v>
      </c>
      <c r="C2449" s="1">
        <f>IFERROR(__xludf.DUMMYFUNCTION("""COMPUTED_VALUE"""),39.37)</f>
        <v>39.37</v>
      </c>
      <c r="D2449" s="1">
        <f>IFERROR(__xludf.DUMMYFUNCTION("""COMPUTED_VALUE"""),38.41)</f>
        <v>38.41</v>
      </c>
      <c r="E2449" s="1">
        <f>IFERROR(__xludf.DUMMYFUNCTION("""COMPUTED_VALUE"""),39.15)</f>
        <v>39.15</v>
      </c>
      <c r="F2449" s="1">
        <f>IFERROR(__xludf.DUMMYFUNCTION("""COMPUTED_VALUE"""),289289.0)</f>
        <v>289289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IFERROR(__xludf.DUMMYFUNCTION("""COMPUTED_VALUE"""),39.1)</f>
        <v>39.1</v>
      </c>
      <c r="C2450" s="1">
        <f>IFERROR(__xludf.DUMMYFUNCTION("""COMPUTED_VALUE"""),39.1)</f>
        <v>39.1</v>
      </c>
      <c r="D2450" s="1">
        <f>IFERROR(__xludf.DUMMYFUNCTION("""COMPUTED_VALUE"""),38.6)</f>
        <v>38.6</v>
      </c>
      <c r="E2450" s="1">
        <f>IFERROR(__xludf.DUMMYFUNCTION("""COMPUTED_VALUE"""),38.64)</f>
        <v>38.64</v>
      </c>
      <c r="F2450" s="1">
        <f>IFERROR(__xludf.DUMMYFUNCTION("""COMPUTED_VALUE"""),261084.0)</f>
        <v>261084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IFERROR(__xludf.DUMMYFUNCTION("""COMPUTED_VALUE"""),38.54)</f>
        <v>38.54</v>
      </c>
      <c r="C2451" s="1">
        <f>IFERROR(__xludf.DUMMYFUNCTION("""COMPUTED_VALUE"""),39.46)</f>
        <v>39.46</v>
      </c>
      <c r="D2451" s="1">
        <f>IFERROR(__xludf.DUMMYFUNCTION("""COMPUTED_VALUE"""),38.45)</f>
        <v>38.45</v>
      </c>
      <c r="E2451" s="1">
        <f>IFERROR(__xludf.DUMMYFUNCTION("""COMPUTED_VALUE"""),39.25)</f>
        <v>39.25</v>
      </c>
      <c r="F2451" s="1">
        <f>IFERROR(__xludf.DUMMYFUNCTION("""COMPUTED_VALUE"""),211066.0)</f>
        <v>211066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IFERROR(__xludf.DUMMYFUNCTION("""COMPUTED_VALUE"""),39.42)</f>
        <v>39.42</v>
      </c>
      <c r="C2452" s="1">
        <f>IFERROR(__xludf.DUMMYFUNCTION("""COMPUTED_VALUE"""),39.91)</f>
        <v>39.91</v>
      </c>
      <c r="D2452" s="1">
        <f>IFERROR(__xludf.DUMMYFUNCTION("""COMPUTED_VALUE"""),39.18)</f>
        <v>39.18</v>
      </c>
      <c r="E2452" s="1">
        <f>IFERROR(__xludf.DUMMYFUNCTION("""COMPUTED_VALUE"""),39.59)</f>
        <v>39.59</v>
      </c>
      <c r="F2452" s="1">
        <f>IFERROR(__xludf.DUMMYFUNCTION("""COMPUTED_VALUE"""),404404.0)</f>
        <v>404404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IFERROR(__xludf.DUMMYFUNCTION("""COMPUTED_VALUE"""),39.51)</f>
        <v>39.51</v>
      </c>
      <c r="C2453" s="1">
        <f>IFERROR(__xludf.DUMMYFUNCTION("""COMPUTED_VALUE"""),40.09)</f>
        <v>40.09</v>
      </c>
      <c r="D2453" s="1">
        <f>IFERROR(__xludf.DUMMYFUNCTION("""COMPUTED_VALUE"""),39.51)</f>
        <v>39.51</v>
      </c>
      <c r="E2453" s="1">
        <f>IFERROR(__xludf.DUMMYFUNCTION("""COMPUTED_VALUE"""),39.9)</f>
        <v>39.9</v>
      </c>
      <c r="F2453" s="1">
        <f>IFERROR(__xludf.DUMMYFUNCTION("""COMPUTED_VALUE"""),300981.0)</f>
        <v>300981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IFERROR(__xludf.DUMMYFUNCTION("""COMPUTED_VALUE"""),39.96)</f>
        <v>39.96</v>
      </c>
      <c r="C2454" s="1">
        <f>IFERROR(__xludf.DUMMYFUNCTION("""COMPUTED_VALUE"""),40.16)</f>
        <v>40.16</v>
      </c>
      <c r="D2454" s="1">
        <f>IFERROR(__xludf.DUMMYFUNCTION("""COMPUTED_VALUE"""),39.29)</f>
        <v>39.29</v>
      </c>
      <c r="E2454" s="1">
        <f>IFERROR(__xludf.DUMMYFUNCTION("""COMPUTED_VALUE"""),39.38)</f>
        <v>39.38</v>
      </c>
      <c r="F2454" s="1">
        <f>IFERROR(__xludf.DUMMYFUNCTION("""COMPUTED_VALUE"""),353895.0)</f>
        <v>353895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IFERROR(__xludf.DUMMYFUNCTION("""COMPUTED_VALUE"""),39.0)</f>
        <v>39</v>
      </c>
      <c r="C2455" s="1">
        <f>IFERROR(__xludf.DUMMYFUNCTION("""COMPUTED_VALUE"""),39.24)</f>
        <v>39.24</v>
      </c>
      <c r="D2455" s="1">
        <f>IFERROR(__xludf.DUMMYFUNCTION("""COMPUTED_VALUE"""),38.76)</f>
        <v>38.76</v>
      </c>
      <c r="E2455" s="1">
        <f>IFERROR(__xludf.DUMMYFUNCTION("""COMPUTED_VALUE"""),39.07)</f>
        <v>39.07</v>
      </c>
      <c r="F2455" s="1">
        <f>IFERROR(__xludf.DUMMYFUNCTION("""COMPUTED_VALUE"""),307283.0)</f>
        <v>307283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IFERROR(__xludf.DUMMYFUNCTION("""COMPUTED_VALUE"""),39.13)</f>
        <v>39.13</v>
      </c>
      <c r="C2456" s="1">
        <f>IFERROR(__xludf.DUMMYFUNCTION("""COMPUTED_VALUE"""),39.43)</f>
        <v>39.43</v>
      </c>
      <c r="D2456" s="1">
        <f>IFERROR(__xludf.DUMMYFUNCTION("""COMPUTED_VALUE"""),38.69)</f>
        <v>38.69</v>
      </c>
      <c r="E2456" s="1">
        <f>IFERROR(__xludf.DUMMYFUNCTION("""COMPUTED_VALUE"""),39.12)</f>
        <v>39.12</v>
      </c>
      <c r="F2456" s="1">
        <f>IFERROR(__xludf.DUMMYFUNCTION("""COMPUTED_VALUE"""),366019.0)</f>
        <v>366019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IFERROR(__xludf.DUMMYFUNCTION("""COMPUTED_VALUE"""),39.22)</f>
        <v>39.22</v>
      </c>
      <c r="C2457" s="1">
        <f>IFERROR(__xludf.DUMMYFUNCTION("""COMPUTED_VALUE"""),39.47)</f>
        <v>39.47</v>
      </c>
      <c r="D2457" s="1">
        <f>IFERROR(__xludf.DUMMYFUNCTION("""COMPUTED_VALUE"""),39.07)</f>
        <v>39.07</v>
      </c>
      <c r="E2457" s="1">
        <f>IFERROR(__xludf.DUMMYFUNCTION("""COMPUTED_VALUE"""),39.15)</f>
        <v>39.15</v>
      </c>
      <c r="F2457" s="1">
        <f>IFERROR(__xludf.DUMMYFUNCTION("""COMPUTED_VALUE"""),595591.0)</f>
        <v>595591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IFERROR(__xludf.DUMMYFUNCTION("""COMPUTED_VALUE"""),38.92)</f>
        <v>38.92</v>
      </c>
      <c r="C2458" s="1">
        <f>IFERROR(__xludf.DUMMYFUNCTION("""COMPUTED_VALUE"""),39.39)</f>
        <v>39.39</v>
      </c>
      <c r="D2458" s="1">
        <f>IFERROR(__xludf.DUMMYFUNCTION("""COMPUTED_VALUE"""),38.89)</f>
        <v>38.89</v>
      </c>
      <c r="E2458" s="1">
        <f>IFERROR(__xludf.DUMMYFUNCTION("""COMPUTED_VALUE"""),39.38)</f>
        <v>39.38</v>
      </c>
      <c r="F2458" s="1">
        <f>IFERROR(__xludf.DUMMYFUNCTION("""COMPUTED_VALUE"""),472308.0)</f>
        <v>472308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IFERROR(__xludf.DUMMYFUNCTION("""COMPUTED_VALUE"""),39.26)</f>
        <v>39.26</v>
      </c>
      <c r="C2459" s="1">
        <f>IFERROR(__xludf.DUMMYFUNCTION("""COMPUTED_VALUE"""),39.51)</f>
        <v>39.51</v>
      </c>
      <c r="D2459" s="1">
        <f>IFERROR(__xludf.DUMMYFUNCTION("""COMPUTED_VALUE"""),39.07)</f>
        <v>39.07</v>
      </c>
      <c r="E2459" s="1">
        <f>IFERROR(__xludf.DUMMYFUNCTION("""COMPUTED_VALUE"""),39.19)</f>
        <v>39.19</v>
      </c>
      <c r="F2459" s="1">
        <f>IFERROR(__xludf.DUMMYFUNCTION("""COMPUTED_VALUE"""),266221.0)</f>
        <v>266221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IFERROR(__xludf.DUMMYFUNCTION("""COMPUTED_VALUE"""),39.47)</f>
        <v>39.47</v>
      </c>
      <c r="C2460" s="1">
        <f>IFERROR(__xludf.DUMMYFUNCTION("""COMPUTED_VALUE"""),39.54)</f>
        <v>39.54</v>
      </c>
      <c r="D2460" s="1">
        <f>IFERROR(__xludf.DUMMYFUNCTION("""COMPUTED_VALUE"""),39.14)</f>
        <v>39.14</v>
      </c>
      <c r="E2460" s="1">
        <f>IFERROR(__xludf.DUMMYFUNCTION("""COMPUTED_VALUE"""),39.36)</f>
        <v>39.36</v>
      </c>
      <c r="F2460" s="1">
        <f>IFERROR(__xludf.DUMMYFUNCTION("""COMPUTED_VALUE"""),236708.0)</f>
        <v>236708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IFERROR(__xludf.DUMMYFUNCTION("""COMPUTED_VALUE"""),39.28)</f>
        <v>39.28</v>
      </c>
      <c r="C2461" s="1">
        <f>IFERROR(__xludf.DUMMYFUNCTION("""COMPUTED_VALUE"""),39.82)</f>
        <v>39.82</v>
      </c>
      <c r="D2461" s="1">
        <f>IFERROR(__xludf.DUMMYFUNCTION("""COMPUTED_VALUE"""),39.27)</f>
        <v>39.27</v>
      </c>
      <c r="E2461" s="1">
        <f>IFERROR(__xludf.DUMMYFUNCTION("""COMPUTED_VALUE"""),39.55)</f>
        <v>39.55</v>
      </c>
      <c r="F2461" s="1">
        <f>IFERROR(__xludf.DUMMYFUNCTION("""COMPUTED_VALUE"""),339787.0)</f>
        <v>339787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IFERROR(__xludf.DUMMYFUNCTION("""COMPUTED_VALUE"""),39.95)</f>
        <v>39.95</v>
      </c>
      <c r="C2462" s="1">
        <f>IFERROR(__xludf.DUMMYFUNCTION("""COMPUTED_VALUE"""),39.99)</f>
        <v>39.99</v>
      </c>
      <c r="D2462" s="1">
        <f>IFERROR(__xludf.DUMMYFUNCTION("""COMPUTED_VALUE"""),39.37)</f>
        <v>39.37</v>
      </c>
      <c r="E2462" s="1">
        <f>IFERROR(__xludf.DUMMYFUNCTION("""COMPUTED_VALUE"""),39.41)</f>
        <v>39.41</v>
      </c>
      <c r="F2462" s="1">
        <f>IFERROR(__xludf.DUMMYFUNCTION("""COMPUTED_VALUE"""),391269.0)</f>
        <v>391269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IFERROR(__xludf.DUMMYFUNCTION("""COMPUTED_VALUE"""),39.39)</f>
        <v>39.39</v>
      </c>
      <c r="C2463" s="1">
        <f>IFERROR(__xludf.DUMMYFUNCTION("""COMPUTED_VALUE"""),39.65)</f>
        <v>39.65</v>
      </c>
      <c r="D2463" s="1">
        <f>IFERROR(__xludf.DUMMYFUNCTION("""COMPUTED_VALUE"""),39.23)</f>
        <v>39.23</v>
      </c>
      <c r="E2463" s="1">
        <f>IFERROR(__xludf.DUMMYFUNCTION("""COMPUTED_VALUE"""),39.48)</f>
        <v>39.48</v>
      </c>
      <c r="F2463" s="1">
        <f>IFERROR(__xludf.DUMMYFUNCTION("""COMPUTED_VALUE"""),494246.0)</f>
        <v>494246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IFERROR(__xludf.DUMMYFUNCTION("""COMPUTED_VALUE"""),39.5)</f>
        <v>39.5</v>
      </c>
      <c r="C2464" s="1">
        <f>IFERROR(__xludf.DUMMYFUNCTION("""COMPUTED_VALUE"""),39.72)</f>
        <v>39.72</v>
      </c>
      <c r="D2464" s="1">
        <f>IFERROR(__xludf.DUMMYFUNCTION("""COMPUTED_VALUE"""),39.09)</f>
        <v>39.09</v>
      </c>
      <c r="E2464" s="1">
        <f>IFERROR(__xludf.DUMMYFUNCTION("""COMPUTED_VALUE"""),39.26)</f>
        <v>39.26</v>
      </c>
      <c r="F2464" s="1">
        <f>IFERROR(__xludf.DUMMYFUNCTION("""COMPUTED_VALUE"""),308025.0)</f>
        <v>308025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IFERROR(__xludf.DUMMYFUNCTION("""COMPUTED_VALUE"""),39.32)</f>
        <v>39.32</v>
      </c>
      <c r="C2465" s="1">
        <f>IFERROR(__xludf.DUMMYFUNCTION("""COMPUTED_VALUE"""),39.53)</f>
        <v>39.53</v>
      </c>
      <c r="D2465" s="1">
        <f>IFERROR(__xludf.DUMMYFUNCTION("""COMPUTED_VALUE"""),38.86)</f>
        <v>38.86</v>
      </c>
      <c r="E2465" s="1">
        <f>IFERROR(__xludf.DUMMYFUNCTION("""COMPUTED_VALUE"""),39.39)</f>
        <v>39.39</v>
      </c>
      <c r="F2465" s="1">
        <f>IFERROR(__xludf.DUMMYFUNCTION("""COMPUTED_VALUE"""),434137.0)</f>
        <v>434137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IFERROR(__xludf.DUMMYFUNCTION("""COMPUTED_VALUE"""),39.48)</f>
        <v>39.48</v>
      </c>
      <c r="C2466" s="1">
        <f>IFERROR(__xludf.DUMMYFUNCTION("""COMPUTED_VALUE"""),39.87)</f>
        <v>39.87</v>
      </c>
      <c r="D2466" s="1">
        <f>IFERROR(__xludf.DUMMYFUNCTION("""COMPUTED_VALUE"""),39.22)</f>
        <v>39.22</v>
      </c>
      <c r="E2466" s="1">
        <f>IFERROR(__xludf.DUMMYFUNCTION("""COMPUTED_VALUE"""),39.73)</f>
        <v>39.73</v>
      </c>
      <c r="F2466" s="1">
        <f>IFERROR(__xludf.DUMMYFUNCTION("""COMPUTED_VALUE"""),522208.0)</f>
        <v>522208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IFERROR(__xludf.DUMMYFUNCTION("""COMPUTED_VALUE"""),39.8)</f>
        <v>39.8</v>
      </c>
      <c r="C2467" s="1">
        <f>IFERROR(__xludf.DUMMYFUNCTION("""COMPUTED_VALUE"""),40.09)</f>
        <v>40.09</v>
      </c>
      <c r="D2467" s="1">
        <f>IFERROR(__xludf.DUMMYFUNCTION("""COMPUTED_VALUE"""),39.69)</f>
        <v>39.69</v>
      </c>
      <c r="E2467" s="1">
        <f>IFERROR(__xludf.DUMMYFUNCTION("""COMPUTED_VALUE"""),39.87)</f>
        <v>39.87</v>
      </c>
      <c r="F2467" s="1">
        <f>IFERROR(__xludf.DUMMYFUNCTION("""COMPUTED_VALUE"""),220334.0)</f>
        <v>220334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IFERROR(__xludf.DUMMYFUNCTION("""COMPUTED_VALUE"""),40.04)</f>
        <v>40.04</v>
      </c>
      <c r="C2468" s="1">
        <f>IFERROR(__xludf.DUMMYFUNCTION("""COMPUTED_VALUE"""),40.48)</f>
        <v>40.48</v>
      </c>
      <c r="D2468" s="1">
        <f>IFERROR(__xludf.DUMMYFUNCTION("""COMPUTED_VALUE"""),39.98)</f>
        <v>39.98</v>
      </c>
      <c r="E2468" s="1">
        <f>IFERROR(__xludf.DUMMYFUNCTION("""COMPUTED_VALUE"""),40.16)</f>
        <v>40.16</v>
      </c>
      <c r="F2468" s="1">
        <f>IFERROR(__xludf.DUMMYFUNCTION("""COMPUTED_VALUE"""),288496.0)</f>
        <v>288496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IFERROR(__xludf.DUMMYFUNCTION("""COMPUTED_VALUE"""),40.19)</f>
        <v>40.19</v>
      </c>
      <c r="C2469" s="1">
        <f>IFERROR(__xludf.DUMMYFUNCTION("""COMPUTED_VALUE"""),40.78)</f>
        <v>40.78</v>
      </c>
      <c r="D2469" s="1">
        <f>IFERROR(__xludf.DUMMYFUNCTION("""COMPUTED_VALUE"""),40.09)</f>
        <v>40.09</v>
      </c>
      <c r="E2469" s="1">
        <f>IFERROR(__xludf.DUMMYFUNCTION("""COMPUTED_VALUE"""),40.34)</f>
        <v>40.34</v>
      </c>
      <c r="F2469" s="1">
        <f>IFERROR(__xludf.DUMMYFUNCTION("""COMPUTED_VALUE"""),339274.0)</f>
        <v>339274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IFERROR(__xludf.DUMMYFUNCTION("""COMPUTED_VALUE"""),40.21)</f>
        <v>40.21</v>
      </c>
      <c r="C2470" s="1">
        <f>IFERROR(__xludf.DUMMYFUNCTION("""COMPUTED_VALUE"""),40.24)</f>
        <v>40.24</v>
      </c>
      <c r="D2470" s="1">
        <f>IFERROR(__xludf.DUMMYFUNCTION("""COMPUTED_VALUE"""),39.66)</f>
        <v>39.66</v>
      </c>
      <c r="E2470" s="1">
        <f>IFERROR(__xludf.DUMMYFUNCTION("""COMPUTED_VALUE"""),39.8)</f>
        <v>39.8</v>
      </c>
      <c r="F2470" s="1">
        <f>IFERROR(__xludf.DUMMYFUNCTION("""COMPUTED_VALUE"""),253722.0)</f>
        <v>253722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IFERROR(__xludf.DUMMYFUNCTION("""COMPUTED_VALUE"""),39.86)</f>
        <v>39.86</v>
      </c>
      <c r="C2471" s="1">
        <f>IFERROR(__xludf.DUMMYFUNCTION("""COMPUTED_VALUE"""),40.26)</f>
        <v>40.26</v>
      </c>
      <c r="D2471" s="1">
        <f>IFERROR(__xludf.DUMMYFUNCTION("""COMPUTED_VALUE"""),39.56)</f>
        <v>39.56</v>
      </c>
      <c r="E2471" s="1">
        <f>IFERROR(__xludf.DUMMYFUNCTION("""COMPUTED_VALUE"""),40.18)</f>
        <v>40.18</v>
      </c>
      <c r="F2471" s="1">
        <f>IFERROR(__xludf.DUMMYFUNCTION("""COMPUTED_VALUE"""),477147.0)</f>
        <v>477147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IFERROR(__xludf.DUMMYFUNCTION("""COMPUTED_VALUE"""),40.24)</f>
        <v>40.24</v>
      </c>
      <c r="C2472" s="1">
        <f>IFERROR(__xludf.DUMMYFUNCTION("""COMPUTED_VALUE"""),40.93)</f>
        <v>40.93</v>
      </c>
      <c r="D2472" s="1">
        <f>IFERROR(__xludf.DUMMYFUNCTION("""COMPUTED_VALUE"""),40.06)</f>
        <v>40.06</v>
      </c>
      <c r="E2472" s="1">
        <f>IFERROR(__xludf.DUMMYFUNCTION("""COMPUTED_VALUE"""),40.13)</f>
        <v>40.13</v>
      </c>
      <c r="F2472" s="1">
        <f>IFERROR(__xludf.DUMMYFUNCTION("""COMPUTED_VALUE"""),358783.0)</f>
        <v>358783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IFERROR(__xludf.DUMMYFUNCTION("""COMPUTED_VALUE"""),40.24)</f>
        <v>40.24</v>
      </c>
      <c r="C2473" s="1">
        <f>IFERROR(__xludf.DUMMYFUNCTION("""COMPUTED_VALUE"""),40.78)</f>
        <v>40.78</v>
      </c>
      <c r="D2473" s="1">
        <f>IFERROR(__xludf.DUMMYFUNCTION("""COMPUTED_VALUE"""),40.24)</f>
        <v>40.24</v>
      </c>
      <c r="E2473" s="1">
        <f>IFERROR(__xludf.DUMMYFUNCTION("""COMPUTED_VALUE"""),40.47)</f>
        <v>40.47</v>
      </c>
      <c r="F2473" s="1">
        <f>IFERROR(__xludf.DUMMYFUNCTION("""COMPUTED_VALUE"""),270993.0)</f>
        <v>270993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IFERROR(__xludf.DUMMYFUNCTION("""COMPUTED_VALUE"""),40.51)</f>
        <v>40.51</v>
      </c>
      <c r="C2474" s="1">
        <f>IFERROR(__xludf.DUMMYFUNCTION("""COMPUTED_VALUE"""),40.75)</f>
        <v>40.75</v>
      </c>
      <c r="D2474" s="1">
        <f>IFERROR(__xludf.DUMMYFUNCTION("""COMPUTED_VALUE"""),40.35)</f>
        <v>40.35</v>
      </c>
      <c r="E2474" s="1">
        <f>IFERROR(__xludf.DUMMYFUNCTION("""COMPUTED_VALUE"""),40.63)</f>
        <v>40.63</v>
      </c>
      <c r="F2474" s="1">
        <f>IFERROR(__xludf.DUMMYFUNCTION("""COMPUTED_VALUE"""),231913.0)</f>
        <v>231913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IFERROR(__xludf.DUMMYFUNCTION("""COMPUTED_VALUE"""),40.62)</f>
        <v>40.62</v>
      </c>
      <c r="C2475" s="1">
        <f>IFERROR(__xludf.DUMMYFUNCTION("""COMPUTED_VALUE"""),41.0)</f>
        <v>41</v>
      </c>
      <c r="D2475" s="1">
        <f>IFERROR(__xludf.DUMMYFUNCTION("""COMPUTED_VALUE"""),40.35)</f>
        <v>40.35</v>
      </c>
      <c r="E2475" s="1">
        <f>IFERROR(__xludf.DUMMYFUNCTION("""COMPUTED_VALUE"""),40.9)</f>
        <v>40.9</v>
      </c>
      <c r="F2475" s="1">
        <f>IFERROR(__xludf.DUMMYFUNCTION("""COMPUTED_VALUE"""),357940.0)</f>
        <v>357940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IFERROR(__xludf.DUMMYFUNCTION("""COMPUTED_VALUE"""),40.89)</f>
        <v>40.89</v>
      </c>
      <c r="C2476" s="1">
        <f>IFERROR(__xludf.DUMMYFUNCTION("""COMPUTED_VALUE"""),41.25)</f>
        <v>41.25</v>
      </c>
      <c r="D2476" s="1">
        <f>IFERROR(__xludf.DUMMYFUNCTION("""COMPUTED_VALUE"""),40.65)</f>
        <v>40.65</v>
      </c>
      <c r="E2476" s="1">
        <f>IFERROR(__xludf.DUMMYFUNCTION("""COMPUTED_VALUE"""),41.12)</f>
        <v>41.12</v>
      </c>
      <c r="F2476" s="1">
        <f>IFERROR(__xludf.DUMMYFUNCTION("""COMPUTED_VALUE"""),384435.0)</f>
        <v>384435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IFERROR(__xludf.DUMMYFUNCTION("""COMPUTED_VALUE"""),41.26)</f>
        <v>41.26</v>
      </c>
      <c r="C2477" s="1">
        <f>IFERROR(__xludf.DUMMYFUNCTION("""COMPUTED_VALUE"""),41.52)</f>
        <v>41.52</v>
      </c>
      <c r="D2477" s="1">
        <f>IFERROR(__xludf.DUMMYFUNCTION("""COMPUTED_VALUE"""),41.03)</f>
        <v>41.03</v>
      </c>
      <c r="E2477" s="1">
        <f>IFERROR(__xludf.DUMMYFUNCTION("""COMPUTED_VALUE"""),41.31)</f>
        <v>41.31</v>
      </c>
      <c r="F2477" s="1">
        <f>IFERROR(__xludf.DUMMYFUNCTION("""COMPUTED_VALUE"""),381112.0)</f>
        <v>381112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IFERROR(__xludf.DUMMYFUNCTION("""COMPUTED_VALUE"""),41.24)</f>
        <v>41.24</v>
      </c>
      <c r="C2478" s="1">
        <f>IFERROR(__xludf.DUMMYFUNCTION("""COMPUTED_VALUE"""),41.73)</f>
        <v>41.73</v>
      </c>
      <c r="D2478" s="1">
        <f>IFERROR(__xludf.DUMMYFUNCTION("""COMPUTED_VALUE"""),41.2)</f>
        <v>41.2</v>
      </c>
      <c r="E2478" s="1">
        <f>IFERROR(__xludf.DUMMYFUNCTION("""COMPUTED_VALUE"""),41.57)</f>
        <v>41.57</v>
      </c>
      <c r="F2478" s="1">
        <f>IFERROR(__xludf.DUMMYFUNCTION("""COMPUTED_VALUE"""),467105.0)</f>
        <v>467105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IFERROR(__xludf.DUMMYFUNCTION("""COMPUTED_VALUE"""),41.69)</f>
        <v>41.69</v>
      </c>
      <c r="C2479" s="1">
        <f>IFERROR(__xludf.DUMMYFUNCTION("""COMPUTED_VALUE"""),41.88)</f>
        <v>41.88</v>
      </c>
      <c r="D2479" s="1">
        <f>IFERROR(__xludf.DUMMYFUNCTION("""COMPUTED_VALUE"""),41.22)</f>
        <v>41.22</v>
      </c>
      <c r="E2479" s="1">
        <f>IFERROR(__xludf.DUMMYFUNCTION("""COMPUTED_VALUE"""),41.54)</f>
        <v>41.54</v>
      </c>
      <c r="F2479" s="1">
        <f>IFERROR(__xludf.DUMMYFUNCTION("""COMPUTED_VALUE"""),394197.0)</f>
        <v>394197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IFERROR(__xludf.DUMMYFUNCTION("""COMPUTED_VALUE"""),41.52)</f>
        <v>41.52</v>
      </c>
      <c r="C2480" s="1">
        <f>IFERROR(__xludf.DUMMYFUNCTION("""COMPUTED_VALUE"""),41.65)</f>
        <v>41.65</v>
      </c>
      <c r="D2480" s="1">
        <f>IFERROR(__xludf.DUMMYFUNCTION("""COMPUTED_VALUE"""),41.22)</f>
        <v>41.22</v>
      </c>
      <c r="E2480" s="1">
        <f>IFERROR(__xludf.DUMMYFUNCTION("""COMPUTED_VALUE"""),41.48)</f>
        <v>41.48</v>
      </c>
      <c r="F2480" s="1">
        <f>IFERROR(__xludf.DUMMYFUNCTION("""COMPUTED_VALUE"""),408718.0)</f>
        <v>408718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IFERROR(__xludf.DUMMYFUNCTION("""COMPUTED_VALUE"""),41.52)</f>
        <v>41.52</v>
      </c>
      <c r="C2481" s="1">
        <f>IFERROR(__xludf.DUMMYFUNCTION("""COMPUTED_VALUE"""),41.65)</f>
        <v>41.65</v>
      </c>
      <c r="D2481" s="1">
        <f>IFERROR(__xludf.DUMMYFUNCTION("""COMPUTED_VALUE"""),41.22)</f>
        <v>41.22</v>
      </c>
      <c r="E2481" s="1">
        <f>IFERROR(__xludf.DUMMYFUNCTION("""COMPUTED_VALUE"""),41.48)</f>
        <v>41.48</v>
      </c>
      <c r="F2481" s="1">
        <f>IFERROR(__xludf.DUMMYFUNCTION("""COMPUTED_VALUE"""),100.0)</f>
        <v>100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IFERROR(__xludf.DUMMYFUNCTION("""COMPUTED_VALUE"""),41.27)</f>
        <v>41.27</v>
      </c>
      <c r="C2482" s="1">
        <f>IFERROR(__xludf.DUMMYFUNCTION("""COMPUTED_VALUE"""),42.97)</f>
        <v>42.97</v>
      </c>
      <c r="D2482" s="1">
        <f>IFERROR(__xludf.DUMMYFUNCTION("""COMPUTED_VALUE"""),39.42)</f>
        <v>39.42</v>
      </c>
      <c r="E2482" s="1">
        <f>IFERROR(__xludf.DUMMYFUNCTION("""COMPUTED_VALUE"""),41.28)</f>
        <v>41.28</v>
      </c>
      <c r="F2482" s="1">
        <f>IFERROR(__xludf.DUMMYFUNCTION("""COMPUTED_VALUE"""),1077636.0)</f>
        <v>1077636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IFERROR(__xludf.DUMMYFUNCTION("""COMPUTED_VALUE"""),41.33)</f>
        <v>41.33</v>
      </c>
      <c r="C2483" s="1">
        <f>IFERROR(__xludf.DUMMYFUNCTION("""COMPUTED_VALUE"""),42.37)</f>
        <v>42.37</v>
      </c>
      <c r="D2483" s="1">
        <f>IFERROR(__xludf.DUMMYFUNCTION("""COMPUTED_VALUE"""),41.19)</f>
        <v>41.19</v>
      </c>
      <c r="E2483" s="1">
        <f>IFERROR(__xludf.DUMMYFUNCTION("""COMPUTED_VALUE"""),41.9)</f>
        <v>41.9</v>
      </c>
      <c r="F2483" s="1">
        <f>IFERROR(__xludf.DUMMYFUNCTION("""COMPUTED_VALUE"""),792097.0)</f>
        <v>792097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IFERROR(__xludf.DUMMYFUNCTION("""COMPUTED_VALUE"""),41.98)</f>
        <v>41.98</v>
      </c>
      <c r="C2484" s="1">
        <f>IFERROR(__xludf.DUMMYFUNCTION("""COMPUTED_VALUE"""),42.14)</f>
        <v>42.14</v>
      </c>
      <c r="D2484" s="1">
        <f>IFERROR(__xludf.DUMMYFUNCTION("""COMPUTED_VALUE"""),41.74)</f>
        <v>41.74</v>
      </c>
      <c r="E2484" s="1">
        <f>IFERROR(__xludf.DUMMYFUNCTION("""COMPUTED_VALUE"""),41.89)</f>
        <v>41.89</v>
      </c>
      <c r="F2484" s="1">
        <f>IFERROR(__xludf.DUMMYFUNCTION("""COMPUTED_VALUE"""),474901.0)</f>
        <v>474901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IFERROR(__xludf.DUMMYFUNCTION("""COMPUTED_VALUE"""),41.83)</f>
        <v>41.83</v>
      </c>
      <c r="C2485" s="1">
        <f>IFERROR(__xludf.DUMMYFUNCTION("""COMPUTED_VALUE"""),42.11)</f>
        <v>42.11</v>
      </c>
      <c r="D2485" s="1">
        <f>IFERROR(__xludf.DUMMYFUNCTION("""COMPUTED_VALUE"""),41.53)</f>
        <v>41.53</v>
      </c>
      <c r="E2485" s="1">
        <f>IFERROR(__xludf.DUMMYFUNCTION("""COMPUTED_VALUE"""),41.54)</f>
        <v>41.54</v>
      </c>
      <c r="F2485" s="1">
        <f>IFERROR(__xludf.DUMMYFUNCTION("""COMPUTED_VALUE"""),671121.0)</f>
        <v>671121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IFERROR(__xludf.DUMMYFUNCTION("""COMPUTED_VALUE"""),41.54)</f>
        <v>41.54</v>
      </c>
      <c r="C2486" s="1">
        <f>IFERROR(__xludf.DUMMYFUNCTION("""COMPUTED_VALUE"""),42.43)</f>
        <v>42.43</v>
      </c>
      <c r="D2486" s="1">
        <f>IFERROR(__xludf.DUMMYFUNCTION("""COMPUTED_VALUE"""),41.37)</f>
        <v>41.37</v>
      </c>
      <c r="E2486" s="1">
        <f>IFERROR(__xludf.DUMMYFUNCTION("""COMPUTED_VALUE"""),42.4)</f>
        <v>42.4</v>
      </c>
      <c r="F2486" s="1">
        <f>IFERROR(__xludf.DUMMYFUNCTION("""COMPUTED_VALUE"""),705814.0)</f>
        <v>705814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IFERROR(__xludf.DUMMYFUNCTION("""COMPUTED_VALUE"""),42.4)</f>
        <v>42.4</v>
      </c>
      <c r="C2487" s="1">
        <f>IFERROR(__xludf.DUMMYFUNCTION("""COMPUTED_VALUE"""),42.52)</f>
        <v>42.52</v>
      </c>
      <c r="D2487" s="1">
        <f>IFERROR(__xludf.DUMMYFUNCTION("""COMPUTED_VALUE"""),42.12)</f>
        <v>42.12</v>
      </c>
      <c r="E2487" s="1">
        <f>IFERROR(__xludf.DUMMYFUNCTION("""COMPUTED_VALUE"""),42.27)</f>
        <v>42.27</v>
      </c>
      <c r="F2487" s="1">
        <f>IFERROR(__xludf.DUMMYFUNCTION("""COMPUTED_VALUE"""),312389.0)</f>
        <v>312389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IFERROR(__xludf.DUMMYFUNCTION("""COMPUTED_VALUE"""),42.23)</f>
        <v>42.23</v>
      </c>
      <c r="C2488" s="1">
        <f>IFERROR(__xludf.DUMMYFUNCTION("""COMPUTED_VALUE"""),42.33)</f>
        <v>42.33</v>
      </c>
      <c r="D2488" s="1">
        <f>IFERROR(__xludf.DUMMYFUNCTION("""COMPUTED_VALUE"""),41.78)</f>
        <v>41.78</v>
      </c>
      <c r="E2488" s="1">
        <f>IFERROR(__xludf.DUMMYFUNCTION("""COMPUTED_VALUE"""),42.01)</f>
        <v>42.01</v>
      </c>
      <c r="F2488" s="1">
        <f>IFERROR(__xludf.DUMMYFUNCTION("""COMPUTED_VALUE"""),382073.0)</f>
        <v>382073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IFERROR(__xludf.DUMMYFUNCTION("""COMPUTED_VALUE"""),42.01)</f>
        <v>42.01</v>
      </c>
      <c r="C2489" s="1">
        <f>IFERROR(__xludf.DUMMYFUNCTION("""COMPUTED_VALUE"""),42.3)</f>
        <v>42.3</v>
      </c>
      <c r="D2489" s="1">
        <f>IFERROR(__xludf.DUMMYFUNCTION("""COMPUTED_VALUE"""),41.84)</f>
        <v>41.84</v>
      </c>
      <c r="E2489" s="1">
        <f>IFERROR(__xludf.DUMMYFUNCTION("""COMPUTED_VALUE"""),42.2)</f>
        <v>42.2</v>
      </c>
      <c r="F2489" s="1">
        <f>IFERROR(__xludf.DUMMYFUNCTION("""COMPUTED_VALUE"""),377960.0)</f>
        <v>377960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IFERROR(__xludf.DUMMYFUNCTION("""COMPUTED_VALUE"""),42.05)</f>
        <v>42.05</v>
      </c>
      <c r="C2490" s="1">
        <f>IFERROR(__xludf.DUMMYFUNCTION("""COMPUTED_VALUE"""),42.2)</f>
        <v>42.2</v>
      </c>
      <c r="D2490" s="1">
        <f>IFERROR(__xludf.DUMMYFUNCTION("""COMPUTED_VALUE"""),41.57)</f>
        <v>41.57</v>
      </c>
      <c r="E2490" s="1">
        <f>IFERROR(__xludf.DUMMYFUNCTION("""COMPUTED_VALUE"""),41.83)</f>
        <v>41.83</v>
      </c>
      <c r="F2490" s="1">
        <f>IFERROR(__xludf.DUMMYFUNCTION("""COMPUTED_VALUE"""),219813.0)</f>
        <v>219813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IFERROR(__xludf.DUMMYFUNCTION("""COMPUTED_VALUE"""),41.87)</f>
        <v>41.87</v>
      </c>
      <c r="C2491" s="1">
        <f>IFERROR(__xludf.DUMMYFUNCTION("""COMPUTED_VALUE"""),41.99)</f>
        <v>41.99</v>
      </c>
      <c r="D2491" s="1">
        <f>IFERROR(__xludf.DUMMYFUNCTION("""COMPUTED_VALUE"""),41.59)</f>
        <v>41.59</v>
      </c>
      <c r="E2491" s="1">
        <f>IFERROR(__xludf.DUMMYFUNCTION("""COMPUTED_VALUE"""),41.8)</f>
        <v>41.8</v>
      </c>
      <c r="F2491" s="1">
        <f>IFERROR(__xludf.DUMMYFUNCTION("""COMPUTED_VALUE"""),351492.0)</f>
        <v>351492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IFERROR(__xludf.DUMMYFUNCTION("""COMPUTED_VALUE"""),41.9)</f>
        <v>41.9</v>
      </c>
      <c r="C2492" s="1">
        <f>IFERROR(__xludf.DUMMYFUNCTION("""COMPUTED_VALUE"""),41.99)</f>
        <v>41.99</v>
      </c>
      <c r="D2492" s="1">
        <f>IFERROR(__xludf.DUMMYFUNCTION("""COMPUTED_VALUE"""),41.51)</f>
        <v>41.51</v>
      </c>
      <c r="E2492" s="1">
        <f>IFERROR(__xludf.DUMMYFUNCTION("""COMPUTED_VALUE"""),41.9)</f>
        <v>41.9</v>
      </c>
      <c r="F2492" s="1">
        <f>IFERROR(__xludf.DUMMYFUNCTION("""COMPUTED_VALUE"""),227112.0)</f>
        <v>227112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IFERROR(__xludf.DUMMYFUNCTION("""COMPUTED_VALUE"""),41.91)</f>
        <v>41.91</v>
      </c>
      <c r="C2493" s="1">
        <f>IFERROR(__xludf.DUMMYFUNCTION("""COMPUTED_VALUE"""),42.77)</f>
        <v>42.77</v>
      </c>
      <c r="D2493" s="1">
        <f>IFERROR(__xludf.DUMMYFUNCTION("""COMPUTED_VALUE"""),41.81)</f>
        <v>41.81</v>
      </c>
      <c r="E2493" s="1">
        <f>IFERROR(__xludf.DUMMYFUNCTION("""COMPUTED_VALUE"""),42.42)</f>
        <v>42.42</v>
      </c>
      <c r="F2493" s="1">
        <f>IFERROR(__xludf.DUMMYFUNCTION("""COMPUTED_VALUE"""),575045.0)</f>
        <v>575045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IFERROR(__xludf.DUMMYFUNCTION("""COMPUTED_VALUE"""),42.3)</f>
        <v>42.3</v>
      </c>
      <c r="C2494" s="1">
        <f>IFERROR(__xludf.DUMMYFUNCTION("""COMPUTED_VALUE"""),43.26)</f>
        <v>43.26</v>
      </c>
      <c r="D2494" s="1">
        <f>IFERROR(__xludf.DUMMYFUNCTION("""COMPUTED_VALUE"""),42.0)</f>
        <v>42</v>
      </c>
      <c r="E2494" s="1">
        <f>IFERROR(__xludf.DUMMYFUNCTION("""COMPUTED_VALUE"""),43.09)</f>
        <v>43.09</v>
      </c>
      <c r="F2494" s="1">
        <f>IFERROR(__xludf.DUMMYFUNCTION("""COMPUTED_VALUE"""),790150.0)</f>
        <v>790150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IFERROR(__xludf.DUMMYFUNCTION("""COMPUTED_VALUE"""),43.24)</f>
        <v>43.24</v>
      </c>
      <c r="C2495" s="1">
        <f>IFERROR(__xludf.DUMMYFUNCTION("""COMPUTED_VALUE"""),43.69)</f>
        <v>43.69</v>
      </c>
      <c r="D2495" s="1">
        <f>IFERROR(__xludf.DUMMYFUNCTION("""COMPUTED_VALUE"""),43.06)</f>
        <v>43.06</v>
      </c>
      <c r="E2495" s="1">
        <f>IFERROR(__xludf.DUMMYFUNCTION("""COMPUTED_VALUE"""),43.39)</f>
        <v>43.39</v>
      </c>
      <c r="F2495" s="1">
        <f>IFERROR(__xludf.DUMMYFUNCTION("""COMPUTED_VALUE"""),436079.0)</f>
        <v>436079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IFERROR(__xludf.DUMMYFUNCTION("""COMPUTED_VALUE"""),43.45)</f>
        <v>43.45</v>
      </c>
      <c r="C2496" s="1">
        <f>IFERROR(__xludf.DUMMYFUNCTION("""COMPUTED_VALUE"""),43.58)</f>
        <v>43.58</v>
      </c>
      <c r="D2496" s="1">
        <f>IFERROR(__xludf.DUMMYFUNCTION("""COMPUTED_VALUE"""),42.98)</f>
        <v>42.98</v>
      </c>
      <c r="E2496" s="1">
        <f>IFERROR(__xludf.DUMMYFUNCTION("""COMPUTED_VALUE"""),42.99)</f>
        <v>42.99</v>
      </c>
      <c r="F2496" s="1">
        <f>IFERROR(__xludf.DUMMYFUNCTION("""COMPUTED_VALUE"""),198795.0)</f>
        <v>198795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IFERROR(__xludf.DUMMYFUNCTION("""COMPUTED_VALUE"""),43.13)</f>
        <v>43.13</v>
      </c>
      <c r="C2497" s="1">
        <f>IFERROR(__xludf.DUMMYFUNCTION("""COMPUTED_VALUE"""),43.45)</f>
        <v>43.45</v>
      </c>
      <c r="D2497" s="1">
        <f>IFERROR(__xludf.DUMMYFUNCTION("""COMPUTED_VALUE"""),42.96)</f>
        <v>42.96</v>
      </c>
      <c r="E2497" s="1">
        <f>IFERROR(__xludf.DUMMYFUNCTION("""COMPUTED_VALUE"""),43.27)</f>
        <v>43.27</v>
      </c>
      <c r="F2497" s="1">
        <f>IFERROR(__xludf.DUMMYFUNCTION("""COMPUTED_VALUE"""),287773.0)</f>
        <v>287773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IFERROR(__xludf.DUMMYFUNCTION("""COMPUTED_VALUE"""),43.29)</f>
        <v>43.29</v>
      </c>
      <c r="C2498" s="1">
        <f>IFERROR(__xludf.DUMMYFUNCTION("""COMPUTED_VALUE"""),43.41)</f>
        <v>43.41</v>
      </c>
      <c r="D2498" s="1">
        <f>IFERROR(__xludf.DUMMYFUNCTION("""COMPUTED_VALUE"""),43.01)</f>
        <v>43.01</v>
      </c>
      <c r="E2498" s="1">
        <f>IFERROR(__xludf.DUMMYFUNCTION("""COMPUTED_VALUE"""),43.41)</f>
        <v>43.41</v>
      </c>
      <c r="F2498" s="1">
        <f>IFERROR(__xludf.DUMMYFUNCTION("""COMPUTED_VALUE"""),229807.0)</f>
        <v>229807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IFERROR(__xludf.DUMMYFUNCTION("""COMPUTED_VALUE"""),43.45)</f>
        <v>43.45</v>
      </c>
      <c r="C2499" s="1">
        <f>IFERROR(__xludf.DUMMYFUNCTION("""COMPUTED_VALUE"""),44.22)</f>
        <v>44.22</v>
      </c>
      <c r="D2499" s="1">
        <f>IFERROR(__xludf.DUMMYFUNCTION("""COMPUTED_VALUE"""),43.45)</f>
        <v>43.45</v>
      </c>
      <c r="E2499" s="1">
        <f>IFERROR(__xludf.DUMMYFUNCTION("""COMPUTED_VALUE"""),43.65)</f>
        <v>43.65</v>
      </c>
      <c r="F2499" s="1">
        <f>IFERROR(__xludf.DUMMYFUNCTION("""COMPUTED_VALUE"""),418809.0)</f>
        <v>418809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IFERROR(__xludf.DUMMYFUNCTION("""COMPUTED_VALUE"""),43.71)</f>
        <v>43.71</v>
      </c>
      <c r="C2500" s="1">
        <f>IFERROR(__xludf.DUMMYFUNCTION("""COMPUTED_VALUE"""),44.04)</f>
        <v>44.04</v>
      </c>
      <c r="D2500" s="1">
        <f>IFERROR(__xludf.DUMMYFUNCTION("""COMPUTED_VALUE"""),43.55)</f>
        <v>43.55</v>
      </c>
      <c r="E2500" s="1">
        <f>IFERROR(__xludf.DUMMYFUNCTION("""COMPUTED_VALUE"""),43.93)</f>
        <v>43.93</v>
      </c>
      <c r="F2500" s="1">
        <f>IFERROR(__xludf.DUMMYFUNCTION("""COMPUTED_VALUE"""),666658.0)</f>
        <v>666658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IFERROR(__xludf.DUMMYFUNCTION("""COMPUTED_VALUE"""),43.91)</f>
        <v>43.91</v>
      </c>
      <c r="C2501" s="1">
        <f>IFERROR(__xludf.DUMMYFUNCTION("""COMPUTED_VALUE"""),44.01)</f>
        <v>44.01</v>
      </c>
      <c r="D2501" s="1">
        <f>IFERROR(__xludf.DUMMYFUNCTION("""COMPUTED_VALUE"""),43.42)</f>
        <v>43.42</v>
      </c>
      <c r="E2501" s="1">
        <f>IFERROR(__xludf.DUMMYFUNCTION("""COMPUTED_VALUE"""),43.45)</f>
        <v>43.45</v>
      </c>
      <c r="F2501" s="1">
        <f>IFERROR(__xludf.DUMMYFUNCTION("""COMPUTED_VALUE"""),984353.0)</f>
        <v>984353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IFERROR(__xludf.DUMMYFUNCTION("""COMPUTED_VALUE"""),43.43)</f>
        <v>43.43</v>
      </c>
      <c r="C2502" s="1">
        <f>IFERROR(__xludf.DUMMYFUNCTION("""COMPUTED_VALUE"""),43.57)</f>
        <v>43.57</v>
      </c>
      <c r="D2502" s="1">
        <f>IFERROR(__xludf.DUMMYFUNCTION("""COMPUTED_VALUE"""),43.23)</f>
        <v>43.23</v>
      </c>
      <c r="E2502" s="1">
        <f>IFERROR(__xludf.DUMMYFUNCTION("""COMPUTED_VALUE"""),43.33)</f>
        <v>43.33</v>
      </c>
      <c r="F2502" s="1">
        <f>IFERROR(__xludf.DUMMYFUNCTION("""COMPUTED_VALUE"""),183841.0)</f>
        <v>183841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IFERROR(__xludf.DUMMYFUNCTION("""COMPUTED_VALUE"""),43.17)</f>
        <v>43.17</v>
      </c>
      <c r="C2503" s="1">
        <f>IFERROR(__xludf.DUMMYFUNCTION("""COMPUTED_VALUE"""),43.65)</f>
        <v>43.65</v>
      </c>
      <c r="D2503" s="1">
        <f>IFERROR(__xludf.DUMMYFUNCTION("""COMPUTED_VALUE"""),43.12)</f>
        <v>43.12</v>
      </c>
      <c r="E2503" s="1">
        <f>IFERROR(__xludf.DUMMYFUNCTION("""COMPUTED_VALUE"""),43.31)</f>
        <v>43.31</v>
      </c>
      <c r="F2503" s="1">
        <f>IFERROR(__xludf.DUMMYFUNCTION("""COMPUTED_VALUE"""),214202.0)</f>
        <v>214202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IFERROR(__xludf.DUMMYFUNCTION("""COMPUTED_VALUE"""),43.33)</f>
        <v>43.33</v>
      </c>
      <c r="C2504" s="1">
        <f>IFERROR(__xludf.DUMMYFUNCTION("""COMPUTED_VALUE"""),43.66)</f>
        <v>43.66</v>
      </c>
      <c r="D2504" s="1">
        <f>IFERROR(__xludf.DUMMYFUNCTION("""COMPUTED_VALUE"""),43.26)</f>
        <v>43.26</v>
      </c>
      <c r="E2504" s="1">
        <f>IFERROR(__xludf.DUMMYFUNCTION("""COMPUTED_VALUE"""),43.57)</f>
        <v>43.57</v>
      </c>
      <c r="F2504" s="1">
        <f>IFERROR(__xludf.DUMMYFUNCTION("""COMPUTED_VALUE"""),214541.0)</f>
        <v>214541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IFERROR(__xludf.DUMMYFUNCTION("""COMPUTED_VALUE"""),43.52)</f>
        <v>43.52</v>
      </c>
      <c r="C2505" s="1">
        <f>IFERROR(__xludf.DUMMYFUNCTION("""COMPUTED_VALUE"""),43.73)</f>
        <v>43.73</v>
      </c>
      <c r="D2505" s="1">
        <f>IFERROR(__xludf.DUMMYFUNCTION("""COMPUTED_VALUE"""),43.2)</f>
        <v>43.2</v>
      </c>
      <c r="E2505" s="1">
        <f>IFERROR(__xludf.DUMMYFUNCTION("""COMPUTED_VALUE"""),43.23)</f>
        <v>43.23</v>
      </c>
      <c r="F2505" s="1">
        <f>IFERROR(__xludf.DUMMYFUNCTION("""COMPUTED_VALUE"""),256346.0)</f>
        <v>256346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IFERROR(__xludf.DUMMYFUNCTION("""COMPUTED_VALUE"""),43.12)</f>
        <v>43.12</v>
      </c>
      <c r="C2506" s="1">
        <f>IFERROR(__xludf.DUMMYFUNCTION("""COMPUTED_VALUE"""),43.33)</f>
        <v>43.33</v>
      </c>
      <c r="D2506" s="1">
        <f>IFERROR(__xludf.DUMMYFUNCTION("""COMPUTED_VALUE"""),42.84)</f>
        <v>42.84</v>
      </c>
      <c r="E2506" s="1">
        <f>IFERROR(__xludf.DUMMYFUNCTION("""COMPUTED_VALUE"""),42.94)</f>
        <v>42.94</v>
      </c>
      <c r="F2506" s="1">
        <f>IFERROR(__xludf.DUMMYFUNCTION("""COMPUTED_VALUE"""),433005.0)</f>
        <v>433005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IFERROR(__xludf.DUMMYFUNCTION("""COMPUTED_VALUE"""),43.1)</f>
        <v>43.1</v>
      </c>
      <c r="C2507" s="1">
        <f>IFERROR(__xludf.DUMMYFUNCTION("""COMPUTED_VALUE"""),43.33)</f>
        <v>43.33</v>
      </c>
      <c r="D2507" s="1">
        <f>IFERROR(__xludf.DUMMYFUNCTION("""COMPUTED_VALUE"""),42.45)</f>
        <v>42.45</v>
      </c>
      <c r="E2507" s="1">
        <f>IFERROR(__xludf.DUMMYFUNCTION("""COMPUTED_VALUE"""),43.05)</f>
        <v>43.05</v>
      </c>
      <c r="F2507" s="1">
        <f>IFERROR(__xludf.DUMMYFUNCTION("""COMPUTED_VALUE"""),437455.0)</f>
        <v>437455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IFERROR(__xludf.DUMMYFUNCTION("""COMPUTED_VALUE"""),43.15)</f>
        <v>43.15</v>
      </c>
      <c r="C2508" s="1">
        <f>IFERROR(__xludf.DUMMYFUNCTION("""COMPUTED_VALUE"""),43.34)</f>
        <v>43.34</v>
      </c>
      <c r="D2508" s="1">
        <f>IFERROR(__xludf.DUMMYFUNCTION("""COMPUTED_VALUE"""),42.98)</f>
        <v>42.98</v>
      </c>
      <c r="E2508" s="1">
        <f>IFERROR(__xludf.DUMMYFUNCTION("""COMPUTED_VALUE"""),43.26)</f>
        <v>43.26</v>
      </c>
      <c r="F2508" s="1">
        <f>IFERROR(__xludf.DUMMYFUNCTION("""COMPUTED_VALUE"""),204331.0)</f>
        <v>204331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IFERROR(__xludf.DUMMYFUNCTION("""COMPUTED_VALUE"""),43.17)</f>
        <v>43.17</v>
      </c>
      <c r="C2509" s="1">
        <f>IFERROR(__xludf.DUMMYFUNCTION("""COMPUTED_VALUE"""),43.35)</f>
        <v>43.35</v>
      </c>
      <c r="D2509" s="1">
        <f>IFERROR(__xludf.DUMMYFUNCTION("""COMPUTED_VALUE"""),43.0)</f>
        <v>43</v>
      </c>
      <c r="E2509" s="1">
        <f>IFERROR(__xludf.DUMMYFUNCTION("""COMPUTED_VALUE"""),43.0)</f>
        <v>43</v>
      </c>
      <c r="F2509" s="1">
        <f>IFERROR(__xludf.DUMMYFUNCTION("""COMPUTED_VALUE"""),507054.0)</f>
        <v>507054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IFERROR(__xludf.DUMMYFUNCTION("""COMPUTED_VALUE"""),42.89)</f>
        <v>42.89</v>
      </c>
      <c r="C2510" s="1">
        <f>IFERROR(__xludf.DUMMYFUNCTION("""COMPUTED_VALUE"""),43.36)</f>
        <v>43.36</v>
      </c>
      <c r="D2510" s="1">
        <f>IFERROR(__xludf.DUMMYFUNCTION("""COMPUTED_VALUE"""),42.88)</f>
        <v>42.88</v>
      </c>
      <c r="E2510" s="1">
        <f>IFERROR(__xludf.DUMMYFUNCTION("""COMPUTED_VALUE"""),43.23)</f>
        <v>43.23</v>
      </c>
      <c r="F2510" s="1">
        <f>IFERROR(__xludf.DUMMYFUNCTION("""COMPUTED_VALUE"""),432995.0)</f>
        <v>432995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IFERROR(__xludf.DUMMYFUNCTION("""COMPUTED_VALUE"""),43.3)</f>
        <v>43.3</v>
      </c>
      <c r="C2511" s="1">
        <f>IFERROR(__xludf.DUMMYFUNCTION("""COMPUTED_VALUE"""),43.6)</f>
        <v>43.6</v>
      </c>
      <c r="D2511" s="1">
        <f>IFERROR(__xludf.DUMMYFUNCTION("""COMPUTED_VALUE"""),43.12)</f>
        <v>43.12</v>
      </c>
      <c r="E2511" s="1">
        <f>IFERROR(__xludf.DUMMYFUNCTION("""COMPUTED_VALUE"""),43.52)</f>
        <v>43.52</v>
      </c>
      <c r="F2511" s="1">
        <f>IFERROR(__xludf.DUMMYFUNCTION("""COMPUTED_VALUE"""),322841.0)</f>
        <v>322841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IFERROR(__xludf.DUMMYFUNCTION("""COMPUTED_VALUE"""),43.47)</f>
        <v>43.47</v>
      </c>
      <c r="C2512" s="1">
        <f>IFERROR(__xludf.DUMMYFUNCTION("""COMPUTED_VALUE"""),43.68)</f>
        <v>43.68</v>
      </c>
      <c r="D2512" s="1">
        <f>IFERROR(__xludf.DUMMYFUNCTION("""COMPUTED_VALUE"""),43.16)</f>
        <v>43.16</v>
      </c>
      <c r="E2512" s="1">
        <f>IFERROR(__xludf.DUMMYFUNCTION("""COMPUTED_VALUE"""),43.2)</f>
        <v>43.2</v>
      </c>
      <c r="F2512" s="1">
        <f>IFERROR(__xludf.DUMMYFUNCTION("""COMPUTED_VALUE"""),249910.0)</f>
        <v>249910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IFERROR(__xludf.DUMMYFUNCTION("""COMPUTED_VALUE"""),43.18)</f>
        <v>43.18</v>
      </c>
      <c r="C2513" s="1">
        <f>IFERROR(__xludf.DUMMYFUNCTION("""COMPUTED_VALUE"""),43.6)</f>
        <v>43.6</v>
      </c>
      <c r="D2513" s="1">
        <f>IFERROR(__xludf.DUMMYFUNCTION("""COMPUTED_VALUE"""),43.04)</f>
        <v>43.04</v>
      </c>
      <c r="E2513" s="1">
        <f>IFERROR(__xludf.DUMMYFUNCTION("""COMPUTED_VALUE"""),43.45)</f>
        <v>43.45</v>
      </c>
      <c r="F2513" s="1">
        <f>IFERROR(__xludf.DUMMYFUNCTION("""COMPUTED_VALUE"""),206805.0)</f>
        <v>206805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IFERROR(__xludf.DUMMYFUNCTION("""COMPUTED_VALUE"""),43.46)</f>
        <v>43.46</v>
      </c>
      <c r="C2514" s="1">
        <f>IFERROR(__xludf.DUMMYFUNCTION("""COMPUTED_VALUE"""),43.46)</f>
        <v>43.46</v>
      </c>
      <c r="D2514" s="1">
        <f>IFERROR(__xludf.DUMMYFUNCTION("""COMPUTED_VALUE"""),42.98)</f>
        <v>42.98</v>
      </c>
      <c r="E2514" s="1">
        <f>IFERROR(__xludf.DUMMYFUNCTION("""COMPUTED_VALUE"""),43.09)</f>
        <v>43.09</v>
      </c>
      <c r="F2514" s="1">
        <f>IFERROR(__xludf.DUMMYFUNCTION("""COMPUTED_VALUE"""),193388.0)</f>
        <v>193388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IFERROR(__xludf.DUMMYFUNCTION("""COMPUTED_VALUE"""),43.4)</f>
        <v>43.4</v>
      </c>
      <c r="C2515" s="1">
        <f>IFERROR(__xludf.DUMMYFUNCTION("""COMPUTED_VALUE"""),43.52)</f>
        <v>43.52</v>
      </c>
      <c r="D2515" s="1">
        <f>IFERROR(__xludf.DUMMYFUNCTION("""COMPUTED_VALUE"""),43.18)</f>
        <v>43.18</v>
      </c>
      <c r="E2515" s="1">
        <f>IFERROR(__xludf.DUMMYFUNCTION("""COMPUTED_VALUE"""),43.26)</f>
        <v>43.26</v>
      </c>
      <c r="F2515" s="1">
        <f>IFERROR(__xludf.DUMMYFUNCTION("""COMPUTED_VALUE"""),182858.0)</f>
        <v>182858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IFERROR(__xludf.DUMMYFUNCTION("""COMPUTED_VALUE"""),43.28)</f>
        <v>43.28</v>
      </c>
      <c r="C2516" s="1">
        <f>IFERROR(__xludf.DUMMYFUNCTION("""COMPUTED_VALUE"""),43.28)</f>
        <v>43.28</v>
      </c>
      <c r="D2516" s="1">
        <f>IFERROR(__xludf.DUMMYFUNCTION("""COMPUTED_VALUE"""),42.97)</f>
        <v>42.97</v>
      </c>
      <c r="E2516" s="1">
        <f>IFERROR(__xludf.DUMMYFUNCTION("""COMPUTED_VALUE"""),43.06)</f>
        <v>43.06</v>
      </c>
      <c r="F2516" s="1">
        <f>IFERROR(__xludf.DUMMYFUNCTION("""COMPUTED_VALUE"""),255084.0)</f>
        <v>255084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IFERROR(__xludf.DUMMYFUNCTION("""COMPUTED_VALUE"""),43.03)</f>
        <v>43.03</v>
      </c>
      <c r="C2517" s="1">
        <f>IFERROR(__xludf.DUMMYFUNCTION("""COMPUTED_VALUE"""),43.22)</f>
        <v>43.22</v>
      </c>
      <c r="D2517" s="1">
        <f>IFERROR(__xludf.DUMMYFUNCTION("""COMPUTED_VALUE"""),42.82)</f>
        <v>42.82</v>
      </c>
      <c r="E2517" s="1">
        <f>IFERROR(__xludf.DUMMYFUNCTION("""COMPUTED_VALUE"""),42.95)</f>
        <v>42.95</v>
      </c>
      <c r="F2517" s="1">
        <f>IFERROR(__xludf.DUMMYFUNCTION("""COMPUTED_VALUE"""),211313.0)</f>
        <v>211313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IFERROR(__xludf.DUMMYFUNCTION("""COMPUTED_VALUE"""),42.95)</f>
        <v>42.95</v>
      </c>
      <c r="C2518" s="1">
        <f>IFERROR(__xludf.DUMMYFUNCTION("""COMPUTED_VALUE"""),43.11)</f>
        <v>43.11</v>
      </c>
      <c r="D2518" s="1">
        <f>IFERROR(__xludf.DUMMYFUNCTION("""COMPUTED_VALUE"""),42.37)</f>
        <v>42.37</v>
      </c>
      <c r="E2518" s="1">
        <f>IFERROR(__xludf.DUMMYFUNCTION("""COMPUTED_VALUE"""),42.96)</f>
        <v>42.96</v>
      </c>
      <c r="F2518" s="1">
        <f>IFERROR(__xludf.DUMMYFUNCTION("""COMPUTED_VALUE"""),584858.0)</f>
        <v>584858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IFERROR(__xludf.DUMMYFUNCTION("""COMPUTED_VALUE"""),42.74)</f>
        <v>42.74</v>
      </c>
      <c r="C2519" s="1">
        <f>IFERROR(__xludf.DUMMYFUNCTION("""COMPUTED_VALUE"""),43.18)</f>
        <v>43.18</v>
      </c>
      <c r="D2519" s="1">
        <f>IFERROR(__xludf.DUMMYFUNCTION("""COMPUTED_VALUE"""),42.74)</f>
        <v>42.74</v>
      </c>
      <c r="E2519" s="1">
        <f>IFERROR(__xludf.DUMMYFUNCTION("""COMPUTED_VALUE"""),42.98)</f>
        <v>42.98</v>
      </c>
      <c r="F2519" s="1">
        <f>IFERROR(__xludf.DUMMYFUNCTION("""COMPUTED_VALUE"""),388897.0)</f>
        <v>388897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IFERROR(__xludf.DUMMYFUNCTION("""COMPUTED_VALUE"""),42.62)</f>
        <v>42.62</v>
      </c>
      <c r="C2520" s="1">
        <f>IFERROR(__xludf.DUMMYFUNCTION("""COMPUTED_VALUE"""),43.42)</f>
        <v>43.42</v>
      </c>
      <c r="D2520" s="1">
        <f>IFERROR(__xludf.DUMMYFUNCTION("""COMPUTED_VALUE"""),42.58)</f>
        <v>42.58</v>
      </c>
      <c r="E2520" s="1">
        <f>IFERROR(__xludf.DUMMYFUNCTION("""COMPUTED_VALUE"""),43.31)</f>
        <v>43.31</v>
      </c>
      <c r="F2520" s="1">
        <f>IFERROR(__xludf.DUMMYFUNCTION("""COMPUTED_VALUE"""),532277.0)</f>
        <v>532277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IFERROR(__xludf.DUMMYFUNCTION("""COMPUTED_VALUE"""),43.49)</f>
        <v>43.49</v>
      </c>
      <c r="C2521" s="1">
        <f>IFERROR(__xludf.DUMMYFUNCTION("""COMPUTED_VALUE"""),43.49)</f>
        <v>43.49</v>
      </c>
      <c r="D2521" s="1">
        <f>IFERROR(__xludf.DUMMYFUNCTION("""COMPUTED_VALUE"""),42.75)</f>
        <v>42.75</v>
      </c>
      <c r="E2521" s="1">
        <f>IFERROR(__xludf.DUMMYFUNCTION("""COMPUTED_VALUE"""),43.26)</f>
        <v>43.26</v>
      </c>
      <c r="F2521" s="1">
        <f>IFERROR(__xludf.DUMMYFUNCTION("""COMPUTED_VALUE"""),422809.0)</f>
        <v>422809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IFERROR(__xludf.DUMMYFUNCTION("""COMPUTED_VALUE"""),43.17)</f>
        <v>43.17</v>
      </c>
      <c r="C2522" s="1">
        <f>IFERROR(__xludf.DUMMYFUNCTION("""COMPUTED_VALUE"""),43.26)</f>
        <v>43.26</v>
      </c>
      <c r="D2522" s="1">
        <f>IFERROR(__xludf.DUMMYFUNCTION("""COMPUTED_VALUE"""),42.9)</f>
        <v>42.9</v>
      </c>
      <c r="E2522" s="1">
        <f>IFERROR(__xludf.DUMMYFUNCTION("""COMPUTED_VALUE"""),43.18)</f>
        <v>43.18</v>
      </c>
      <c r="F2522" s="1">
        <f>IFERROR(__xludf.DUMMYFUNCTION("""COMPUTED_VALUE"""),387899.0)</f>
        <v>387899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IFERROR(__xludf.DUMMYFUNCTION("""COMPUTED_VALUE"""),43.23)</f>
        <v>43.23</v>
      </c>
      <c r="C2523" s="1">
        <f>IFERROR(__xludf.DUMMYFUNCTION("""COMPUTED_VALUE"""),44.21)</f>
        <v>44.21</v>
      </c>
      <c r="D2523" s="1">
        <f>IFERROR(__xludf.DUMMYFUNCTION("""COMPUTED_VALUE"""),43.22)</f>
        <v>43.22</v>
      </c>
      <c r="E2523" s="1">
        <f>IFERROR(__xludf.DUMMYFUNCTION("""COMPUTED_VALUE"""),43.79)</f>
        <v>43.79</v>
      </c>
      <c r="F2523" s="1">
        <f>IFERROR(__xludf.DUMMYFUNCTION("""COMPUTED_VALUE"""),487886.0)</f>
        <v>487886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IFERROR(__xludf.DUMMYFUNCTION("""COMPUTED_VALUE"""),43.73)</f>
        <v>43.73</v>
      </c>
      <c r="C2524" s="1">
        <f>IFERROR(__xludf.DUMMYFUNCTION("""COMPUTED_VALUE"""),43.93)</f>
        <v>43.93</v>
      </c>
      <c r="D2524" s="1">
        <f>IFERROR(__xludf.DUMMYFUNCTION("""COMPUTED_VALUE"""),43.42)</f>
        <v>43.42</v>
      </c>
      <c r="E2524" s="1">
        <f>IFERROR(__xludf.DUMMYFUNCTION("""COMPUTED_VALUE"""),43.7)</f>
        <v>43.7</v>
      </c>
      <c r="F2524" s="1">
        <f>IFERROR(__xludf.DUMMYFUNCTION("""COMPUTED_VALUE"""),463072.0)</f>
        <v>463072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IFERROR(__xludf.DUMMYFUNCTION("""COMPUTED_VALUE"""),43.87)</f>
        <v>43.87</v>
      </c>
      <c r="C2525" s="1">
        <f>IFERROR(__xludf.DUMMYFUNCTION("""COMPUTED_VALUE"""),44.69)</f>
        <v>44.69</v>
      </c>
      <c r="D2525" s="1">
        <f>IFERROR(__xludf.DUMMYFUNCTION("""COMPUTED_VALUE"""),43.84)</f>
        <v>43.84</v>
      </c>
      <c r="E2525" s="1">
        <f>IFERROR(__xludf.DUMMYFUNCTION("""COMPUTED_VALUE"""),44.52)</f>
        <v>44.52</v>
      </c>
      <c r="F2525" s="1">
        <f>IFERROR(__xludf.DUMMYFUNCTION("""COMPUTED_VALUE"""),311273.0)</f>
        <v>311273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IFERROR(__xludf.DUMMYFUNCTION("""COMPUTED_VALUE"""),44.46)</f>
        <v>44.46</v>
      </c>
      <c r="C2526" s="1">
        <f>IFERROR(__xludf.DUMMYFUNCTION("""COMPUTED_VALUE"""),44.82)</f>
        <v>44.82</v>
      </c>
      <c r="D2526" s="1">
        <f>IFERROR(__xludf.DUMMYFUNCTION("""COMPUTED_VALUE"""),44.36)</f>
        <v>44.36</v>
      </c>
      <c r="E2526" s="1">
        <f>IFERROR(__xludf.DUMMYFUNCTION("""COMPUTED_VALUE"""),44.66)</f>
        <v>44.66</v>
      </c>
      <c r="F2526" s="1">
        <f>IFERROR(__xludf.DUMMYFUNCTION("""COMPUTED_VALUE"""),457631.0)</f>
        <v>457631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IFERROR(__xludf.DUMMYFUNCTION("""COMPUTED_VALUE"""),44.66)</f>
        <v>44.66</v>
      </c>
      <c r="C2527" s="1">
        <f>IFERROR(__xludf.DUMMYFUNCTION("""COMPUTED_VALUE"""),45.16)</f>
        <v>45.16</v>
      </c>
      <c r="D2527" s="1">
        <f>IFERROR(__xludf.DUMMYFUNCTION("""COMPUTED_VALUE"""),44.5)</f>
        <v>44.5</v>
      </c>
      <c r="E2527" s="1">
        <f>IFERROR(__xludf.DUMMYFUNCTION("""COMPUTED_VALUE"""),44.56)</f>
        <v>44.56</v>
      </c>
      <c r="F2527" s="1">
        <f>IFERROR(__xludf.DUMMYFUNCTION("""COMPUTED_VALUE"""),454860.0)</f>
        <v>454860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IFERROR(__xludf.DUMMYFUNCTION("""COMPUTED_VALUE"""),44.64)</f>
        <v>44.64</v>
      </c>
      <c r="C2528" s="1">
        <f>IFERROR(__xludf.DUMMYFUNCTION("""COMPUTED_VALUE"""),44.84)</f>
        <v>44.84</v>
      </c>
      <c r="D2528" s="1">
        <f>IFERROR(__xludf.DUMMYFUNCTION("""COMPUTED_VALUE"""),44.37)</f>
        <v>44.37</v>
      </c>
      <c r="E2528" s="1">
        <f>IFERROR(__xludf.DUMMYFUNCTION("""COMPUTED_VALUE"""),44.52)</f>
        <v>44.52</v>
      </c>
      <c r="F2528" s="1">
        <f>IFERROR(__xludf.DUMMYFUNCTION("""COMPUTED_VALUE"""),251764.0)</f>
        <v>251764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IFERROR(__xludf.DUMMYFUNCTION("""COMPUTED_VALUE"""),44.63)</f>
        <v>44.63</v>
      </c>
      <c r="C2529" s="1">
        <f>IFERROR(__xludf.DUMMYFUNCTION("""COMPUTED_VALUE"""),44.72)</f>
        <v>44.72</v>
      </c>
      <c r="D2529" s="1">
        <f>IFERROR(__xludf.DUMMYFUNCTION("""COMPUTED_VALUE"""),44.29)</f>
        <v>44.29</v>
      </c>
      <c r="E2529" s="1">
        <f>IFERROR(__xludf.DUMMYFUNCTION("""COMPUTED_VALUE"""),44.32)</f>
        <v>44.32</v>
      </c>
      <c r="F2529" s="1">
        <f>IFERROR(__xludf.DUMMYFUNCTION("""COMPUTED_VALUE"""),230262.0)</f>
        <v>230262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IFERROR(__xludf.DUMMYFUNCTION("""COMPUTED_VALUE"""),44.21)</f>
        <v>44.21</v>
      </c>
      <c r="C2530" s="1">
        <f>IFERROR(__xludf.DUMMYFUNCTION("""COMPUTED_VALUE"""),44.3)</f>
        <v>44.3</v>
      </c>
      <c r="D2530" s="1">
        <f>IFERROR(__xludf.DUMMYFUNCTION("""COMPUTED_VALUE"""),43.58)</f>
        <v>43.58</v>
      </c>
      <c r="E2530" s="1">
        <f>IFERROR(__xludf.DUMMYFUNCTION("""COMPUTED_VALUE"""),43.58)</f>
        <v>43.58</v>
      </c>
      <c r="F2530" s="1">
        <f>IFERROR(__xludf.DUMMYFUNCTION("""COMPUTED_VALUE"""),423414.0)</f>
        <v>423414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IFERROR(__xludf.DUMMYFUNCTION("""COMPUTED_VALUE"""),43.55)</f>
        <v>43.55</v>
      </c>
      <c r="C2531" s="1">
        <f>IFERROR(__xludf.DUMMYFUNCTION("""COMPUTED_VALUE"""),44.0)</f>
        <v>44</v>
      </c>
      <c r="D2531" s="1">
        <f>IFERROR(__xludf.DUMMYFUNCTION("""COMPUTED_VALUE"""),43.29)</f>
        <v>43.29</v>
      </c>
      <c r="E2531" s="1">
        <f>IFERROR(__xludf.DUMMYFUNCTION("""COMPUTED_VALUE"""),43.44)</f>
        <v>43.44</v>
      </c>
      <c r="F2531" s="1">
        <f>IFERROR(__xludf.DUMMYFUNCTION("""COMPUTED_VALUE"""),393870.0)</f>
        <v>393870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IFERROR(__xludf.DUMMYFUNCTION("""COMPUTED_VALUE"""),43.41)</f>
        <v>43.41</v>
      </c>
      <c r="C2532" s="1">
        <f>IFERROR(__xludf.DUMMYFUNCTION("""COMPUTED_VALUE"""),43.51)</f>
        <v>43.51</v>
      </c>
      <c r="D2532" s="1">
        <f>IFERROR(__xludf.DUMMYFUNCTION("""COMPUTED_VALUE"""),43.17)</f>
        <v>43.17</v>
      </c>
      <c r="E2532" s="1">
        <f>IFERROR(__xludf.DUMMYFUNCTION("""COMPUTED_VALUE"""),43.32)</f>
        <v>43.32</v>
      </c>
      <c r="F2532" s="1">
        <f>IFERROR(__xludf.DUMMYFUNCTION("""COMPUTED_VALUE"""),267926.0)</f>
        <v>267926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IFERROR(__xludf.DUMMYFUNCTION("""COMPUTED_VALUE"""),43.4)</f>
        <v>43.4</v>
      </c>
      <c r="C2533" s="1">
        <f>IFERROR(__xludf.DUMMYFUNCTION("""COMPUTED_VALUE"""),43.47)</f>
        <v>43.47</v>
      </c>
      <c r="D2533" s="1">
        <f>IFERROR(__xludf.DUMMYFUNCTION("""COMPUTED_VALUE"""),42.97)</f>
        <v>42.97</v>
      </c>
      <c r="E2533" s="1">
        <f>IFERROR(__xludf.DUMMYFUNCTION("""COMPUTED_VALUE"""),43.37)</f>
        <v>43.37</v>
      </c>
      <c r="F2533" s="1">
        <f>IFERROR(__xludf.DUMMYFUNCTION("""COMPUTED_VALUE"""),260315.0)</f>
        <v>260315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IFERROR(__xludf.DUMMYFUNCTION("""COMPUTED_VALUE"""),42.96)</f>
        <v>42.96</v>
      </c>
      <c r="C2534" s="1">
        <f>IFERROR(__xludf.DUMMYFUNCTION("""COMPUTED_VALUE"""),43.31)</f>
        <v>43.31</v>
      </c>
      <c r="D2534" s="1">
        <f>IFERROR(__xludf.DUMMYFUNCTION("""COMPUTED_VALUE"""),42.63)</f>
        <v>42.63</v>
      </c>
      <c r="E2534" s="1">
        <f>IFERROR(__xludf.DUMMYFUNCTION("""COMPUTED_VALUE"""),43.19)</f>
        <v>43.19</v>
      </c>
      <c r="F2534" s="1">
        <f>IFERROR(__xludf.DUMMYFUNCTION("""COMPUTED_VALUE"""),521042.0)</f>
        <v>521042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IFERROR(__xludf.DUMMYFUNCTION("""COMPUTED_VALUE"""),43.28)</f>
        <v>43.28</v>
      </c>
      <c r="C2535" s="1">
        <f>IFERROR(__xludf.DUMMYFUNCTION("""COMPUTED_VALUE"""),43.28)</f>
        <v>43.28</v>
      </c>
      <c r="D2535" s="1">
        <f>IFERROR(__xludf.DUMMYFUNCTION("""COMPUTED_VALUE"""),43.03)</f>
        <v>43.03</v>
      </c>
      <c r="E2535" s="1">
        <f>IFERROR(__xludf.DUMMYFUNCTION("""COMPUTED_VALUE"""),43.2)</f>
        <v>43.2</v>
      </c>
      <c r="F2535" s="1">
        <f>IFERROR(__xludf.DUMMYFUNCTION("""COMPUTED_VALUE"""),241311.0)</f>
        <v>241311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IFERROR(__xludf.DUMMYFUNCTION("""COMPUTED_VALUE"""),43.15)</f>
        <v>43.15</v>
      </c>
      <c r="C2536" s="1">
        <f>IFERROR(__xludf.DUMMYFUNCTION("""COMPUTED_VALUE"""),43.34)</f>
        <v>43.34</v>
      </c>
      <c r="D2536" s="1">
        <f>IFERROR(__xludf.DUMMYFUNCTION("""COMPUTED_VALUE"""),42.8)</f>
        <v>42.8</v>
      </c>
      <c r="E2536" s="1">
        <f>IFERROR(__xludf.DUMMYFUNCTION("""COMPUTED_VALUE"""),43.03)</f>
        <v>43.03</v>
      </c>
      <c r="F2536" s="1">
        <f>IFERROR(__xludf.DUMMYFUNCTION("""COMPUTED_VALUE"""),445593.0)</f>
        <v>445593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IFERROR(__xludf.DUMMYFUNCTION("""COMPUTED_VALUE"""),42.93)</f>
        <v>42.93</v>
      </c>
      <c r="C2537" s="1">
        <f>IFERROR(__xludf.DUMMYFUNCTION("""COMPUTED_VALUE"""),42.93)</f>
        <v>42.93</v>
      </c>
      <c r="D2537" s="1">
        <f>IFERROR(__xludf.DUMMYFUNCTION("""COMPUTED_VALUE"""),42.51)</f>
        <v>42.51</v>
      </c>
      <c r="E2537" s="1">
        <f>IFERROR(__xludf.DUMMYFUNCTION("""COMPUTED_VALUE"""),42.78)</f>
        <v>42.78</v>
      </c>
      <c r="F2537" s="1">
        <f>IFERROR(__xludf.DUMMYFUNCTION("""COMPUTED_VALUE"""),474889.0)</f>
        <v>474889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IFERROR(__xludf.DUMMYFUNCTION("""COMPUTED_VALUE"""),42.66)</f>
        <v>42.66</v>
      </c>
      <c r="C2538" s="1">
        <f>IFERROR(__xludf.DUMMYFUNCTION("""COMPUTED_VALUE"""),42.82)</f>
        <v>42.82</v>
      </c>
      <c r="D2538" s="1">
        <f>IFERROR(__xludf.DUMMYFUNCTION("""COMPUTED_VALUE"""),42.07)</f>
        <v>42.07</v>
      </c>
      <c r="E2538" s="1">
        <f>IFERROR(__xludf.DUMMYFUNCTION("""COMPUTED_VALUE"""),42.22)</f>
        <v>42.22</v>
      </c>
      <c r="F2538" s="1">
        <f>IFERROR(__xludf.DUMMYFUNCTION("""COMPUTED_VALUE"""),284973.0)</f>
        <v>284973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IFERROR(__xludf.DUMMYFUNCTION("""COMPUTED_VALUE"""),42.13)</f>
        <v>42.13</v>
      </c>
      <c r="C2539" s="1">
        <f>IFERROR(__xludf.DUMMYFUNCTION("""COMPUTED_VALUE"""),42.39)</f>
        <v>42.39</v>
      </c>
      <c r="D2539" s="1">
        <f>IFERROR(__xludf.DUMMYFUNCTION("""COMPUTED_VALUE"""),41.78)</f>
        <v>41.78</v>
      </c>
      <c r="E2539" s="1">
        <f>IFERROR(__xludf.DUMMYFUNCTION("""COMPUTED_VALUE"""),41.94)</f>
        <v>41.94</v>
      </c>
      <c r="F2539" s="1">
        <f>IFERROR(__xludf.DUMMYFUNCTION("""COMPUTED_VALUE"""),582700.0)</f>
        <v>582700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IFERROR(__xludf.DUMMYFUNCTION("""COMPUTED_VALUE"""),42.3)</f>
        <v>42.3</v>
      </c>
      <c r="C2540" s="1">
        <f>IFERROR(__xludf.DUMMYFUNCTION("""COMPUTED_VALUE"""),42.51)</f>
        <v>42.51</v>
      </c>
      <c r="D2540" s="1">
        <f>IFERROR(__xludf.DUMMYFUNCTION("""COMPUTED_VALUE"""),42.0)</f>
        <v>42</v>
      </c>
      <c r="E2540" s="1">
        <f>IFERROR(__xludf.DUMMYFUNCTION("""COMPUTED_VALUE"""),42.12)</f>
        <v>42.12</v>
      </c>
      <c r="F2540" s="1">
        <f>IFERROR(__xludf.DUMMYFUNCTION("""COMPUTED_VALUE"""),364906.0)</f>
        <v>364906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IFERROR(__xludf.DUMMYFUNCTION("""COMPUTED_VALUE"""),42.2)</f>
        <v>42.2</v>
      </c>
      <c r="C2541" s="1">
        <f>IFERROR(__xludf.DUMMYFUNCTION("""COMPUTED_VALUE"""),42.71)</f>
        <v>42.71</v>
      </c>
      <c r="D2541" s="1">
        <f>IFERROR(__xludf.DUMMYFUNCTION("""COMPUTED_VALUE"""),42.18)</f>
        <v>42.18</v>
      </c>
      <c r="E2541" s="1">
        <f>IFERROR(__xludf.DUMMYFUNCTION("""COMPUTED_VALUE"""),42.67)</f>
        <v>42.67</v>
      </c>
      <c r="F2541" s="1">
        <f>IFERROR(__xludf.DUMMYFUNCTION("""COMPUTED_VALUE"""),336653.0)</f>
        <v>336653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IFERROR(__xludf.DUMMYFUNCTION("""COMPUTED_VALUE"""),42.68)</f>
        <v>42.68</v>
      </c>
      <c r="C2542" s="1">
        <f>IFERROR(__xludf.DUMMYFUNCTION("""COMPUTED_VALUE"""),43.58)</f>
        <v>43.58</v>
      </c>
      <c r="D2542" s="1">
        <f>IFERROR(__xludf.DUMMYFUNCTION("""COMPUTED_VALUE"""),42.68)</f>
        <v>42.68</v>
      </c>
      <c r="E2542" s="1">
        <f>IFERROR(__xludf.DUMMYFUNCTION("""COMPUTED_VALUE"""),43.4)</f>
        <v>43.4</v>
      </c>
      <c r="F2542" s="1">
        <f>IFERROR(__xludf.DUMMYFUNCTION("""COMPUTED_VALUE"""),250937.0)</f>
        <v>250937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IFERROR(__xludf.DUMMYFUNCTION("""COMPUTED_VALUE"""),43.33)</f>
        <v>43.33</v>
      </c>
      <c r="C2543" s="1">
        <f>IFERROR(__xludf.DUMMYFUNCTION("""COMPUTED_VALUE"""),43.66)</f>
        <v>43.66</v>
      </c>
      <c r="D2543" s="1">
        <f>IFERROR(__xludf.DUMMYFUNCTION("""COMPUTED_VALUE"""),42.62)</f>
        <v>42.62</v>
      </c>
      <c r="E2543" s="1">
        <f>IFERROR(__xludf.DUMMYFUNCTION("""COMPUTED_VALUE"""),42.64)</f>
        <v>42.64</v>
      </c>
      <c r="F2543" s="1">
        <f>IFERROR(__xludf.DUMMYFUNCTION("""COMPUTED_VALUE"""),221563.0)</f>
        <v>221563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IFERROR(__xludf.DUMMYFUNCTION("""COMPUTED_VALUE"""),42.59)</f>
        <v>42.59</v>
      </c>
      <c r="C2544" s="1">
        <f>IFERROR(__xludf.DUMMYFUNCTION("""COMPUTED_VALUE"""),42.89)</f>
        <v>42.89</v>
      </c>
      <c r="D2544" s="1">
        <f>IFERROR(__xludf.DUMMYFUNCTION("""COMPUTED_VALUE"""),42.5)</f>
        <v>42.5</v>
      </c>
      <c r="E2544" s="1">
        <f>IFERROR(__xludf.DUMMYFUNCTION("""COMPUTED_VALUE"""),42.63)</f>
        <v>42.63</v>
      </c>
      <c r="F2544" s="1">
        <f>IFERROR(__xludf.DUMMYFUNCTION("""COMPUTED_VALUE"""),160866.0)</f>
        <v>160866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IFERROR(__xludf.DUMMYFUNCTION("""COMPUTED_VALUE"""),42.75)</f>
        <v>42.75</v>
      </c>
      <c r="C2545" s="1">
        <f>IFERROR(__xludf.DUMMYFUNCTION("""COMPUTED_VALUE"""),43.32)</f>
        <v>43.32</v>
      </c>
      <c r="D2545" s="1">
        <f>IFERROR(__xludf.DUMMYFUNCTION("""COMPUTED_VALUE"""),42.57)</f>
        <v>42.57</v>
      </c>
      <c r="E2545" s="1">
        <f>IFERROR(__xludf.DUMMYFUNCTION("""COMPUTED_VALUE"""),43.15)</f>
        <v>43.15</v>
      </c>
      <c r="F2545" s="1">
        <f>IFERROR(__xludf.DUMMYFUNCTION("""COMPUTED_VALUE"""),187643.0)</f>
        <v>187643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IFERROR(__xludf.DUMMYFUNCTION("""COMPUTED_VALUE"""),43.17)</f>
        <v>43.17</v>
      </c>
      <c r="C2546" s="1">
        <f>IFERROR(__xludf.DUMMYFUNCTION("""COMPUTED_VALUE"""),43.17)</f>
        <v>43.17</v>
      </c>
      <c r="D2546" s="1">
        <f>IFERROR(__xludf.DUMMYFUNCTION("""COMPUTED_VALUE"""),42.62)</f>
        <v>42.62</v>
      </c>
      <c r="E2546" s="1">
        <f>IFERROR(__xludf.DUMMYFUNCTION("""COMPUTED_VALUE"""),42.93)</f>
        <v>42.93</v>
      </c>
      <c r="F2546" s="1">
        <f>IFERROR(__xludf.DUMMYFUNCTION("""COMPUTED_VALUE"""),247066.0)</f>
        <v>247066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IFERROR(__xludf.DUMMYFUNCTION("""COMPUTED_VALUE"""),42.72)</f>
        <v>42.72</v>
      </c>
      <c r="C2547" s="1">
        <f>IFERROR(__xludf.DUMMYFUNCTION("""COMPUTED_VALUE"""),42.85)</f>
        <v>42.85</v>
      </c>
      <c r="D2547" s="1">
        <f>IFERROR(__xludf.DUMMYFUNCTION("""COMPUTED_VALUE"""),42.62)</f>
        <v>42.62</v>
      </c>
      <c r="E2547" s="1">
        <f>IFERROR(__xludf.DUMMYFUNCTION("""COMPUTED_VALUE"""),42.78)</f>
        <v>42.78</v>
      </c>
      <c r="F2547" s="1">
        <f>IFERROR(__xludf.DUMMYFUNCTION("""COMPUTED_VALUE"""),199176.0)</f>
        <v>199176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IFERROR(__xludf.DUMMYFUNCTION("""COMPUTED_VALUE"""),42.87)</f>
        <v>42.87</v>
      </c>
      <c r="C2548" s="1">
        <f>IFERROR(__xludf.DUMMYFUNCTION("""COMPUTED_VALUE"""),43.22)</f>
        <v>43.22</v>
      </c>
      <c r="D2548" s="1">
        <f>IFERROR(__xludf.DUMMYFUNCTION("""COMPUTED_VALUE"""),42.84)</f>
        <v>42.84</v>
      </c>
      <c r="E2548" s="1">
        <f>IFERROR(__xludf.DUMMYFUNCTION("""COMPUTED_VALUE"""),43.07)</f>
        <v>43.07</v>
      </c>
      <c r="F2548" s="1">
        <f>IFERROR(__xludf.DUMMYFUNCTION("""COMPUTED_VALUE"""),138127.0)</f>
        <v>138127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IFERROR(__xludf.DUMMYFUNCTION("""COMPUTED_VALUE"""),43.03)</f>
        <v>43.03</v>
      </c>
      <c r="C2549" s="1">
        <f>IFERROR(__xludf.DUMMYFUNCTION("""COMPUTED_VALUE"""),43.26)</f>
        <v>43.26</v>
      </c>
      <c r="D2549" s="1">
        <f>IFERROR(__xludf.DUMMYFUNCTION("""COMPUTED_VALUE"""),42.48)</f>
        <v>42.48</v>
      </c>
      <c r="E2549" s="1">
        <f>IFERROR(__xludf.DUMMYFUNCTION("""COMPUTED_VALUE"""),42.83)</f>
        <v>42.83</v>
      </c>
      <c r="F2549" s="1">
        <f>IFERROR(__xludf.DUMMYFUNCTION("""COMPUTED_VALUE"""),632478.0)</f>
        <v>632478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IFERROR(__xludf.DUMMYFUNCTION("""COMPUTED_VALUE"""),42.82)</f>
        <v>42.82</v>
      </c>
      <c r="C2550" s="1">
        <f>IFERROR(__xludf.DUMMYFUNCTION("""COMPUTED_VALUE"""),43.42)</f>
        <v>43.42</v>
      </c>
      <c r="D2550" s="1">
        <f>IFERROR(__xludf.DUMMYFUNCTION("""COMPUTED_VALUE"""),42.82)</f>
        <v>42.82</v>
      </c>
      <c r="E2550" s="1">
        <f>IFERROR(__xludf.DUMMYFUNCTION("""COMPUTED_VALUE"""),43.27)</f>
        <v>43.27</v>
      </c>
      <c r="F2550" s="1">
        <f>IFERROR(__xludf.DUMMYFUNCTION("""COMPUTED_VALUE"""),435100.0)</f>
        <v>435100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IFERROR(__xludf.DUMMYFUNCTION("""COMPUTED_VALUE"""),43.04)</f>
        <v>43.04</v>
      </c>
      <c r="C2551" s="1">
        <f>IFERROR(__xludf.DUMMYFUNCTION("""COMPUTED_VALUE"""),43.72)</f>
        <v>43.72</v>
      </c>
      <c r="D2551" s="1">
        <f>IFERROR(__xludf.DUMMYFUNCTION("""COMPUTED_VALUE"""),43.04)</f>
        <v>43.04</v>
      </c>
      <c r="E2551" s="1">
        <f>IFERROR(__xludf.DUMMYFUNCTION("""COMPUTED_VALUE"""),43.64)</f>
        <v>43.64</v>
      </c>
      <c r="F2551" s="1">
        <f>IFERROR(__xludf.DUMMYFUNCTION("""COMPUTED_VALUE"""),335694.0)</f>
        <v>335694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IFERROR(__xludf.DUMMYFUNCTION("""COMPUTED_VALUE"""),43.47)</f>
        <v>43.47</v>
      </c>
      <c r="C2552" s="1">
        <f>IFERROR(__xludf.DUMMYFUNCTION("""COMPUTED_VALUE"""),43.81)</f>
        <v>43.81</v>
      </c>
      <c r="D2552" s="1">
        <f>IFERROR(__xludf.DUMMYFUNCTION("""COMPUTED_VALUE"""),43.43)</f>
        <v>43.43</v>
      </c>
      <c r="E2552" s="1">
        <f>IFERROR(__xludf.DUMMYFUNCTION("""COMPUTED_VALUE"""),43.55)</f>
        <v>43.55</v>
      </c>
      <c r="F2552" s="1">
        <f>IFERROR(__xludf.DUMMYFUNCTION("""COMPUTED_VALUE"""),254063.0)</f>
        <v>254063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IFERROR(__xludf.DUMMYFUNCTION("""COMPUTED_VALUE"""),42.59)</f>
        <v>42.59</v>
      </c>
      <c r="C2553" s="1">
        <f>IFERROR(__xludf.DUMMYFUNCTION("""COMPUTED_VALUE"""),43.41)</f>
        <v>43.41</v>
      </c>
      <c r="D2553" s="1">
        <f>IFERROR(__xludf.DUMMYFUNCTION("""COMPUTED_VALUE"""),42.14)</f>
        <v>42.14</v>
      </c>
      <c r="E2553" s="1">
        <f>IFERROR(__xludf.DUMMYFUNCTION("""COMPUTED_VALUE"""),43.23)</f>
        <v>43.23</v>
      </c>
      <c r="F2553" s="1">
        <f>IFERROR(__xludf.DUMMYFUNCTION("""COMPUTED_VALUE"""),618781.0)</f>
        <v>618781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IFERROR(__xludf.DUMMYFUNCTION("""COMPUTED_VALUE"""),43.15)</f>
        <v>43.15</v>
      </c>
      <c r="C2554" s="1">
        <f>IFERROR(__xludf.DUMMYFUNCTION("""COMPUTED_VALUE"""),43.62)</f>
        <v>43.62</v>
      </c>
      <c r="D2554" s="1">
        <f>IFERROR(__xludf.DUMMYFUNCTION("""COMPUTED_VALUE"""),41.96)</f>
        <v>41.96</v>
      </c>
      <c r="E2554" s="1">
        <f>IFERROR(__xludf.DUMMYFUNCTION("""COMPUTED_VALUE"""),41.98)</f>
        <v>41.98</v>
      </c>
      <c r="F2554" s="1">
        <f>IFERROR(__xludf.DUMMYFUNCTION("""COMPUTED_VALUE"""),632505.0)</f>
        <v>632505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IFERROR(__xludf.DUMMYFUNCTION("""COMPUTED_VALUE"""),42.02)</f>
        <v>42.02</v>
      </c>
      <c r="C2555" s="1">
        <f>IFERROR(__xludf.DUMMYFUNCTION("""COMPUTED_VALUE"""),42.65)</f>
        <v>42.65</v>
      </c>
      <c r="D2555" s="1">
        <f>IFERROR(__xludf.DUMMYFUNCTION("""COMPUTED_VALUE"""),41.42)</f>
        <v>41.42</v>
      </c>
      <c r="E2555" s="1">
        <f>IFERROR(__xludf.DUMMYFUNCTION("""COMPUTED_VALUE"""),41.43)</f>
        <v>41.43</v>
      </c>
      <c r="F2555" s="1">
        <f>IFERROR(__xludf.DUMMYFUNCTION("""COMPUTED_VALUE"""),457009.0)</f>
        <v>457009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IFERROR(__xludf.DUMMYFUNCTION("""COMPUTED_VALUE"""),40.68)</f>
        <v>40.68</v>
      </c>
      <c r="C2556" s="1">
        <f>IFERROR(__xludf.DUMMYFUNCTION("""COMPUTED_VALUE"""),41.5)</f>
        <v>41.5</v>
      </c>
      <c r="D2556" s="1">
        <f>IFERROR(__xludf.DUMMYFUNCTION("""COMPUTED_VALUE"""),40.43)</f>
        <v>40.43</v>
      </c>
      <c r="E2556" s="1">
        <f>IFERROR(__xludf.DUMMYFUNCTION("""COMPUTED_VALUE"""),40.46)</f>
        <v>40.46</v>
      </c>
      <c r="F2556" s="1">
        <f>IFERROR(__xludf.DUMMYFUNCTION("""COMPUTED_VALUE"""),896409.0)</f>
        <v>896409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IFERROR(__xludf.DUMMYFUNCTION("""COMPUTED_VALUE"""),39.96)</f>
        <v>39.96</v>
      </c>
      <c r="C2557" s="1">
        <f>IFERROR(__xludf.DUMMYFUNCTION("""COMPUTED_VALUE"""),40.79)</f>
        <v>40.79</v>
      </c>
      <c r="D2557" s="1">
        <f>IFERROR(__xludf.DUMMYFUNCTION("""COMPUTED_VALUE"""),39.28)</f>
        <v>39.28</v>
      </c>
      <c r="E2557" s="1">
        <f>IFERROR(__xludf.DUMMYFUNCTION("""COMPUTED_VALUE"""),39.7)</f>
        <v>39.7</v>
      </c>
      <c r="F2557" s="1">
        <f>IFERROR(__xludf.DUMMYFUNCTION("""COMPUTED_VALUE"""),842607.0)</f>
        <v>842607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IFERROR(__xludf.DUMMYFUNCTION("""COMPUTED_VALUE"""),39.85)</f>
        <v>39.85</v>
      </c>
      <c r="C2558" s="1">
        <f>IFERROR(__xludf.DUMMYFUNCTION("""COMPUTED_VALUE"""),40.29)</f>
        <v>40.29</v>
      </c>
      <c r="D2558" s="1">
        <f>IFERROR(__xludf.DUMMYFUNCTION("""COMPUTED_VALUE"""),39.05)</f>
        <v>39.05</v>
      </c>
      <c r="E2558" s="1">
        <f>IFERROR(__xludf.DUMMYFUNCTION("""COMPUTED_VALUE"""),39.61)</f>
        <v>39.61</v>
      </c>
      <c r="F2558" s="1">
        <f>IFERROR(__xludf.DUMMYFUNCTION("""COMPUTED_VALUE"""),842608.0)</f>
        <v>842608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IFERROR(__xludf.DUMMYFUNCTION("""COMPUTED_VALUE"""),39.52)</f>
        <v>39.52</v>
      </c>
      <c r="C2559" s="1">
        <f>IFERROR(__xludf.DUMMYFUNCTION("""COMPUTED_VALUE"""),40.96)</f>
        <v>40.96</v>
      </c>
      <c r="D2559" s="1">
        <f>IFERROR(__xludf.DUMMYFUNCTION("""COMPUTED_VALUE"""),39.52)</f>
        <v>39.52</v>
      </c>
      <c r="E2559" s="1">
        <f>IFERROR(__xludf.DUMMYFUNCTION("""COMPUTED_VALUE"""),40.17)</f>
        <v>40.17</v>
      </c>
      <c r="F2559" s="1">
        <f>IFERROR(__xludf.DUMMYFUNCTION("""COMPUTED_VALUE"""),757110.0)</f>
        <v>757110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IFERROR(__xludf.DUMMYFUNCTION("""COMPUTED_VALUE"""),40.5)</f>
        <v>40.5</v>
      </c>
      <c r="C2560" s="1">
        <f>IFERROR(__xludf.DUMMYFUNCTION("""COMPUTED_VALUE"""),41.87)</f>
        <v>41.87</v>
      </c>
      <c r="D2560" s="1">
        <f>IFERROR(__xludf.DUMMYFUNCTION("""COMPUTED_VALUE"""),40.5)</f>
        <v>40.5</v>
      </c>
      <c r="E2560" s="1">
        <f>IFERROR(__xludf.DUMMYFUNCTION("""COMPUTED_VALUE"""),41.87)</f>
        <v>41.87</v>
      </c>
      <c r="F2560" s="1">
        <f>IFERROR(__xludf.DUMMYFUNCTION("""COMPUTED_VALUE"""),643218.0)</f>
        <v>643218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IFERROR(__xludf.DUMMYFUNCTION("""COMPUTED_VALUE"""),41.37)</f>
        <v>41.37</v>
      </c>
      <c r="C2561" s="1">
        <f>IFERROR(__xludf.DUMMYFUNCTION("""COMPUTED_VALUE"""),41.67)</f>
        <v>41.67</v>
      </c>
      <c r="D2561" s="1">
        <f>IFERROR(__xludf.DUMMYFUNCTION("""COMPUTED_VALUE"""),40.5)</f>
        <v>40.5</v>
      </c>
      <c r="E2561" s="1">
        <f>IFERROR(__xludf.DUMMYFUNCTION("""COMPUTED_VALUE"""),40.64)</f>
        <v>40.64</v>
      </c>
      <c r="F2561" s="1">
        <f>IFERROR(__xludf.DUMMYFUNCTION("""COMPUTED_VALUE"""),740702.0)</f>
        <v>740702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IFERROR(__xludf.DUMMYFUNCTION("""COMPUTED_VALUE"""),39.75)</f>
        <v>39.75</v>
      </c>
      <c r="C2562" s="1">
        <f>IFERROR(__xludf.DUMMYFUNCTION("""COMPUTED_VALUE"""),40.93)</f>
        <v>40.93</v>
      </c>
      <c r="D2562" s="1">
        <f>IFERROR(__xludf.DUMMYFUNCTION("""COMPUTED_VALUE"""),39.75)</f>
        <v>39.75</v>
      </c>
      <c r="E2562" s="1">
        <f>IFERROR(__xludf.DUMMYFUNCTION("""COMPUTED_VALUE"""),40.49)</f>
        <v>40.49</v>
      </c>
      <c r="F2562" s="1">
        <f>IFERROR(__xludf.DUMMYFUNCTION("""COMPUTED_VALUE"""),722036.0)</f>
        <v>722036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IFERROR(__xludf.DUMMYFUNCTION("""COMPUTED_VALUE"""),39.17)</f>
        <v>39.17</v>
      </c>
      <c r="C2563" s="1">
        <f>IFERROR(__xludf.DUMMYFUNCTION("""COMPUTED_VALUE"""),39.28)</f>
        <v>39.28</v>
      </c>
      <c r="D2563" s="1">
        <f>IFERROR(__xludf.DUMMYFUNCTION("""COMPUTED_VALUE"""),37.72)</f>
        <v>37.72</v>
      </c>
      <c r="E2563" s="1">
        <f>IFERROR(__xludf.DUMMYFUNCTION("""COMPUTED_VALUE"""),37.75)</f>
        <v>37.75</v>
      </c>
      <c r="F2563" s="1">
        <f>IFERROR(__xludf.DUMMYFUNCTION("""COMPUTED_VALUE"""),1185484.0)</f>
        <v>1185484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IFERROR(__xludf.DUMMYFUNCTION("""COMPUTED_VALUE"""),38.36)</f>
        <v>38.36</v>
      </c>
      <c r="C2564" s="1">
        <f>IFERROR(__xludf.DUMMYFUNCTION("""COMPUTED_VALUE"""),39.47)</f>
        <v>39.47</v>
      </c>
      <c r="D2564" s="1">
        <f>IFERROR(__xludf.DUMMYFUNCTION("""COMPUTED_VALUE"""),37.93)</f>
        <v>37.93</v>
      </c>
      <c r="E2564" s="1">
        <f>IFERROR(__xludf.DUMMYFUNCTION("""COMPUTED_VALUE"""),39.26)</f>
        <v>39.26</v>
      </c>
      <c r="F2564" s="1">
        <f>IFERROR(__xludf.DUMMYFUNCTION("""COMPUTED_VALUE"""),874832.0)</f>
        <v>874832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IFERROR(__xludf.DUMMYFUNCTION("""COMPUTED_VALUE"""),38.66)</f>
        <v>38.66</v>
      </c>
      <c r="C2565" s="1">
        <f>IFERROR(__xludf.DUMMYFUNCTION("""COMPUTED_VALUE"""),38.83)</f>
        <v>38.83</v>
      </c>
      <c r="D2565" s="1">
        <f>IFERROR(__xludf.DUMMYFUNCTION("""COMPUTED_VALUE"""),37.03)</f>
        <v>37.03</v>
      </c>
      <c r="E2565" s="1">
        <f>IFERROR(__xludf.DUMMYFUNCTION("""COMPUTED_VALUE"""),37.23)</f>
        <v>37.23</v>
      </c>
      <c r="F2565" s="1">
        <f>IFERROR(__xludf.DUMMYFUNCTION("""COMPUTED_VALUE"""),564329.0)</f>
        <v>564329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IFERROR(__xludf.DUMMYFUNCTION("""COMPUTED_VALUE"""),35.22)</f>
        <v>35.22</v>
      </c>
      <c r="C2566" s="1">
        <f>IFERROR(__xludf.DUMMYFUNCTION("""COMPUTED_VALUE"""),35.42)</f>
        <v>35.42</v>
      </c>
      <c r="D2566" s="1">
        <f>IFERROR(__xludf.DUMMYFUNCTION("""COMPUTED_VALUE"""),32.89)</f>
        <v>32.89</v>
      </c>
      <c r="E2566" s="1">
        <f>IFERROR(__xludf.DUMMYFUNCTION("""COMPUTED_VALUE"""),32.99)</f>
        <v>32.99</v>
      </c>
      <c r="F2566" s="1">
        <f>IFERROR(__xludf.DUMMYFUNCTION("""COMPUTED_VALUE"""),1498608.0)</f>
        <v>1498608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IFERROR(__xludf.DUMMYFUNCTION("""COMPUTED_VALUE"""),33.91)</f>
        <v>33.91</v>
      </c>
      <c r="C2567" s="1">
        <f>IFERROR(__xludf.DUMMYFUNCTION("""COMPUTED_VALUE"""),34.93)</f>
        <v>34.93</v>
      </c>
      <c r="D2567" s="1">
        <f>IFERROR(__xludf.DUMMYFUNCTION("""COMPUTED_VALUE"""),33.05)</f>
        <v>33.05</v>
      </c>
      <c r="E2567" s="1">
        <f>IFERROR(__xludf.DUMMYFUNCTION("""COMPUTED_VALUE"""),34.89)</f>
        <v>34.89</v>
      </c>
      <c r="F2567" s="1">
        <f>IFERROR(__xludf.DUMMYFUNCTION("""COMPUTED_VALUE"""),796258.0)</f>
        <v>796258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IFERROR(__xludf.DUMMYFUNCTION("""COMPUTED_VALUE"""),32.48)</f>
        <v>32.48</v>
      </c>
      <c r="C2568" s="1">
        <f>IFERROR(__xludf.DUMMYFUNCTION("""COMPUTED_VALUE"""),34.04)</f>
        <v>34.04</v>
      </c>
      <c r="D2568" s="1">
        <f>IFERROR(__xludf.DUMMYFUNCTION("""COMPUTED_VALUE"""),31.25)</f>
        <v>31.25</v>
      </c>
      <c r="E2568" s="1">
        <f>IFERROR(__xludf.DUMMYFUNCTION("""COMPUTED_VALUE"""),32.16)</f>
        <v>32.16</v>
      </c>
      <c r="F2568" s="1">
        <f>IFERROR(__xludf.DUMMYFUNCTION("""COMPUTED_VALUE"""),761113.0)</f>
        <v>761113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IFERROR(__xludf.DUMMYFUNCTION("""COMPUTED_VALUE"""),32.62)</f>
        <v>32.62</v>
      </c>
      <c r="C2569" s="1">
        <f>IFERROR(__xludf.DUMMYFUNCTION("""COMPUTED_VALUE"""),32.91)</f>
        <v>32.91</v>
      </c>
      <c r="D2569" s="1">
        <f>IFERROR(__xludf.DUMMYFUNCTION("""COMPUTED_VALUE"""),30.59)</f>
        <v>30.59</v>
      </c>
      <c r="E2569" s="1">
        <f>IFERROR(__xludf.DUMMYFUNCTION("""COMPUTED_VALUE"""),30.74)</f>
        <v>30.74</v>
      </c>
      <c r="F2569" s="1">
        <f>IFERROR(__xludf.DUMMYFUNCTION("""COMPUTED_VALUE"""),1479699.0)</f>
        <v>1479699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IFERROR(__xludf.DUMMYFUNCTION("""COMPUTED_VALUE"""),29.12)</f>
        <v>29.12</v>
      </c>
      <c r="C2570" s="1">
        <f>IFERROR(__xludf.DUMMYFUNCTION("""COMPUTED_VALUE"""),29.22)</f>
        <v>29.22</v>
      </c>
      <c r="D2570" s="1">
        <f>IFERROR(__xludf.DUMMYFUNCTION("""COMPUTED_VALUE"""),25.92)</f>
        <v>25.92</v>
      </c>
      <c r="E2570" s="1">
        <f>IFERROR(__xludf.DUMMYFUNCTION("""COMPUTED_VALUE"""),27.13)</f>
        <v>27.13</v>
      </c>
      <c r="F2570" s="1">
        <f>IFERROR(__xludf.DUMMYFUNCTION("""COMPUTED_VALUE"""),1033871.0)</f>
        <v>1033871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IFERROR(__xludf.DUMMYFUNCTION("""COMPUTED_VALUE"""),27.02)</f>
        <v>27.02</v>
      </c>
      <c r="C2571" s="1">
        <f>IFERROR(__xludf.DUMMYFUNCTION("""COMPUTED_VALUE"""),29.24)</f>
        <v>29.24</v>
      </c>
      <c r="D2571" s="1">
        <f>IFERROR(__xludf.DUMMYFUNCTION("""COMPUTED_VALUE"""),26.59)</f>
        <v>26.59</v>
      </c>
      <c r="E2571" s="1">
        <f>IFERROR(__xludf.DUMMYFUNCTION("""COMPUTED_VALUE"""),28.77)</f>
        <v>28.77</v>
      </c>
      <c r="F2571" s="1">
        <f>IFERROR(__xludf.DUMMYFUNCTION("""COMPUTED_VALUE"""),676742.0)</f>
        <v>676742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IFERROR(__xludf.DUMMYFUNCTION("""COMPUTED_VALUE"""),29.11)</f>
        <v>29.11</v>
      </c>
      <c r="C2572" s="1">
        <f>IFERROR(__xludf.DUMMYFUNCTION("""COMPUTED_VALUE"""),29.42)</f>
        <v>29.42</v>
      </c>
      <c r="D2572" s="1">
        <f>IFERROR(__xludf.DUMMYFUNCTION("""COMPUTED_VALUE"""),28.17)</f>
        <v>28.17</v>
      </c>
      <c r="E2572" s="1">
        <f>IFERROR(__xludf.DUMMYFUNCTION("""COMPUTED_VALUE"""),28.32)</f>
        <v>28.32</v>
      </c>
      <c r="F2572" s="1">
        <f>IFERROR(__xludf.DUMMYFUNCTION("""COMPUTED_VALUE"""),838058.0)</f>
        <v>838058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IFERROR(__xludf.DUMMYFUNCTION("""COMPUTED_VALUE"""),28.15)</f>
        <v>28.15</v>
      </c>
      <c r="C2573" s="1">
        <f>IFERROR(__xludf.DUMMYFUNCTION("""COMPUTED_VALUE"""),28.96)</f>
        <v>28.96</v>
      </c>
      <c r="D2573" s="1">
        <f>IFERROR(__xludf.DUMMYFUNCTION("""COMPUTED_VALUE"""),27.28)</f>
        <v>27.28</v>
      </c>
      <c r="E2573" s="1">
        <f>IFERROR(__xludf.DUMMYFUNCTION("""COMPUTED_VALUE"""),27.89)</f>
        <v>27.89</v>
      </c>
      <c r="F2573" s="1">
        <f>IFERROR(__xludf.DUMMYFUNCTION("""COMPUTED_VALUE"""),1142186.0)</f>
        <v>1142186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IFERROR(__xludf.DUMMYFUNCTION("""COMPUTED_VALUE"""),29.36)</f>
        <v>29.36</v>
      </c>
      <c r="C2574" s="1">
        <f>IFERROR(__xludf.DUMMYFUNCTION("""COMPUTED_VALUE"""),31.09)</f>
        <v>31.09</v>
      </c>
      <c r="D2574" s="1">
        <f>IFERROR(__xludf.DUMMYFUNCTION("""COMPUTED_VALUE"""),29.14)</f>
        <v>29.14</v>
      </c>
      <c r="E2574" s="1">
        <f>IFERROR(__xludf.DUMMYFUNCTION("""COMPUTED_VALUE"""),31.07)</f>
        <v>31.07</v>
      </c>
      <c r="F2574" s="1">
        <f>IFERROR(__xludf.DUMMYFUNCTION("""COMPUTED_VALUE"""),871839.0)</f>
        <v>871839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IFERROR(__xludf.DUMMYFUNCTION("""COMPUTED_VALUE"""),31.16)</f>
        <v>31.16</v>
      </c>
      <c r="C2575" s="1">
        <f>IFERROR(__xludf.DUMMYFUNCTION("""COMPUTED_VALUE"""),32.23)</f>
        <v>32.23</v>
      </c>
      <c r="D2575" s="1">
        <f>IFERROR(__xludf.DUMMYFUNCTION("""COMPUTED_VALUE"""),30.38)</f>
        <v>30.38</v>
      </c>
      <c r="E2575" s="1">
        <f>IFERROR(__xludf.DUMMYFUNCTION("""COMPUTED_VALUE"""),31.12)</f>
        <v>31.12</v>
      </c>
      <c r="F2575" s="1">
        <f>IFERROR(__xludf.DUMMYFUNCTION("""COMPUTED_VALUE"""),463040.0)</f>
        <v>463040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IFERROR(__xludf.DUMMYFUNCTION("""COMPUTED_VALUE"""),31.36)</f>
        <v>31.36</v>
      </c>
      <c r="C2576" s="1">
        <f>IFERROR(__xludf.DUMMYFUNCTION("""COMPUTED_VALUE"""),33.42)</f>
        <v>33.42</v>
      </c>
      <c r="D2576" s="1">
        <f>IFERROR(__xludf.DUMMYFUNCTION("""COMPUTED_VALUE"""),31.36)</f>
        <v>31.36</v>
      </c>
      <c r="E2576" s="1">
        <f>IFERROR(__xludf.DUMMYFUNCTION("""COMPUTED_VALUE"""),33.19)</f>
        <v>33.19</v>
      </c>
      <c r="F2576" s="1">
        <f>IFERROR(__xludf.DUMMYFUNCTION("""COMPUTED_VALUE"""),435501.0)</f>
        <v>435501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IFERROR(__xludf.DUMMYFUNCTION("""COMPUTED_VALUE"""),32.3)</f>
        <v>32.3</v>
      </c>
      <c r="C2577" s="1">
        <f>IFERROR(__xludf.DUMMYFUNCTION("""COMPUTED_VALUE"""),33.77)</f>
        <v>33.77</v>
      </c>
      <c r="D2577" s="1">
        <f>IFERROR(__xludf.DUMMYFUNCTION("""COMPUTED_VALUE"""),32.12)</f>
        <v>32.12</v>
      </c>
      <c r="E2577" s="1">
        <f>IFERROR(__xludf.DUMMYFUNCTION("""COMPUTED_VALUE"""),32.87)</f>
        <v>32.87</v>
      </c>
      <c r="F2577" s="1">
        <f>IFERROR(__xludf.DUMMYFUNCTION("""COMPUTED_VALUE"""),557085.0)</f>
        <v>557085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IFERROR(__xludf.DUMMYFUNCTION("""COMPUTED_VALUE"""),32.96)</f>
        <v>32.96</v>
      </c>
      <c r="C2578" s="1">
        <f>IFERROR(__xludf.DUMMYFUNCTION("""COMPUTED_VALUE"""),33.43)</f>
        <v>33.43</v>
      </c>
      <c r="D2578" s="1">
        <f>IFERROR(__xludf.DUMMYFUNCTION("""COMPUTED_VALUE"""),32.28)</f>
        <v>32.28</v>
      </c>
      <c r="E2578" s="1">
        <f>IFERROR(__xludf.DUMMYFUNCTION("""COMPUTED_VALUE"""),33.32)</f>
        <v>33.32</v>
      </c>
      <c r="F2578" s="1">
        <f>IFERROR(__xludf.DUMMYFUNCTION("""COMPUTED_VALUE"""),331224.0)</f>
        <v>331224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IFERROR(__xludf.DUMMYFUNCTION("""COMPUTED_VALUE"""),33.0)</f>
        <v>33</v>
      </c>
      <c r="C2579" s="1">
        <f>IFERROR(__xludf.DUMMYFUNCTION("""COMPUTED_VALUE"""),34.26)</f>
        <v>34.26</v>
      </c>
      <c r="D2579" s="1">
        <f>IFERROR(__xludf.DUMMYFUNCTION("""COMPUTED_VALUE"""),33.0)</f>
        <v>33</v>
      </c>
      <c r="E2579" s="1">
        <f>IFERROR(__xludf.DUMMYFUNCTION("""COMPUTED_VALUE"""),34.18)</f>
        <v>34.18</v>
      </c>
      <c r="F2579" s="1">
        <f>IFERROR(__xludf.DUMMYFUNCTION("""COMPUTED_VALUE"""),516834.0)</f>
        <v>516834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IFERROR(__xludf.DUMMYFUNCTION("""COMPUTED_VALUE"""),33.8)</f>
        <v>33.8</v>
      </c>
      <c r="C2580" s="1">
        <f>IFERROR(__xludf.DUMMYFUNCTION("""COMPUTED_VALUE"""),34.84)</f>
        <v>34.84</v>
      </c>
      <c r="D2580" s="1">
        <f>IFERROR(__xludf.DUMMYFUNCTION("""COMPUTED_VALUE"""),33.33)</f>
        <v>33.33</v>
      </c>
      <c r="E2580" s="1">
        <f>IFERROR(__xludf.DUMMYFUNCTION("""COMPUTED_VALUE"""),34.0)</f>
        <v>34</v>
      </c>
      <c r="F2580" s="1">
        <f>IFERROR(__xludf.DUMMYFUNCTION("""COMPUTED_VALUE"""),973607.0)</f>
        <v>973607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IFERROR(__xludf.DUMMYFUNCTION("""COMPUTED_VALUE"""),33.86)</f>
        <v>33.86</v>
      </c>
      <c r="C2581" s="1">
        <f>IFERROR(__xludf.DUMMYFUNCTION("""COMPUTED_VALUE"""),34.94)</f>
        <v>34.94</v>
      </c>
      <c r="D2581" s="1">
        <f>IFERROR(__xludf.DUMMYFUNCTION("""COMPUTED_VALUE"""),33.56)</f>
        <v>33.56</v>
      </c>
      <c r="E2581" s="1">
        <f>IFERROR(__xludf.DUMMYFUNCTION("""COMPUTED_VALUE"""),34.92)</f>
        <v>34.92</v>
      </c>
      <c r="F2581" s="1">
        <f>IFERROR(__xludf.DUMMYFUNCTION("""COMPUTED_VALUE"""),642031.0)</f>
        <v>642031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IFERROR(__xludf.DUMMYFUNCTION("""COMPUTED_VALUE"""),34.66)</f>
        <v>34.66</v>
      </c>
      <c r="C2582" s="1">
        <f>IFERROR(__xludf.DUMMYFUNCTION("""COMPUTED_VALUE"""),35.44)</f>
        <v>35.44</v>
      </c>
      <c r="D2582" s="1">
        <f>IFERROR(__xludf.DUMMYFUNCTION("""COMPUTED_VALUE"""),34.4)</f>
        <v>34.4</v>
      </c>
      <c r="E2582" s="1">
        <f>IFERROR(__xludf.DUMMYFUNCTION("""COMPUTED_VALUE"""),35.01)</f>
        <v>35.01</v>
      </c>
      <c r="F2582" s="1">
        <f>IFERROR(__xludf.DUMMYFUNCTION("""COMPUTED_VALUE"""),473938.0)</f>
        <v>473938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IFERROR(__xludf.DUMMYFUNCTION("""COMPUTED_VALUE"""),35.93)</f>
        <v>35.93</v>
      </c>
      <c r="C2583" s="1">
        <f>IFERROR(__xludf.DUMMYFUNCTION("""COMPUTED_VALUE"""),36.91)</f>
        <v>36.91</v>
      </c>
      <c r="D2583" s="1">
        <f>IFERROR(__xludf.DUMMYFUNCTION("""COMPUTED_VALUE"""),35.38)</f>
        <v>35.38</v>
      </c>
      <c r="E2583" s="1">
        <f>IFERROR(__xludf.DUMMYFUNCTION("""COMPUTED_VALUE"""),36.27)</f>
        <v>36.27</v>
      </c>
      <c r="F2583" s="1">
        <f>IFERROR(__xludf.DUMMYFUNCTION("""COMPUTED_VALUE"""),511605.0)</f>
        <v>511605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IFERROR(__xludf.DUMMYFUNCTION("""COMPUTED_VALUE"""),37.35)</f>
        <v>37.35</v>
      </c>
      <c r="C2584" s="1">
        <f>IFERROR(__xludf.DUMMYFUNCTION("""COMPUTED_VALUE"""),37.99)</f>
        <v>37.99</v>
      </c>
      <c r="D2584" s="1">
        <f>IFERROR(__xludf.DUMMYFUNCTION("""COMPUTED_VALUE"""),36.08)</f>
        <v>36.08</v>
      </c>
      <c r="E2584" s="1">
        <f>IFERROR(__xludf.DUMMYFUNCTION("""COMPUTED_VALUE"""),36.47)</f>
        <v>36.47</v>
      </c>
      <c r="F2584" s="1">
        <f>IFERROR(__xludf.DUMMYFUNCTION("""COMPUTED_VALUE"""),485243.0)</f>
        <v>485243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IFERROR(__xludf.DUMMYFUNCTION("""COMPUTED_VALUE"""),36.93)</f>
        <v>36.93</v>
      </c>
      <c r="C2585" s="1">
        <f>IFERROR(__xludf.DUMMYFUNCTION("""COMPUTED_VALUE"""),38.18)</f>
        <v>38.18</v>
      </c>
      <c r="D2585" s="1">
        <f>IFERROR(__xludf.DUMMYFUNCTION("""COMPUTED_VALUE"""),36.57)</f>
        <v>36.57</v>
      </c>
      <c r="E2585" s="1">
        <f>IFERROR(__xludf.DUMMYFUNCTION("""COMPUTED_VALUE"""),37.84)</f>
        <v>37.84</v>
      </c>
      <c r="F2585" s="1">
        <f>IFERROR(__xludf.DUMMYFUNCTION("""COMPUTED_VALUE"""),676388.0)</f>
        <v>676388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IFERROR(__xludf.DUMMYFUNCTION("""COMPUTED_VALUE"""),38.4)</f>
        <v>38.4</v>
      </c>
      <c r="C2586" s="1">
        <f>IFERROR(__xludf.DUMMYFUNCTION("""COMPUTED_VALUE"""),39.76)</f>
        <v>39.76</v>
      </c>
      <c r="D2586" s="1">
        <f>IFERROR(__xludf.DUMMYFUNCTION("""COMPUTED_VALUE"""),38.17)</f>
        <v>38.17</v>
      </c>
      <c r="E2586" s="1">
        <f>IFERROR(__xludf.DUMMYFUNCTION("""COMPUTED_VALUE"""),39.16)</f>
        <v>39.16</v>
      </c>
      <c r="F2586" s="1">
        <f>IFERROR(__xludf.DUMMYFUNCTION("""COMPUTED_VALUE"""),580253.0)</f>
        <v>580253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IFERROR(__xludf.DUMMYFUNCTION("""COMPUTED_VALUE"""),39.06)</f>
        <v>39.06</v>
      </c>
      <c r="C2587" s="1">
        <f>IFERROR(__xludf.DUMMYFUNCTION("""COMPUTED_VALUE"""),39.36)</f>
        <v>39.36</v>
      </c>
      <c r="D2587" s="1">
        <f>IFERROR(__xludf.DUMMYFUNCTION("""COMPUTED_VALUE"""),37.72)</f>
        <v>37.72</v>
      </c>
      <c r="E2587" s="1">
        <f>IFERROR(__xludf.DUMMYFUNCTION("""COMPUTED_VALUE"""),38.56)</f>
        <v>38.56</v>
      </c>
      <c r="F2587" s="1">
        <f>IFERROR(__xludf.DUMMYFUNCTION("""COMPUTED_VALUE"""),505639.0)</f>
        <v>505639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IFERROR(__xludf.DUMMYFUNCTION("""COMPUTED_VALUE"""),39.26)</f>
        <v>39.26</v>
      </c>
      <c r="C2588" s="1">
        <f>IFERROR(__xludf.DUMMYFUNCTION("""COMPUTED_VALUE"""),40.42)</f>
        <v>40.42</v>
      </c>
      <c r="D2588" s="1">
        <f>IFERROR(__xludf.DUMMYFUNCTION("""COMPUTED_VALUE"""),39.11)</f>
        <v>39.11</v>
      </c>
      <c r="E2588" s="1">
        <f>IFERROR(__xludf.DUMMYFUNCTION("""COMPUTED_VALUE"""),40.29)</f>
        <v>40.29</v>
      </c>
      <c r="F2588" s="1">
        <f>IFERROR(__xludf.DUMMYFUNCTION("""COMPUTED_VALUE"""),816402.0)</f>
        <v>816402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IFERROR(__xludf.DUMMYFUNCTION("""COMPUTED_VALUE"""),39.22)</f>
        <v>39.22</v>
      </c>
      <c r="C2589" s="1">
        <f>IFERROR(__xludf.DUMMYFUNCTION("""COMPUTED_VALUE"""),39.46)</f>
        <v>39.46</v>
      </c>
      <c r="D2589" s="1">
        <f>IFERROR(__xludf.DUMMYFUNCTION("""COMPUTED_VALUE"""),38.28)</f>
        <v>38.28</v>
      </c>
      <c r="E2589" s="1">
        <f>IFERROR(__xludf.DUMMYFUNCTION("""COMPUTED_VALUE"""),38.68)</f>
        <v>38.68</v>
      </c>
      <c r="F2589" s="1">
        <f>IFERROR(__xludf.DUMMYFUNCTION("""COMPUTED_VALUE"""),597908.0)</f>
        <v>597908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IFERROR(__xludf.DUMMYFUNCTION("""COMPUTED_VALUE"""),38.53)</f>
        <v>38.53</v>
      </c>
      <c r="C2590" s="1">
        <f>IFERROR(__xludf.DUMMYFUNCTION("""COMPUTED_VALUE"""),39.6)</f>
        <v>39.6</v>
      </c>
      <c r="D2590" s="1">
        <f>IFERROR(__xludf.DUMMYFUNCTION("""COMPUTED_VALUE"""),38.53)</f>
        <v>38.53</v>
      </c>
      <c r="E2590" s="1">
        <f>IFERROR(__xludf.DUMMYFUNCTION("""COMPUTED_VALUE"""),39.49)</f>
        <v>39.49</v>
      </c>
      <c r="F2590" s="1">
        <f>IFERROR(__xludf.DUMMYFUNCTION("""COMPUTED_VALUE"""),467643.0)</f>
        <v>467643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IFERROR(__xludf.DUMMYFUNCTION("""COMPUTED_VALUE"""),40.28)</f>
        <v>40.28</v>
      </c>
      <c r="C2591" s="1">
        <f>IFERROR(__xludf.DUMMYFUNCTION("""COMPUTED_VALUE"""),41.45)</f>
        <v>41.45</v>
      </c>
      <c r="D2591" s="1">
        <f>IFERROR(__xludf.DUMMYFUNCTION("""COMPUTED_VALUE"""),40.28)</f>
        <v>40.28</v>
      </c>
      <c r="E2591" s="1">
        <f>IFERROR(__xludf.DUMMYFUNCTION("""COMPUTED_VALUE"""),41.29)</f>
        <v>41.29</v>
      </c>
      <c r="F2591" s="1">
        <f>IFERROR(__xludf.DUMMYFUNCTION("""COMPUTED_VALUE"""),604785.0)</f>
        <v>604785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IFERROR(__xludf.DUMMYFUNCTION("""COMPUTED_VALUE"""),40.72)</f>
        <v>40.72</v>
      </c>
      <c r="C2592" s="1">
        <f>IFERROR(__xludf.DUMMYFUNCTION("""COMPUTED_VALUE"""),41.75)</f>
        <v>41.75</v>
      </c>
      <c r="D2592" s="1">
        <f>IFERROR(__xludf.DUMMYFUNCTION("""COMPUTED_VALUE"""),40.43)</f>
        <v>40.43</v>
      </c>
      <c r="E2592" s="1">
        <f>IFERROR(__xludf.DUMMYFUNCTION("""COMPUTED_VALUE"""),41.18)</f>
        <v>41.18</v>
      </c>
      <c r="F2592" s="1">
        <f>IFERROR(__xludf.DUMMYFUNCTION("""COMPUTED_VALUE"""),532987.0)</f>
        <v>532987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IFERROR(__xludf.DUMMYFUNCTION("""COMPUTED_VALUE"""),40.19)</f>
        <v>40.19</v>
      </c>
      <c r="C2593" s="1">
        <f>IFERROR(__xludf.DUMMYFUNCTION("""COMPUTED_VALUE"""),41.75)</f>
        <v>41.75</v>
      </c>
      <c r="D2593" s="1">
        <f>IFERROR(__xludf.DUMMYFUNCTION("""COMPUTED_VALUE"""),40.19)</f>
        <v>40.19</v>
      </c>
      <c r="E2593" s="1">
        <f>IFERROR(__xludf.DUMMYFUNCTION("""COMPUTED_VALUE"""),41.05)</f>
        <v>41.05</v>
      </c>
      <c r="F2593" s="1">
        <f>IFERROR(__xludf.DUMMYFUNCTION("""COMPUTED_VALUE"""),526004.0)</f>
        <v>526004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IFERROR(__xludf.DUMMYFUNCTION("""COMPUTED_VALUE"""),41.7)</f>
        <v>41.7</v>
      </c>
      <c r="C2594" s="1">
        <f>IFERROR(__xludf.DUMMYFUNCTION("""COMPUTED_VALUE"""),42.67)</f>
        <v>42.67</v>
      </c>
      <c r="D2594" s="1">
        <f>IFERROR(__xludf.DUMMYFUNCTION("""COMPUTED_VALUE"""),41.45)</f>
        <v>41.45</v>
      </c>
      <c r="E2594" s="1">
        <f>IFERROR(__xludf.DUMMYFUNCTION("""COMPUTED_VALUE"""),42.5)</f>
        <v>42.5</v>
      </c>
      <c r="F2594" s="1">
        <f>IFERROR(__xludf.DUMMYFUNCTION("""COMPUTED_VALUE"""),399801.0)</f>
        <v>399801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IFERROR(__xludf.DUMMYFUNCTION("""COMPUTED_VALUE"""),42.69)</f>
        <v>42.69</v>
      </c>
      <c r="C2595" s="1">
        <f>IFERROR(__xludf.DUMMYFUNCTION("""COMPUTED_VALUE"""),43.36)</f>
        <v>43.36</v>
      </c>
      <c r="D2595" s="1">
        <f>IFERROR(__xludf.DUMMYFUNCTION("""COMPUTED_VALUE"""),42.49)</f>
        <v>42.49</v>
      </c>
      <c r="E2595" s="1">
        <f>IFERROR(__xludf.DUMMYFUNCTION("""COMPUTED_VALUE"""),42.79)</f>
        <v>42.79</v>
      </c>
      <c r="F2595" s="1">
        <f>IFERROR(__xludf.DUMMYFUNCTION("""COMPUTED_VALUE"""),561655.0)</f>
        <v>561655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IFERROR(__xludf.DUMMYFUNCTION("""COMPUTED_VALUE"""),43.21)</f>
        <v>43.21</v>
      </c>
      <c r="C2596" s="1">
        <f>IFERROR(__xludf.DUMMYFUNCTION("""COMPUTED_VALUE"""),43.38)</f>
        <v>43.38</v>
      </c>
      <c r="D2596" s="1">
        <f>IFERROR(__xludf.DUMMYFUNCTION("""COMPUTED_VALUE"""),42.8)</f>
        <v>42.8</v>
      </c>
      <c r="E2596" s="1">
        <f>IFERROR(__xludf.DUMMYFUNCTION("""COMPUTED_VALUE"""),42.92)</f>
        <v>42.92</v>
      </c>
      <c r="F2596" s="1">
        <f>IFERROR(__xludf.DUMMYFUNCTION("""COMPUTED_VALUE"""),600607.0)</f>
        <v>600607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IFERROR(__xludf.DUMMYFUNCTION("""COMPUTED_VALUE"""),43.4)</f>
        <v>43.4</v>
      </c>
      <c r="C2597" s="1">
        <f>IFERROR(__xludf.DUMMYFUNCTION("""COMPUTED_VALUE"""),43.68)</f>
        <v>43.68</v>
      </c>
      <c r="D2597" s="1">
        <f>IFERROR(__xludf.DUMMYFUNCTION("""COMPUTED_VALUE"""),43.01)</f>
        <v>43.01</v>
      </c>
      <c r="E2597" s="1">
        <f>IFERROR(__xludf.DUMMYFUNCTION("""COMPUTED_VALUE"""),43.21)</f>
        <v>43.21</v>
      </c>
      <c r="F2597" s="1">
        <f>IFERROR(__xludf.DUMMYFUNCTION("""COMPUTED_VALUE"""),592924.0)</f>
        <v>592924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IFERROR(__xludf.DUMMYFUNCTION("""COMPUTED_VALUE"""),43.7)</f>
        <v>43.7</v>
      </c>
      <c r="C2598" s="1">
        <f>IFERROR(__xludf.DUMMYFUNCTION("""COMPUTED_VALUE"""),44.04)</f>
        <v>44.04</v>
      </c>
      <c r="D2598" s="1">
        <f>IFERROR(__xludf.DUMMYFUNCTION("""COMPUTED_VALUE"""),42.78)</f>
        <v>42.78</v>
      </c>
      <c r="E2598" s="1">
        <f>IFERROR(__xludf.DUMMYFUNCTION("""COMPUTED_VALUE"""),42.82)</f>
        <v>42.82</v>
      </c>
      <c r="F2598" s="1">
        <f>IFERROR(__xludf.DUMMYFUNCTION("""COMPUTED_VALUE"""),575765.0)</f>
        <v>575765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IFERROR(__xludf.DUMMYFUNCTION("""COMPUTED_VALUE"""),43.67)</f>
        <v>43.67</v>
      </c>
      <c r="C2599" s="1">
        <f>IFERROR(__xludf.DUMMYFUNCTION("""COMPUTED_VALUE"""),44.18)</f>
        <v>44.18</v>
      </c>
      <c r="D2599" s="1">
        <f>IFERROR(__xludf.DUMMYFUNCTION("""COMPUTED_VALUE"""),43.11)</f>
        <v>43.11</v>
      </c>
      <c r="E2599" s="1">
        <f>IFERROR(__xludf.DUMMYFUNCTION("""COMPUTED_VALUE"""),43.67)</f>
        <v>43.67</v>
      </c>
      <c r="F2599" s="1">
        <f>IFERROR(__xludf.DUMMYFUNCTION("""COMPUTED_VALUE"""),690430.0)</f>
        <v>690430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IFERROR(__xludf.DUMMYFUNCTION("""COMPUTED_VALUE"""),43.41)</f>
        <v>43.41</v>
      </c>
      <c r="C2600" s="1">
        <f>IFERROR(__xludf.DUMMYFUNCTION("""COMPUTED_VALUE"""),43.55)</f>
        <v>43.55</v>
      </c>
      <c r="D2600" s="1">
        <f>IFERROR(__xludf.DUMMYFUNCTION("""COMPUTED_VALUE"""),42.95)</f>
        <v>42.95</v>
      </c>
      <c r="E2600" s="1">
        <f>IFERROR(__xludf.DUMMYFUNCTION("""COMPUTED_VALUE"""),43.09)</f>
        <v>43.09</v>
      </c>
      <c r="F2600" s="1">
        <f>IFERROR(__xludf.DUMMYFUNCTION("""COMPUTED_VALUE"""),575177.0)</f>
        <v>575177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IFERROR(__xludf.DUMMYFUNCTION("""COMPUTED_VALUE"""),42.54)</f>
        <v>42.54</v>
      </c>
      <c r="C2601" s="1">
        <f>IFERROR(__xludf.DUMMYFUNCTION("""COMPUTED_VALUE"""),42.66)</f>
        <v>42.66</v>
      </c>
      <c r="D2601" s="1">
        <f>IFERROR(__xludf.DUMMYFUNCTION("""COMPUTED_VALUE"""),42.13)</f>
        <v>42.13</v>
      </c>
      <c r="E2601" s="1">
        <f>IFERROR(__xludf.DUMMYFUNCTION("""COMPUTED_VALUE"""),42.48)</f>
        <v>42.48</v>
      </c>
      <c r="F2601" s="1">
        <f>IFERROR(__xludf.DUMMYFUNCTION("""COMPUTED_VALUE"""),548880.0)</f>
        <v>548880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IFERROR(__xludf.DUMMYFUNCTION("""COMPUTED_VALUE"""),42.22)</f>
        <v>42.22</v>
      </c>
      <c r="C2602" s="1">
        <f>IFERROR(__xludf.DUMMYFUNCTION("""COMPUTED_VALUE"""),42.27)</f>
        <v>42.27</v>
      </c>
      <c r="D2602" s="1">
        <f>IFERROR(__xludf.DUMMYFUNCTION("""COMPUTED_VALUE"""),41.68)</f>
        <v>41.68</v>
      </c>
      <c r="E2602" s="1">
        <f>IFERROR(__xludf.DUMMYFUNCTION("""COMPUTED_VALUE"""),41.89)</f>
        <v>41.89</v>
      </c>
      <c r="F2602" s="1">
        <f>IFERROR(__xludf.DUMMYFUNCTION("""COMPUTED_VALUE"""),739314.0)</f>
        <v>739314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IFERROR(__xludf.DUMMYFUNCTION("""COMPUTED_VALUE"""),42.65)</f>
        <v>42.65</v>
      </c>
      <c r="C2603" s="1">
        <f>IFERROR(__xludf.DUMMYFUNCTION("""COMPUTED_VALUE"""),42.65)</f>
        <v>42.65</v>
      </c>
      <c r="D2603" s="1">
        <f>IFERROR(__xludf.DUMMYFUNCTION("""COMPUTED_VALUE"""),42.21)</f>
        <v>42.21</v>
      </c>
      <c r="E2603" s="1">
        <f>IFERROR(__xludf.DUMMYFUNCTION("""COMPUTED_VALUE"""),42.35)</f>
        <v>42.35</v>
      </c>
      <c r="F2603" s="1">
        <f>IFERROR(__xludf.DUMMYFUNCTION("""COMPUTED_VALUE"""),1437155.0)</f>
        <v>1437155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IFERROR(__xludf.DUMMYFUNCTION("""COMPUTED_VALUE"""),42.64)</f>
        <v>42.64</v>
      </c>
      <c r="C2604" s="1">
        <f>IFERROR(__xludf.DUMMYFUNCTION("""COMPUTED_VALUE"""),42.9)</f>
        <v>42.9</v>
      </c>
      <c r="D2604" s="1">
        <f>IFERROR(__xludf.DUMMYFUNCTION("""COMPUTED_VALUE"""),41.76)</f>
        <v>41.76</v>
      </c>
      <c r="E2604" s="1">
        <f>IFERROR(__xludf.DUMMYFUNCTION("""COMPUTED_VALUE"""),41.96)</f>
        <v>41.96</v>
      </c>
      <c r="F2604" s="1">
        <f>IFERROR(__xludf.DUMMYFUNCTION("""COMPUTED_VALUE"""),1012055.0)</f>
        <v>1012055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IFERROR(__xludf.DUMMYFUNCTION("""COMPUTED_VALUE"""),42.58)</f>
        <v>42.58</v>
      </c>
      <c r="C2605" s="1">
        <f>IFERROR(__xludf.DUMMYFUNCTION("""COMPUTED_VALUE"""),44.01)</f>
        <v>44.01</v>
      </c>
      <c r="D2605" s="1">
        <f>IFERROR(__xludf.DUMMYFUNCTION("""COMPUTED_VALUE"""),42.24)</f>
        <v>42.24</v>
      </c>
      <c r="E2605" s="1">
        <f>IFERROR(__xludf.DUMMYFUNCTION("""COMPUTED_VALUE"""),43.93)</f>
        <v>43.93</v>
      </c>
      <c r="F2605" s="1">
        <f>IFERROR(__xludf.DUMMYFUNCTION("""COMPUTED_VALUE"""),798583.0)</f>
        <v>798583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IFERROR(__xludf.DUMMYFUNCTION("""COMPUTED_VALUE"""),43.82)</f>
        <v>43.82</v>
      </c>
      <c r="C2606" s="1">
        <f>IFERROR(__xludf.DUMMYFUNCTION("""COMPUTED_VALUE"""),44.56)</f>
        <v>44.56</v>
      </c>
      <c r="D2606" s="1">
        <f>IFERROR(__xludf.DUMMYFUNCTION("""COMPUTED_VALUE"""),42.66)</f>
        <v>42.66</v>
      </c>
      <c r="E2606" s="1">
        <f>IFERROR(__xludf.DUMMYFUNCTION("""COMPUTED_VALUE"""),44.31)</f>
        <v>44.31</v>
      </c>
      <c r="F2606" s="1">
        <f>IFERROR(__xludf.DUMMYFUNCTION("""COMPUTED_VALUE"""),948359.0)</f>
        <v>948359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IFERROR(__xludf.DUMMYFUNCTION("""COMPUTED_VALUE"""),43.71)</f>
        <v>43.71</v>
      </c>
      <c r="C2607" s="1">
        <f>IFERROR(__xludf.DUMMYFUNCTION("""COMPUTED_VALUE"""),43.94)</f>
        <v>43.94</v>
      </c>
      <c r="D2607" s="1">
        <f>IFERROR(__xludf.DUMMYFUNCTION("""COMPUTED_VALUE"""),42.78)</f>
        <v>42.78</v>
      </c>
      <c r="E2607" s="1">
        <f>IFERROR(__xludf.DUMMYFUNCTION("""COMPUTED_VALUE"""),42.85)</f>
        <v>42.85</v>
      </c>
      <c r="F2607" s="1">
        <f>IFERROR(__xludf.DUMMYFUNCTION("""COMPUTED_VALUE"""),534274.0)</f>
        <v>534274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IFERROR(__xludf.DUMMYFUNCTION("""COMPUTED_VALUE"""),42.82)</f>
        <v>42.82</v>
      </c>
      <c r="C2608" s="1">
        <f>IFERROR(__xludf.DUMMYFUNCTION("""COMPUTED_VALUE"""),42.91)</f>
        <v>42.91</v>
      </c>
      <c r="D2608" s="1">
        <f>IFERROR(__xludf.DUMMYFUNCTION("""COMPUTED_VALUE"""),41.84)</f>
        <v>41.84</v>
      </c>
      <c r="E2608" s="1">
        <f>IFERROR(__xludf.DUMMYFUNCTION("""COMPUTED_VALUE"""),41.84)</f>
        <v>41.84</v>
      </c>
      <c r="F2608" s="1">
        <f>IFERROR(__xludf.DUMMYFUNCTION("""COMPUTED_VALUE"""),677692.0)</f>
        <v>677692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IFERROR(__xludf.DUMMYFUNCTION("""COMPUTED_VALUE"""),41.91)</f>
        <v>41.91</v>
      </c>
      <c r="C2609" s="1">
        <f>IFERROR(__xludf.DUMMYFUNCTION("""COMPUTED_VALUE"""),42.46)</f>
        <v>42.46</v>
      </c>
      <c r="D2609" s="1">
        <f>IFERROR(__xludf.DUMMYFUNCTION("""COMPUTED_VALUE"""),40.75)</f>
        <v>40.75</v>
      </c>
      <c r="E2609" s="1">
        <f>IFERROR(__xludf.DUMMYFUNCTION("""COMPUTED_VALUE"""),40.96)</f>
        <v>40.96</v>
      </c>
      <c r="F2609" s="1">
        <f>IFERROR(__xludf.DUMMYFUNCTION("""COMPUTED_VALUE"""),519379.0)</f>
        <v>519379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IFERROR(__xludf.DUMMYFUNCTION("""COMPUTED_VALUE"""),40.44)</f>
        <v>40.44</v>
      </c>
      <c r="C2610" s="1">
        <f>IFERROR(__xludf.DUMMYFUNCTION("""COMPUTED_VALUE"""),40.85)</f>
        <v>40.85</v>
      </c>
      <c r="D2610" s="1">
        <f>IFERROR(__xludf.DUMMYFUNCTION("""COMPUTED_VALUE"""),40.12)</f>
        <v>40.12</v>
      </c>
      <c r="E2610" s="1">
        <f>IFERROR(__xludf.DUMMYFUNCTION("""COMPUTED_VALUE"""),40.65)</f>
        <v>40.65</v>
      </c>
      <c r="F2610" s="1">
        <f>IFERROR(__xludf.DUMMYFUNCTION("""COMPUTED_VALUE"""),850976.0)</f>
        <v>850976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IFERROR(__xludf.DUMMYFUNCTION("""COMPUTED_VALUE"""),40.44)</f>
        <v>40.44</v>
      </c>
      <c r="C2611" s="1">
        <f>IFERROR(__xludf.DUMMYFUNCTION("""COMPUTED_VALUE"""),40.67)</f>
        <v>40.67</v>
      </c>
      <c r="D2611" s="1">
        <f>IFERROR(__xludf.DUMMYFUNCTION("""COMPUTED_VALUE"""),40.11)</f>
        <v>40.11</v>
      </c>
      <c r="E2611" s="1">
        <f>IFERROR(__xludf.DUMMYFUNCTION("""COMPUTED_VALUE"""),40.4)</f>
        <v>40.4</v>
      </c>
      <c r="F2611" s="1">
        <f>IFERROR(__xludf.DUMMYFUNCTION("""COMPUTED_VALUE"""),1227490.0)</f>
        <v>1227490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IFERROR(__xludf.DUMMYFUNCTION("""COMPUTED_VALUE"""),41.1)</f>
        <v>41.1</v>
      </c>
      <c r="C2612" s="1">
        <f>IFERROR(__xludf.DUMMYFUNCTION("""COMPUTED_VALUE"""),41.63)</f>
        <v>41.63</v>
      </c>
      <c r="D2612" s="1">
        <f>IFERROR(__xludf.DUMMYFUNCTION("""COMPUTED_VALUE"""),40.78)</f>
        <v>40.78</v>
      </c>
      <c r="E2612" s="1">
        <f>IFERROR(__xludf.DUMMYFUNCTION("""COMPUTED_VALUE"""),40.78)</f>
        <v>40.78</v>
      </c>
      <c r="F2612" s="1">
        <f>IFERROR(__xludf.DUMMYFUNCTION("""COMPUTED_VALUE"""),389515.0)</f>
        <v>389515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IFERROR(__xludf.DUMMYFUNCTION("""COMPUTED_VALUE"""),40.89)</f>
        <v>40.89</v>
      </c>
      <c r="C2613" s="1">
        <f>IFERROR(__xludf.DUMMYFUNCTION("""COMPUTED_VALUE"""),41.98)</f>
        <v>41.98</v>
      </c>
      <c r="D2613" s="1">
        <f>IFERROR(__xludf.DUMMYFUNCTION("""COMPUTED_VALUE"""),40.89)</f>
        <v>40.89</v>
      </c>
      <c r="E2613" s="1">
        <f>IFERROR(__xludf.DUMMYFUNCTION("""COMPUTED_VALUE"""),41.0)</f>
        <v>41</v>
      </c>
      <c r="F2613" s="1">
        <f>IFERROR(__xludf.DUMMYFUNCTION("""COMPUTED_VALUE"""),420689.0)</f>
        <v>420689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IFERROR(__xludf.DUMMYFUNCTION("""COMPUTED_VALUE"""),41.36)</f>
        <v>41.36</v>
      </c>
      <c r="C2614" s="1">
        <f>IFERROR(__xludf.DUMMYFUNCTION("""COMPUTED_VALUE"""),41.5)</f>
        <v>41.5</v>
      </c>
      <c r="D2614" s="1">
        <f>IFERROR(__xludf.DUMMYFUNCTION("""COMPUTED_VALUE"""),40.62)</f>
        <v>40.62</v>
      </c>
      <c r="E2614" s="1">
        <f>IFERROR(__xludf.DUMMYFUNCTION("""COMPUTED_VALUE"""),40.79)</f>
        <v>40.79</v>
      </c>
      <c r="F2614" s="1">
        <f>IFERROR(__xludf.DUMMYFUNCTION("""COMPUTED_VALUE"""),320150.0)</f>
        <v>320150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IFERROR(__xludf.DUMMYFUNCTION("""COMPUTED_VALUE"""),40.61)</f>
        <v>40.61</v>
      </c>
      <c r="C2615" s="1">
        <f>IFERROR(__xludf.DUMMYFUNCTION("""COMPUTED_VALUE"""),40.64)</f>
        <v>40.64</v>
      </c>
      <c r="D2615" s="1">
        <f>IFERROR(__xludf.DUMMYFUNCTION("""COMPUTED_VALUE"""),40.05)</f>
        <v>40.05</v>
      </c>
      <c r="E2615" s="1">
        <f>IFERROR(__xludf.DUMMYFUNCTION("""COMPUTED_VALUE"""),40.15)</f>
        <v>40.15</v>
      </c>
      <c r="F2615" s="1">
        <f>IFERROR(__xludf.DUMMYFUNCTION("""COMPUTED_VALUE"""),450291.0)</f>
        <v>450291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IFERROR(__xludf.DUMMYFUNCTION("""COMPUTED_VALUE"""),40.26)</f>
        <v>40.26</v>
      </c>
      <c r="C2616" s="1">
        <f>IFERROR(__xludf.DUMMYFUNCTION("""COMPUTED_VALUE"""),40.26)</f>
        <v>40.26</v>
      </c>
      <c r="D2616" s="1">
        <f>IFERROR(__xludf.DUMMYFUNCTION("""COMPUTED_VALUE"""),39.67)</f>
        <v>39.67</v>
      </c>
      <c r="E2616" s="1">
        <f>IFERROR(__xludf.DUMMYFUNCTION("""COMPUTED_VALUE"""),39.99)</f>
        <v>39.99</v>
      </c>
      <c r="F2616" s="1">
        <f>IFERROR(__xludf.DUMMYFUNCTION("""COMPUTED_VALUE"""),489586.0)</f>
        <v>489586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IFERROR(__xludf.DUMMYFUNCTION("""COMPUTED_VALUE"""),40.54)</f>
        <v>40.54</v>
      </c>
      <c r="C2617" s="1">
        <f>IFERROR(__xludf.DUMMYFUNCTION("""COMPUTED_VALUE"""),41.23)</f>
        <v>41.23</v>
      </c>
      <c r="D2617" s="1">
        <f>IFERROR(__xludf.DUMMYFUNCTION("""COMPUTED_VALUE"""),40.51)</f>
        <v>40.51</v>
      </c>
      <c r="E2617" s="1">
        <f>IFERROR(__xludf.DUMMYFUNCTION("""COMPUTED_VALUE"""),41.05)</f>
        <v>41.05</v>
      </c>
      <c r="F2617" s="1">
        <f>IFERROR(__xludf.DUMMYFUNCTION("""COMPUTED_VALUE"""),1016174.0)</f>
        <v>1016174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IFERROR(__xludf.DUMMYFUNCTION("""COMPUTED_VALUE"""),41.2)</f>
        <v>41.2</v>
      </c>
      <c r="C2618" s="1">
        <f>IFERROR(__xludf.DUMMYFUNCTION("""COMPUTED_VALUE"""),41.4)</f>
        <v>41.4</v>
      </c>
      <c r="D2618" s="1">
        <f>IFERROR(__xludf.DUMMYFUNCTION("""COMPUTED_VALUE"""),40.17)</f>
        <v>40.17</v>
      </c>
      <c r="E2618" s="1">
        <f>IFERROR(__xludf.DUMMYFUNCTION("""COMPUTED_VALUE"""),41.34)</f>
        <v>41.34</v>
      </c>
      <c r="F2618" s="1">
        <f>IFERROR(__xludf.DUMMYFUNCTION("""COMPUTED_VALUE"""),607318.0)</f>
        <v>607318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IFERROR(__xludf.DUMMYFUNCTION("""COMPUTED_VALUE"""),41.5)</f>
        <v>41.5</v>
      </c>
      <c r="C2619" s="1">
        <f>IFERROR(__xludf.DUMMYFUNCTION("""COMPUTED_VALUE"""),43.06)</f>
        <v>43.06</v>
      </c>
      <c r="D2619" s="1">
        <f>IFERROR(__xludf.DUMMYFUNCTION("""COMPUTED_VALUE"""),41.44)</f>
        <v>41.44</v>
      </c>
      <c r="E2619" s="1">
        <f>IFERROR(__xludf.DUMMYFUNCTION("""COMPUTED_VALUE"""),42.71)</f>
        <v>42.71</v>
      </c>
      <c r="F2619" s="1">
        <f>IFERROR(__xludf.DUMMYFUNCTION("""COMPUTED_VALUE"""),927633.0)</f>
        <v>927633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IFERROR(__xludf.DUMMYFUNCTION("""COMPUTED_VALUE"""),42.8)</f>
        <v>42.8</v>
      </c>
      <c r="C2620" s="1">
        <f>IFERROR(__xludf.DUMMYFUNCTION("""COMPUTED_VALUE"""),43.71)</f>
        <v>43.71</v>
      </c>
      <c r="D2620" s="1">
        <f>IFERROR(__xludf.DUMMYFUNCTION("""COMPUTED_VALUE"""),42.67)</f>
        <v>42.67</v>
      </c>
      <c r="E2620" s="1">
        <f>IFERROR(__xludf.DUMMYFUNCTION("""COMPUTED_VALUE"""),43.27)</f>
        <v>43.27</v>
      </c>
      <c r="F2620" s="1">
        <f>IFERROR(__xludf.DUMMYFUNCTION("""COMPUTED_VALUE"""),1862927.0)</f>
        <v>1862927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IFERROR(__xludf.DUMMYFUNCTION("""COMPUTED_VALUE"""),43.4)</f>
        <v>43.4</v>
      </c>
      <c r="C2621" s="1">
        <f>IFERROR(__xludf.DUMMYFUNCTION("""COMPUTED_VALUE"""),43.76)</f>
        <v>43.76</v>
      </c>
      <c r="D2621" s="1">
        <f>IFERROR(__xludf.DUMMYFUNCTION("""COMPUTED_VALUE"""),43.08)</f>
        <v>43.08</v>
      </c>
      <c r="E2621" s="1">
        <f>IFERROR(__xludf.DUMMYFUNCTION("""COMPUTED_VALUE"""),43.63)</f>
        <v>43.63</v>
      </c>
      <c r="F2621" s="1">
        <f>IFERROR(__xludf.DUMMYFUNCTION("""COMPUTED_VALUE"""),949420.0)</f>
        <v>949420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IFERROR(__xludf.DUMMYFUNCTION("""COMPUTED_VALUE"""),43.6)</f>
        <v>43.6</v>
      </c>
      <c r="C2622" s="1">
        <f>IFERROR(__xludf.DUMMYFUNCTION("""COMPUTED_VALUE"""),43.79)</f>
        <v>43.79</v>
      </c>
      <c r="D2622" s="1">
        <f>IFERROR(__xludf.DUMMYFUNCTION("""COMPUTED_VALUE"""),42.41)</f>
        <v>42.41</v>
      </c>
      <c r="E2622" s="1">
        <f>IFERROR(__xludf.DUMMYFUNCTION("""COMPUTED_VALUE"""),42.88)</f>
        <v>42.88</v>
      </c>
      <c r="F2622" s="1">
        <f>IFERROR(__xludf.DUMMYFUNCTION("""COMPUTED_VALUE"""),674783.0)</f>
        <v>674783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IFERROR(__xludf.DUMMYFUNCTION("""COMPUTED_VALUE"""),43.08)</f>
        <v>43.08</v>
      </c>
      <c r="C2623" s="1">
        <f>IFERROR(__xludf.DUMMYFUNCTION("""COMPUTED_VALUE"""),43.39)</f>
        <v>43.39</v>
      </c>
      <c r="D2623" s="1">
        <f>IFERROR(__xludf.DUMMYFUNCTION("""COMPUTED_VALUE"""),42.83)</f>
        <v>42.83</v>
      </c>
      <c r="E2623" s="1">
        <f>IFERROR(__xludf.DUMMYFUNCTION("""COMPUTED_VALUE"""),42.87)</f>
        <v>42.87</v>
      </c>
      <c r="F2623" s="1">
        <f>IFERROR(__xludf.DUMMYFUNCTION("""COMPUTED_VALUE"""),784256.0)</f>
        <v>784256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IFERROR(__xludf.DUMMYFUNCTION("""COMPUTED_VALUE"""),42.59)</f>
        <v>42.59</v>
      </c>
      <c r="C2624" s="1">
        <f>IFERROR(__xludf.DUMMYFUNCTION("""COMPUTED_VALUE"""),43.51)</f>
        <v>43.51</v>
      </c>
      <c r="D2624" s="1">
        <f>IFERROR(__xludf.DUMMYFUNCTION("""COMPUTED_VALUE"""),42.59)</f>
        <v>42.59</v>
      </c>
      <c r="E2624" s="1">
        <f>IFERROR(__xludf.DUMMYFUNCTION("""COMPUTED_VALUE"""),43.12)</f>
        <v>43.12</v>
      </c>
      <c r="F2624" s="1">
        <f>IFERROR(__xludf.DUMMYFUNCTION("""COMPUTED_VALUE"""),412448.0)</f>
        <v>412448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IFERROR(__xludf.DUMMYFUNCTION("""COMPUTED_VALUE"""),43.86)</f>
        <v>43.86</v>
      </c>
      <c r="C2625" s="1">
        <f>IFERROR(__xludf.DUMMYFUNCTION("""COMPUTED_VALUE"""),44.03)</f>
        <v>44.03</v>
      </c>
      <c r="D2625" s="1">
        <f>IFERROR(__xludf.DUMMYFUNCTION("""COMPUTED_VALUE"""),43.21)</f>
        <v>43.21</v>
      </c>
      <c r="E2625" s="1">
        <f>IFERROR(__xludf.DUMMYFUNCTION("""COMPUTED_VALUE"""),43.47)</f>
        <v>43.47</v>
      </c>
      <c r="F2625" s="1">
        <f>IFERROR(__xludf.DUMMYFUNCTION("""COMPUTED_VALUE"""),274132.0)</f>
        <v>274132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IFERROR(__xludf.DUMMYFUNCTION("""COMPUTED_VALUE"""),43.31)</f>
        <v>43.31</v>
      </c>
      <c r="C2626" s="1">
        <f>IFERROR(__xludf.DUMMYFUNCTION("""COMPUTED_VALUE"""),43.52)</f>
        <v>43.52</v>
      </c>
      <c r="D2626" s="1">
        <f>IFERROR(__xludf.DUMMYFUNCTION("""COMPUTED_VALUE"""),43.12)</f>
        <v>43.12</v>
      </c>
      <c r="E2626" s="1">
        <f>IFERROR(__xludf.DUMMYFUNCTION("""COMPUTED_VALUE"""),43.29)</f>
        <v>43.29</v>
      </c>
      <c r="F2626" s="1">
        <f>IFERROR(__xludf.DUMMYFUNCTION("""COMPUTED_VALUE"""),465178.0)</f>
        <v>465178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IFERROR(__xludf.DUMMYFUNCTION("""COMPUTED_VALUE"""),42.87)</f>
        <v>42.87</v>
      </c>
      <c r="C2627" s="1">
        <f>IFERROR(__xludf.DUMMYFUNCTION("""COMPUTED_VALUE"""),43.11)</f>
        <v>43.11</v>
      </c>
      <c r="D2627" s="1">
        <f>IFERROR(__xludf.DUMMYFUNCTION("""COMPUTED_VALUE"""),42.55)</f>
        <v>42.55</v>
      </c>
      <c r="E2627" s="1">
        <f>IFERROR(__xludf.DUMMYFUNCTION("""COMPUTED_VALUE"""),42.78)</f>
        <v>42.78</v>
      </c>
      <c r="F2627" s="1">
        <f>IFERROR(__xludf.DUMMYFUNCTION("""COMPUTED_VALUE"""),459937.0)</f>
        <v>459937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IFERROR(__xludf.DUMMYFUNCTION("""COMPUTED_VALUE"""),42.44)</f>
        <v>42.44</v>
      </c>
      <c r="C2628" s="1">
        <f>IFERROR(__xludf.DUMMYFUNCTION("""COMPUTED_VALUE"""),42.53)</f>
        <v>42.53</v>
      </c>
      <c r="D2628" s="1">
        <f>IFERROR(__xludf.DUMMYFUNCTION("""COMPUTED_VALUE"""),40.87)</f>
        <v>40.87</v>
      </c>
      <c r="E2628" s="1">
        <f>IFERROR(__xludf.DUMMYFUNCTION("""COMPUTED_VALUE"""),41.59)</f>
        <v>41.59</v>
      </c>
      <c r="F2628" s="1">
        <f>IFERROR(__xludf.DUMMYFUNCTION("""COMPUTED_VALUE"""),565930.0)</f>
        <v>565930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IFERROR(__xludf.DUMMYFUNCTION("""COMPUTED_VALUE"""),40.8)</f>
        <v>40.8</v>
      </c>
      <c r="C2629" s="1">
        <f>IFERROR(__xludf.DUMMYFUNCTION("""COMPUTED_VALUE"""),40.8)</f>
        <v>40.8</v>
      </c>
      <c r="D2629" s="1">
        <f>IFERROR(__xludf.DUMMYFUNCTION("""COMPUTED_VALUE"""),39.44)</f>
        <v>39.44</v>
      </c>
      <c r="E2629" s="1">
        <f>IFERROR(__xludf.DUMMYFUNCTION("""COMPUTED_VALUE"""),39.52)</f>
        <v>39.52</v>
      </c>
      <c r="F2629" s="1">
        <f>IFERROR(__xludf.DUMMYFUNCTION("""COMPUTED_VALUE"""),439292.0)</f>
        <v>439292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IFERROR(__xludf.DUMMYFUNCTION("""COMPUTED_VALUE"""),40.21)</f>
        <v>40.21</v>
      </c>
      <c r="C2630" s="1">
        <f>IFERROR(__xludf.DUMMYFUNCTION("""COMPUTED_VALUE"""),40.5)</f>
        <v>40.5</v>
      </c>
      <c r="D2630" s="1">
        <f>IFERROR(__xludf.DUMMYFUNCTION("""COMPUTED_VALUE"""),39.29)</f>
        <v>39.29</v>
      </c>
      <c r="E2630" s="1">
        <f>IFERROR(__xludf.DUMMYFUNCTION("""COMPUTED_VALUE"""),39.86)</f>
        <v>39.86</v>
      </c>
      <c r="F2630" s="1">
        <f>IFERROR(__xludf.DUMMYFUNCTION("""COMPUTED_VALUE"""),270797.0)</f>
        <v>270797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IFERROR(__xludf.DUMMYFUNCTION("""COMPUTED_VALUE"""),39.17)</f>
        <v>39.17</v>
      </c>
      <c r="C2631" s="1">
        <f>IFERROR(__xludf.DUMMYFUNCTION("""COMPUTED_VALUE"""),40.54)</f>
        <v>40.54</v>
      </c>
      <c r="D2631" s="1">
        <f>IFERROR(__xludf.DUMMYFUNCTION("""COMPUTED_VALUE"""),38.8)</f>
        <v>38.8</v>
      </c>
      <c r="E2631" s="1">
        <f>IFERROR(__xludf.DUMMYFUNCTION("""COMPUTED_VALUE"""),40.35)</f>
        <v>40.35</v>
      </c>
      <c r="F2631" s="1">
        <f>IFERROR(__xludf.DUMMYFUNCTION("""COMPUTED_VALUE"""),280234.0)</f>
        <v>280234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IFERROR(__xludf.DUMMYFUNCTION("""COMPUTED_VALUE"""),41.17)</f>
        <v>41.17</v>
      </c>
      <c r="C2632" s="1">
        <f>IFERROR(__xludf.DUMMYFUNCTION("""COMPUTED_VALUE"""),41.57)</f>
        <v>41.57</v>
      </c>
      <c r="D2632" s="1">
        <f>IFERROR(__xludf.DUMMYFUNCTION("""COMPUTED_VALUE"""),40.59)</f>
        <v>40.59</v>
      </c>
      <c r="E2632" s="1">
        <f>IFERROR(__xludf.DUMMYFUNCTION("""COMPUTED_VALUE"""),41.16)</f>
        <v>41.16</v>
      </c>
      <c r="F2632" s="1">
        <f>IFERROR(__xludf.DUMMYFUNCTION("""COMPUTED_VALUE"""),233253.0)</f>
        <v>233253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IFERROR(__xludf.DUMMYFUNCTION("""COMPUTED_VALUE"""),41.18)</f>
        <v>41.18</v>
      </c>
      <c r="C2633" s="1">
        <f>IFERROR(__xludf.DUMMYFUNCTION("""COMPUTED_VALUE"""),41.41)</f>
        <v>41.41</v>
      </c>
      <c r="D2633" s="1">
        <f>IFERROR(__xludf.DUMMYFUNCTION("""COMPUTED_VALUE"""),40.67)</f>
        <v>40.67</v>
      </c>
      <c r="E2633" s="1">
        <f>IFERROR(__xludf.DUMMYFUNCTION("""COMPUTED_VALUE"""),40.96)</f>
        <v>40.96</v>
      </c>
      <c r="F2633" s="1">
        <f>IFERROR(__xludf.DUMMYFUNCTION("""COMPUTED_VALUE"""),196933.0)</f>
        <v>196933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IFERROR(__xludf.DUMMYFUNCTION("""COMPUTED_VALUE"""),40.6)</f>
        <v>40.6</v>
      </c>
      <c r="C2634" s="1">
        <f>IFERROR(__xludf.DUMMYFUNCTION("""COMPUTED_VALUE"""),40.81)</f>
        <v>40.81</v>
      </c>
      <c r="D2634" s="1">
        <f>IFERROR(__xludf.DUMMYFUNCTION("""COMPUTED_VALUE"""),40.38)</f>
        <v>40.38</v>
      </c>
      <c r="E2634" s="1">
        <f>IFERROR(__xludf.DUMMYFUNCTION("""COMPUTED_VALUE"""),40.41)</f>
        <v>40.41</v>
      </c>
      <c r="F2634" s="1">
        <f>IFERROR(__xludf.DUMMYFUNCTION("""COMPUTED_VALUE"""),152562.0)</f>
        <v>152562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IFERROR(__xludf.DUMMYFUNCTION("""COMPUTED_VALUE"""),40.72)</f>
        <v>40.72</v>
      </c>
      <c r="C2635" s="1">
        <f>IFERROR(__xludf.DUMMYFUNCTION("""COMPUTED_VALUE"""),40.72)</f>
        <v>40.72</v>
      </c>
      <c r="D2635" s="1">
        <f>IFERROR(__xludf.DUMMYFUNCTION("""COMPUTED_VALUE"""),39.66)</f>
        <v>39.66</v>
      </c>
      <c r="E2635" s="1">
        <f>IFERROR(__xludf.DUMMYFUNCTION("""COMPUTED_VALUE"""),39.77)</f>
        <v>39.77</v>
      </c>
      <c r="F2635" s="1">
        <f>IFERROR(__xludf.DUMMYFUNCTION("""COMPUTED_VALUE"""),362199.0)</f>
        <v>362199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IFERROR(__xludf.DUMMYFUNCTION("""COMPUTED_VALUE"""),40.0)</f>
        <v>40</v>
      </c>
      <c r="C2636" s="1">
        <f>IFERROR(__xludf.DUMMYFUNCTION("""COMPUTED_VALUE"""),40.7)</f>
        <v>40.7</v>
      </c>
      <c r="D2636" s="1">
        <f>IFERROR(__xludf.DUMMYFUNCTION("""COMPUTED_VALUE"""),39.76)</f>
        <v>39.76</v>
      </c>
      <c r="E2636" s="1">
        <f>IFERROR(__xludf.DUMMYFUNCTION("""COMPUTED_VALUE"""),40.46)</f>
        <v>40.46</v>
      </c>
      <c r="F2636" s="1">
        <f>IFERROR(__xludf.DUMMYFUNCTION("""COMPUTED_VALUE"""),237458.0)</f>
        <v>237458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IFERROR(__xludf.DUMMYFUNCTION("""COMPUTED_VALUE"""),40.68)</f>
        <v>40.68</v>
      </c>
      <c r="C2637" s="1">
        <f>IFERROR(__xludf.DUMMYFUNCTION("""COMPUTED_VALUE"""),40.78)</f>
        <v>40.78</v>
      </c>
      <c r="D2637" s="1">
        <f>IFERROR(__xludf.DUMMYFUNCTION("""COMPUTED_VALUE"""),40.27)</f>
        <v>40.27</v>
      </c>
      <c r="E2637" s="1">
        <f>IFERROR(__xludf.DUMMYFUNCTION("""COMPUTED_VALUE"""),40.31)</f>
        <v>40.31</v>
      </c>
      <c r="F2637" s="1">
        <f>IFERROR(__xludf.DUMMYFUNCTION("""COMPUTED_VALUE"""),281083.0)</f>
        <v>281083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IFERROR(__xludf.DUMMYFUNCTION("""COMPUTED_VALUE"""),39.92)</f>
        <v>39.92</v>
      </c>
      <c r="C2638" s="1">
        <f>IFERROR(__xludf.DUMMYFUNCTION("""COMPUTED_VALUE"""),40.76)</f>
        <v>40.76</v>
      </c>
      <c r="D2638" s="1">
        <f>IFERROR(__xludf.DUMMYFUNCTION("""COMPUTED_VALUE"""),39.92)</f>
        <v>39.92</v>
      </c>
      <c r="E2638" s="1">
        <f>IFERROR(__xludf.DUMMYFUNCTION("""COMPUTED_VALUE"""),40.48)</f>
        <v>40.48</v>
      </c>
      <c r="F2638" s="1">
        <f>IFERROR(__xludf.DUMMYFUNCTION("""COMPUTED_VALUE"""),581627.0)</f>
        <v>581627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IFERROR(__xludf.DUMMYFUNCTION("""COMPUTED_VALUE"""),40.28)</f>
        <v>40.28</v>
      </c>
      <c r="C2639" s="1">
        <f>IFERROR(__xludf.DUMMYFUNCTION("""COMPUTED_VALUE"""),40.29)</f>
        <v>40.29</v>
      </c>
      <c r="D2639" s="1">
        <f>IFERROR(__xludf.DUMMYFUNCTION("""COMPUTED_VALUE"""),39.19)</f>
        <v>39.19</v>
      </c>
      <c r="E2639" s="1">
        <f>IFERROR(__xludf.DUMMYFUNCTION("""COMPUTED_VALUE"""),39.81)</f>
        <v>39.81</v>
      </c>
      <c r="F2639" s="1">
        <f>IFERROR(__xludf.DUMMYFUNCTION("""COMPUTED_VALUE"""),347971.0)</f>
        <v>347971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IFERROR(__xludf.DUMMYFUNCTION("""COMPUTED_VALUE"""),39.66)</f>
        <v>39.66</v>
      </c>
      <c r="C2640" s="1">
        <f>IFERROR(__xludf.DUMMYFUNCTION("""COMPUTED_VALUE"""),39.97)</f>
        <v>39.97</v>
      </c>
      <c r="D2640" s="1">
        <f>IFERROR(__xludf.DUMMYFUNCTION("""COMPUTED_VALUE"""),39.25)</f>
        <v>39.25</v>
      </c>
      <c r="E2640" s="1">
        <f>IFERROR(__xludf.DUMMYFUNCTION("""COMPUTED_VALUE"""),39.58)</f>
        <v>39.58</v>
      </c>
      <c r="F2640" s="1">
        <f>IFERROR(__xludf.DUMMYFUNCTION("""COMPUTED_VALUE"""),202093.0)</f>
        <v>202093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IFERROR(__xludf.DUMMYFUNCTION("""COMPUTED_VALUE"""),39.74)</f>
        <v>39.74</v>
      </c>
      <c r="C2641" s="1">
        <f>IFERROR(__xludf.DUMMYFUNCTION("""COMPUTED_VALUE"""),39.92)</f>
        <v>39.92</v>
      </c>
      <c r="D2641" s="1">
        <f>IFERROR(__xludf.DUMMYFUNCTION("""COMPUTED_VALUE"""),39.14)</f>
        <v>39.14</v>
      </c>
      <c r="E2641" s="1">
        <f>IFERROR(__xludf.DUMMYFUNCTION("""COMPUTED_VALUE"""),39.59)</f>
        <v>39.59</v>
      </c>
      <c r="F2641" s="1">
        <f>IFERROR(__xludf.DUMMYFUNCTION("""COMPUTED_VALUE"""),265830.0)</f>
        <v>265830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IFERROR(__xludf.DUMMYFUNCTION("""COMPUTED_VALUE"""),39.58)</f>
        <v>39.58</v>
      </c>
      <c r="C2642" s="1">
        <f>IFERROR(__xludf.DUMMYFUNCTION("""COMPUTED_VALUE"""),40.97)</f>
        <v>40.97</v>
      </c>
      <c r="D2642" s="1">
        <f>IFERROR(__xludf.DUMMYFUNCTION("""COMPUTED_VALUE"""),39.58)</f>
        <v>39.58</v>
      </c>
      <c r="E2642" s="1">
        <f>IFERROR(__xludf.DUMMYFUNCTION("""COMPUTED_VALUE"""),40.85)</f>
        <v>40.85</v>
      </c>
      <c r="F2642" s="1">
        <f>IFERROR(__xludf.DUMMYFUNCTION("""COMPUTED_VALUE"""),333827.0)</f>
        <v>333827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IFERROR(__xludf.DUMMYFUNCTION("""COMPUTED_VALUE"""),40.81)</f>
        <v>40.81</v>
      </c>
      <c r="C2643" s="1">
        <f>IFERROR(__xludf.DUMMYFUNCTION("""COMPUTED_VALUE"""),40.87)</f>
        <v>40.87</v>
      </c>
      <c r="D2643" s="1">
        <f>IFERROR(__xludf.DUMMYFUNCTION("""COMPUTED_VALUE"""),40.02)</f>
        <v>40.02</v>
      </c>
      <c r="E2643" s="1">
        <f>IFERROR(__xludf.DUMMYFUNCTION("""COMPUTED_VALUE"""),40.16)</f>
        <v>40.16</v>
      </c>
      <c r="F2643" s="1">
        <f>IFERROR(__xludf.DUMMYFUNCTION("""COMPUTED_VALUE"""),298977.0)</f>
        <v>298977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IFERROR(__xludf.DUMMYFUNCTION("""COMPUTED_VALUE"""),40.41)</f>
        <v>40.41</v>
      </c>
      <c r="C2644" s="1">
        <f>IFERROR(__xludf.DUMMYFUNCTION("""COMPUTED_VALUE"""),40.8)</f>
        <v>40.8</v>
      </c>
      <c r="D2644" s="1">
        <f>IFERROR(__xludf.DUMMYFUNCTION("""COMPUTED_VALUE"""),40.1)</f>
        <v>40.1</v>
      </c>
      <c r="E2644" s="1">
        <f>IFERROR(__xludf.DUMMYFUNCTION("""COMPUTED_VALUE"""),40.46)</f>
        <v>40.46</v>
      </c>
      <c r="F2644" s="1">
        <f>IFERROR(__xludf.DUMMYFUNCTION("""COMPUTED_VALUE"""),359762.0)</f>
        <v>359762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IFERROR(__xludf.DUMMYFUNCTION("""COMPUTED_VALUE"""),40.9)</f>
        <v>40.9</v>
      </c>
      <c r="C2645" s="1">
        <f>IFERROR(__xludf.DUMMYFUNCTION("""COMPUTED_VALUE"""),41.02)</f>
        <v>41.02</v>
      </c>
      <c r="D2645" s="1">
        <f>IFERROR(__xludf.DUMMYFUNCTION("""COMPUTED_VALUE"""),40.58)</f>
        <v>40.58</v>
      </c>
      <c r="E2645" s="1">
        <f>IFERROR(__xludf.DUMMYFUNCTION("""COMPUTED_VALUE"""),40.78)</f>
        <v>40.78</v>
      </c>
      <c r="F2645" s="1">
        <f>IFERROR(__xludf.DUMMYFUNCTION("""COMPUTED_VALUE"""),686602.0)</f>
        <v>686602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IFERROR(__xludf.DUMMYFUNCTION("""COMPUTED_VALUE"""),40.78)</f>
        <v>40.78</v>
      </c>
      <c r="C2646" s="1">
        <f>IFERROR(__xludf.DUMMYFUNCTION("""COMPUTED_VALUE"""),41.64)</f>
        <v>41.64</v>
      </c>
      <c r="D2646" s="1">
        <f>IFERROR(__xludf.DUMMYFUNCTION("""COMPUTED_VALUE"""),40.72)</f>
        <v>40.72</v>
      </c>
      <c r="E2646" s="1">
        <f>IFERROR(__xludf.DUMMYFUNCTION("""COMPUTED_VALUE"""),41.01)</f>
        <v>41.01</v>
      </c>
      <c r="F2646" s="1">
        <f>IFERROR(__xludf.DUMMYFUNCTION("""COMPUTED_VALUE"""),486587.0)</f>
        <v>486587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IFERROR(__xludf.DUMMYFUNCTION("""COMPUTED_VALUE"""),40.98)</f>
        <v>40.98</v>
      </c>
      <c r="C2647" s="1">
        <f>IFERROR(__xludf.DUMMYFUNCTION("""COMPUTED_VALUE"""),41.55)</f>
        <v>41.55</v>
      </c>
      <c r="D2647" s="1">
        <f>IFERROR(__xludf.DUMMYFUNCTION("""COMPUTED_VALUE"""),40.86)</f>
        <v>40.86</v>
      </c>
      <c r="E2647" s="1">
        <f>IFERROR(__xludf.DUMMYFUNCTION("""COMPUTED_VALUE"""),41.24)</f>
        <v>41.24</v>
      </c>
      <c r="F2647" s="1">
        <f>IFERROR(__xludf.DUMMYFUNCTION("""COMPUTED_VALUE"""),407824.0)</f>
        <v>407824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IFERROR(__xludf.DUMMYFUNCTION("""COMPUTED_VALUE"""),41.2)</f>
        <v>41.2</v>
      </c>
      <c r="C2648" s="1">
        <f>IFERROR(__xludf.DUMMYFUNCTION("""COMPUTED_VALUE"""),41.35)</f>
        <v>41.35</v>
      </c>
      <c r="D2648" s="1">
        <f>IFERROR(__xludf.DUMMYFUNCTION("""COMPUTED_VALUE"""),40.47)</f>
        <v>40.47</v>
      </c>
      <c r="E2648" s="1">
        <f>IFERROR(__xludf.DUMMYFUNCTION("""COMPUTED_VALUE"""),41.27)</f>
        <v>41.27</v>
      </c>
      <c r="F2648" s="1">
        <f>IFERROR(__xludf.DUMMYFUNCTION("""COMPUTED_VALUE"""),283462.0)</f>
        <v>283462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IFERROR(__xludf.DUMMYFUNCTION("""COMPUTED_VALUE"""),41.2)</f>
        <v>41.2</v>
      </c>
      <c r="C2649" s="1">
        <f>IFERROR(__xludf.DUMMYFUNCTION("""COMPUTED_VALUE"""),41.5)</f>
        <v>41.5</v>
      </c>
      <c r="D2649" s="1">
        <f>IFERROR(__xludf.DUMMYFUNCTION("""COMPUTED_VALUE"""),40.75)</f>
        <v>40.75</v>
      </c>
      <c r="E2649" s="1">
        <f>IFERROR(__xludf.DUMMYFUNCTION("""COMPUTED_VALUE"""),41.41)</f>
        <v>41.41</v>
      </c>
      <c r="F2649" s="1">
        <f>IFERROR(__xludf.DUMMYFUNCTION("""COMPUTED_VALUE"""),244643.0)</f>
        <v>244643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IFERROR(__xludf.DUMMYFUNCTION("""COMPUTED_VALUE"""),41.72)</f>
        <v>41.72</v>
      </c>
      <c r="C2650" s="1">
        <f>IFERROR(__xludf.DUMMYFUNCTION("""COMPUTED_VALUE"""),41.72)</f>
        <v>41.72</v>
      </c>
      <c r="D2650" s="1">
        <f>IFERROR(__xludf.DUMMYFUNCTION("""COMPUTED_VALUE"""),41.01)</f>
        <v>41.01</v>
      </c>
      <c r="E2650" s="1">
        <f>IFERROR(__xludf.DUMMYFUNCTION("""COMPUTED_VALUE"""),41.28)</f>
        <v>41.28</v>
      </c>
      <c r="F2650" s="1">
        <f>IFERROR(__xludf.DUMMYFUNCTION("""COMPUTED_VALUE"""),418106.0)</f>
        <v>418106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IFERROR(__xludf.DUMMYFUNCTION("""COMPUTED_VALUE"""),41.34)</f>
        <v>41.34</v>
      </c>
      <c r="C2651" s="1">
        <f>IFERROR(__xludf.DUMMYFUNCTION("""COMPUTED_VALUE"""),41.98)</f>
        <v>41.98</v>
      </c>
      <c r="D2651" s="1">
        <f>IFERROR(__xludf.DUMMYFUNCTION("""COMPUTED_VALUE"""),41.06)</f>
        <v>41.06</v>
      </c>
      <c r="E2651" s="1">
        <f>IFERROR(__xludf.DUMMYFUNCTION("""COMPUTED_VALUE"""),41.92)</f>
        <v>41.92</v>
      </c>
      <c r="F2651" s="1">
        <f>IFERROR(__xludf.DUMMYFUNCTION("""COMPUTED_VALUE"""),246320.0)</f>
        <v>246320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IFERROR(__xludf.DUMMYFUNCTION("""COMPUTED_VALUE"""),42.18)</f>
        <v>42.18</v>
      </c>
      <c r="C2652" s="1">
        <f>IFERROR(__xludf.DUMMYFUNCTION("""COMPUTED_VALUE"""),42.84)</f>
        <v>42.84</v>
      </c>
      <c r="D2652" s="1">
        <f>IFERROR(__xludf.DUMMYFUNCTION("""COMPUTED_VALUE"""),42.15)</f>
        <v>42.15</v>
      </c>
      <c r="E2652" s="1">
        <f>IFERROR(__xludf.DUMMYFUNCTION("""COMPUTED_VALUE"""),42.49)</f>
        <v>42.49</v>
      </c>
      <c r="F2652" s="1">
        <f>IFERROR(__xludf.DUMMYFUNCTION("""COMPUTED_VALUE"""),366655.0)</f>
        <v>366655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IFERROR(__xludf.DUMMYFUNCTION("""COMPUTED_VALUE"""),42.44)</f>
        <v>42.44</v>
      </c>
      <c r="C2653" s="1">
        <f>IFERROR(__xludf.DUMMYFUNCTION("""COMPUTED_VALUE"""),42.67)</f>
        <v>42.67</v>
      </c>
      <c r="D2653" s="1">
        <f>IFERROR(__xludf.DUMMYFUNCTION("""COMPUTED_VALUE"""),42.18)</f>
        <v>42.18</v>
      </c>
      <c r="E2653" s="1">
        <f>IFERROR(__xludf.DUMMYFUNCTION("""COMPUTED_VALUE"""),42.47)</f>
        <v>42.47</v>
      </c>
      <c r="F2653" s="1">
        <f>IFERROR(__xludf.DUMMYFUNCTION("""COMPUTED_VALUE"""),435656.0)</f>
        <v>435656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IFERROR(__xludf.DUMMYFUNCTION("""COMPUTED_VALUE"""),42.62)</f>
        <v>42.62</v>
      </c>
      <c r="C2654" s="1">
        <f>IFERROR(__xludf.DUMMYFUNCTION("""COMPUTED_VALUE"""),42.79)</f>
        <v>42.79</v>
      </c>
      <c r="D2654" s="1">
        <f>IFERROR(__xludf.DUMMYFUNCTION("""COMPUTED_VALUE"""),42.33)</f>
        <v>42.33</v>
      </c>
      <c r="E2654" s="1">
        <f>IFERROR(__xludf.DUMMYFUNCTION("""COMPUTED_VALUE"""),42.55)</f>
        <v>42.55</v>
      </c>
      <c r="F2654" s="1">
        <f>IFERROR(__xludf.DUMMYFUNCTION("""COMPUTED_VALUE"""),243393.0)</f>
        <v>243393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IFERROR(__xludf.DUMMYFUNCTION("""COMPUTED_VALUE"""),42.55)</f>
        <v>42.55</v>
      </c>
      <c r="C2655" s="1">
        <f>IFERROR(__xludf.DUMMYFUNCTION("""COMPUTED_VALUE"""),42.64)</f>
        <v>42.64</v>
      </c>
      <c r="D2655" s="1">
        <f>IFERROR(__xludf.DUMMYFUNCTION("""COMPUTED_VALUE"""),41.99)</f>
        <v>41.99</v>
      </c>
      <c r="E2655" s="1">
        <f>IFERROR(__xludf.DUMMYFUNCTION("""COMPUTED_VALUE"""),42.48)</f>
        <v>42.48</v>
      </c>
      <c r="F2655" s="1">
        <f>IFERROR(__xludf.DUMMYFUNCTION("""COMPUTED_VALUE"""),269717.0)</f>
        <v>269717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IFERROR(__xludf.DUMMYFUNCTION("""COMPUTED_VALUE"""),42.83)</f>
        <v>42.83</v>
      </c>
      <c r="C2656" s="1">
        <f>IFERROR(__xludf.DUMMYFUNCTION("""COMPUTED_VALUE"""),43.1)</f>
        <v>43.1</v>
      </c>
      <c r="D2656" s="1">
        <f>IFERROR(__xludf.DUMMYFUNCTION("""COMPUTED_VALUE"""),42.53)</f>
        <v>42.53</v>
      </c>
      <c r="E2656" s="1">
        <f>IFERROR(__xludf.DUMMYFUNCTION("""COMPUTED_VALUE"""),42.69)</f>
        <v>42.69</v>
      </c>
      <c r="F2656" s="1">
        <f>IFERROR(__xludf.DUMMYFUNCTION("""COMPUTED_VALUE"""),526783.0)</f>
        <v>526783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IFERROR(__xludf.DUMMYFUNCTION("""COMPUTED_VALUE"""),43.11)</f>
        <v>43.11</v>
      </c>
      <c r="C2657" s="1">
        <f>IFERROR(__xludf.DUMMYFUNCTION("""COMPUTED_VALUE"""),45.62)</f>
        <v>45.62</v>
      </c>
      <c r="D2657" s="1">
        <f>IFERROR(__xludf.DUMMYFUNCTION("""COMPUTED_VALUE"""),42.91)</f>
        <v>42.91</v>
      </c>
      <c r="E2657" s="1">
        <f>IFERROR(__xludf.DUMMYFUNCTION("""COMPUTED_VALUE"""),44.98)</f>
        <v>44.98</v>
      </c>
      <c r="F2657" s="1">
        <f>IFERROR(__xludf.DUMMYFUNCTION("""COMPUTED_VALUE"""),1254189.0)</f>
        <v>1254189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IFERROR(__xludf.DUMMYFUNCTION("""COMPUTED_VALUE"""),44.94)</f>
        <v>44.94</v>
      </c>
      <c r="C2658" s="1">
        <f>IFERROR(__xludf.DUMMYFUNCTION("""COMPUTED_VALUE"""),45.68)</f>
        <v>45.68</v>
      </c>
      <c r="D2658" s="1">
        <f>IFERROR(__xludf.DUMMYFUNCTION("""COMPUTED_VALUE"""),44.43)</f>
        <v>44.43</v>
      </c>
      <c r="E2658" s="1">
        <f>IFERROR(__xludf.DUMMYFUNCTION("""COMPUTED_VALUE"""),44.56)</f>
        <v>44.56</v>
      </c>
      <c r="F2658" s="1">
        <f>IFERROR(__xludf.DUMMYFUNCTION("""COMPUTED_VALUE"""),341065.0)</f>
        <v>341065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IFERROR(__xludf.DUMMYFUNCTION("""COMPUTED_VALUE"""),44.49)</f>
        <v>44.49</v>
      </c>
      <c r="C2659" s="1">
        <f>IFERROR(__xludf.DUMMYFUNCTION("""COMPUTED_VALUE"""),44.49)</f>
        <v>44.49</v>
      </c>
      <c r="D2659" s="1">
        <f>IFERROR(__xludf.DUMMYFUNCTION("""COMPUTED_VALUE"""),43.8)</f>
        <v>43.8</v>
      </c>
      <c r="E2659" s="1">
        <f>IFERROR(__xludf.DUMMYFUNCTION("""COMPUTED_VALUE"""),44.07)</f>
        <v>44.07</v>
      </c>
      <c r="F2659" s="1">
        <f>IFERROR(__xludf.DUMMYFUNCTION("""COMPUTED_VALUE"""),171745.0)</f>
        <v>171745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IFERROR(__xludf.DUMMYFUNCTION("""COMPUTED_VALUE"""),44.22)</f>
        <v>44.22</v>
      </c>
      <c r="C2660" s="1">
        <f>IFERROR(__xludf.DUMMYFUNCTION("""COMPUTED_VALUE"""),44.52)</f>
        <v>44.52</v>
      </c>
      <c r="D2660" s="1">
        <f>IFERROR(__xludf.DUMMYFUNCTION("""COMPUTED_VALUE"""),43.81)</f>
        <v>43.81</v>
      </c>
      <c r="E2660" s="1">
        <f>IFERROR(__xludf.DUMMYFUNCTION("""COMPUTED_VALUE"""),44.44)</f>
        <v>44.44</v>
      </c>
      <c r="F2660" s="1">
        <f>IFERROR(__xludf.DUMMYFUNCTION("""COMPUTED_VALUE"""),387776.0)</f>
        <v>387776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IFERROR(__xludf.DUMMYFUNCTION("""COMPUTED_VALUE"""),44.44)</f>
        <v>44.44</v>
      </c>
      <c r="C2661" s="1">
        <f>IFERROR(__xludf.DUMMYFUNCTION("""COMPUTED_VALUE"""),44.7)</f>
        <v>44.7</v>
      </c>
      <c r="D2661" s="1">
        <f>IFERROR(__xludf.DUMMYFUNCTION("""COMPUTED_VALUE"""),44.01)</f>
        <v>44.01</v>
      </c>
      <c r="E2661" s="1">
        <f>IFERROR(__xludf.DUMMYFUNCTION("""COMPUTED_VALUE"""),44.58)</f>
        <v>44.58</v>
      </c>
      <c r="F2661" s="1">
        <f>IFERROR(__xludf.DUMMYFUNCTION("""COMPUTED_VALUE"""),446009.0)</f>
        <v>446009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IFERROR(__xludf.DUMMYFUNCTION("""COMPUTED_VALUE"""),44.77)</f>
        <v>44.77</v>
      </c>
      <c r="C2662" s="1">
        <f>IFERROR(__xludf.DUMMYFUNCTION("""COMPUTED_VALUE"""),45.69)</f>
        <v>45.69</v>
      </c>
      <c r="D2662" s="1">
        <f>IFERROR(__xludf.DUMMYFUNCTION("""COMPUTED_VALUE"""),44.72)</f>
        <v>44.72</v>
      </c>
      <c r="E2662" s="1">
        <f>IFERROR(__xludf.DUMMYFUNCTION("""COMPUTED_VALUE"""),45.6)</f>
        <v>45.6</v>
      </c>
      <c r="F2662" s="1">
        <f>IFERROR(__xludf.DUMMYFUNCTION("""COMPUTED_VALUE"""),393014.0)</f>
        <v>393014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IFERROR(__xludf.DUMMYFUNCTION("""COMPUTED_VALUE"""),45.02)</f>
        <v>45.02</v>
      </c>
      <c r="C2663" s="1">
        <f>IFERROR(__xludf.DUMMYFUNCTION("""COMPUTED_VALUE"""),46.38)</f>
        <v>46.38</v>
      </c>
      <c r="D2663" s="1">
        <f>IFERROR(__xludf.DUMMYFUNCTION("""COMPUTED_VALUE"""),44.9)</f>
        <v>44.9</v>
      </c>
      <c r="E2663" s="1">
        <f>IFERROR(__xludf.DUMMYFUNCTION("""COMPUTED_VALUE"""),46.3)</f>
        <v>46.3</v>
      </c>
      <c r="F2663" s="1">
        <f>IFERROR(__xludf.DUMMYFUNCTION("""COMPUTED_VALUE"""),599175.0)</f>
        <v>599175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IFERROR(__xludf.DUMMYFUNCTION("""COMPUTED_VALUE"""),46.28)</f>
        <v>46.28</v>
      </c>
      <c r="C2664" s="1">
        <f>IFERROR(__xludf.DUMMYFUNCTION("""COMPUTED_VALUE"""),46.3)</f>
        <v>46.3</v>
      </c>
      <c r="D2664" s="1">
        <f>IFERROR(__xludf.DUMMYFUNCTION("""COMPUTED_VALUE"""),45.6)</f>
        <v>45.6</v>
      </c>
      <c r="E2664" s="1">
        <f>IFERROR(__xludf.DUMMYFUNCTION("""COMPUTED_VALUE"""),46.28)</f>
        <v>46.28</v>
      </c>
      <c r="F2664" s="1">
        <f>IFERROR(__xludf.DUMMYFUNCTION("""COMPUTED_VALUE"""),673995.0)</f>
        <v>673995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IFERROR(__xludf.DUMMYFUNCTION("""COMPUTED_VALUE"""),46.51)</f>
        <v>46.51</v>
      </c>
      <c r="C2665" s="1">
        <f>IFERROR(__xludf.DUMMYFUNCTION("""COMPUTED_VALUE"""),47.23)</f>
        <v>47.23</v>
      </c>
      <c r="D2665" s="1">
        <f>IFERROR(__xludf.DUMMYFUNCTION("""COMPUTED_VALUE"""),46.39)</f>
        <v>46.39</v>
      </c>
      <c r="E2665" s="1">
        <f>IFERROR(__xludf.DUMMYFUNCTION("""COMPUTED_VALUE"""),46.7)</f>
        <v>46.7</v>
      </c>
      <c r="F2665" s="1">
        <f>IFERROR(__xludf.DUMMYFUNCTION("""COMPUTED_VALUE"""),462289.0)</f>
        <v>462289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IFERROR(__xludf.DUMMYFUNCTION("""COMPUTED_VALUE"""),46.62)</f>
        <v>46.62</v>
      </c>
      <c r="C2666" s="1">
        <f>IFERROR(__xludf.DUMMYFUNCTION("""COMPUTED_VALUE"""),47.34)</f>
        <v>47.34</v>
      </c>
      <c r="D2666" s="1">
        <f>IFERROR(__xludf.DUMMYFUNCTION("""COMPUTED_VALUE"""),46.39)</f>
        <v>46.39</v>
      </c>
      <c r="E2666" s="1">
        <f>IFERROR(__xludf.DUMMYFUNCTION("""COMPUTED_VALUE"""),47.19)</f>
        <v>47.19</v>
      </c>
      <c r="F2666" s="1">
        <f>IFERROR(__xludf.DUMMYFUNCTION("""COMPUTED_VALUE"""),620912.0)</f>
        <v>620912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IFERROR(__xludf.DUMMYFUNCTION("""COMPUTED_VALUE"""),47.43)</f>
        <v>47.43</v>
      </c>
      <c r="C2667" s="1">
        <f>IFERROR(__xludf.DUMMYFUNCTION("""COMPUTED_VALUE"""),48.29)</f>
        <v>48.29</v>
      </c>
      <c r="D2667" s="1">
        <f>IFERROR(__xludf.DUMMYFUNCTION("""COMPUTED_VALUE"""),47.39)</f>
        <v>47.39</v>
      </c>
      <c r="E2667" s="1">
        <f>IFERROR(__xludf.DUMMYFUNCTION("""COMPUTED_VALUE"""),48.24)</f>
        <v>48.24</v>
      </c>
      <c r="F2667" s="1">
        <f>IFERROR(__xludf.DUMMYFUNCTION("""COMPUTED_VALUE"""),612968.0)</f>
        <v>612968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IFERROR(__xludf.DUMMYFUNCTION("""COMPUTED_VALUE"""),48.35)</f>
        <v>48.35</v>
      </c>
      <c r="C2668" s="1">
        <f>IFERROR(__xludf.DUMMYFUNCTION("""COMPUTED_VALUE"""),49.04)</f>
        <v>49.04</v>
      </c>
      <c r="D2668" s="1">
        <f>IFERROR(__xludf.DUMMYFUNCTION("""COMPUTED_VALUE"""),47.96)</f>
        <v>47.96</v>
      </c>
      <c r="E2668" s="1">
        <f>IFERROR(__xludf.DUMMYFUNCTION("""COMPUTED_VALUE"""),48.92)</f>
        <v>48.92</v>
      </c>
      <c r="F2668" s="1">
        <f>IFERROR(__xludf.DUMMYFUNCTION("""COMPUTED_VALUE"""),559390.0)</f>
        <v>559390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IFERROR(__xludf.DUMMYFUNCTION("""COMPUTED_VALUE"""),49.17)</f>
        <v>49.17</v>
      </c>
      <c r="C2669" s="1">
        <f>IFERROR(__xludf.DUMMYFUNCTION("""COMPUTED_VALUE"""),55.88)</f>
        <v>55.88</v>
      </c>
      <c r="D2669" s="1">
        <f>IFERROR(__xludf.DUMMYFUNCTION("""COMPUTED_VALUE"""),49.16)</f>
        <v>49.16</v>
      </c>
      <c r="E2669" s="1">
        <f>IFERROR(__xludf.DUMMYFUNCTION("""COMPUTED_VALUE"""),55.71)</f>
        <v>55.71</v>
      </c>
      <c r="F2669" s="1">
        <f>IFERROR(__xludf.DUMMYFUNCTION("""COMPUTED_VALUE"""),1680739.0)</f>
        <v>1680739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IFERROR(__xludf.DUMMYFUNCTION("""COMPUTED_VALUE"""),55.48)</f>
        <v>55.48</v>
      </c>
      <c r="C2670" s="1">
        <f>IFERROR(__xludf.DUMMYFUNCTION("""COMPUTED_VALUE"""),58.37)</f>
        <v>58.37</v>
      </c>
      <c r="D2670" s="1">
        <f>IFERROR(__xludf.DUMMYFUNCTION("""COMPUTED_VALUE"""),55.41)</f>
        <v>55.41</v>
      </c>
      <c r="E2670" s="1">
        <f>IFERROR(__xludf.DUMMYFUNCTION("""COMPUTED_VALUE"""),58.13)</f>
        <v>58.13</v>
      </c>
      <c r="F2670" s="1">
        <f>IFERROR(__xludf.DUMMYFUNCTION("""COMPUTED_VALUE"""),809999.0)</f>
        <v>809999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IFERROR(__xludf.DUMMYFUNCTION("""COMPUTED_VALUE"""),58.13)</f>
        <v>58.13</v>
      </c>
      <c r="C2671" s="1">
        <f>IFERROR(__xludf.DUMMYFUNCTION("""COMPUTED_VALUE"""),59.13)</f>
        <v>59.13</v>
      </c>
      <c r="D2671" s="1">
        <f>IFERROR(__xludf.DUMMYFUNCTION("""COMPUTED_VALUE"""),56.69)</f>
        <v>56.69</v>
      </c>
      <c r="E2671" s="1">
        <f>IFERROR(__xludf.DUMMYFUNCTION("""COMPUTED_VALUE"""),57.47)</f>
        <v>57.47</v>
      </c>
      <c r="F2671" s="1">
        <f>IFERROR(__xludf.DUMMYFUNCTION("""COMPUTED_VALUE"""),1229422.0)</f>
        <v>1229422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IFERROR(__xludf.DUMMYFUNCTION("""COMPUTED_VALUE"""),57.75)</f>
        <v>57.75</v>
      </c>
      <c r="C2672" s="1">
        <f>IFERROR(__xludf.DUMMYFUNCTION("""COMPUTED_VALUE"""),62.23)</f>
        <v>62.23</v>
      </c>
      <c r="D2672" s="1">
        <f>IFERROR(__xludf.DUMMYFUNCTION("""COMPUTED_VALUE"""),57.75)</f>
        <v>57.75</v>
      </c>
      <c r="E2672" s="1">
        <f>IFERROR(__xludf.DUMMYFUNCTION("""COMPUTED_VALUE"""),61.9)</f>
        <v>61.9</v>
      </c>
      <c r="F2672" s="1">
        <f>IFERROR(__xludf.DUMMYFUNCTION("""COMPUTED_VALUE"""),1189245.0)</f>
        <v>1189245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IFERROR(__xludf.DUMMYFUNCTION("""COMPUTED_VALUE"""),61.66)</f>
        <v>61.66</v>
      </c>
      <c r="C2673" s="1">
        <f>IFERROR(__xludf.DUMMYFUNCTION("""COMPUTED_VALUE"""),62.17)</f>
        <v>62.17</v>
      </c>
      <c r="D2673" s="1">
        <f>IFERROR(__xludf.DUMMYFUNCTION("""COMPUTED_VALUE"""),60.96)</f>
        <v>60.96</v>
      </c>
      <c r="E2673" s="1">
        <f>IFERROR(__xludf.DUMMYFUNCTION("""COMPUTED_VALUE"""),61.66)</f>
        <v>61.66</v>
      </c>
      <c r="F2673" s="1">
        <f>IFERROR(__xludf.DUMMYFUNCTION("""COMPUTED_VALUE"""),808660.0)</f>
        <v>808660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IFERROR(__xludf.DUMMYFUNCTION("""COMPUTED_VALUE"""),61.22)</f>
        <v>61.22</v>
      </c>
      <c r="C2674" s="1">
        <f>IFERROR(__xludf.DUMMYFUNCTION("""COMPUTED_VALUE"""),62.66)</f>
        <v>62.66</v>
      </c>
      <c r="D2674" s="1">
        <f>IFERROR(__xludf.DUMMYFUNCTION("""COMPUTED_VALUE"""),60.82)</f>
        <v>60.82</v>
      </c>
      <c r="E2674" s="1">
        <f>IFERROR(__xludf.DUMMYFUNCTION("""COMPUTED_VALUE"""),62.19)</f>
        <v>62.19</v>
      </c>
      <c r="F2674" s="1">
        <f>IFERROR(__xludf.DUMMYFUNCTION("""COMPUTED_VALUE"""),811139.0)</f>
        <v>811139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IFERROR(__xludf.DUMMYFUNCTION("""COMPUTED_VALUE"""),62.15)</f>
        <v>62.15</v>
      </c>
      <c r="C2675" s="1">
        <f>IFERROR(__xludf.DUMMYFUNCTION("""COMPUTED_VALUE"""),64.17)</f>
        <v>64.17</v>
      </c>
      <c r="D2675" s="1">
        <f>IFERROR(__xludf.DUMMYFUNCTION("""COMPUTED_VALUE"""),62.03)</f>
        <v>62.03</v>
      </c>
      <c r="E2675" s="1">
        <f>IFERROR(__xludf.DUMMYFUNCTION("""COMPUTED_VALUE"""),63.37)</f>
        <v>63.37</v>
      </c>
      <c r="F2675" s="1">
        <f>IFERROR(__xludf.DUMMYFUNCTION("""COMPUTED_VALUE"""),708901.0)</f>
        <v>708901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IFERROR(__xludf.DUMMYFUNCTION("""COMPUTED_VALUE"""),63.17)</f>
        <v>63.17</v>
      </c>
      <c r="C2676" s="1">
        <f>IFERROR(__xludf.DUMMYFUNCTION("""COMPUTED_VALUE"""),63.68)</f>
        <v>63.68</v>
      </c>
      <c r="D2676" s="1">
        <f>IFERROR(__xludf.DUMMYFUNCTION("""COMPUTED_VALUE"""),62.63)</f>
        <v>62.63</v>
      </c>
      <c r="E2676" s="1">
        <f>IFERROR(__xludf.DUMMYFUNCTION("""COMPUTED_VALUE"""),62.73)</f>
        <v>62.73</v>
      </c>
      <c r="F2676" s="1">
        <f>IFERROR(__xludf.DUMMYFUNCTION("""COMPUTED_VALUE"""),990922.0)</f>
        <v>990922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IFERROR(__xludf.DUMMYFUNCTION("""COMPUTED_VALUE"""),62.74)</f>
        <v>62.74</v>
      </c>
      <c r="C2677" s="1">
        <f>IFERROR(__xludf.DUMMYFUNCTION("""COMPUTED_VALUE"""),64.08)</f>
        <v>64.08</v>
      </c>
      <c r="D2677" s="1">
        <f>IFERROR(__xludf.DUMMYFUNCTION("""COMPUTED_VALUE"""),62.74)</f>
        <v>62.74</v>
      </c>
      <c r="E2677" s="1">
        <f>IFERROR(__xludf.DUMMYFUNCTION("""COMPUTED_VALUE"""),63.23)</f>
        <v>63.23</v>
      </c>
      <c r="F2677" s="1">
        <f>IFERROR(__xludf.DUMMYFUNCTION("""COMPUTED_VALUE"""),532749.0)</f>
        <v>532749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IFERROR(__xludf.DUMMYFUNCTION("""COMPUTED_VALUE"""),63.0)</f>
        <v>63</v>
      </c>
      <c r="C2678" s="1">
        <f>IFERROR(__xludf.DUMMYFUNCTION("""COMPUTED_VALUE"""),63.6)</f>
        <v>63.6</v>
      </c>
      <c r="D2678" s="1">
        <f>IFERROR(__xludf.DUMMYFUNCTION("""COMPUTED_VALUE"""),62.76)</f>
        <v>62.76</v>
      </c>
      <c r="E2678" s="1">
        <f>IFERROR(__xludf.DUMMYFUNCTION("""COMPUTED_VALUE"""),62.91)</f>
        <v>62.91</v>
      </c>
      <c r="F2678" s="1">
        <f>IFERROR(__xludf.DUMMYFUNCTION("""COMPUTED_VALUE"""),435798.0)</f>
        <v>435798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IFERROR(__xludf.DUMMYFUNCTION("""COMPUTED_VALUE"""),62.6)</f>
        <v>62.6</v>
      </c>
      <c r="C2679" s="1">
        <f>IFERROR(__xludf.DUMMYFUNCTION("""COMPUTED_VALUE"""),63.62)</f>
        <v>63.62</v>
      </c>
      <c r="D2679" s="1">
        <f>IFERROR(__xludf.DUMMYFUNCTION("""COMPUTED_VALUE"""),61.72)</f>
        <v>61.72</v>
      </c>
      <c r="E2679" s="1">
        <f>IFERROR(__xludf.DUMMYFUNCTION("""COMPUTED_VALUE"""),63.07)</f>
        <v>63.07</v>
      </c>
      <c r="F2679" s="1">
        <f>IFERROR(__xludf.DUMMYFUNCTION("""COMPUTED_VALUE"""),426131.0)</f>
        <v>426131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IFERROR(__xludf.DUMMYFUNCTION("""COMPUTED_VALUE"""),63.32)</f>
        <v>63.32</v>
      </c>
      <c r="C2680" s="1">
        <f>IFERROR(__xludf.DUMMYFUNCTION("""COMPUTED_VALUE"""),63.6)</f>
        <v>63.6</v>
      </c>
      <c r="D2680" s="1">
        <f>IFERROR(__xludf.DUMMYFUNCTION("""COMPUTED_VALUE"""),62.3)</f>
        <v>62.3</v>
      </c>
      <c r="E2680" s="1">
        <f>IFERROR(__xludf.DUMMYFUNCTION("""COMPUTED_VALUE"""),62.39)</f>
        <v>62.39</v>
      </c>
      <c r="F2680" s="1">
        <f>IFERROR(__xludf.DUMMYFUNCTION("""COMPUTED_VALUE"""),466677.0)</f>
        <v>466677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IFERROR(__xludf.DUMMYFUNCTION("""COMPUTED_VALUE"""),62.2)</f>
        <v>62.2</v>
      </c>
      <c r="C2681" s="1">
        <f>IFERROR(__xludf.DUMMYFUNCTION("""COMPUTED_VALUE"""),62.42)</f>
        <v>62.42</v>
      </c>
      <c r="D2681" s="1">
        <f>IFERROR(__xludf.DUMMYFUNCTION("""COMPUTED_VALUE"""),60.82)</f>
        <v>60.82</v>
      </c>
      <c r="E2681" s="1">
        <f>IFERROR(__xludf.DUMMYFUNCTION("""COMPUTED_VALUE"""),60.94)</f>
        <v>60.94</v>
      </c>
      <c r="F2681" s="1">
        <f>IFERROR(__xludf.DUMMYFUNCTION("""COMPUTED_VALUE"""),603978.0)</f>
        <v>603978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IFERROR(__xludf.DUMMYFUNCTION("""COMPUTED_VALUE"""),61.31)</f>
        <v>61.31</v>
      </c>
      <c r="C2682" s="1">
        <f>IFERROR(__xludf.DUMMYFUNCTION("""COMPUTED_VALUE"""),61.64)</f>
        <v>61.64</v>
      </c>
      <c r="D2682" s="1">
        <f>IFERROR(__xludf.DUMMYFUNCTION("""COMPUTED_VALUE"""),60.9)</f>
        <v>60.9</v>
      </c>
      <c r="E2682" s="1">
        <f>IFERROR(__xludf.DUMMYFUNCTION("""COMPUTED_VALUE"""),61.1)</f>
        <v>61.1</v>
      </c>
      <c r="F2682" s="1">
        <f>IFERROR(__xludf.DUMMYFUNCTION("""COMPUTED_VALUE"""),483961.0)</f>
        <v>483961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IFERROR(__xludf.DUMMYFUNCTION("""COMPUTED_VALUE"""),61.45)</f>
        <v>61.45</v>
      </c>
      <c r="C2683" s="1">
        <f>IFERROR(__xludf.DUMMYFUNCTION("""COMPUTED_VALUE"""),61.69)</f>
        <v>61.69</v>
      </c>
      <c r="D2683" s="1">
        <f>IFERROR(__xludf.DUMMYFUNCTION("""COMPUTED_VALUE"""),59.99)</f>
        <v>59.99</v>
      </c>
      <c r="E2683" s="1">
        <f>IFERROR(__xludf.DUMMYFUNCTION("""COMPUTED_VALUE"""),60.38)</f>
        <v>60.38</v>
      </c>
      <c r="F2683" s="1">
        <f>IFERROR(__xludf.DUMMYFUNCTION("""COMPUTED_VALUE"""),318898.0)</f>
        <v>318898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IFERROR(__xludf.DUMMYFUNCTION("""COMPUTED_VALUE"""),60.51)</f>
        <v>60.51</v>
      </c>
      <c r="C2684" s="1">
        <f>IFERROR(__xludf.DUMMYFUNCTION("""COMPUTED_VALUE"""),60.65)</f>
        <v>60.65</v>
      </c>
      <c r="D2684" s="1">
        <f>IFERROR(__xludf.DUMMYFUNCTION("""COMPUTED_VALUE"""),59.44)</f>
        <v>59.44</v>
      </c>
      <c r="E2684" s="1">
        <f>IFERROR(__xludf.DUMMYFUNCTION("""COMPUTED_VALUE"""),59.66)</f>
        <v>59.66</v>
      </c>
      <c r="F2684" s="1">
        <f>IFERROR(__xludf.DUMMYFUNCTION("""COMPUTED_VALUE"""),258663.0)</f>
        <v>258663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IFERROR(__xludf.DUMMYFUNCTION("""COMPUTED_VALUE"""),59.7)</f>
        <v>59.7</v>
      </c>
      <c r="C2685" s="1">
        <f>IFERROR(__xludf.DUMMYFUNCTION("""COMPUTED_VALUE"""),59.89)</f>
        <v>59.89</v>
      </c>
      <c r="D2685" s="1">
        <f>IFERROR(__xludf.DUMMYFUNCTION("""COMPUTED_VALUE"""),58.36)</f>
        <v>58.36</v>
      </c>
      <c r="E2685" s="1">
        <f>IFERROR(__xludf.DUMMYFUNCTION("""COMPUTED_VALUE"""),58.45)</f>
        <v>58.45</v>
      </c>
      <c r="F2685" s="1">
        <f>IFERROR(__xludf.DUMMYFUNCTION("""COMPUTED_VALUE"""),398854.0)</f>
        <v>398854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IFERROR(__xludf.DUMMYFUNCTION("""COMPUTED_VALUE"""),58.37)</f>
        <v>58.37</v>
      </c>
      <c r="C2686" s="1">
        <f>IFERROR(__xludf.DUMMYFUNCTION("""COMPUTED_VALUE"""),59.06)</f>
        <v>59.06</v>
      </c>
      <c r="D2686" s="1">
        <f>IFERROR(__xludf.DUMMYFUNCTION("""COMPUTED_VALUE"""),58.11)</f>
        <v>58.11</v>
      </c>
      <c r="E2686" s="1">
        <f>IFERROR(__xludf.DUMMYFUNCTION("""COMPUTED_VALUE"""),58.85)</f>
        <v>58.85</v>
      </c>
      <c r="F2686" s="1">
        <f>IFERROR(__xludf.DUMMYFUNCTION("""COMPUTED_VALUE"""),356499.0)</f>
        <v>356499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IFERROR(__xludf.DUMMYFUNCTION("""COMPUTED_VALUE"""),58.87)</f>
        <v>58.87</v>
      </c>
      <c r="C2687" s="1">
        <f>IFERROR(__xludf.DUMMYFUNCTION("""COMPUTED_VALUE"""),59.2)</f>
        <v>59.2</v>
      </c>
      <c r="D2687" s="1">
        <f>IFERROR(__xludf.DUMMYFUNCTION("""COMPUTED_VALUE"""),58.37)</f>
        <v>58.37</v>
      </c>
      <c r="E2687" s="1">
        <f>IFERROR(__xludf.DUMMYFUNCTION("""COMPUTED_VALUE"""),58.96)</f>
        <v>58.96</v>
      </c>
      <c r="F2687" s="1">
        <f>IFERROR(__xludf.DUMMYFUNCTION("""COMPUTED_VALUE"""),463843.0)</f>
        <v>463843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IFERROR(__xludf.DUMMYFUNCTION("""COMPUTED_VALUE"""),58.89)</f>
        <v>58.89</v>
      </c>
      <c r="C2688" s="1">
        <f>IFERROR(__xludf.DUMMYFUNCTION("""COMPUTED_VALUE"""),58.91)</f>
        <v>58.91</v>
      </c>
      <c r="D2688" s="1">
        <f>IFERROR(__xludf.DUMMYFUNCTION("""COMPUTED_VALUE"""),57.24)</f>
        <v>57.24</v>
      </c>
      <c r="E2688" s="1">
        <f>IFERROR(__xludf.DUMMYFUNCTION("""COMPUTED_VALUE"""),57.85)</f>
        <v>57.85</v>
      </c>
      <c r="F2688" s="1">
        <f>IFERROR(__xludf.DUMMYFUNCTION("""COMPUTED_VALUE"""),403410.0)</f>
        <v>403410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IFERROR(__xludf.DUMMYFUNCTION("""COMPUTED_VALUE"""),58.21)</f>
        <v>58.21</v>
      </c>
      <c r="C2689" s="1">
        <f>IFERROR(__xludf.DUMMYFUNCTION("""COMPUTED_VALUE"""),58.48)</f>
        <v>58.48</v>
      </c>
      <c r="D2689" s="1">
        <f>IFERROR(__xludf.DUMMYFUNCTION("""COMPUTED_VALUE"""),56.23)</f>
        <v>56.23</v>
      </c>
      <c r="E2689" s="1">
        <f>IFERROR(__xludf.DUMMYFUNCTION("""COMPUTED_VALUE"""),57.17)</f>
        <v>57.17</v>
      </c>
      <c r="F2689" s="1">
        <f>IFERROR(__xludf.DUMMYFUNCTION("""COMPUTED_VALUE"""),447762.0)</f>
        <v>447762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IFERROR(__xludf.DUMMYFUNCTION("""COMPUTED_VALUE"""),56.7)</f>
        <v>56.7</v>
      </c>
      <c r="C2690" s="1">
        <f>IFERROR(__xludf.DUMMYFUNCTION("""COMPUTED_VALUE"""),57.06)</f>
        <v>57.06</v>
      </c>
      <c r="D2690" s="1">
        <f>IFERROR(__xludf.DUMMYFUNCTION("""COMPUTED_VALUE"""),55.89)</f>
        <v>55.89</v>
      </c>
      <c r="E2690" s="1">
        <f>IFERROR(__xludf.DUMMYFUNCTION("""COMPUTED_VALUE"""),56.16)</f>
        <v>56.16</v>
      </c>
      <c r="F2690" s="1">
        <f>IFERROR(__xludf.DUMMYFUNCTION("""COMPUTED_VALUE"""),457424.0)</f>
        <v>457424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IFERROR(__xludf.DUMMYFUNCTION("""COMPUTED_VALUE"""),56.48)</f>
        <v>56.48</v>
      </c>
      <c r="C2691" s="1">
        <f>IFERROR(__xludf.DUMMYFUNCTION("""COMPUTED_VALUE"""),57.26)</f>
        <v>57.26</v>
      </c>
      <c r="D2691" s="1">
        <f>IFERROR(__xludf.DUMMYFUNCTION("""COMPUTED_VALUE"""),56.48)</f>
        <v>56.48</v>
      </c>
      <c r="E2691" s="1">
        <f>IFERROR(__xludf.DUMMYFUNCTION("""COMPUTED_VALUE"""),56.98)</f>
        <v>56.98</v>
      </c>
      <c r="F2691" s="1">
        <f>IFERROR(__xludf.DUMMYFUNCTION("""COMPUTED_VALUE"""),300358.0)</f>
        <v>300358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IFERROR(__xludf.DUMMYFUNCTION("""COMPUTED_VALUE"""),57.09)</f>
        <v>57.09</v>
      </c>
      <c r="C2692" s="1">
        <f>IFERROR(__xludf.DUMMYFUNCTION("""COMPUTED_VALUE"""),57.81)</f>
        <v>57.81</v>
      </c>
      <c r="D2692" s="1">
        <f>IFERROR(__xludf.DUMMYFUNCTION("""COMPUTED_VALUE"""),56.37)</f>
        <v>56.37</v>
      </c>
      <c r="E2692" s="1">
        <f>IFERROR(__xludf.DUMMYFUNCTION("""COMPUTED_VALUE"""),56.46)</f>
        <v>56.46</v>
      </c>
      <c r="F2692" s="1">
        <f>IFERROR(__xludf.DUMMYFUNCTION("""COMPUTED_VALUE"""),516741.0)</f>
        <v>516741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IFERROR(__xludf.DUMMYFUNCTION("""COMPUTED_VALUE"""),57.17)</f>
        <v>57.17</v>
      </c>
      <c r="C2693" s="1">
        <f>IFERROR(__xludf.DUMMYFUNCTION("""COMPUTED_VALUE"""),57.71)</f>
        <v>57.71</v>
      </c>
      <c r="D2693" s="1">
        <f>IFERROR(__xludf.DUMMYFUNCTION("""COMPUTED_VALUE"""),56.68)</f>
        <v>56.68</v>
      </c>
      <c r="E2693" s="1">
        <f>IFERROR(__xludf.DUMMYFUNCTION("""COMPUTED_VALUE"""),57.07)</f>
        <v>57.07</v>
      </c>
      <c r="F2693" s="1">
        <f>IFERROR(__xludf.DUMMYFUNCTION("""COMPUTED_VALUE"""),235882.0)</f>
        <v>235882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IFERROR(__xludf.DUMMYFUNCTION("""COMPUTED_VALUE"""),57.29)</f>
        <v>57.29</v>
      </c>
      <c r="C2694" s="1">
        <f>IFERROR(__xludf.DUMMYFUNCTION("""COMPUTED_VALUE"""),58.07)</f>
        <v>58.07</v>
      </c>
      <c r="D2694" s="1">
        <f>IFERROR(__xludf.DUMMYFUNCTION("""COMPUTED_VALUE"""),57.03)</f>
        <v>57.03</v>
      </c>
      <c r="E2694" s="1">
        <f>IFERROR(__xludf.DUMMYFUNCTION("""COMPUTED_VALUE"""),57.66)</f>
        <v>57.66</v>
      </c>
      <c r="F2694" s="1">
        <f>IFERROR(__xludf.DUMMYFUNCTION("""COMPUTED_VALUE"""),631431.0)</f>
        <v>631431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IFERROR(__xludf.DUMMYFUNCTION("""COMPUTED_VALUE"""),57.9)</f>
        <v>57.9</v>
      </c>
      <c r="C2695" s="1">
        <f>IFERROR(__xludf.DUMMYFUNCTION("""COMPUTED_VALUE"""),58.4)</f>
        <v>58.4</v>
      </c>
      <c r="D2695" s="1">
        <f>IFERROR(__xludf.DUMMYFUNCTION("""COMPUTED_VALUE"""),57.53)</f>
        <v>57.53</v>
      </c>
      <c r="E2695" s="1">
        <f>IFERROR(__xludf.DUMMYFUNCTION("""COMPUTED_VALUE"""),57.69)</f>
        <v>57.69</v>
      </c>
      <c r="F2695" s="1">
        <f>IFERROR(__xludf.DUMMYFUNCTION("""COMPUTED_VALUE"""),519142.0)</f>
        <v>519142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IFERROR(__xludf.DUMMYFUNCTION("""COMPUTED_VALUE"""),57.82)</f>
        <v>57.82</v>
      </c>
      <c r="C2696" s="1">
        <f>IFERROR(__xludf.DUMMYFUNCTION("""COMPUTED_VALUE"""),57.99)</f>
        <v>57.99</v>
      </c>
      <c r="D2696" s="1">
        <f>IFERROR(__xludf.DUMMYFUNCTION("""COMPUTED_VALUE"""),56.71)</f>
        <v>56.71</v>
      </c>
      <c r="E2696" s="1">
        <f>IFERROR(__xludf.DUMMYFUNCTION("""COMPUTED_VALUE"""),56.78)</f>
        <v>56.78</v>
      </c>
      <c r="F2696" s="1">
        <f>IFERROR(__xludf.DUMMYFUNCTION("""COMPUTED_VALUE"""),498367.0)</f>
        <v>498367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IFERROR(__xludf.DUMMYFUNCTION("""COMPUTED_VALUE"""),56.35)</f>
        <v>56.35</v>
      </c>
      <c r="C2697" s="1">
        <f>IFERROR(__xludf.DUMMYFUNCTION("""COMPUTED_VALUE"""),57.36)</f>
        <v>57.36</v>
      </c>
      <c r="D2697" s="1">
        <f>IFERROR(__xludf.DUMMYFUNCTION("""COMPUTED_VALUE"""),56.05)</f>
        <v>56.05</v>
      </c>
      <c r="E2697" s="1">
        <f>IFERROR(__xludf.DUMMYFUNCTION("""COMPUTED_VALUE"""),57.11)</f>
        <v>57.11</v>
      </c>
      <c r="F2697" s="1">
        <f>IFERROR(__xludf.DUMMYFUNCTION("""COMPUTED_VALUE"""),274583.0)</f>
        <v>274583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IFERROR(__xludf.DUMMYFUNCTION("""COMPUTED_VALUE"""),57.54)</f>
        <v>57.54</v>
      </c>
      <c r="C2698" s="1">
        <f>IFERROR(__xludf.DUMMYFUNCTION("""COMPUTED_VALUE"""),58.99)</f>
        <v>58.99</v>
      </c>
      <c r="D2698" s="1">
        <f>IFERROR(__xludf.DUMMYFUNCTION("""COMPUTED_VALUE"""),57.52)</f>
        <v>57.52</v>
      </c>
      <c r="E2698" s="1">
        <f>IFERROR(__xludf.DUMMYFUNCTION("""COMPUTED_VALUE"""),57.97)</f>
        <v>57.97</v>
      </c>
      <c r="F2698" s="1">
        <f>IFERROR(__xludf.DUMMYFUNCTION("""COMPUTED_VALUE"""),786609.0)</f>
        <v>786609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IFERROR(__xludf.DUMMYFUNCTION("""COMPUTED_VALUE"""),57.16)</f>
        <v>57.16</v>
      </c>
      <c r="C2699" s="1">
        <f>IFERROR(__xludf.DUMMYFUNCTION("""COMPUTED_VALUE"""),57.16)</f>
        <v>57.16</v>
      </c>
      <c r="D2699" s="1">
        <f>IFERROR(__xludf.DUMMYFUNCTION("""COMPUTED_VALUE"""),55.76)</f>
        <v>55.76</v>
      </c>
      <c r="E2699" s="1">
        <f>IFERROR(__xludf.DUMMYFUNCTION("""COMPUTED_VALUE"""),57.01)</f>
        <v>57.01</v>
      </c>
      <c r="F2699" s="1">
        <f>IFERROR(__xludf.DUMMYFUNCTION("""COMPUTED_VALUE"""),478155.0)</f>
        <v>478155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IFERROR(__xludf.DUMMYFUNCTION("""COMPUTED_VALUE"""),57.04)</f>
        <v>57.04</v>
      </c>
      <c r="C2700" s="1">
        <f>IFERROR(__xludf.DUMMYFUNCTION("""COMPUTED_VALUE"""),57.51)</f>
        <v>57.51</v>
      </c>
      <c r="D2700" s="1">
        <f>IFERROR(__xludf.DUMMYFUNCTION("""COMPUTED_VALUE"""),56.79)</f>
        <v>56.79</v>
      </c>
      <c r="E2700" s="1">
        <f>IFERROR(__xludf.DUMMYFUNCTION("""COMPUTED_VALUE"""),57.35)</f>
        <v>57.35</v>
      </c>
      <c r="F2700" s="1">
        <f>IFERROR(__xludf.DUMMYFUNCTION("""COMPUTED_VALUE"""),619313.0)</f>
        <v>619313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IFERROR(__xludf.DUMMYFUNCTION("""COMPUTED_VALUE"""),57.22)</f>
        <v>57.22</v>
      </c>
      <c r="C2701" s="1">
        <f>IFERROR(__xludf.DUMMYFUNCTION("""COMPUTED_VALUE"""),57.58)</f>
        <v>57.58</v>
      </c>
      <c r="D2701" s="1">
        <f>IFERROR(__xludf.DUMMYFUNCTION("""COMPUTED_VALUE"""),56.1)</f>
        <v>56.1</v>
      </c>
      <c r="E2701" s="1">
        <f>IFERROR(__xludf.DUMMYFUNCTION("""COMPUTED_VALUE"""),56.37)</f>
        <v>56.37</v>
      </c>
      <c r="F2701" s="1">
        <f>IFERROR(__xludf.DUMMYFUNCTION("""COMPUTED_VALUE"""),452831.0)</f>
        <v>452831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IFERROR(__xludf.DUMMYFUNCTION("""COMPUTED_VALUE"""),56.0)</f>
        <v>56</v>
      </c>
      <c r="C2702" s="1">
        <f>IFERROR(__xludf.DUMMYFUNCTION("""COMPUTED_VALUE"""),56.86)</f>
        <v>56.86</v>
      </c>
      <c r="D2702" s="1">
        <f>IFERROR(__xludf.DUMMYFUNCTION("""COMPUTED_VALUE"""),55.26)</f>
        <v>55.26</v>
      </c>
      <c r="E2702" s="1">
        <f>IFERROR(__xludf.DUMMYFUNCTION("""COMPUTED_VALUE"""),56.71)</f>
        <v>56.71</v>
      </c>
      <c r="F2702" s="1">
        <f>IFERROR(__xludf.DUMMYFUNCTION("""COMPUTED_VALUE"""),677484.0)</f>
        <v>677484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IFERROR(__xludf.DUMMYFUNCTION("""COMPUTED_VALUE"""),56.56)</f>
        <v>56.56</v>
      </c>
      <c r="C2703" s="1">
        <f>IFERROR(__xludf.DUMMYFUNCTION("""COMPUTED_VALUE"""),58.16)</f>
        <v>58.16</v>
      </c>
      <c r="D2703" s="1">
        <f>IFERROR(__xludf.DUMMYFUNCTION("""COMPUTED_VALUE"""),56.46)</f>
        <v>56.46</v>
      </c>
      <c r="E2703" s="1">
        <f>IFERROR(__xludf.DUMMYFUNCTION("""COMPUTED_VALUE"""),58.01)</f>
        <v>58.01</v>
      </c>
      <c r="F2703" s="1">
        <f>IFERROR(__xludf.DUMMYFUNCTION("""COMPUTED_VALUE"""),355357.0)</f>
        <v>355357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IFERROR(__xludf.DUMMYFUNCTION("""COMPUTED_VALUE"""),58.5)</f>
        <v>58.5</v>
      </c>
      <c r="C2704" s="1">
        <f>IFERROR(__xludf.DUMMYFUNCTION("""COMPUTED_VALUE"""),59.08)</f>
        <v>59.08</v>
      </c>
      <c r="D2704" s="1">
        <f>IFERROR(__xludf.DUMMYFUNCTION("""COMPUTED_VALUE"""),58.18)</f>
        <v>58.18</v>
      </c>
      <c r="E2704" s="1">
        <f>IFERROR(__xludf.DUMMYFUNCTION("""COMPUTED_VALUE"""),58.19)</f>
        <v>58.19</v>
      </c>
      <c r="F2704" s="1">
        <f>IFERROR(__xludf.DUMMYFUNCTION("""COMPUTED_VALUE"""),446509.0)</f>
        <v>446509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IFERROR(__xludf.DUMMYFUNCTION("""COMPUTED_VALUE"""),58.22)</f>
        <v>58.22</v>
      </c>
      <c r="C2705" s="1">
        <f>IFERROR(__xludf.DUMMYFUNCTION("""COMPUTED_VALUE"""),59.2)</f>
        <v>59.2</v>
      </c>
      <c r="D2705" s="1">
        <f>IFERROR(__xludf.DUMMYFUNCTION("""COMPUTED_VALUE"""),57.91)</f>
        <v>57.91</v>
      </c>
      <c r="E2705" s="1">
        <f>IFERROR(__xludf.DUMMYFUNCTION("""COMPUTED_VALUE"""),59.14)</f>
        <v>59.14</v>
      </c>
      <c r="F2705" s="1">
        <f>IFERROR(__xludf.DUMMYFUNCTION("""COMPUTED_VALUE"""),311248.0)</f>
        <v>311248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IFERROR(__xludf.DUMMYFUNCTION("""COMPUTED_VALUE"""),59.09)</f>
        <v>59.09</v>
      </c>
      <c r="C2706" s="1">
        <f>IFERROR(__xludf.DUMMYFUNCTION("""COMPUTED_VALUE"""),60.47)</f>
        <v>60.47</v>
      </c>
      <c r="D2706" s="1">
        <f>IFERROR(__xludf.DUMMYFUNCTION("""COMPUTED_VALUE"""),59.04)</f>
        <v>59.04</v>
      </c>
      <c r="E2706" s="1">
        <f>IFERROR(__xludf.DUMMYFUNCTION("""COMPUTED_VALUE"""),59.25)</f>
        <v>59.25</v>
      </c>
      <c r="F2706" s="1">
        <f>IFERROR(__xludf.DUMMYFUNCTION("""COMPUTED_VALUE"""),449879.0)</f>
        <v>449879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IFERROR(__xludf.DUMMYFUNCTION("""COMPUTED_VALUE"""),59.73)</f>
        <v>59.73</v>
      </c>
      <c r="C2707" s="1">
        <f>IFERROR(__xludf.DUMMYFUNCTION("""COMPUTED_VALUE"""),60.69)</f>
        <v>60.69</v>
      </c>
      <c r="D2707" s="1">
        <f>IFERROR(__xludf.DUMMYFUNCTION("""COMPUTED_VALUE"""),59.58)</f>
        <v>59.58</v>
      </c>
      <c r="E2707" s="1">
        <f>IFERROR(__xludf.DUMMYFUNCTION("""COMPUTED_VALUE"""),60.61)</f>
        <v>60.61</v>
      </c>
      <c r="F2707" s="1">
        <f>IFERROR(__xludf.DUMMYFUNCTION("""COMPUTED_VALUE"""),404297.0)</f>
        <v>404297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IFERROR(__xludf.DUMMYFUNCTION("""COMPUTED_VALUE"""),59.75)</f>
        <v>59.75</v>
      </c>
      <c r="C2708" s="1">
        <f>IFERROR(__xludf.DUMMYFUNCTION("""COMPUTED_VALUE"""),60.0)</f>
        <v>60</v>
      </c>
      <c r="D2708" s="1">
        <f>IFERROR(__xludf.DUMMYFUNCTION("""COMPUTED_VALUE"""),59.18)</f>
        <v>59.18</v>
      </c>
      <c r="E2708" s="1">
        <f>IFERROR(__xludf.DUMMYFUNCTION("""COMPUTED_VALUE"""),59.72)</f>
        <v>59.72</v>
      </c>
      <c r="F2708" s="1">
        <f>IFERROR(__xludf.DUMMYFUNCTION("""COMPUTED_VALUE"""),358672.0)</f>
        <v>358672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IFERROR(__xludf.DUMMYFUNCTION("""COMPUTED_VALUE"""),60.28)</f>
        <v>60.28</v>
      </c>
      <c r="C2709" s="1">
        <f>IFERROR(__xludf.DUMMYFUNCTION("""COMPUTED_VALUE"""),61.48)</f>
        <v>61.48</v>
      </c>
      <c r="D2709" s="1">
        <f>IFERROR(__xludf.DUMMYFUNCTION("""COMPUTED_VALUE"""),59.81)</f>
        <v>59.81</v>
      </c>
      <c r="E2709" s="1">
        <f>IFERROR(__xludf.DUMMYFUNCTION("""COMPUTED_VALUE"""),61.43)</f>
        <v>61.43</v>
      </c>
      <c r="F2709" s="1">
        <f>IFERROR(__xludf.DUMMYFUNCTION("""COMPUTED_VALUE"""),249299.0)</f>
        <v>249299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IFERROR(__xludf.DUMMYFUNCTION("""COMPUTED_VALUE"""),61.54)</f>
        <v>61.54</v>
      </c>
      <c r="C2710" s="1">
        <f>IFERROR(__xludf.DUMMYFUNCTION("""COMPUTED_VALUE"""),62.63)</f>
        <v>62.63</v>
      </c>
      <c r="D2710" s="1">
        <f>IFERROR(__xludf.DUMMYFUNCTION("""COMPUTED_VALUE"""),61.44)</f>
        <v>61.44</v>
      </c>
      <c r="E2710" s="1">
        <f>IFERROR(__xludf.DUMMYFUNCTION("""COMPUTED_VALUE"""),61.6)</f>
        <v>61.6</v>
      </c>
      <c r="F2710" s="1">
        <f>IFERROR(__xludf.DUMMYFUNCTION("""COMPUTED_VALUE"""),412869.0)</f>
        <v>412869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IFERROR(__xludf.DUMMYFUNCTION("""COMPUTED_VALUE"""),61.93)</f>
        <v>61.93</v>
      </c>
      <c r="C2711" s="1">
        <f>IFERROR(__xludf.DUMMYFUNCTION("""COMPUTED_VALUE"""),63.62)</f>
        <v>63.62</v>
      </c>
      <c r="D2711" s="1">
        <f>IFERROR(__xludf.DUMMYFUNCTION("""COMPUTED_VALUE"""),61.93)</f>
        <v>61.93</v>
      </c>
      <c r="E2711" s="1">
        <f>IFERROR(__xludf.DUMMYFUNCTION("""COMPUTED_VALUE"""),63.43)</f>
        <v>63.43</v>
      </c>
      <c r="F2711" s="1">
        <f>IFERROR(__xludf.DUMMYFUNCTION("""COMPUTED_VALUE"""),473500.0)</f>
        <v>473500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IFERROR(__xludf.DUMMYFUNCTION("""COMPUTED_VALUE"""),63.54)</f>
        <v>63.54</v>
      </c>
      <c r="C2712" s="1">
        <f>IFERROR(__xludf.DUMMYFUNCTION("""COMPUTED_VALUE"""),63.75)</f>
        <v>63.75</v>
      </c>
      <c r="D2712" s="1">
        <f>IFERROR(__xludf.DUMMYFUNCTION("""COMPUTED_VALUE"""),62.59)</f>
        <v>62.59</v>
      </c>
      <c r="E2712" s="1">
        <f>IFERROR(__xludf.DUMMYFUNCTION("""COMPUTED_VALUE"""),63.73)</f>
        <v>63.73</v>
      </c>
      <c r="F2712" s="1">
        <f>IFERROR(__xludf.DUMMYFUNCTION("""COMPUTED_VALUE"""),271001.0)</f>
        <v>271001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IFERROR(__xludf.DUMMYFUNCTION("""COMPUTED_VALUE"""),64.0)</f>
        <v>64</v>
      </c>
      <c r="C2713" s="1">
        <f>IFERROR(__xludf.DUMMYFUNCTION("""COMPUTED_VALUE"""),65.48)</f>
        <v>65.48</v>
      </c>
      <c r="D2713" s="1">
        <f>IFERROR(__xludf.DUMMYFUNCTION("""COMPUTED_VALUE"""),63.95)</f>
        <v>63.95</v>
      </c>
      <c r="E2713" s="1">
        <f>IFERROR(__xludf.DUMMYFUNCTION("""COMPUTED_VALUE"""),65.27)</f>
        <v>65.27</v>
      </c>
      <c r="F2713" s="1">
        <f>IFERROR(__xludf.DUMMYFUNCTION("""COMPUTED_VALUE"""),336667.0)</f>
        <v>336667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IFERROR(__xludf.DUMMYFUNCTION("""COMPUTED_VALUE"""),65.38)</f>
        <v>65.38</v>
      </c>
      <c r="C2714" s="1">
        <f>IFERROR(__xludf.DUMMYFUNCTION("""COMPUTED_VALUE"""),65.95)</f>
        <v>65.95</v>
      </c>
      <c r="D2714" s="1">
        <f>IFERROR(__xludf.DUMMYFUNCTION("""COMPUTED_VALUE"""),65.26)</f>
        <v>65.26</v>
      </c>
      <c r="E2714" s="1">
        <f>IFERROR(__xludf.DUMMYFUNCTION("""COMPUTED_VALUE"""),65.42)</f>
        <v>65.42</v>
      </c>
      <c r="F2714" s="1">
        <f>IFERROR(__xludf.DUMMYFUNCTION("""COMPUTED_VALUE"""),186838.0)</f>
        <v>186838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IFERROR(__xludf.DUMMYFUNCTION("""COMPUTED_VALUE"""),65.47)</f>
        <v>65.47</v>
      </c>
      <c r="C2715" s="1">
        <f>IFERROR(__xludf.DUMMYFUNCTION("""COMPUTED_VALUE"""),65.98)</f>
        <v>65.98</v>
      </c>
      <c r="D2715" s="1">
        <f>IFERROR(__xludf.DUMMYFUNCTION("""COMPUTED_VALUE"""),64.92)</f>
        <v>64.92</v>
      </c>
      <c r="E2715" s="1">
        <f>IFERROR(__xludf.DUMMYFUNCTION("""COMPUTED_VALUE"""),65.56)</f>
        <v>65.56</v>
      </c>
      <c r="F2715" s="1">
        <f>IFERROR(__xludf.DUMMYFUNCTION("""COMPUTED_VALUE"""),298483.0)</f>
        <v>298483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IFERROR(__xludf.DUMMYFUNCTION("""COMPUTED_VALUE"""),65.45)</f>
        <v>65.45</v>
      </c>
      <c r="C2716" s="1">
        <f>IFERROR(__xludf.DUMMYFUNCTION("""COMPUTED_VALUE"""),65.72)</f>
        <v>65.72</v>
      </c>
      <c r="D2716" s="1">
        <f>IFERROR(__xludf.DUMMYFUNCTION("""COMPUTED_VALUE"""),63.12)</f>
        <v>63.12</v>
      </c>
      <c r="E2716" s="1">
        <f>IFERROR(__xludf.DUMMYFUNCTION("""COMPUTED_VALUE"""),63.24)</f>
        <v>63.24</v>
      </c>
      <c r="F2716" s="1">
        <f>IFERROR(__xludf.DUMMYFUNCTION("""COMPUTED_VALUE"""),417648.0)</f>
        <v>417648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IFERROR(__xludf.DUMMYFUNCTION("""COMPUTED_VALUE"""),62.72)</f>
        <v>62.72</v>
      </c>
      <c r="C2717" s="1">
        <f>IFERROR(__xludf.DUMMYFUNCTION("""COMPUTED_VALUE"""),63.78)</f>
        <v>63.78</v>
      </c>
      <c r="D2717" s="1">
        <f>IFERROR(__xludf.DUMMYFUNCTION("""COMPUTED_VALUE"""),62.33)</f>
        <v>62.33</v>
      </c>
      <c r="E2717" s="1">
        <f>IFERROR(__xludf.DUMMYFUNCTION("""COMPUTED_VALUE"""),63.46)</f>
        <v>63.46</v>
      </c>
      <c r="F2717" s="1">
        <f>IFERROR(__xludf.DUMMYFUNCTION("""COMPUTED_VALUE"""),250041.0)</f>
        <v>250041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IFERROR(__xludf.DUMMYFUNCTION("""COMPUTED_VALUE"""),64.01)</f>
        <v>64.01</v>
      </c>
      <c r="C2718" s="1">
        <f>IFERROR(__xludf.DUMMYFUNCTION("""COMPUTED_VALUE"""),64.76)</f>
        <v>64.76</v>
      </c>
      <c r="D2718" s="1">
        <f>IFERROR(__xludf.DUMMYFUNCTION("""COMPUTED_VALUE"""),63.95)</f>
        <v>63.95</v>
      </c>
      <c r="E2718" s="1">
        <f>IFERROR(__xludf.DUMMYFUNCTION("""COMPUTED_VALUE"""),64.11)</f>
        <v>64.11</v>
      </c>
      <c r="F2718" s="1">
        <f>IFERROR(__xludf.DUMMYFUNCTION("""COMPUTED_VALUE"""),373978.0)</f>
        <v>373978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IFERROR(__xludf.DUMMYFUNCTION("""COMPUTED_VALUE"""),64.37)</f>
        <v>64.37</v>
      </c>
      <c r="C2719" s="1">
        <f>IFERROR(__xludf.DUMMYFUNCTION("""COMPUTED_VALUE"""),64.43)</f>
        <v>64.43</v>
      </c>
      <c r="D2719" s="1">
        <f>IFERROR(__xludf.DUMMYFUNCTION("""COMPUTED_VALUE"""),62.13)</f>
        <v>62.13</v>
      </c>
      <c r="E2719" s="1">
        <f>IFERROR(__xludf.DUMMYFUNCTION("""COMPUTED_VALUE"""),62.44)</f>
        <v>62.44</v>
      </c>
      <c r="F2719" s="1">
        <f>IFERROR(__xludf.DUMMYFUNCTION("""COMPUTED_VALUE"""),355398.0)</f>
        <v>355398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IFERROR(__xludf.DUMMYFUNCTION("""COMPUTED_VALUE"""),62.38)</f>
        <v>62.38</v>
      </c>
      <c r="C2720" s="1">
        <f>IFERROR(__xludf.DUMMYFUNCTION("""COMPUTED_VALUE"""),63.47)</f>
        <v>63.47</v>
      </c>
      <c r="D2720" s="1">
        <f>IFERROR(__xludf.DUMMYFUNCTION("""COMPUTED_VALUE"""),62.32)</f>
        <v>62.32</v>
      </c>
      <c r="E2720" s="1">
        <f>IFERROR(__xludf.DUMMYFUNCTION("""COMPUTED_VALUE"""),62.32)</f>
        <v>62.32</v>
      </c>
      <c r="F2720" s="1">
        <f>IFERROR(__xludf.DUMMYFUNCTION("""COMPUTED_VALUE"""),444440.0)</f>
        <v>444440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IFERROR(__xludf.DUMMYFUNCTION("""COMPUTED_VALUE"""),62.31)</f>
        <v>62.31</v>
      </c>
      <c r="C2721" s="1">
        <f>IFERROR(__xludf.DUMMYFUNCTION("""COMPUTED_VALUE"""),63.14)</f>
        <v>63.14</v>
      </c>
      <c r="D2721" s="1">
        <f>IFERROR(__xludf.DUMMYFUNCTION("""COMPUTED_VALUE"""),61.59)</f>
        <v>61.59</v>
      </c>
      <c r="E2721" s="1">
        <f>IFERROR(__xludf.DUMMYFUNCTION("""COMPUTED_VALUE"""),61.59)</f>
        <v>61.59</v>
      </c>
      <c r="F2721" s="1">
        <f>IFERROR(__xludf.DUMMYFUNCTION("""COMPUTED_VALUE"""),218265.0)</f>
        <v>218265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IFERROR(__xludf.DUMMYFUNCTION("""COMPUTED_VALUE"""),61.68)</f>
        <v>61.68</v>
      </c>
      <c r="C2722" s="1">
        <f>IFERROR(__xludf.DUMMYFUNCTION("""COMPUTED_VALUE"""),62.43)</f>
        <v>62.43</v>
      </c>
      <c r="D2722" s="1">
        <f>IFERROR(__xludf.DUMMYFUNCTION("""COMPUTED_VALUE"""),61.37)</f>
        <v>61.37</v>
      </c>
      <c r="E2722" s="1">
        <f>IFERROR(__xludf.DUMMYFUNCTION("""COMPUTED_VALUE"""),61.71)</f>
        <v>61.71</v>
      </c>
      <c r="F2722" s="1">
        <f>IFERROR(__xludf.DUMMYFUNCTION("""COMPUTED_VALUE"""),296692.0)</f>
        <v>296692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IFERROR(__xludf.DUMMYFUNCTION("""COMPUTED_VALUE"""),61.8)</f>
        <v>61.8</v>
      </c>
      <c r="C2723" s="1">
        <f>IFERROR(__xludf.DUMMYFUNCTION("""COMPUTED_VALUE"""),62.23)</f>
        <v>62.23</v>
      </c>
      <c r="D2723" s="1">
        <f>IFERROR(__xludf.DUMMYFUNCTION("""COMPUTED_VALUE"""),61.21)</f>
        <v>61.21</v>
      </c>
      <c r="E2723" s="1">
        <f>IFERROR(__xludf.DUMMYFUNCTION("""COMPUTED_VALUE"""),61.8)</f>
        <v>61.8</v>
      </c>
      <c r="F2723" s="1">
        <f>IFERROR(__xludf.DUMMYFUNCTION("""COMPUTED_VALUE"""),128195.0)</f>
        <v>128195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IFERROR(__xludf.DUMMYFUNCTION("""COMPUTED_VALUE"""),61.04)</f>
        <v>61.04</v>
      </c>
      <c r="C2724" s="1">
        <f>IFERROR(__xludf.DUMMYFUNCTION("""COMPUTED_VALUE"""),61.33)</f>
        <v>61.33</v>
      </c>
      <c r="D2724" s="1">
        <f>IFERROR(__xludf.DUMMYFUNCTION("""COMPUTED_VALUE"""),59.56)</f>
        <v>59.56</v>
      </c>
      <c r="E2724" s="1">
        <f>IFERROR(__xludf.DUMMYFUNCTION("""COMPUTED_VALUE"""),60.22)</f>
        <v>60.22</v>
      </c>
      <c r="F2724" s="1">
        <f>IFERROR(__xludf.DUMMYFUNCTION("""COMPUTED_VALUE"""),270358.0)</f>
        <v>270358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IFERROR(__xludf.DUMMYFUNCTION("""COMPUTED_VALUE"""),60.08)</f>
        <v>60.08</v>
      </c>
      <c r="C2725" s="1">
        <f>IFERROR(__xludf.DUMMYFUNCTION("""COMPUTED_VALUE"""),60.82)</f>
        <v>60.82</v>
      </c>
      <c r="D2725" s="1">
        <f>IFERROR(__xludf.DUMMYFUNCTION("""COMPUTED_VALUE"""),60.04)</f>
        <v>60.04</v>
      </c>
      <c r="E2725" s="1">
        <f>IFERROR(__xludf.DUMMYFUNCTION("""COMPUTED_VALUE"""),60.31)</f>
        <v>60.31</v>
      </c>
      <c r="F2725" s="1">
        <f>IFERROR(__xludf.DUMMYFUNCTION("""COMPUTED_VALUE"""),549435.0)</f>
        <v>549435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IFERROR(__xludf.DUMMYFUNCTION("""COMPUTED_VALUE"""),59.44)</f>
        <v>59.44</v>
      </c>
      <c r="C2726" s="1">
        <f>IFERROR(__xludf.DUMMYFUNCTION("""COMPUTED_VALUE"""),60.62)</f>
        <v>60.62</v>
      </c>
      <c r="D2726" s="1">
        <f>IFERROR(__xludf.DUMMYFUNCTION("""COMPUTED_VALUE"""),59.15)</f>
        <v>59.15</v>
      </c>
      <c r="E2726" s="1">
        <f>IFERROR(__xludf.DUMMYFUNCTION("""COMPUTED_VALUE"""),60.11)</f>
        <v>60.11</v>
      </c>
      <c r="F2726" s="1">
        <f>IFERROR(__xludf.DUMMYFUNCTION("""COMPUTED_VALUE"""),519778.0)</f>
        <v>519778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IFERROR(__xludf.DUMMYFUNCTION("""COMPUTED_VALUE"""),59.99)</f>
        <v>59.99</v>
      </c>
      <c r="C2727" s="1">
        <f>IFERROR(__xludf.DUMMYFUNCTION("""COMPUTED_VALUE"""),61.07)</f>
        <v>61.07</v>
      </c>
      <c r="D2727" s="1">
        <f>IFERROR(__xludf.DUMMYFUNCTION("""COMPUTED_VALUE"""),59.83)</f>
        <v>59.83</v>
      </c>
      <c r="E2727" s="1">
        <f>IFERROR(__xludf.DUMMYFUNCTION("""COMPUTED_VALUE"""),60.56)</f>
        <v>60.56</v>
      </c>
      <c r="F2727" s="1">
        <f>IFERROR(__xludf.DUMMYFUNCTION("""COMPUTED_VALUE"""),407740.0)</f>
        <v>407740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IFERROR(__xludf.DUMMYFUNCTION("""COMPUTED_VALUE"""),60.24)</f>
        <v>60.24</v>
      </c>
      <c r="C2728" s="1">
        <f>IFERROR(__xludf.DUMMYFUNCTION("""COMPUTED_VALUE"""),61.4)</f>
        <v>61.4</v>
      </c>
      <c r="D2728" s="1">
        <f>IFERROR(__xludf.DUMMYFUNCTION("""COMPUTED_VALUE"""),59.77)</f>
        <v>59.77</v>
      </c>
      <c r="E2728" s="1">
        <f>IFERROR(__xludf.DUMMYFUNCTION("""COMPUTED_VALUE"""),60.63)</f>
        <v>60.63</v>
      </c>
      <c r="F2728" s="1">
        <f>IFERROR(__xludf.DUMMYFUNCTION("""COMPUTED_VALUE"""),615657.0)</f>
        <v>615657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IFERROR(__xludf.DUMMYFUNCTION("""COMPUTED_VALUE"""),61.1)</f>
        <v>61.1</v>
      </c>
      <c r="C2729" s="1">
        <f>IFERROR(__xludf.DUMMYFUNCTION("""COMPUTED_VALUE"""),63.21)</f>
        <v>63.21</v>
      </c>
      <c r="D2729" s="1">
        <f>IFERROR(__xludf.DUMMYFUNCTION("""COMPUTED_VALUE"""),61.07)</f>
        <v>61.07</v>
      </c>
      <c r="E2729" s="1">
        <f>IFERROR(__xludf.DUMMYFUNCTION("""COMPUTED_VALUE"""),63.21)</f>
        <v>63.21</v>
      </c>
      <c r="F2729" s="1">
        <f>IFERROR(__xludf.DUMMYFUNCTION("""COMPUTED_VALUE"""),407997.0)</f>
        <v>407997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IFERROR(__xludf.DUMMYFUNCTION("""COMPUTED_VALUE"""),63.8)</f>
        <v>63.8</v>
      </c>
      <c r="C2730" s="1">
        <f>IFERROR(__xludf.DUMMYFUNCTION("""COMPUTED_VALUE"""),64.9)</f>
        <v>64.9</v>
      </c>
      <c r="D2730" s="1">
        <f>IFERROR(__xludf.DUMMYFUNCTION("""COMPUTED_VALUE"""),63.66)</f>
        <v>63.66</v>
      </c>
      <c r="E2730" s="1">
        <f>IFERROR(__xludf.DUMMYFUNCTION("""COMPUTED_VALUE"""),64.72)</f>
        <v>64.72</v>
      </c>
      <c r="F2730" s="1">
        <f>IFERROR(__xludf.DUMMYFUNCTION("""COMPUTED_VALUE"""),492706.0)</f>
        <v>492706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IFERROR(__xludf.DUMMYFUNCTION("""COMPUTED_VALUE"""),64.89)</f>
        <v>64.89</v>
      </c>
      <c r="C2731" s="1">
        <f>IFERROR(__xludf.DUMMYFUNCTION("""COMPUTED_VALUE"""),67.09)</f>
        <v>67.09</v>
      </c>
      <c r="D2731" s="1">
        <f>IFERROR(__xludf.DUMMYFUNCTION("""COMPUTED_VALUE"""),63.88)</f>
        <v>63.88</v>
      </c>
      <c r="E2731" s="1">
        <f>IFERROR(__xludf.DUMMYFUNCTION("""COMPUTED_VALUE"""),67.0)</f>
        <v>67</v>
      </c>
      <c r="F2731" s="1">
        <f>IFERROR(__xludf.DUMMYFUNCTION("""COMPUTED_VALUE"""),617923.0)</f>
        <v>617923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IFERROR(__xludf.DUMMYFUNCTION("""COMPUTED_VALUE"""),68.0)</f>
        <v>68</v>
      </c>
      <c r="C2732" s="1">
        <f>IFERROR(__xludf.DUMMYFUNCTION("""COMPUTED_VALUE"""),68.8)</f>
        <v>68.8</v>
      </c>
      <c r="D2732" s="1">
        <f>IFERROR(__xludf.DUMMYFUNCTION("""COMPUTED_VALUE"""),66.72)</f>
        <v>66.72</v>
      </c>
      <c r="E2732" s="1">
        <f>IFERROR(__xludf.DUMMYFUNCTION("""COMPUTED_VALUE"""),68.44)</f>
        <v>68.44</v>
      </c>
      <c r="F2732" s="1">
        <f>IFERROR(__xludf.DUMMYFUNCTION("""COMPUTED_VALUE"""),729094.0)</f>
        <v>729094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IFERROR(__xludf.DUMMYFUNCTION("""COMPUTED_VALUE"""),69.94)</f>
        <v>69.94</v>
      </c>
      <c r="C2733" s="1">
        <f>IFERROR(__xludf.DUMMYFUNCTION("""COMPUTED_VALUE"""),75.94)</f>
        <v>75.94</v>
      </c>
      <c r="D2733" s="1">
        <f>IFERROR(__xludf.DUMMYFUNCTION("""COMPUTED_VALUE"""),68.44)</f>
        <v>68.44</v>
      </c>
      <c r="E2733" s="1">
        <f>IFERROR(__xludf.DUMMYFUNCTION("""COMPUTED_VALUE"""),75.2)</f>
        <v>75.2</v>
      </c>
      <c r="F2733" s="1">
        <f>IFERROR(__xludf.DUMMYFUNCTION("""COMPUTED_VALUE"""),2415195.0)</f>
        <v>2415195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IFERROR(__xludf.DUMMYFUNCTION("""COMPUTED_VALUE"""),77.21)</f>
        <v>77.21</v>
      </c>
      <c r="C2734" s="1">
        <f>IFERROR(__xludf.DUMMYFUNCTION("""COMPUTED_VALUE"""),78.64)</f>
        <v>78.64</v>
      </c>
      <c r="D2734" s="1">
        <f>IFERROR(__xludf.DUMMYFUNCTION("""COMPUTED_VALUE"""),69.66)</f>
        <v>69.66</v>
      </c>
      <c r="E2734" s="1">
        <f>IFERROR(__xludf.DUMMYFUNCTION("""COMPUTED_VALUE"""),69.68)</f>
        <v>69.68</v>
      </c>
      <c r="F2734" s="1">
        <f>IFERROR(__xludf.DUMMYFUNCTION("""COMPUTED_VALUE"""),988079.0)</f>
        <v>988079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IFERROR(__xludf.DUMMYFUNCTION("""COMPUTED_VALUE"""),69.77)</f>
        <v>69.77</v>
      </c>
      <c r="C2735" s="1">
        <f>IFERROR(__xludf.DUMMYFUNCTION("""COMPUTED_VALUE"""),69.8)</f>
        <v>69.8</v>
      </c>
      <c r="D2735" s="1">
        <f>IFERROR(__xludf.DUMMYFUNCTION("""COMPUTED_VALUE"""),67.13)</f>
        <v>67.13</v>
      </c>
      <c r="E2735" s="1">
        <f>IFERROR(__xludf.DUMMYFUNCTION("""COMPUTED_VALUE"""),67.32)</f>
        <v>67.32</v>
      </c>
      <c r="F2735" s="1">
        <f>IFERROR(__xludf.DUMMYFUNCTION("""COMPUTED_VALUE"""),650890.0)</f>
        <v>650890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IFERROR(__xludf.DUMMYFUNCTION("""COMPUTED_VALUE"""),67.54)</f>
        <v>67.54</v>
      </c>
      <c r="C2736" s="1">
        <f>IFERROR(__xludf.DUMMYFUNCTION("""COMPUTED_VALUE"""),67.76)</f>
        <v>67.76</v>
      </c>
      <c r="D2736" s="1">
        <f>IFERROR(__xludf.DUMMYFUNCTION("""COMPUTED_VALUE"""),65.96)</f>
        <v>65.96</v>
      </c>
      <c r="E2736" s="1">
        <f>IFERROR(__xludf.DUMMYFUNCTION("""COMPUTED_VALUE"""),66.03)</f>
        <v>66.03</v>
      </c>
      <c r="F2736" s="1">
        <f>IFERROR(__xludf.DUMMYFUNCTION("""COMPUTED_VALUE"""),620514.0)</f>
        <v>620514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IFERROR(__xludf.DUMMYFUNCTION("""COMPUTED_VALUE"""),65.72)</f>
        <v>65.72</v>
      </c>
      <c r="C2737" s="1">
        <f>IFERROR(__xludf.DUMMYFUNCTION("""COMPUTED_VALUE"""),66.76)</f>
        <v>66.76</v>
      </c>
      <c r="D2737" s="1">
        <f>IFERROR(__xludf.DUMMYFUNCTION("""COMPUTED_VALUE"""),64.29)</f>
        <v>64.29</v>
      </c>
      <c r="E2737" s="1">
        <f>IFERROR(__xludf.DUMMYFUNCTION("""COMPUTED_VALUE"""),64.65)</f>
        <v>64.65</v>
      </c>
      <c r="F2737" s="1">
        <f>IFERROR(__xludf.DUMMYFUNCTION("""COMPUTED_VALUE"""),699985.0)</f>
        <v>699985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IFERROR(__xludf.DUMMYFUNCTION("""COMPUTED_VALUE"""),64.75)</f>
        <v>64.75</v>
      </c>
      <c r="C2738" s="1">
        <f>IFERROR(__xludf.DUMMYFUNCTION("""COMPUTED_VALUE"""),65.47)</f>
        <v>65.47</v>
      </c>
      <c r="D2738" s="1">
        <f>IFERROR(__xludf.DUMMYFUNCTION("""COMPUTED_VALUE"""),63.78)</f>
        <v>63.78</v>
      </c>
      <c r="E2738" s="1">
        <f>IFERROR(__xludf.DUMMYFUNCTION("""COMPUTED_VALUE"""),64.02)</f>
        <v>64.02</v>
      </c>
      <c r="F2738" s="1">
        <f>IFERROR(__xludf.DUMMYFUNCTION("""COMPUTED_VALUE"""),608315.0)</f>
        <v>608315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IFERROR(__xludf.DUMMYFUNCTION("""COMPUTED_VALUE"""),63.86)</f>
        <v>63.86</v>
      </c>
      <c r="C2739" s="1">
        <f>IFERROR(__xludf.DUMMYFUNCTION("""COMPUTED_VALUE"""),63.99)</f>
        <v>63.99</v>
      </c>
      <c r="D2739" s="1">
        <f>IFERROR(__xludf.DUMMYFUNCTION("""COMPUTED_VALUE"""),62.78)</f>
        <v>62.78</v>
      </c>
      <c r="E2739" s="1">
        <f>IFERROR(__xludf.DUMMYFUNCTION("""COMPUTED_VALUE"""),63.13)</f>
        <v>63.13</v>
      </c>
      <c r="F2739" s="1">
        <f>IFERROR(__xludf.DUMMYFUNCTION("""COMPUTED_VALUE"""),454156.0)</f>
        <v>454156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IFERROR(__xludf.DUMMYFUNCTION("""COMPUTED_VALUE"""),63.16)</f>
        <v>63.16</v>
      </c>
      <c r="C2740" s="1">
        <f>IFERROR(__xludf.DUMMYFUNCTION("""COMPUTED_VALUE"""),63.35)</f>
        <v>63.35</v>
      </c>
      <c r="D2740" s="1">
        <f>IFERROR(__xludf.DUMMYFUNCTION("""COMPUTED_VALUE"""),62.09)</f>
        <v>62.09</v>
      </c>
      <c r="E2740" s="1">
        <f>IFERROR(__xludf.DUMMYFUNCTION("""COMPUTED_VALUE"""),62.91)</f>
        <v>62.91</v>
      </c>
      <c r="F2740" s="1">
        <f>IFERROR(__xludf.DUMMYFUNCTION("""COMPUTED_VALUE"""),659033.0)</f>
        <v>659033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IFERROR(__xludf.DUMMYFUNCTION("""COMPUTED_VALUE"""),63.09)</f>
        <v>63.09</v>
      </c>
      <c r="C2741" s="1">
        <f>IFERROR(__xludf.DUMMYFUNCTION("""COMPUTED_VALUE"""),64.46)</f>
        <v>64.46</v>
      </c>
      <c r="D2741" s="1">
        <f>IFERROR(__xludf.DUMMYFUNCTION("""COMPUTED_VALUE"""),63.09)</f>
        <v>63.09</v>
      </c>
      <c r="E2741" s="1">
        <f>IFERROR(__xludf.DUMMYFUNCTION("""COMPUTED_VALUE"""),63.65)</f>
        <v>63.65</v>
      </c>
      <c r="F2741" s="1">
        <f>IFERROR(__xludf.DUMMYFUNCTION("""COMPUTED_VALUE"""),864980.0)</f>
        <v>864980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IFERROR(__xludf.DUMMYFUNCTION("""COMPUTED_VALUE"""),63.68)</f>
        <v>63.68</v>
      </c>
      <c r="C2742" s="1">
        <f>IFERROR(__xludf.DUMMYFUNCTION("""COMPUTED_VALUE"""),65.48)</f>
        <v>65.48</v>
      </c>
      <c r="D2742" s="1">
        <f>IFERROR(__xludf.DUMMYFUNCTION("""COMPUTED_VALUE"""),63.68)</f>
        <v>63.68</v>
      </c>
      <c r="E2742" s="1">
        <f>IFERROR(__xludf.DUMMYFUNCTION("""COMPUTED_VALUE"""),64.9)</f>
        <v>64.9</v>
      </c>
      <c r="F2742" s="1">
        <f>IFERROR(__xludf.DUMMYFUNCTION("""COMPUTED_VALUE"""),435291.0)</f>
        <v>435291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IFERROR(__xludf.DUMMYFUNCTION("""COMPUTED_VALUE"""),65.16)</f>
        <v>65.16</v>
      </c>
      <c r="C2743" s="1">
        <f>IFERROR(__xludf.DUMMYFUNCTION("""COMPUTED_VALUE"""),66.85)</f>
        <v>66.85</v>
      </c>
      <c r="D2743" s="1">
        <f>IFERROR(__xludf.DUMMYFUNCTION("""COMPUTED_VALUE"""),64.66)</f>
        <v>64.66</v>
      </c>
      <c r="E2743" s="1">
        <f>IFERROR(__xludf.DUMMYFUNCTION("""COMPUTED_VALUE"""),66.42)</f>
        <v>66.42</v>
      </c>
      <c r="F2743" s="1">
        <f>IFERROR(__xludf.DUMMYFUNCTION("""COMPUTED_VALUE"""),643135.0)</f>
        <v>643135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IFERROR(__xludf.DUMMYFUNCTION("""COMPUTED_VALUE"""),67.02)</f>
        <v>67.02</v>
      </c>
      <c r="C2744" s="1">
        <f>IFERROR(__xludf.DUMMYFUNCTION("""COMPUTED_VALUE"""),67.02)</f>
        <v>67.02</v>
      </c>
      <c r="D2744" s="1">
        <f>IFERROR(__xludf.DUMMYFUNCTION("""COMPUTED_VALUE"""),64.43)</f>
        <v>64.43</v>
      </c>
      <c r="E2744" s="1">
        <f>IFERROR(__xludf.DUMMYFUNCTION("""COMPUTED_VALUE"""),65.27)</f>
        <v>65.27</v>
      </c>
      <c r="F2744" s="1">
        <f>IFERROR(__xludf.DUMMYFUNCTION("""COMPUTED_VALUE"""),500973.0)</f>
        <v>500973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IFERROR(__xludf.DUMMYFUNCTION("""COMPUTED_VALUE"""),65.56)</f>
        <v>65.56</v>
      </c>
      <c r="C2745" s="1">
        <f>IFERROR(__xludf.DUMMYFUNCTION("""COMPUTED_VALUE"""),66.38)</f>
        <v>66.38</v>
      </c>
      <c r="D2745" s="1">
        <f>IFERROR(__xludf.DUMMYFUNCTION("""COMPUTED_VALUE"""),64.28)</f>
        <v>64.28</v>
      </c>
      <c r="E2745" s="1">
        <f>IFERROR(__xludf.DUMMYFUNCTION("""COMPUTED_VALUE"""),66.36)</f>
        <v>66.36</v>
      </c>
      <c r="F2745" s="1">
        <f>IFERROR(__xludf.DUMMYFUNCTION("""COMPUTED_VALUE"""),401697.0)</f>
        <v>401697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IFERROR(__xludf.DUMMYFUNCTION("""COMPUTED_VALUE"""),66.3)</f>
        <v>66.3</v>
      </c>
      <c r="C2746" s="1">
        <f>IFERROR(__xludf.DUMMYFUNCTION("""COMPUTED_VALUE"""),67.51)</f>
        <v>67.51</v>
      </c>
      <c r="D2746" s="1">
        <f>IFERROR(__xludf.DUMMYFUNCTION("""COMPUTED_VALUE"""),65.6)</f>
        <v>65.6</v>
      </c>
      <c r="E2746" s="1">
        <f>IFERROR(__xludf.DUMMYFUNCTION("""COMPUTED_VALUE"""),67.32)</f>
        <v>67.32</v>
      </c>
      <c r="F2746" s="1">
        <f>IFERROR(__xludf.DUMMYFUNCTION("""COMPUTED_VALUE"""),320718.0)</f>
        <v>320718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IFERROR(__xludf.DUMMYFUNCTION("""COMPUTED_VALUE"""),67.43)</f>
        <v>67.43</v>
      </c>
      <c r="C2747" s="1">
        <f>IFERROR(__xludf.DUMMYFUNCTION("""COMPUTED_VALUE"""),68.95)</f>
        <v>68.95</v>
      </c>
      <c r="D2747" s="1">
        <f>IFERROR(__xludf.DUMMYFUNCTION("""COMPUTED_VALUE"""),67.32)</f>
        <v>67.32</v>
      </c>
      <c r="E2747" s="1">
        <f>IFERROR(__xludf.DUMMYFUNCTION("""COMPUTED_VALUE"""),68.3)</f>
        <v>68.3</v>
      </c>
      <c r="F2747" s="1">
        <f>IFERROR(__xludf.DUMMYFUNCTION("""COMPUTED_VALUE"""),193073.0)</f>
        <v>193073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IFERROR(__xludf.DUMMYFUNCTION("""COMPUTED_VALUE"""),68.58)</f>
        <v>68.58</v>
      </c>
      <c r="C2748" s="1">
        <f>IFERROR(__xludf.DUMMYFUNCTION("""COMPUTED_VALUE"""),71.9)</f>
        <v>71.9</v>
      </c>
      <c r="D2748" s="1">
        <f>IFERROR(__xludf.DUMMYFUNCTION("""COMPUTED_VALUE"""),68.58)</f>
        <v>68.58</v>
      </c>
      <c r="E2748" s="1">
        <f>IFERROR(__xludf.DUMMYFUNCTION("""COMPUTED_VALUE"""),71.81)</f>
        <v>71.81</v>
      </c>
      <c r="F2748" s="1">
        <f>IFERROR(__xludf.DUMMYFUNCTION("""COMPUTED_VALUE"""),854011.0)</f>
        <v>854011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IFERROR(__xludf.DUMMYFUNCTION("""COMPUTED_VALUE"""),72.01)</f>
        <v>72.01</v>
      </c>
      <c r="C2749" s="1">
        <f>IFERROR(__xludf.DUMMYFUNCTION("""COMPUTED_VALUE"""),72.43)</f>
        <v>72.43</v>
      </c>
      <c r="D2749" s="1">
        <f>IFERROR(__xludf.DUMMYFUNCTION("""COMPUTED_VALUE"""),69.04)</f>
        <v>69.04</v>
      </c>
      <c r="E2749" s="1">
        <f>IFERROR(__xludf.DUMMYFUNCTION("""COMPUTED_VALUE"""),69.54)</f>
        <v>69.54</v>
      </c>
      <c r="F2749" s="1">
        <f>IFERROR(__xludf.DUMMYFUNCTION("""COMPUTED_VALUE"""),821179.0)</f>
        <v>821179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IFERROR(__xludf.DUMMYFUNCTION("""COMPUTED_VALUE"""),69.33)</f>
        <v>69.33</v>
      </c>
      <c r="C2750" s="1">
        <f>IFERROR(__xludf.DUMMYFUNCTION("""COMPUTED_VALUE"""),70.05)</f>
        <v>70.05</v>
      </c>
      <c r="D2750" s="1">
        <f>IFERROR(__xludf.DUMMYFUNCTION("""COMPUTED_VALUE"""),68.68)</f>
        <v>68.68</v>
      </c>
      <c r="E2750" s="1">
        <f>IFERROR(__xludf.DUMMYFUNCTION("""COMPUTED_VALUE"""),69.58)</f>
        <v>69.58</v>
      </c>
      <c r="F2750" s="1">
        <f>IFERROR(__xludf.DUMMYFUNCTION("""COMPUTED_VALUE"""),546405.0)</f>
        <v>546405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IFERROR(__xludf.DUMMYFUNCTION("""COMPUTED_VALUE"""),69.91)</f>
        <v>69.91</v>
      </c>
      <c r="C2751" s="1">
        <f>IFERROR(__xludf.DUMMYFUNCTION("""COMPUTED_VALUE"""),70.73)</f>
        <v>70.73</v>
      </c>
      <c r="D2751" s="1">
        <f>IFERROR(__xludf.DUMMYFUNCTION("""COMPUTED_VALUE"""),69.67)</f>
        <v>69.67</v>
      </c>
      <c r="E2751" s="1">
        <f>IFERROR(__xludf.DUMMYFUNCTION("""COMPUTED_VALUE"""),69.83)</f>
        <v>69.83</v>
      </c>
      <c r="F2751" s="1">
        <f>IFERROR(__xludf.DUMMYFUNCTION("""COMPUTED_VALUE"""),258617.0)</f>
        <v>258617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IFERROR(__xludf.DUMMYFUNCTION("""COMPUTED_VALUE"""),69.91)</f>
        <v>69.91</v>
      </c>
      <c r="C2752" s="1">
        <f>IFERROR(__xludf.DUMMYFUNCTION("""COMPUTED_VALUE"""),70.59)</f>
        <v>70.59</v>
      </c>
      <c r="D2752" s="1">
        <f>IFERROR(__xludf.DUMMYFUNCTION("""COMPUTED_VALUE"""),69.02)</f>
        <v>69.02</v>
      </c>
      <c r="E2752" s="1">
        <f>IFERROR(__xludf.DUMMYFUNCTION("""COMPUTED_VALUE"""),69.22)</f>
        <v>69.22</v>
      </c>
      <c r="F2752" s="1">
        <f>IFERROR(__xludf.DUMMYFUNCTION("""COMPUTED_VALUE"""),314341.0)</f>
        <v>314341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IFERROR(__xludf.DUMMYFUNCTION("""COMPUTED_VALUE"""),69.15)</f>
        <v>69.15</v>
      </c>
      <c r="C2753" s="1">
        <f>IFERROR(__xludf.DUMMYFUNCTION("""COMPUTED_VALUE"""),70.54)</f>
        <v>70.54</v>
      </c>
      <c r="D2753" s="1">
        <f>IFERROR(__xludf.DUMMYFUNCTION("""COMPUTED_VALUE"""),68.63)</f>
        <v>68.63</v>
      </c>
      <c r="E2753" s="1">
        <f>IFERROR(__xludf.DUMMYFUNCTION("""COMPUTED_VALUE"""),70.16)</f>
        <v>70.16</v>
      </c>
      <c r="F2753" s="1">
        <f>IFERROR(__xludf.DUMMYFUNCTION("""COMPUTED_VALUE"""),270819.0)</f>
        <v>270819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IFERROR(__xludf.DUMMYFUNCTION("""COMPUTED_VALUE"""),70.24)</f>
        <v>70.24</v>
      </c>
      <c r="C2754" s="1">
        <f>IFERROR(__xludf.DUMMYFUNCTION("""COMPUTED_VALUE"""),72.21)</f>
        <v>72.21</v>
      </c>
      <c r="D2754" s="1">
        <f>IFERROR(__xludf.DUMMYFUNCTION("""COMPUTED_VALUE"""),70.03)</f>
        <v>70.03</v>
      </c>
      <c r="E2754" s="1">
        <f>IFERROR(__xludf.DUMMYFUNCTION("""COMPUTED_VALUE"""),72.01)</f>
        <v>72.01</v>
      </c>
      <c r="F2754" s="1">
        <f>IFERROR(__xludf.DUMMYFUNCTION("""COMPUTED_VALUE"""),542855.0)</f>
        <v>542855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IFERROR(__xludf.DUMMYFUNCTION("""COMPUTED_VALUE"""),72.28)</f>
        <v>72.28</v>
      </c>
      <c r="C2755" s="1">
        <f>IFERROR(__xludf.DUMMYFUNCTION("""COMPUTED_VALUE"""),72.81)</f>
        <v>72.81</v>
      </c>
      <c r="D2755" s="1">
        <f>IFERROR(__xludf.DUMMYFUNCTION("""COMPUTED_VALUE"""),70.36)</f>
        <v>70.36</v>
      </c>
      <c r="E2755" s="1">
        <f>IFERROR(__xludf.DUMMYFUNCTION("""COMPUTED_VALUE"""),70.75)</f>
        <v>70.75</v>
      </c>
      <c r="F2755" s="1">
        <f>IFERROR(__xludf.DUMMYFUNCTION("""COMPUTED_VALUE"""),492950.0)</f>
        <v>492950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IFERROR(__xludf.DUMMYFUNCTION("""COMPUTED_VALUE"""),70.64)</f>
        <v>70.64</v>
      </c>
      <c r="C2756" s="1">
        <f>IFERROR(__xludf.DUMMYFUNCTION("""COMPUTED_VALUE"""),72.52)</f>
        <v>72.52</v>
      </c>
      <c r="D2756" s="1">
        <f>IFERROR(__xludf.DUMMYFUNCTION("""COMPUTED_VALUE"""),70.28)</f>
        <v>70.28</v>
      </c>
      <c r="E2756" s="1">
        <f>IFERROR(__xludf.DUMMYFUNCTION("""COMPUTED_VALUE"""),72.37)</f>
        <v>72.37</v>
      </c>
      <c r="F2756" s="1">
        <f>IFERROR(__xludf.DUMMYFUNCTION("""COMPUTED_VALUE"""),354469.0)</f>
        <v>354469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IFERROR(__xludf.DUMMYFUNCTION("""COMPUTED_VALUE"""),72.24)</f>
        <v>72.24</v>
      </c>
      <c r="C2757" s="1">
        <f>IFERROR(__xludf.DUMMYFUNCTION("""COMPUTED_VALUE"""),72.24)</f>
        <v>72.24</v>
      </c>
      <c r="D2757" s="1">
        <f>IFERROR(__xludf.DUMMYFUNCTION("""COMPUTED_VALUE"""),69.46)</f>
        <v>69.46</v>
      </c>
      <c r="E2757" s="1">
        <f>IFERROR(__xludf.DUMMYFUNCTION("""COMPUTED_VALUE"""),70.68)</f>
        <v>70.68</v>
      </c>
      <c r="F2757" s="1">
        <f>IFERROR(__xludf.DUMMYFUNCTION("""COMPUTED_VALUE"""),390126.0)</f>
        <v>390126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IFERROR(__xludf.DUMMYFUNCTION("""COMPUTED_VALUE"""),71.01)</f>
        <v>71.01</v>
      </c>
      <c r="C2758" s="1">
        <f>IFERROR(__xludf.DUMMYFUNCTION("""COMPUTED_VALUE"""),71.01)</f>
        <v>71.01</v>
      </c>
      <c r="D2758" s="1">
        <f>IFERROR(__xludf.DUMMYFUNCTION("""COMPUTED_VALUE"""),70.02)</f>
        <v>70.02</v>
      </c>
      <c r="E2758" s="1">
        <f>IFERROR(__xludf.DUMMYFUNCTION("""COMPUTED_VALUE"""),70.07)</f>
        <v>70.07</v>
      </c>
      <c r="F2758" s="1">
        <f>IFERROR(__xludf.DUMMYFUNCTION("""COMPUTED_VALUE"""),299539.0)</f>
        <v>299539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IFERROR(__xludf.DUMMYFUNCTION("""COMPUTED_VALUE"""),70.14)</f>
        <v>70.14</v>
      </c>
      <c r="C2759" s="1">
        <f>IFERROR(__xludf.DUMMYFUNCTION("""COMPUTED_VALUE"""),70.61)</f>
        <v>70.61</v>
      </c>
      <c r="D2759" s="1">
        <f>IFERROR(__xludf.DUMMYFUNCTION("""COMPUTED_VALUE"""),69.09)</f>
        <v>69.09</v>
      </c>
      <c r="E2759" s="1">
        <f>IFERROR(__xludf.DUMMYFUNCTION("""COMPUTED_VALUE"""),69.1)</f>
        <v>69.1</v>
      </c>
      <c r="F2759" s="1">
        <f>IFERROR(__xludf.DUMMYFUNCTION("""COMPUTED_VALUE"""),644690.0)</f>
        <v>644690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IFERROR(__xludf.DUMMYFUNCTION("""COMPUTED_VALUE"""),69.0)</f>
        <v>69</v>
      </c>
      <c r="C2760" s="1">
        <f>IFERROR(__xludf.DUMMYFUNCTION("""COMPUTED_VALUE"""),69.43)</f>
        <v>69.43</v>
      </c>
      <c r="D2760" s="1">
        <f>IFERROR(__xludf.DUMMYFUNCTION("""COMPUTED_VALUE"""),67.58)</f>
        <v>67.58</v>
      </c>
      <c r="E2760" s="1">
        <f>IFERROR(__xludf.DUMMYFUNCTION("""COMPUTED_VALUE"""),67.6)</f>
        <v>67.6</v>
      </c>
      <c r="F2760" s="1">
        <f>IFERROR(__xludf.DUMMYFUNCTION("""COMPUTED_VALUE"""),483556.0)</f>
        <v>483556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IFERROR(__xludf.DUMMYFUNCTION("""COMPUTED_VALUE"""),67.85)</f>
        <v>67.85</v>
      </c>
      <c r="C2761" s="1">
        <f>IFERROR(__xludf.DUMMYFUNCTION("""COMPUTED_VALUE"""),68.57)</f>
        <v>68.57</v>
      </c>
      <c r="D2761" s="1">
        <f>IFERROR(__xludf.DUMMYFUNCTION("""COMPUTED_VALUE"""),67.32)</f>
        <v>67.32</v>
      </c>
      <c r="E2761" s="1">
        <f>IFERROR(__xludf.DUMMYFUNCTION("""COMPUTED_VALUE"""),67.35)</f>
        <v>67.35</v>
      </c>
      <c r="F2761" s="1">
        <f>IFERROR(__xludf.DUMMYFUNCTION("""COMPUTED_VALUE"""),451814.0)</f>
        <v>451814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IFERROR(__xludf.DUMMYFUNCTION("""COMPUTED_VALUE"""),68.01)</f>
        <v>68.01</v>
      </c>
      <c r="C2762" s="1">
        <f>IFERROR(__xludf.DUMMYFUNCTION("""COMPUTED_VALUE"""),68.4)</f>
        <v>68.4</v>
      </c>
      <c r="D2762" s="1">
        <f>IFERROR(__xludf.DUMMYFUNCTION("""COMPUTED_VALUE"""),67.19)</f>
        <v>67.19</v>
      </c>
      <c r="E2762" s="1">
        <f>IFERROR(__xludf.DUMMYFUNCTION("""COMPUTED_VALUE"""),68.14)</f>
        <v>68.14</v>
      </c>
      <c r="F2762" s="1">
        <f>IFERROR(__xludf.DUMMYFUNCTION("""COMPUTED_VALUE"""),533880.0)</f>
        <v>533880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IFERROR(__xludf.DUMMYFUNCTION("""COMPUTED_VALUE"""),67.43)</f>
        <v>67.43</v>
      </c>
      <c r="C2763" s="1">
        <f>IFERROR(__xludf.DUMMYFUNCTION("""COMPUTED_VALUE"""),69.8)</f>
        <v>69.8</v>
      </c>
      <c r="D2763" s="1">
        <f>IFERROR(__xludf.DUMMYFUNCTION("""COMPUTED_VALUE"""),67.43)</f>
        <v>67.43</v>
      </c>
      <c r="E2763" s="1">
        <f>IFERROR(__xludf.DUMMYFUNCTION("""COMPUTED_VALUE"""),69.36)</f>
        <v>69.36</v>
      </c>
      <c r="F2763" s="1">
        <f>IFERROR(__xludf.DUMMYFUNCTION("""COMPUTED_VALUE"""),535882.0)</f>
        <v>535882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IFERROR(__xludf.DUMMYFUNCTION("""COMPUTED_VALUE"""),69.37)</f>
        <v>69.37</v>
      </c>
      <c r="C2764" s="1">
        <f>IFERROR(__xludf.DUMMYFUNCTION("""COMPUTED_VALUE"""),70.22)</f>
        <v>70.22</v>
      </c>
      <c r="D2764" s="1">
        <f>IFERROR(__xludf.DUMMYFUNCTION("""COMPUTED_VALUE"""),68.4)</f>
        <v>68.4</v>
      </c>
      <c r="E2764" s="1">
        <f>IFERROR(__xludf.DUMMYFUNCTION("""COMPUTED_VALUE"""),70.09)</f>
        <v>70.09</v>
      </c>
      <c r="F2764" s="1">
        <f>IFERROR(__xludf.DUMMYFUNCTION("""COMPUTED_VALUE"""),267086.0)</f>
        <v>267086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IFERROR(__xludf.DUMMYFUNCTION("""COMPUTED_VALUE"""),70.29)</f>
        <v>70.29</v>
      </c>
      <c r="C2765" s="1">
        <f>IFERROR(__xludf.DUMMYFUNCTION("""COMPUTED_VALUE"""),71.43)</f>
        <v>71.43</v>
      </c>
      <c r="D2765" s="1">
        <f>IFERROR(__xludf.DUMMYFUNCTION("""COMPUTED_VALUE"""),70.29)</f>
        <v>70.29</v>
      </c>
      <c r="E2765" s="1">
        <f>IFERROR(__xludf.DUMMYFUNCTION("""COMPUTED_VALUE"""),70.86)</f>
        <v>70.86</v>
      </c>
      <c r="F2765" s="1">
        <f>IFERROR(__xludf.DUMMYFUNCTION("""COMPUTED_VALUE"""),391307.0)</f>
        <v>391307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IFERROR(__xludf.DUMMYFUNCTION("""COMPUTED_VALUE"""),70.87)</f>
        <v>70.87</v>
      </c>
      <c r="C2766" s="1">
        <f>IFERROR(__xludf.DUMMYFUNCTION("""COMPUTED_VALUE"""),71.36)</f>
        <v>71.36</v>
      </c>
      <c r="D2766" s="1">
        <f>IFERROR(__xludf.DUMMYFUNCTION("""COMPUTED_VALUE"""),70.68)</f>
        <v>70.68</v>
      </c>
      <c r="E2766" s="1">
        <f>IFERROR(__xludf.DUMMYFUNCTION("""COMPUTED_VALUE"""),71.24)</f>
        <v>71.24</v>
      </c>
      <c r="F2766" s="1">
        <f>IFERROR(__xludf.DUMMYFUNCTION("""COMPUTED_VALUE"""),184121.0)</f>
        <v>184121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IFERROR(__xludf.DUMMYFUNCTION("""COMPUTED_VALUE"""),71.55)</f>
        <v>71.55</v>
      </c>
      <c r="C2767" s="1">
        <f>IFERROR(__xludf.DUMMYFUNCTION("""COMPUTED_VALUE"""),71.61)</f>
        <v>71.61</v>
      </c>
      <c r="D2767" s="1">
        <f>IFERROR(__xludf.DUMMYFUNCTION("""COMPUTED_VALUE"""),69.82)</f>
        <v>69.82</v>
      </c>
      <c r="E2767" s="1">
        <f>IFERROR(__xludf.DUMMYFUNCTION("""COMPUTED_VALUE"""),70.35)</f>
        <v>70.35</v>
      </c>
      <c r="F2767" s="1">
        <f>IFERROR(__xludf.DUMMYFUNCTION("""COMPUTED_VALUE"""),271108.0)</f>
        <v>271108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IFERROR(__xludf.DUMMYFUNCTION("""COMPUTED_VALUE"""),70.89)</f>
        <v>70.89</v>
      </c>
      <c r="C2768" s="1">
        <f>IFERROR(__xludf.DUMMYFUNCTION("""COMPUTED_VALUE"""),71.54)</f>
        <v>71.54</v>
      </c>
      <c r="D2768" s="1">
        <f>IFERROR(__xludf.DUMMYFUNCTION("""COMPUTED_VALUE"""),68.85)</f>
        <v>68.85</v>
      </c>
      <c r="E2768" s="1">
        <f>IFERROR(__xludf.DUMMYFUNCTION("""COMPUTED_VALUE"""),69.18)</f>
        <v>69.18</v>
      </c>
      <c r="F2768" s="1">
        <f>IFERROR(__xludf.DUMMYFUNCTION("""COMPUTED_VALUE"""),309110.0)</f>
        <v>309110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IFERROR(__xludf.DUMMYFUNCTION("""COMPUTED_VALUE"""),69.23)</f>
        <v>69.23</v>
      </c>
      <c r="C2769" s="1">
        <f>IFERROR(__xludf.DUMMYFUNCTION("""COMPUTED_VALUE"""),70.66)</f>
        <v>70.66</v>
      </c>
      <c r="D2769" s="1">
        <f>IFERROR(__xludf.DUMMYFUNCTION("""COMPUTED_VALUE"""),69.23)</f>
        <v>69.23</v>
      </c>
      <c r="E2769" s="1">
        <f>IFERROR(__xludf.DUMMYFUNCTION("""COMPUTED_VALUE"""),70.34)</f>
        <v>70.34</v>
      </c>
      <c r="F2769" s="1">
        <f>IFERROR(__xludf.DUMMYFUNCTION("""COMPUTED_VALUE"""),279680.0)</f>
        <v>279680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IFERROR(__xludf.DUMMYFUNCTION("""COMPUTED_VALUE"""),70.48)</f>
        <v>70.48</v>
      </c>
      <c r="C2770" s="1">
        <f>IFERROR(__xludf.DUMMYFUNCTION("""COMPUTED_VALUE"""),70.48)</f>
        <v>70.48</v>
      </c>
      <c r="D2770" s="1">
        <f>IFERROR(__xludf.DUMMYFUNCTION("""COMPUTED_VALUE"""),69.15)</f>
        <v>69.15</v>
      </c>
      <c r="E2770" s="1">
        <f>IFERROR(__xludf.DUMMYFUNCTION("""COMPUTED_VALUE"""),69.55)</f>
        <v>69.55</v>
      </c>
      <c r="F2770" s="1">
        <f>IFERROR(__xludf.DUMMYFUNCTION("""COMPUTED_VALUE"""),230225.0)</f>
        <v>230225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IFERROR(__xludf.DUMMYFUNCTION("""COMPUTED_VALUE"""),68.82)</f>
        <v>68.82</v>
      </c>
      <c r="C2771" s="1">
        <f>IFERROR(__xludf.DUMMYFUNCTION("""COMPUTED_VALUE"""),69.31)</f>
        <v>69.31</v>
      </c>
      <c r="D2771" s="1">
        <f>IFERROR(__xludf.DUMMYFUNCTION("""COMPUTED_VALUE"""),66.32)</f>
        <v>66.32</v>
      </c>
      <c r="E2771" s="1">
        <f>IFERROR(__xludf.DUMMYFUNCTION("""COMPUTED_VALUE"""),66.66)</f>
        <v>66.66</v>
      </c>
      <c r="F2771" s="1">
        <f>IFERROR(__xludf.DUMMYFUNCTION("""COMPUTED_VALUE"""),534635.0)</f>
        <v>534635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IFERROR(__xludf.DUMMYFUNCTION("""COMPUTED_VALUE"""),66.56)</f>
        <v>66.56</v>
      </c>
      <c r="C2772" s="1">
        <f>IFERROR(__xludf.DUMMYFUNCTION("""COMPUTED_VALUE"""),68.53)</f>
        <v>68.53</v>
      </c>
      <c r="D2772" s="1">
        <f>IFERROR(__xludf.DUMMYFUNCTION("""COMPUTED_VALUE"""),66.35)</f>
        <v>66.35</v>
      </c>
      <c r="E2772" s="1">
        <f>IFERROR(__xludf.DUMMYFUNCTION("""COMPUTED_VALUE"""),68.41)</f>
        <v>68.41</v>
      </c>
      <c r="F2772" s="1">
        <f>IFERROR(__xludf.DUMMYFUNCTION("""COMPUTED_VALUE"""),317551.0)</f>
        <v>317551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IFERROR(__xludf.DUMMYFUNCTION("""COMPUTED_VALUE"""),68.12)</f>
        <v>68.12</v>
      </c>
      <c r="C2773" s="1">
        <f>IFERROR(__xludf.DUMMYFUNCTION("""COMPUTED_VALUE"""),68.54)</f>
        <v>68.54</v>
      </c>
      <c r="D2773" s="1">
        <f>IFERROR(__xludf.DUMMYFUNCTION("""COMPUTED_VALUE"""),67.02)</f>
        <v>67.02</v>
      </c>
      <c r="E2773" s="1">
        <f>IFERROR(__xludf.DUMMYFUNCTION("""COMPUTED_VALUE"""),67.75)</f>
        <v>67.75</v>
      </c>
      <c r="F2773" s="1">
        <f>IFERROR(__xludf.DUMMYFUNCTION("""COMPUTED_VALUE"""),607277.0)</f>
        <v>607277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IFERROR(__xludf.DUMMYFUNCTION("""COMPUTED_VALUE"""),68.08)</f>
        <v>68.08</v>
      </c>
      <c r="C2774" s="1">
        <f>IFERROR(__xludf.DUMMYFUNCTION("""COMPUTED_VALUE"""),69.37)</f>
        <v>69.37</v>
      </c>
      <c r="D2774" s="1">
        <f>IFERROR(__xludf.DUMMYFUNCTION("""COMPUTED_VALUE"""),67.88)</f>
        <v>67.88</v>
      </c>
      <c r="E2774" s="1">
        <f>IFERROR(__xludf.DUMMYFUNCTION("""COMPUTED_VALUE"""),68.63)</f>
        <v>68.63</v>
      </c>
      <c r="F2774" s="1">
        <f>IFERROR(__xludf.DUMMYFUNCTION("""COMPUTED_VALUE"""),367502.0)</f>
        <v>367502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IFERROR(__xludf.DUMMYFUNCTION("""COMPUTED_VALUE"""),70.25)</f>
        <v>70.25</v>
      </c>
      <c r="C2775" s="1">
        <f>IFERROR(__xludf.DUMMYFUNCTION("""COMPUTED_VALUE"""),70.43)</f>
        <v>70.43</v>
      </c>
      <c r="D2775" s="1">
        <f>IFERROR(__xludf.DUMMYFUNCTION("""COMPUTED_VALUE"""),68.41)</f>
        <v>68.41</v>
      </c>
      <c r="E2775" s="1">
        <f>IFERROR(__xludf.DUMMYFUNCTION("""COMPUTED_VALUE"""),69.12)</f>
        <v>69.12</v>
      </c>
      <c r="F2775" s="1">
        <f>IFERROR(__xludf.DUMMYFUNCTION("""COMPUTED_VALUE"""),399349.0)</f>
        <v>399349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IFERROR(__xludf.DUMMYFUNCTION("""COMPUTED_VALUE"""),68.33)</f>
        <v>68.33</v>
      </c>
      <c r="C2776" s="1">
        <f>IFERROR(__xludf.DUMMYFUNCTION("""COMPUTED_VALUE"""),68.64)</f>
        <v>68.64</v>
      </c>
      <c r="D2776" s="1">
        <f>IFERROR(__xludf.DUMMYFUNCTION("""COMPUTED_VALUE"""),65.96)</f>
        <v>65.96</v>
      </c>
      <c r="E2776" s="1">
        <f>IFERROR(__xludf.DUMMYFUNCTION("""COMPUTED_VALUE"""),65.96)</f>
        <v>65.96</v>
      </c>
      <c r="F2776" s="1">
        <f>IFERROR(__xludf.DUMMYFUNCTION("""COMPUTED_VALUE"""),372889.0)</f>
        <v>372889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IFERROR(__xludf.DUMMYFUNCTION("""COMPUTED_VALUE"""),63.74)</f>
        <v>63.74</v>
      </c>
      <c r="C2777" s="1">
        <f>IFERROR(__xludf.DUMMYFUNCTION("""COMPUTED_VALUE"""),65.47)</f>
        <v>65.47</v>
      </c>
      <c r="D2777" s="1">
        <f>IFERROR(__xludf.DUMMYFUNCTION("""COMPUTED_VALUE"""),62.26)</f>
        <v>62.26</v>
      </c>
      <c r="E2777" s="1">
        <f>IFERROR(__xludf.DUMMYFUNCTION("""COMPUTED_VALUE"""),65.34)</f>
        <v>65.34</v>
      </c>
      <c r="F2777" s="1">
        <f>IFERROR(__xludf.DUMMYFUNCTION("""COMPUTED_VALUE"""),1058627.0)</f>
        <v>1058627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IFERROR(__xludf.DUMMYFUNCTION("""COMPUTED_VALUE"""),65.53)</f>
        <v>65.53</v>
      </c>
      <c r="C2778" s="1">
        <f>IFERROR(__xludf.DUMMYFUNCTION("""COMPUTED_VALUE"""),65.71)</f>
        <v>65.71</v>
      </c>
      <c r="D2778" s="1">
        <f>IFERROR(__xludf.DUMMYFUNCTION("""COMPUTED_VALUE"""),63.2)</f>
        <v>63.2</v>
      </c>
      <c r="E2778" s="1">
        <f>IFERROR(__xludf.DUMMYFUNCTION("""COMPUTED_VALUE"""),63.31)</f>
        <v>63.31</v>
      </c>
      <c r="F2778" s="1">
        <f>IFERROR(__xludf.DUMMYFUNCTION("""COMPUTED_VALUE"""),1372488.0)</f>
        <v>1372488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IFERROR(__xludf.DUMMYFUNCTION("""COMPUTED_VALUE"""),63.21)</f>
        <v>63.21</v>
      </c>
      <c r="C2779" s="1">
        <f>IFERROR(__xludf.DUMMYFUNCTION("""COMPUTED_VALUE"""),63.59)</f>
        <v>63.59</v>
      </c>
      <c r="D2779" s="1">
        <f>IFERROR(__xludf.DUMMYFUNCTION("""COMPUTED_VALUE"""),61.72)</f>
        <v>61.72</v>
      </c>
      <c r="E2779" s="1">
        <f>IFERROR(__xludf.DUMMYFUNCTION("""COMPUTED_VALUE"""),61.92)</f>
        <v>61.92</v>
      </c>
      <c r="F2779" s="1">
        <f>IFERROR(__xludf.DUMMYFUNCTION("""COMPUTED_VALUE"""),836376.0)</f>
        <v>836376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IFERROR(__xludf.DUMMYFUNCTION("""COMPUTED_VALUE"""),61.3)</f>
        <v>61.3</v>
      </c>
      <c r="C2780" s="1">
        <f>IFERROR(__xludf.DUMMYFUNCTION("""COMPUTED_VALUE"""),61.88)</f>
        <v>61.88</v>
      </c>
      <c r="D2780" s="1">
        <f>IFERROR(__xludf.DUMMYFUNCTION("""COMPUTED_VALUE"""),59.51)</f>
        <v>59.51</v>
      </c>
      <c r="E2780" s="1">
        <f>IFERROR(__xludf.DUMMYFUNCTION("""COMPUTED_VALUE"""),60.47)</f>
        <v>60.47</v>
      </c>
      <c r="F2780" s="1">
        <f>IFERROR(__xludf.DUMMYFUNCTION("""COMPUTED_VALUE"""),1342651.0)</f>
        <v>1342651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IFERROR(__xludf.DUMMYFUNCTION("""COMPUTED_VALUE"""),60.96)</f>
        <v>60.96</v>
      </c>
      <c r="C2781" s="1">
        <f>IFERROR(__xludf.DUMMYFUNCTION("""COMPUTED_VALUE"""),62.89)</f>
        <v>62.89</v>
      </c>
      <c r="D2781" s="1">
        <f>IFERROR(__xludf.DUMMYFUNCTION("""COMPUTED_VALUE"""),60.51)</f>
        <v>60.51</v>
      </c>
      <c r="E2781" s="1">
        <f>IFERROR(__xludf.DUMMYFUNCTION("""COMPUTED_VALUE"""),62.36)</f>
        <v>62.36</v>
      </c>
      <c r="F2781" s="1">
        <f>IFERROR(__xludf.DUMMYFUNCTION("""COMPUTED_VALUE"""),1081334.0)</f>
        <v>1081334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IFERROR(__xludf.DUMMYFUNCTION("""COMPUTED_VALUE"""),62.65)</f>
        <v>62.65</v>
      </c>
      <c r="C2782" s="1">
        <f>IFERROR(__xludf.DUMMYFUNCTION("""COMPUTED_VALUE"""),63.19)</f>
        <v>63.19</v>
      </c>
      <c r="D2782" s="1">
        <f>IFERROR(__xludf.DUMMYFUNCTION("""COMPUTED_VALUE"""),61.99)</f>
        <v>61.99</v>
      </c>
      <c r="E2782" s="1">
        <f>IFERROR(__xludf.DUMMYFUNCTION("""COMPUTED_VALUE"""),62.62)</f>
        <v>62.62</v>
      </c>
      <c r="F2782" s="1">
        <f>IFERROR(__xludf.DUMMYFUNCTION("""COMPUTED_VALUE"""),583697.0)</f>
        <v>583697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IFERROR(__xludf.DUMMYFUNCTION("""COMPUTED_VALUE"""),62.48)</f>
        <v>62.48</v>
      </c>
      <c r="C2783" s="1">
        <f>IFERROR(__xludf.DUMMYFUNCTION("""COMPUTED_VALUE"""),63.05)</f>
        <v>63.05</v>
      </c>
      <c r="D2783" s="1">
        <f>IFERROR(__xludf.DUMMYFUNCTION("""COMPUTED_VALUE"""),62.24)</f>
        <v>62.24</v>
      </c>
      <c r="E2783" s="1">
        <f>IFERROR(__xludf.DUMMYFUNCTION("""COMPUTED_VALUE"""),62.83)</f>
        <v>62.83</v>
      </c>
      <c r="F2783" s="1">
        <f>IFERROR(__xludf.DUMMYFUNCTION("""COMPUTED_VALUE"""),363032.0)</f>
        <v>363032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IFERROR(__xludf.DUMMYFUNCTION("""COMPUTED_VALUE"""),62.31)</f>
        <v>62.31</v>
      </c>
      <c r="C2784" s="1">
        <f>IFERROR(__xludf.DUMMYFUNCTION("""COMPUTED_VALUE"""),63.33)</f>
        <v>63.33</v>
      </c>
      <c r="D2784" s="1">
        <f>IFERROR(__xludf.DUMMYFUNCTION("""COMPUTED_VALUE"""),62.17)</f>
        <v>62.17</v>
      </c>
      <c r="E2784" s="1">
        <f>IFERROR(__xludf.DUMMYFUNCTION("""COMPUTED_VALUE"""),63.04)</f>
        <v>63.04</v>
      </c>
      <c r="F2784" s="1">
        <f>IFERROR(__xludf.DUMMYFUNCTION("""COMPUTED_VALUE"""),616844.0)</f>
        <v>616844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IFERROR(__xludf.DUMMYFUNCTION("""COMPUTED_VALUE"""),63.3)</f>
        <v>63.3</v>
      </c>
      <c r="C2785" s="1">
        <f>IFERROR(__xludf.DUMMYFUNCTION("""COMPUTED_VALUE"""),64.03)</f>
        <v>64.03</v>
      </c>
      <c r="D2785" s="1">
        <f>IFERROR(__xludf.DUMMYFUNCTION("""COMPUTED_VALUE"""),62.83)</f>
        <v>62.83</v>
      </c>
      <c r="E2785" s="1">
        <f>IFERROR(__xludf.DUMMYFUNCTION("""COMPUTED_VALUE"""),63.54)</f>
        <v>63.54</v>
      </c>
      <c r="F2785" s="1">
        <f>IFERROR(__xludf.DUMMYFUNCTION("""COMPUTED_VALUE"""),685681.0)</f>
        <v>685681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IFERROR(__xludf.DUMMYFUNCTION("""COMPUTED_VALUE"""),63.79)</f>
        <v>63.79</v>
      </c>
      <c r="C2786" s="1">
        <f>IFERROR(__xludf.DUMMYFUNCTION("""COMPUTED_VALUE"""),64.11)</f>
        <v>64.11</v>
      </c>
      <c r="D2786" s="1">
        <f>IFERROR(__xludf.DUMMYFUNCTION("""COMPUTED_VALUE"""),63.0)</f>
        <v>63</v>
      </c>
      <c r="E2786" s="1">
        <f>IFERROR(__xludf.DUMMYFUNCTION("""COMPUTED_VALUE"""),63.14)</f>
        <v>63.14</v>
      </c>
      <c r="F2786" s="1">
        <f>IFERROR(__xludf.DUMMYFUNCTION("""COMPUTED_VALUE"""),636880.0)</f>
        <v>636880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IFERROR(__xludf.DUMMYFUNCTION("""COMPUTED_VALUE"""),62.67)</f>
        <v>62.67</v>
      </c>
      <c r="C2787" s="1">
        <f>IFERROR(__xludf.DUMMYFUNCTION("""COMPUTED_VALUE"""),62.67)</f>
        <v>62.67</v>
      </c>
      <c r="D2787" s="1">
        <f>IFERROR(__xludf.DUMMYFUNCTION("""COMPUTED_VALUE"""),58.9)</f>
        <v>58.9</v>
      </c>
      <c r="E2787" s="1">
        <f>IFERROR(__xludf.DUMMYFUNCTION("""COMPUTED_VALUE"""),59.68)</f>
        <v>59.68</v>
      </c>
      <c r="F2787" s="1">
        <f>IFERROR(__xludf.DUMMYFUNCTION("""COMPUTED_VALUE"""),1450333.0)</f>
        <v>1450333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IFERROR(__xludf.DUMMYFUNCTION("""COMPUTED_VALUE"""),60.28)</f>
        <v>60.28</v>
      </c>
      <c r="C2788" s="1">
        <f>IFERROR(__xludf.DUMMYFUNCTION("""COMPUTED_VALUE"""),61.41)</f>
        <v>61.41</v>
      </c>
      <c r="D2788" s="1">
        <f>IFERROR(__xludf.DUMMYFUNCTION("""COMPUTED_VALUE"""),59.86)</f>
        <v>59.86</v>
      </c>
      <c r="E2788" s="1">
        <f>IFERROR(__xludf.DUMMYFUNCTION("""COMPUTED_VALUE"""),60.73)</f>
        <v>60.73</v>
      </c>
      <c r="F2788" s="1">
        <f>IFERROR(__xludf.DUMMYFUNCTION("""COMPUTED_VALUE"""),1029173.0)</f>
        <v>1029173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IFERROR(__xludf.DUMMYFUNCTION("""COMPUTED_VALUE"""),60.75)</f>
        <v>60.75</v>
      </c>
      <c r="C2789" s="1">
        <f>IFERROR(__xludf.DUMMYFUNCTION("""COMPUTED_VALUE"""),60.75)</f>
        <v>60.75</v>
      </c>
      <c r="D2789" s="1">
        <f>IFERROR(__xludf.DUMMYFUNCTION("""COMPUTED_VALUE"""),58.79)</f>
        <v>58.79</v>
      </c>
      <c r="E2789" s="1">
        <f>IFERROR(__xludf.DUMMYFUNCTION("""COMPUTED_VALUE"""),58.91)</f>
        <v>58.91</v>
      </c>
      <c r="F2789" s="1">
        <f>IFERROR(__xludf.DUMMYFUNCTION("""COMPUTED_VALUE"""),589093.0)</f>
        <v>589093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IFERROR(__xludf.DUMMYFUNCTION("""COMPUTED_VALUE"""),59.21)</f>
        <v>59.21</v>
      </c>
      <c r="C2790" s="1">
        <f>IFERROR(__xludf.DUMMYFUNCTION("""COMPUTED_VALUE"""),61.01)</f>
        <v>61.01</v>
      </c>
      <c r="D2790" s="1">
        <f>IFERROR(__xludf.DUMMYFUNCTION("""COMPUTED_VALUE"""),59.06)</f>
        <v>59.06</v>
      </c>
      <c r="E2790" s="1">
        <f>IFERROR(__xludf.DUMMYFUNCTION("""COMPUTED_VALUE"""),60.7)</f>
        <v>60.7</v>
      </c>
      <c r="F2790" s="1">
        <f>IFERROR(__xludf.DUMMYFUNCTION("""COMPUTED_VALUE"""),794834.0)</f>
        <v>794834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IFERROR(__xludf.DUMMYFUNCTION("""COMPUTED_VALUE"""),61.39)</f>
        <v>61.39</v>
      </c>
      <c r="C2791" s="1">
        <f>IFERROR(__xludf.DUMMYFUNCTION("""COMPUTED_VALUE"""),61.7)</f>
        <v>61.7</v>
      </c>
      <c r="D2791" s="1">
        <f>IFERROR(__xludf.DUMMYFUNCTION("""COMPUTED_VALUE"""),60.49)</f>
        <v>60.49</v>
      </c>
      <c r="E2791" s="1">
        <f>IFERROR(__xludf.DUMMYFUNCTION("""COMPUTED_VALUE"""),60.85)</f>
        <v>60.85</v>
      </c>
      <c r="F2791" s="1">
        <f>IFERROR(__xludf.DUMMYFUNCTION("""COMPUTED_VALUE"""),704574.0)</f>
        <v>704574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IFERROR(__xludf.DUMMYFUNCTION("""COMPUTED_VALUE"""),61.08)</f>
        <v>61.08</v>
      </c>
      <c r="C2792" s="1">
        <f>IFERROR(__xludf.DUMMYFUNCTION("""COMPUTED_VALUE"""),61.08)</f>
        <v>61.08</v>
      </c>
      <c r="D2792" s="1">
        <f>IFERROR(__xludf.DUMMYFUNCTION("""COMPUTED_VALUE"""),59.42)</f>
        <v>59.42</v>
      </c>
      <c r="E2792" s="1">
        <f>IFERROR(__xludf.DUMMYFUNCTION("""COMPUTED_VALUE"""),59.62)</f>
        <v>59.62</v>
      </c>
      <c r="F2792" s="1">
        <f>IFERROR(__xludf.DUMMYFUNCTION("""COMPUTED_VALUE"""),798689.0)</f>
        <v>798689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IFERROR(__xludf.DUMMYFUNCTION("""COMPUTED_VALUE"""),58.0)</f>
        <v>58</v>
      </c>
      <c r="C2793" s="1">
        <f>IFERROR(__xludf.DUMMYFUNCTION("""COMPUTED_VALUE"""),58.79)</f>
        <v>58.79</v>
      </c>
      <c r="D2793" s="1">
        <f>IFERROR(__xludf.DUMMYFUNCTION("""COMPUTED_VALUE"""),57.95)</f>
        <v>57.95</v>
      </c>
      <c r="E2793" s="1">
        <f>IFERROR(__xludf.DUMMYFUNCTION("""COMPUTED_VALUE"""),58.52)</f>
        <v>58.52</v>
      </c>
      <c r="F2793" s="1">
        <f>IFERROR(__xludf.DUMMYFUNCTION("""COMPUTED_VALUE"""),2027376.0)</f>
        <v>2027376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IFERROR(__xludf.DUMMYFUNCTION("""COMPUTED_VALUE"""),58.86)</f>
        <v>58.86</v>
      </c>
      <c r="C2794" s="1">
        <f>IFERROR(__xludf.DUMMYFUNCTION("""COMPUTED_VALUE"""),59.57)</f>
        <v>59.57</v>
      </c>
      <c r="D2794" s="1">
        <f>IFERROR(__xludf.DUMMYFUNCTION("""COMPUTED_VALUE"""),58.72)</f>
        <v>58.72</v>
      </c>
      <c r="E2794" s="1">
        <f>IFERROR(__xludf.DUMMYFUNCTION("""COMPUTED_VALUE"""),59.01)</f>
        <v>59.01</v>
      </c>
      <c r="F2794" s="1">
        <f>IFERROR(__xludf.DUMMYFUNCTION("""COMPUTED_VALUE"""),1061502.0)</f>
        <v>1061502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IFERROR(__xludf.DUMMYFUNCTION("""COMPUTED_VALUE"""),59.57)</f>
        <v>59.57</v>
      </c>
      <c r="C2795" s="1">
        <f>IFERROR(__xludf.DUMMYFUNCTION("""COMPUTED_VALUE"""),59.57)</f>
        <v>59.57</v>
      </c>
      <c r="D2795" s="1">
        <f>IFERROR(__xludf.DUMMYFUNCTION("""COMPUTED_VALUE"""),57.9)</f>
        <v>57.9</v>
      </c>
      <c r="E2795" s="1">
        <f>IFERROR(__xludf.DUMMYFUNCTION("""COMPUTED_VALUE"""),58.17)</f>
        <v>58.17</v>
      </c>
      <c r="F2795" s="1">
        <f>IFERROR(__xludf.DUMMYFUNCTION("""COMPUTED_VALUE"""),508686.0)</f>
        <v>508686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IFERROR(__xludf.DUMMYFUNCTION("""COMPUTED_VALUE"""),57.71)</f>
        <v>57.71</v>
      </c>
      <c r="C2796" s="1">
        <f>IFERROR(__xludf.DUMMYFUNCTION("""COMPUTED_VALUE"""),59.0)</f>
        <v>59</v>
      </c>
      <c r="D2796" s="1">
        <f>IFERROR(__xludf.DUMMYFUNCTION("""COMPUTED_VALUE"""),56.8)</f>
        <v>56.8</v>
      </c>
      <c r="E2796" s="1">
        <f>IFERROR(__xludf.DUMMYFUNCTION("""COMPUTED_VALUE"""),56.88)</f>
        <v>56.88</v>
      </c>
      <c r="F2796" s="1">
        <f>IFERROR(__xludf.DUMMYFUNCTION("""COMPUTED_VALUE"""),629774.0)</f>
        <v>629774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IFERROR(__xludf.DUMMYFUNCTION("""COMPUTED_VALUE"""),57.21)</f>
        <v>57.21</v>
      </c>
      <c r="C2797" s="1">
        <f>IFERROR(__xludf.DUMMYFUNCTION("""COMPUTED_VALUE"""),57.26)</f>
        <v>57.26</v>
      </c>
      <c r="D2797" s="1">
        <f>IFERROR(__xludf.DUMMYFUNCTION("""COMPUTED_VALUE"""),56.04)</f>
        <v>56.04</v>
      </c>
      <c r="E2797" s="1">
        <f>IFERROR(__xludf.DUMMYFUNCTION("""COMPUTED_VALUE"""),56.99)</f>
        <v>56.99</v>
      </c>
      <c r="F2797" s="1">
        <f>IFERROR(__xludf.DUMMYFUNCTION("""COMPUTED_VALUE"""),1081845.0)</f>
        <v>1081845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IFERROR(__xludf.DUMMYFUNCTION("""COMPUTED_VALUE"""),57.24)</f>
        <v>57.24</v>
      </c>
      <c r="C2798" s="1">
        <f>IFERROR(__xludf.DUMMYFUNCTION("""COMPUTED_VALUE"""),57.24)</f>
        <v>57.24</v>
      </c>
      <c r="D2798" s="1">
        <f>IFERROR(__xludf.DUMMYFUNCTION("""COMPUTED_VALUE"""),55.86)</f>
        <v>55.86</v>
      </c>
      <c r="E2798" s="1">
        <f>IFERROR(__xludf.DUMMYFUNCTION("""COMPUTED_VALUE"""),56.92)</f>
        <v>56.92</v>
      </c>
      <c r="F2798" s="1">
        <f>IFERROR(__xludf.DUMMYFUNCTION("""COMPUTED_VALUE"""),834270.0)</f>
        <v>834270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IFERROR(__xludf.DUMMYFUNCTION("""COMPUTED_VALUE"""),56.57)</f>
        <v>56.57</v>
      </c>
      <c r="C2799" s="1">
        <f>IFERROR(__xludf.DUMMYFUNCTION("""COMPUTED_VALUE"""),58.38)</f>
        <v>58.38</v>
      </c>
      <c r="D2799" s="1">
        <f>IFERROR(__xludf.DUMMYFUNCTION("""COMPUTED_VALUE"""),56.57)</f>
        <v>56.57</v>
      </c>
      <c r="E2799" s="1">
        <f>IFERROR(__xludf.DUMMYFUNCTION("""COMPUTED_VALUE"""),58.0)</f>
        <v>58</v>
      </c>
      <c r="F2799" s="1">
        <f>IFERROR(__xludf.DUMMYFUNCTION("""COMPUTED_VALUE"""),1022887.0)</f>
        <v>1022887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IFERROR(__xludf.DUMMYFUNCTION("""COMPUTED_VALUE"""),58.38)</f>
        <v>58.38</v>
      </c>
      <c r="C2800" s="1">
        <f>IFERROR(__xludf.DUMMYFUNCTION("""COMPUTED_VALUE"""),59.36)</f>
        <v>59.36</v>
      </c>
      <c r="D2800" s="1">
        <f>IFERROR(__xludf.DUMMYFUNCTION("""COMPUTED_VALUE"""),57.38)</f>
        <v>57.38</v>
      </c>
      <c r="E2800" s="1">
        <f>IFERROR(__xludf.DUMMYFUNCTION("""COMPUTED_VALUE"""),57.43)</f>
        <v>57.43</v>
      </c>
      <c r="F2800" s="1">
        <f>IFERROR(__xludf.DUMMYFUNCTION("""COMPUTED_VALUE"""),675939.0)</f>
        <v>675939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IFERROR(__xludf.DUMMYFUNCTION("""COMPUTED_VALUE"""),57.12)</f>
        <v>57.12</v>
      </c>
      <c r="C2801" s="1">
        <f>IFERROR(__xludf.DUMMYFUNCTION("""COMPUTED_VALUE"""),58.26)</f>
        <v>58.26</v>
      </c>
      <c r="D2801" s="1">
        <f>IFERROR(__xludf.DUMMYFUNCTION("""COMPUTED_VALUE"""),56.18)</f>
        <v>56.18</v>
      </c>
      <c r="E2801" s="1">
        <f>IFERROR(__xludf.DUMMYFUNCTION("""COMPUTED_VALUE"""),57.4)</f>
        <v>57.4</v>
      </c>
      <c r="F2801" s="1">
        <f>IFERROR(__xludf.DUMMYFUNCTION("""COMPUTED_VALUE"""),829130.0)</f>
        <v>829130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IFERROR(__xludf.DUMMYFUNCTION("""COMPUTED_VALUE"""),57.3)</f>
        <v>57.3</v>
      </c>
      <c r="C2802" s="1">
        <f>IFERROR(__xludf.DUMMYFUNCTION("""COMPUTED_VALUE"""),57.61)</f>
        <v>57.61</v>
      </c>
      <c r="D2802" s="1">
        <f>IFERROR(__xludf.DUMMYFUNCTION("""COMPUTED_VALUE"""),56.53)</f>
        <v>56.53</v>
      </c>
      <c r="E2802" s="1">
        <f>IFERROR(__xludf.DUMMYFUNCTION("""COMPUTED_VALUE"""),57.09)</f>
        <v>57.09</v>
      </c>
      <c r="F2802" s="1">
        <f>IFERROR(__xludf.DUMMYFUNCTION("""COMPUTED_VALUE"""),700484.0)</f>
        <v>700484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IFERROR(__xludf.DUMMYFUNCTION("""COMPUTED_VALUE"""),56.23)</f>
        <v>56.23</v>
      </c>
      <c r="C2803" s="1">
        <f>IFERROR(__xludf.DUMMYFUNCTION("""COMPUTED_VALUE"""),56.85)</f>
        <v>56.85</v>
      </c>
      <c r="D2803" s="1">
        <f>IFERROR(__xludf.DUMMYFUNCTION("""COMPUTED_VALUE"""),52.39)</f>
        <v>52.39</v>
      </c>
      <c r="E2803" s="1">
        <f>IFERROR(__xludf.DUMMYFUNCTION("""COMPUTED_VALUE"""),53.13)</f>
        <v>53.13</v>
      </c>
      <c r="F2803" s="1">
        <f>IFERROR(__xludf.DUMMYFUNCTION("""COMPUTED_VALUE"""),2246952.0)</f>
        <v>2246952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IFERROR(__xludf.DUMMYFUNCTION("""COMPUTED_VALUE"""),52.87)</f>
        <v>52.87</v>
      </c>
      <c r="C2804" s="1">
        <f>IFERROR(__xludf.DUMMYFUNCTION("""COMPUTED_VALUE"""),53.12)</f>
        <v>53.12</v>
      </c>
      <c r="D2804" s="1">
        <f>IFERROR(__xludf.DUMMYFUNCTION("""COMPUTED_VALUE"""),50.88)</f>
        <v>50.88</v>
      </c>
      <c r="E2804" s="1">
        <f>IFERROR(__xludf.DUMMYFUNCTION("""COMPUTED_VALUE"""),51.5)</f>
        <v>51.5</v>
      </c>
      <c r="F2804" s="1">
        <f>IFERROR(__xludf.DUMMYFUNCTION("""COMPUTED_VALUE"""),1227555.0)</f>
        <v>1227555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IFERROR(__xludf.DUMMYFUNCTION("""COMPUTED_VALUE"""),51.09)</f>
        <v>51.09</v>
      </c>
      <c r="C2805" s="1">
        <f>IFERROR(__xludf.DUMMYFUNCTION("""COMPUTED_VALUE"""),53.13)</f>
        <v>53.13</v>
      </c>
      <c r="D2805" s="1">
        <f>IFERROR(__xludf.DUMMYFUNCTION("""COMPUTED_VALUE"""),50.85)</f>
        <v>50.85</v>
      </c>
      <c r="E2805" s="1">
        <f>IFERROR(__xludf.DUMMYFUNCTION("""COMPUTED_VALUE"""),52.99)</f>
        <v>52.99</v>
      </c>
      <c r="F2805" s="1">
        <f>IFERROR(__xludf.DUMMYFUNCTION("""COMPUTED_VALUE"""),987317.0)</f>
        <v>987317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IFERROR(__xludf.DUMMYFUNCTION("""COMPUTED_VALUE"""),53.44)</f>
        <v>53.44</v>
      </c>
      <c r="C2806" s="1">
        <f>IFERROR(__xludf.DUMMYFUNCTION("""COMPUTED_VALUE"""),54.52)</f>
        <v>54.52</v>
      </c>
      <c r="D2806" s="1">
        <f>IFERROR(__xludf.DUMMYFUNCTION("""COMPUTED_VALUE"""),52.38)</f>
        <v>52.38</v>
      </c>
      <c r="E2806" s="1">
        <f>IFERROR(__xludf.DUMMYFUNCTION("""COMPUTED_VALUE"""),54.35)</f>
        <v>54.35</v>
      </c>
      <c r="F2806" s="1">
        <f>IFERROR(__xludf.DUMMYFUNCTION("""COMPUTED_VALUE"""),934808.0)</f>
        <v>934808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IFERROR(__xludf.DUMMYFUNCTION("""COMPUTED_VALUE"""),54.22)</f>
        <v>54.22</v>
      </c>
      <c r="C2807" s="1">
        <f>IFERROR(__xludf.DUMMYFUNCTION("""COMPUTED_VALUE"""),55.1)</f>
        <v>55.1</v>
      </c>
      <c r="D2807" s="1">
        <f>IFERROR(__xludf.DUMMYFUNCTION("""COMPUTED_VALUE"""),54.14)</f>
        <v>54.14</v>
      </c>
      <c r="E2807" s="1">
        <f>IFERROR(__xludf.DUMMYFUNCTION("""COMPUTED_VALUE"""),54.83)</f>
        <v>54.83</v>
      </c>
      <c r="F2807" s="1">
        <f>IFERROR(__xludf.DUMMYFUNCTION("""COMPUTED_VALUE"""),846619.0)</f>
        <v>846619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IFERROR(__xludf.DUMMYFUNCTION("""COMPUTED_VALUE"""),54.97)</f>
        <v>54.97</v>
      </c>
      <c r="C2808" s="1">
        <f>IFERROR(__xludf.DUMMYFUNCTION("""COMPUTED_VALUE"""),55.44)</f>
        <v>55.44</v>
      </c>
      <c r="D2808" s="1">
        <f>IFERROR(__xludf.DUMMYFUNCTION("""COMPUTED_VALUE"""),54.08)</f>
        <v>54.08</v>
      </c>
      <c r="E2808" s="1">
        <f>IFERROR(__xludf.DUMMYFUNCTION("""COMPUTED_VALUE"""),54.32)</f>
        <v>54.32</v>
      </c>
      <c r="F2808" s="1">
        <f>IFERROR(__xludf.DUMMYFUNCTION("""COMPUTED_VALUE"""),867772.0)</f>
        <v>867772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IFERROR(__xludf.DUMMYFUNCTION("""COMPUTED_VALUE"""),55.1)</f>
        <v>55.1</v>
      </c>
      <c r="C2809" s="1">
        <f>IFERROR(__xludf.DUMMYFUNCTION("""COMPUTED_VALUE"""),55.1)</f>
        <v>55.1</v>
      </c>
      <c r="D2809" s="1">
        <f>IFERROR(__xludf.DUMMYFUNCTION("""COMPUTED_VALUE"""),54.18)</f>
        <v>54.18</v>
      </c>
      <c r="E2809" s="1">
        <f>IFERROR(__xludf.DUMMYFUNCTION("""COMPUTED_VALUE"""),54.37)</f>
        <v>54.37</v>
      </c>
      <c r="F2809" s="1">
        <f>IFERROR(__xludf.DUMMYFUNCTION("""COMPUTED_VALUE"""),482852.0)</f>
        <v>482852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IFERROR(__xludf.DUMMYFUNCTION("""COMPUTED_VALUE"""),54.18)</f>
        <v>54.18</v>
      </c>
      <c r="C2810" s="1">
        <f>IFERROR(__xludf.DUMMYFUNCTION("""COMPUTED_VALUE"""),54.71)</f>
        <v>54.71</v>
      </c>
      <c r="D2810" s="1">
        <f>IFERROR(__xludf.DUMMYFUNCTION("""COMPUTED_VALUE"""),52.45)</f>
        <v>52.45</v>
      </c>
      <c r="E2810" s="1">
        <f>IFERROR(__xludf.DUMMYFUNCTION("""COMPUTED_VALUE"""),52.51)</f>
        <v>52.51</v>
      </c>
      <c r="F2810" s="1">
        <f>IFERROR(__xludf.DUMMYFUNCTION("""COMPUTED_VALUE"""),759747.0)</f>
        <v>759747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IFERROR(__xludf.DUMMYFUNCTION("""COMPUTED_VALUE"""),52.56)</f>
        <v>52.56</v>
      </c>
      <c r="C2811" s="1">
        <f>IFERROR(__xludf.DUMMYFUNCTION("""COMPUTED_VALUE"""),53.16)</f>
        <v>53.16</v>
      </c>
      <c r="D2811" s="1">
        <f>IFERROR(__xludf.DUMMYFUNCTION("""COMPUTED_VALUE"""),51.88)</f>
        <v>51.88</v>
      </c>
      <c r="E2811" s="1">
        <f>IFERROR(__xludf.DUMMYFUNCTION("""COMPUTED_VALUE"""),52.11)</f>
        <v>52.11</v>
      </c>
      <c r="F2811" s="1">
        <f>IFERROR(__xludf.DUMMYFUNCTION("""COMPUTED_VALUE"""),1303098.0)</f>
        <v>1303098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IFERROR(__xludf.DUMMYFUNCTION("""COMPUTED_VALUE"""),52.15)</f>
        <v>52.15</v>
      </c>
      <c r="C2812" s="1">
        <f>IFERROR(__xludf.DUMMYFUNCTION("""COMPUTED_VALUE"""),52.48)</f>
        <v>52.48</v>
      </c>
      <c r="D2812" s="1">
        <f>IFERROR(__xludf.DUMMYFUNCTION("""COMPUTED_VALUE"""),50.61)</f>
        <v>50.61</v>
      </c>
      <c r="E2812" s="1">
        <f>IFERROR(__xludf.DUMMYFUNCTION("""COMPUTED_VALUE"""),51.12)</f>
        <v>51.12</v>
      </c>
      <c r="F2812" s="1">
        <f>IFERROR(__xludf.DUMMYFUNCTION("""COMPUTED_VALUE"""),922255.0)</f>
        <v>922255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IFERROR(__xludf.DUMMYFUNCTION("""COMPUTED_VALUE"""),51.49)</f>
        <v>51.49</v>
      </c>
      <c r="C2813" s="1">
        <f>IFERROR(__xludf.DUMMYFUNCTION("""COMPUTED_VALUE"""),54.41)</f>
        <v>54.41</v>
      </c>
      <c r="D2813" s="1">
        <f>IFERROR(__xludf.DUMMYFUNCTION("""COMPUTED_VALUE"""),51.21)</f>
        <v>51.21</v>
      </c>
      <c r="E2813" s="1">
        <f>IFERROR(__xludf.DUMMYFUNCTION("""COMPUTED_VALUE"""),54.33)</f>
        <v>54.33</v>
      </c>
      <c r="F2813" s="1">
        <f>IFERROR(__xludf.DUMMYFUNCTION("""COMPUTED_VALUE"""),1005842.0)</f>
        <v>1005842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IFERROR(__xludf.DUMMYFUNCTION("""COMPUTED_VALUE"""),54.3)</f>
        <v>54.3</v>
      </c>
      <c r="C2814" s="1">
        <f>IFERROR(__xludf.DUMMYFUNCTION("""COMPUTED_VALUE"""),54.6)</f>
        <v>54.6</v>
      </c>
      <c r="D2814" s="1">
        <f>IFERROR(__xludf.DUMMYFUNCTION("""COMPUTED_VALUE"""),52.44)</f>
        <v>52.44</v>
      </c>
      <c r="E2814" s="1">
        <f>IFERROR(__xludf.DUMMYFUNCTION("""COMPUTED_VALUE"""),52.53)</f>
        <v>52.53</v>
      </c>
      <c r="F2814" s="1">
        <f>IFERROR(__xludf.DUMMYFUNCTION("""COMPUTED_VALUE"""),581783.0)</f>
        <v>581783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IFERROR(__xludf.DUMMYFUNCTION("""COMPUTED_VALUE"""),53.59)</f>
        <v>53.59</v>
      </c>
      <c r="C2815" s="1">
        <f>IFERROR(__xludf.DUMMYFUNCTION("""COMPUTED_VALUE"""),53.91)</f>
        <v>53.91</v>
      </c>
      <c r="D2815" s="1">
        <f>IFERROR(__xludf.DUMMYFUNCTION("""COMPUTED_VALUE"""),53.03)</f>
        <v>53.03</v>
      </c>
      <c r="E2815" s="1">
        <f>IFERROR(__xludf.DUMMYFUNCTION("""COMPUTED_VALUE"""),53.54)</f>
        <v>53.54</v>
      </c>
      <c r="F2815" s="1">
        <f>IFERROR(__xludf.DUMMYFUNCTION("""COMPUTED_VALUE"""),716324.0)</f>
        <v>716324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IFERROR(__xludf.DUMMYFUNCTION("""COMPUTED_VALUE"""),54.14)</f>
        <v>54.14</v>
      </c>
      <c r="C2816" s="1">
        <f>IFERROR(__xludf.DUMMYFUNCTION("""COMPUTED_VALUE"""),55.29)</f>
        <v>55.29</v>
      </c>
      <c r="D2816" s="1">
        <f>IFERROR(__xludf.DUMMYFUNCTION("""COMPUTED_VALUE"""),53.92)</f>
        <v>53.92</v>
      </c>
      <c r="E2816" s="1">
        <f>IFERROR(__xludf.DUMMYFUNCTION("""COMPUTED_VALUE"""),54.87)</f>
        <v>54.87</v>
      </c>
      <c r="F2816" s="1">
        <f>IFERROR(__xludf.DUMMYFUNCTION("""COMPUTED_VALUE"""),1075996.0)</f>
        <v>1075996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IFERROR(__xludf.DUMMYFUNCTION("""COMPUTED_VALUE"""),54.94)</f>
        <v>54.94</v>
      </c>
      <c r="C2817" s="1">
        <f>IFERROR(__xludf.DUMMYFUNCTION("""COMPUTED_VALUE"""),57.2)</f>
        <v>57.2</v>
      </c>
      <c r="D2817" s="1">
        <f>IFERROR(__xludf.DUMMYFUNCTION("""COMPUTED_VALUE"""),54.94)</f>
        <v>54.94</v>
      </c>
      <c r="E2817" s="1">
        <f>IFERROR(__xludf.DUMMYFUNCTION("""COMPUTED_VALUE"""),57.16)</f>
        <v>57.16</v>
      </c>
      <c r="F2817" s="1">
        <f>IFERROR(__xludf.DUMMYFUNCTION("""COMPUTED_VALUE"""),755346.0)</f>
        <v>755346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IFERROR(__xludf.DUMMYFUNCTION("""COMPUTED_VALUE"""),56.8)</f>
        <v>56.8</v>
      </c>
      <c r="C2818" s="1">
        <f>IFERROR(__xludf.DUMMYFUNCTION("""COMPUTED_VALUE"""),57.68)</f>
        <v>57.68</v>
      </c>
      <c r="D2818" s="1">
        <f>IFERROR(__xludf.DUMMYFUNCTION("""COMPUTED_VALUE"""),55.97)</f>
        <v>55.97</v>
      </c>
      <c r="E2818" s="1">
        <f>IFERROR(__xludf.DUMMYFUNCTION("""COMPUTED_VALUE"""),57.46)</f>
        <v>57.46</v>
      </c>
      <c r="F2818" s="1">
        <f>IFERROR(__xludf.DUMMYFUNCTION("""COMPUTED_VALUE"""),900909.0)</f>
        <v>900909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IFERROR(__xludf.DUMMYFUNCTION("""COMPUTED_VALUE"""),57.42)</f>
        <v>57.42</v>
      </c>
      <c r="C2819" s="1">
        <f>IFERROR(__xludf.DUMMYFUNCTION("""COMPUTED_VALUE"""),58.42)</f>
        <v>58.42</v>
      </c>
      <c r="D2819" s="1">
        <f>IFERROR(__xludf.DUMMYFUNCTION("""COMPUTED_VALUE"""),57.12)</f>
        <v>57.12</v>
      </c>
      <c r="E2819" s="1">
        <f>IFERROR(__xludf.DUMMYFUNCTION("""COMPUTED_VALUE"""),57.34)</f>
        <v>57.34</v>
      </c>
      <c r="F2819" s="1">
        <f>IFERROR(__xludf.DUMMYFUNCTION("""COMPUTED_VALUE"""),1066910.0)</f>
        <v>1066910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IFERROR(__xludf.DUMMYFUNCTION("""COMPUTED_VALUE"""),57.14)</f>
        <v>57.14</v>
      </c>
      <c r="C2820" s="1">
        <f>IFERROR(__xludf.DUMMYFUNCTION("""COMPUTED_VALUE"""),57.71)</f>
        <v>57.71</v>
      </c>
      <c r="D2820" s="1">
        <f>IFERROR(__xludf.DUMMYFUNCTION("""COMPUTED_VALUE"""),56.25)</f>
        <v>56.25</v>
      </c>
      <c r="E2820" s="1">
        <f>IFERROR(__xludf.DUMMYFUNCTION("""COMPUTED_VALUE"""),56.61)</f>
        <v>56.61</v>
      </c>
      <c r="F2820" s="1">
        <f>IFERROR(__xludf.DUMMYFUNCTION("""COMPUTED_VALUE"""),823029.0)</f>
        <v>823029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IFERROR(__xludf.DUMMYFUNCTION("""COMPUTED_VALUE"""),56.47)</f>
        <v>56.47</v>
      </c>
      <c r="C2821" s="1">
        <f>IFERROR(__xludf.DUMMYFUNCTION("""COMPUTED_VALUE"""),56.82)</f>
        <v>56.82</v>
      </c>
      <c r="D2821" s="1">
        <f>IFERROR(__xludf.DUMMYFUNCTION("""COMPUTED_VALUE"""),55.71)</f>
        <v>55.71</v>
      </c>
      <c r="E2821" s="1">
        <f>IFERROR(__xludf.DUMMYFUNCTION("""COMPUTED_VALUE"""),56.6)</f>
        <v>56.6</v>
      </c>
      <c r="F2821" s="1">
        <f>IFERROR(__xludf.DUMMYFUNCTION("""COMPUTED_VALUE"""),393696.0)</f>
        <v>393696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IFERROR(__xludf.DUMMYFUNCTION("""COMPUTED_VALUE"""),55.96)</f>
        <v>55.96</v>
      </c>
      <c r="C2822" s="1">
        <f>IFERROR(__xludf.DUMMYFUNCTION("""COMPUTED_VALUE"""),56.3)</f>
        <v>56.3</v>
      </c>
      <c r="D2822" s="1">
        <f>IFERROR(__xludf.DUMMYFUNCTION("""COMPUTED_VALUE"""),55.17)</f>
        <v>55.17</v>
      </c>
      <c r="E2822" s="1">
        <f>IFERROR(__xludf.DUMMYFUNCTION("""COMPUTED_VALUE"""),55.75)</f>
        <v>55.75</v>
      </c>
      <c r="F2822" s="1">
        <f>IFERROR(__xludf.DUMMYFUNCTION("""COMPUTED_VALUE"""),352907.0)</f>
        <v>352907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IFERROR(__xludf.DUMMYFUNCTION("""COMPUTED_VALUE"""),55.99)</f>
        <v>55.99</v>
      </c>
      <c r="C2823" s="1">
        <f>IFERROR(__xludf.DUMMYFUNCTION("""COMPUTED_VALUE"""),57.01)</f>
        <v>57.01</v>
      </c>
      <c r="D2823" s="1">
        <f>IFERROR(__xludf.DUMMYFUNCTION("""COMPUTED_VALUE"""),55.67)</f>
        <v>55.67</v>
      </c>
      <c r="E2823" s="1">
        <f>IFERROR(__xludf.DUMMYFUNCTION("""COMPUTED_VALUE"""),56.76)</f>
        <v>56.76</v>
      </c>
      <c r="F2823" s="1">
        <f>IFERROR(__xludf.DUMMYFUNCTION("""COMPUTED_VALUE"""),507655.0)</f>
        <v>507655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IFERROR(__xludf.DUMMYFUNCTION("""COMPUTED_VALUE"""),56.6)</f>
        <v>56.6</v>
      </c>
      <c r="C2824" s="1">
        <f>IFERROR(__xludf.DUMMYFUNCTION("""COMPUTED_VALUE"""),56.91)</f>
        <v>56.91</v>
      </c>
      <c r="D2824" s="1">
        <f>IFERROR(__xludf.DUMMYFUNCTION("""COMPUTED_VALUE"""),56.03)</f>
        <v>56.03</v>
      </c>
      <c r="E2824" s="1">
        <f>IFERROR(__xludf.DUMMYFUNCTION("""COMPUTED_VALUE"""),56.72)</f>
        <v>56.72</v>
      </c>
      <c r="F2824" s="1">
        <f>IFERROR(__xludf.DUMMYFUNCTION("""COMPUTED_VALUE"""),444986.0)</f>
        <v>444986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IFERROR(__xludf.DUMMYFUNCTION("""COMPUTED_VALUE"""),56.81)</f>
        <v>56.81</v>
      </c>
      <c r="C2825" s="1">
        <f>IFERROR(__xludf.DUMMYFUNCTION("""COMPUTED_VALUE"""),56.96)</f>
        <v>56.96</v>
      </c>
      <c r="D2825" s="1">
        <f>IFERROR(__xludf.DUMMYFUNCTION("""COMPUTED_VALUE"""),56.39)</f>
        <v>56.39</v>
      </c>
      <c r="E2825" s="1">
        <f>IFERROR(__xludf.DUMMYFUNCTION("""COMPUTED_VALUE"""),56.44)</f>
        <v>56.44</v>
      </c>
      <c r="F2825" s="1">
        <f>IFERROR(__xludf.DUMMYFUNCTION("""COMPUTED_VALUE"""),626815.0)</f>
        <v>626815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IFERROR(__xludf.DUMMYFUNCTION("""COMPUTED_VALUE"""),56.43)</f>
        <v>56.43</v>
      </c>
      <c r="C2826" s="1">
        <f>IFERROR(__xludf.DUMMYFUNCTION("""COMPUTED_VALUE"""),57.04)</f>
        <v>57.04</v>
      </c>
      <c r="D2826" s="1">
        <f>IFERROR(__xludf.DUMMYFUNCTION("""COMPUTED_VALUE"""),56.11)</f>
        <v>56.11</v>
      </c>
      <c r="E2826" s="1">
        <f>IFERROR(__xludf.DUMMYFUNCTION("""COMPUTED_VALUE"""),56.6)</f>
        <v>56.6</v>
      </c>
      <c r="F2826" s="1">
        <f>IFERROR(__xludf.DUMMYFUNCTION("""COMPUTED_VALUE"""),563352.0)</f>
        <v>563352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IFERROR(__xludf.DUMMYFUNCTION("""COMPUTED_VALUE"""),56.8)</f>
        <v>56.8</v>
      </c>
      <c r="C2827" s="1">
        <f>IFERROR(__xludf.DUMMYFUNCTION("""COMPUTED_VALUE"""),57.11)</f>
        <v>57.11</v>
      </c>
      <c r="D2827" s="1">
        <f>IFERROR(__xludf.DUMMYFUNCTION("""COMPUTED_VALUE"""),55.57)</f>
        <v>55.57</v>
      </c>
      <c r="E2827" s="1">
        <f>IFERROR(__xludf.DUMMYFUNCTION("""COMPUTED_VALUE"""),57.03)</f>
        <v>57.03</v>
      </c>
      <c r="F2827" s="1">
        <f>IFERROR(__xludf.DUMMYFUNCTION("""COMPUTED_VALUE"""),615855.0)</f>
        <v>615855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IFERROR(__xludf.DUMMYFUNCTION("""COMPUTED_VALUE"""),57.18)</f>
        <v>57.18</v>
      </c>
      <c r="C2828" s="1">
        <f>IFERROR(__xludf.DUMMYFUNCTION("""COMPUTED_VALUE"""),59.54)</f>
        <v>59.54</v>
      </c>
      <c r="D2828" s="1">
        <f>IFERROR(__xludf.DUMMYFUNCTION("""COMPUTED_VALUE"""),56.7)</f>
        <v>56.7</v>
      </c>
      <c r="E2828" s="1">
        <f>IFERROR(__xludf.DUMMYFUNCTION("""COMPUTED_VALUE"""),59.51)</f>
        <v>59.51</v>
      </c>
      <c r="F2828" s="1">
        <f>IFERROR(__xludf.DUMMYFUNCTION("""COMPUTED_VALUE"""),645573.0)</f>
        <v>645573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IFERROR(__xludf.DUMMYFUNCTION("""COMPUTED_VALUE"""),59.32)</f>
        <v>59.32</v>
      </c>
      <c r="C2829" s="1">
        <f>IFERROR(__xludf.DUMMYFUNCTION("""COMPUTED_VALUE"""),59.6)</f>
        <v>59.6</v>
      </c>
      <c r="D2829" s="1">
        <f>IFERROR(__xludf.DUMMYFUNCTION("""COMPUTED_VALUE"""),57.39)</f>
        <v>57.39</v>
      </c>
      <c r="E2829" s="1">
        <f>IFERROR(__xludf.DUMMYFUNCTION("""COMPUTED_VALUE"""),57.83)</f>
        <v>57.83</v>
      </c>
      <c r="F2829" s="1">
        <f>IFERROR(__xludf.DUMMYFUNCTION("""COMPUTED_VALUE"""),706724.0)</f>
        <v>706724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IFERROR(__xludf.DUMMYFUNCTION("""COMPUTED_VALUE"""),57.79)</f>
        <v>57.79</v>
      </c>
      <c r="C2830" s="1">
        <f>IFERROR(__xludf.DUMMYFUNCTION("""COMPUTED_VALUE"""),58.52)</f>
        <v>58.52</v>
      </c>
      <c r="D2830" s="1">
        <f>IFERROR(__xludf.DUMMYFUNCTION("""COMPUTED_VALUE"""),56.97)</f>
        <v>56.97</v>
      </c>
      <c r="E2830" s="1">
        <f>IFERROR(__xludf.DUMMYFUNCTION("""COMPUTED_VALUE"""),58.17)</f>
        <v>58.17</v>
      </c>
      <c r="F2830" s="1">
        <f>IFERROR(__xludf.DUMMYFUNCTION("""COMPUTED_VALUE"""),433985.0)</f>
        <v>433985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IFERROR(__xludf.DUMMYFUNCTION("""COMPUTED_VALUE"""),58.63)</f>
        <v>58.63</v>
      </c>
      <c r="C2831" s="1">
        <f>IFERROR(__xludf.DUMMYFUNCTION("""COMPUTED_VALUE"""),59.06)</f>
        <v>59.06</v>
      </c>
      <c r="D2831" s="1">
        <f>IFERROR(__xludf.DUMMYFUNCTION("""COMPUTED_VALUE"""),58.27)</f>
        <v>58.27</v>
      </c>
      <c r="E2831" s="1">
        <f>IFERROR(__xludf.DUMMYFUNCTION("""COMPUTED_VALUE"""),58.55)</f>
        <v>58.55</v>
      </c>
      <c r="F2831" s="1">
        <f>IFERROR(__xludf.DUMMYFUNCTION("""COMPUTED_VALUE"""),660372.0)</f>
        <v>660372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IFERROR(__xludf.DUMMYFUNCTION("""COMPUTED_VALUE"""),58.78)</f>
        <v>58.78</v>
      </c>
      <c r="C2832" s="1">
        <f>IFERROR(__xludf.DUMMYFUNCTION("""COMPUTED_VALUE"""),60.5)</f>
        <v>60.5</v>
      </c>
      <c r="D2832" s="1">
        <f>IFERROR(__xludf.DUMMYFUNCTION("""COMPUTED_VALUE"""),58.53)</f>
        <v>58.53</v>
      </c>
      <c r="E2832" s="1">
        <f>IFERROR(__xludf.DUMMYFUNCTION("""COMPUTED_VALUE"""),60.48)</f>
        <v>60.48</v>
      </c>
      <c r="F2832" s="1">
        <f>IFERROR(__xludf.DUMMYFUNCTION("""COMPUTED_VALUE"""),504606.0)</f>
        <v>504606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IFERROR(__xludf.DUMMYFUNCTION("""COMPUTED_VALUE"""),60.76)</f>
        <v>60.76</v>
      </c>
      <c r="C2833" s="1">
        <f>IFERROR(__xludf.DUMMYFUNCTION("""COMPUTED_VALUE"""),61.78)</f>
        <v>61.78</v>
      </c>
      <c r="D2833" s="1">
        <f>IFERROR(__xludf.DUMMYFUNCTION("""COMPUTED_VALUE"""),59.74)</f>
        <v>59.74</v>
      </c>
      <c r="E2833" s="1">
        <f>IFERROR(__xludf.DUMMYFUNCTION("""COMPUTED_VALUE"""),61.44)</f>
        <v>61.44</v>
      </c>
      <c r="F2833" s="1">
        <f>IFERROR(__xludf.DUMMYFUNCTION("""COMPUTED_VALUE"""),830259.0)</f>
        <v>830259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IFERROR(__xludf.DUMMYFUNCTION("""COMPUTED_VALUE"""),61.41)</f>
        <v>61.41</v>
      </c>
      <c r="C2834" s="1">
        <f>IFERROR(__xludf.DUMMYFUNCTION("""COMPUTED_VALUE"""),61.42)</f>
        <v>61.42</v>
      </c>
      <c r="D2834" s="1">
        <f>IFERROR(__xludf.DUMMYFUNCTION("""COMPUTED_VALUE"""),60.31)</f>
        <v>60.31</v>
      </c>
      <c r="E2834" s="1">
        <f>IFERROR(__xludf.DUMMYFUNCTION("""COMPUTED_VALUE"""),60.91)</f>
        <v>60.91</v>
      </c>
      <c r="F2834" s="1">
        <f>IFERROR(__xludf.DUMMYFUNCTION("""COMPUTED_VALUE"""),515099.0)</f>
        <v>515099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IFERROR(__xludf.DUMMYFUNCTION("""COMPUTED_VALUE"""),61.0)</f>
        <v>61</v>
      </c>
      <c r="C2835" s="1">
        <f>IFERROR(__xludf.DUMMYFUNCTION("""COMPUTED_VALUE"""),61.46)</f>
        <v>61.46</v>
      </c>
      <c r="D2835" s="1">
        <f>IFERROR(__xludf.DUMMYFUNCTION("""COMPUTED_VALUE"""),60.66)</f>
        <v>60.66</v>
      </c>
      <c r="E2835" s="1">
        <f>IFERROR(__xludf.DUMMYFUNCTION("""COMPUTED_VALUE"""),61.41)</f>
        <v>61.41</v>
      </c>
      <c r="F2835" s="1">
        <f>IFERROR(__xludf.DUMMYFUNCTION("""COMPUTED_VALUE"""),576742.0)</f>
        <v>576742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IFERROR(__xludf.DUMMYFUNCTION("""COMPUTED_VALUE"""),61.75)</f>
        <v>61.75</v>
      </c>
      <c r="C2836" s="1">
        <f>IFERROR(__xludf.DUMMYFUNCTION("""COMPUTED_VALUE"""),61.81)</f>
        <v>61.81</v>
      </c>
      <c r="D2836" s="1">
        <f>IFERROR(__xludf.DUMMYFUNCTION("""COMPUTED_VALUE"""),60.92)</f>
        <v>60.92</v>
      </c>
      <c r="E2836" s="1">
        <f>IFERROR(__xludf.DUMMYFUNCTION("""COMPUTED_VALUE"""),61.56)</f>
        <v>61.56</v>
      </c>
      <c r="F2836" s="1">
        <f>IFERROR(__xludf.DUMMYFUNCTION("""COMPUTED_VALUE"""),564195.0)</f>
        <v>564195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IFERROR(__xludf.DUMMYFUNCTION("""COMPUTED_VALUE"""),61.91)</f>
        <v>61.91</v>
      </c>
      <c r="C2837" s="1">
        <f>IFERROR(__xludf.DUMMYFUNCTION("""COMPUTED_VALUE"""),62.63)</f>
        <v>62.63</v>
      </c>
      <c r="D2837" s="1">
        <f>IFERROR(__xludf.DUMMYFUNCTION("""COMPUTED_VALUE"""),61.51)</f>
        <v>61.51</v>
      </c>
      <c r="E2837" s="1">
        <f>IFERROR(__xludf.DUMMYFUNCTION("""COMPUTED_VALUE"""),62.43)</f>
        <v>62.43</v>
      </c>
      <c r="F2837" s="1">
        <f>IFERROR(__xludf.DUMMYFUNCTION("""COMPUTED_VALUE"""),446338.0)</f>
        <v>446338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IFERROR(__xludf.DUMMYFUNCTION("""COMPUTED_VALUE"""),62.13)</f>
        <v>62.13</v>
      </c>
      <c r="C2838" s="1">
        <f>IFERROR(__xludf.DUMMYFUNCTION("""COMPUTED_VALUE"""),63.41)</f>
        <v>63.41</v>
      </c>
      <c r="D2838" s="1">
        <f>IFERROR(__xludf.DUMMYFUNCTION("""COMPUTED_VALUE"""),61.97)</f>
        <v>61.97</v>
      </c>
      <c r="E2838" s="1">
        <f>IFERROR(__xludf.DUMMYFUNCTION("""COMPUTED_VALUE"""),63.26)</f>
        <v>63.26</v>
      </c>
      <c r="F2838" s="1">
        <f>IFERROR(__xludf.DUMMYFUNCTION("""COMPUTED_VALUE"""),495942.0)</f>
        <v>495942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IFERROR(__xludf.DUMMYFUNCTION("""COMPUTED_VALUE"""),62.95)</f>
        <v>62.95</v>
      </c>
      <c r="C2839" s="1">
        <f>IFERROR(__xludf.DUMMYFUNCTION("""COMPUTED_VALUE"""),63.58)</f>
        <v>63.58</v>
      </c>
      <c r="D2839" s="1">
        <f>IFERROR(__xludf.DUMMYFUNCTION("""COMPUTED_VALUE"""),62.54)</f>
        <v>62.54</v>
      </c>
      <c r="E2839" s="1">
        <f>IFERROR(__xludf.DUMMYFUNCTION("""COMPUTED_VALUE"""),63.19)</f>
        <v>63.19</v>
      </c>
      <c r="F2839" s="1">
        <f>IFERROR(__xludf.DUMMYFUNCTION("""COMPUTED_VALUE"""),693448.0)</f>
        <v>693448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IFERROR(__xludf.DUMMYFUNCTION("""COMPUTED_VALUE"""),63.15)</f>
        <v>63.15</v>
      </c>
      <c r="C2840" s="1">
        <f>IFERROR(__xludf.DUMMYFUNCTION("""COMPUTED_VALUE"""),63.18)</f>
        <v>63.18</v>
      </c>
      <c r="D2840" s="1">
        <f>IFERROR(__xludf.DUMMYFUNCTION("""COMPUTED_VALUE"""),61.73)</f>
        <v>61.73</v>
      </c>
      <c r="E2840" s="1">
        <f>IFERROR(__xludf.DUMMYFUNCTION("""COMPUTED_VALUE"""),61.94)</f>
        <v>61.94</v>
      </c>
      <c r="F2840" s="1">
        <f>IFERROR(__xludf.DUMMYFUNCTION("""COMPUTED_VALUE"""),1207832.0)</f>
        <v>1207832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IFERROR(__xludf.DUMMYFUNCTION("""COMPUTED_VALUE"""),62.35)</f>
        <v>62.35</v>
      </c>
      <c r="C2841" s="1">
        <f>IFERROR(__xludf.DUMMYFUNCTION("""COMPUTED_VALUE"""),63.12)</f>
        <v>63.12</v>
      </c>
      <c r="D2841" s="1">
        <f>IFERROR(__xludf.DUMMYFUNCTION("""COMPUTED_VALUE"""),62.09)</f>
        <v>62.09</v>
      </c>
      <c r="E2841" s="1">
        <f>IFERROR(__xludf.DUMMYFUNCTION("""COMPUTED_VALUE"""),63.05)</f>
        <v>63.05</v>
      </c>
      <c r="F2841" s="1">
        <f>IFERROR(__xludf.DUMMYFUNCTION("""COMPUTED_VALUE"""),467914.0)</f>
        <v>467914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IFERROR(__xludf.DUMMYFUNCTION("""COMPUTED_VALUE"""),63.19)</f>
        <v>63.19</v>
      </c>
      <c r="C2842" s="1">
        <f>IFERROR(__xludf.DUMMYFUNCTION("""COMPUTED_VALUE"""),63.2)</f>
        <v>63.2</v>
      </c>
      <c r="D2842" s="1">
        <f>IFERROR(__xludf.DUMMYFUNCTION("""COMPUTED_VALUE"""),62.58)</f>
        <v>62.58</v>
      </c>
      <c r="E2842" s="1">
        <f>IFERROR(__xludf.DUMMYFUNCTION("""COMPUTED_VALUE"""),62.87)</f>
        <v>62.87</v>
      </c>
      <c r="F2842" s="1">
        <f>IFERROR(__xludf.DUMMYFUNCTION("""COMPUTED_VALUE"""),481247.0)</f>
        <v>481247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IFERROR(__xludf.DUMMYFUNCTION("""COMPUTED_VALUE"""),62.93)</f>
        <v>62.93</v>
      </c>
      <c r="C2843" s="1">
        <f>IFERROR(__xludf.DUMMYFUNCTION("""COMPUTED_VALUE"""),63.01)</f>
        <v>63.01</v>
      </c>
      <c r="D2843" s="1">
        <f>IFERROR(__xludf.DUMMYFUNCTION("""COMPUTED_VALUE"""),62.51)</f>
        <v>62.51</v>
      </c>
      <c r="E2843" s="1">
        <f>IFERROR(__xludf.DUMMYFUNCTION("""COMPUTED_VALUE"""),62.6)</f>
        <v>62.6</v>
      </c>
      <c r="F2843" s="1">
        <f>IFERROR(__xludf.DUMMYFUNCTION("""COMPUTED_VALUE"""),527308.0)</f>
        <v>527308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IFERROR(__xludf.DUMMYFUNCTION("""COMPUTED_VALUE"""),62.43)</f>
        <v>62.43</v>
      </c>
      <c r="C2844" s="1">
        <f>IFERROR(__xludf.DUMMYFUNCTION("""COMPUTED_VALUE"""),62.88)</f>
        <v>62.88</v>
      </c>
      <c r="D2844" s="1">
        <f>IFERROR(__xludf.DUMMYFUNCTION("""COMPUTED_VALUE"""),61.69)</f>
        <v>61.69</v>
      </c>
      <c r="E2844" s="1">
        <f>IFERROR(__xludf.DUMMYFUNCTION("""COMPUTED_VALUE"""),62.38)</f>
        <v>62.38</v>
      </c>
      <c r="F2844" s="1">
        <f>IFERROR(__xludf.DUMMYFUNCTION("""COMPUTED_VALUE"""),577262.0)</f>
        <v>577262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IFERROR(__xludf.DUMMYFUNCTION("""COMPUTED_VALUE"""),62.04)</f>
        <v>62.04</v>
      </c>
      <c r="C2845" s="1">
        <f>IFERROR(__xludf.DUMMYFUNCTION("""COMPUTED_VALUE"""),62.73)</f>
        <v>62.73</v>
      </c>
      <c r="D2845" s="1">
        <f>IFERROR(__xludf.DUMMYFUNCTION("""COMPUTED_VALUE"""),61.22)</f>
        <v>61.22</v>
      </c>
      <c r="E2845" s="1">
        <f>IFERROR(__xludf.DUMMYFUNCTION("""COMPUTED_VALUE"""),62.42)</f>
        <v>62.42</v>
      </c>
      <c r="F2845" s="1">
        <f>IFERROR(__xludf.DUMMYFUNCTION("""COMPUTED_VALUE"""),705227.0)</f>
        <v>705227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IFERROR(__xludf.DUMMYFUNCTION("""COMPUTED_VALUE"""),62.62)</f>
        <v>62.62</v>
      </c>
      <c r="C2846" s="1">
        <f>IFERROR(__xludf.DUMMYFUNCTION("""COMPUTED_VALUE"""),62.67)</f>
        <v>62.67</v>
      </c>
      <c r="D2846" s="1">
        <f>IFERROR(__xludf.DUMMYFUNCTION("""COMPUTED_VALUE"""),62.02)</f>
        <v>62.02</v>
      </c>
      <c r="E2846" s="1">
        <f>IFERROR(__xludf.DUMMYFUNCTION("""COMPUTED_VALUE"""),62.15)</f>
        <v>62.15</v>
      </c>
      <c r="F2846" s="1">
        <f>IFERROR(__xludf.DUMMYFUNCTION("""COMPUTED_VALUE"""),507290.0)</f>
        <v>507290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IFERROR(__xludf.DUMMYFUNCTION("""COMPUTED_VALUE"""),62.45)</f>
        <v>62.45</v>
      </c>
      <c r="C2847" s="1">
        <f>IFERROR(__xludf.DUMMYFUNCTION("""COMPUTED_VALUE"""),63.45)</f>
        <v>63.45</v>
      </c>
      <c r="D2847" s="1">
        <f>IFERROR(__xludf.DUMMYFUNCTION("""COMPUTED_VALUE"""),61.75)</f>
        <v>61.75</v>
      </c>
      <c r="E2847" s="1">
        <f>IFERROR(__xludf.DUMMYFUNCTION("""COMPUTED_VALUE"""),63.18)</f>
        <v>63.18</v>
      </c>
      <c r="F2847" s="1">
        <f>IFERROR(__xludf.DUMMYFUNCTION("""COMPUTED_VALUE"""),376660.0)</f>
        <v>376660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IFERROR(__xludf.DUMMYFUNCTION("""COMPUTED_VALUE"""),63.22)</f>
        <v>63.22</v>
      </c>
      <c r="C2848" s="1">
        <f>IFERROR(__xludf.DUMMYFUNCTION("""COMPUTED_VALUE"""),63.67)</f>
        <v>63.67</v>
      </c>
      <c r="D2848" s="1">
        <f>IFERROR(__xludf.DUMMYFUNCTION("""COMPUTED_VALUE"""),62.62)</f>
        <v>62.62</v>
      </c>
      <c r="E2848" s="1">
        <f>IFERROR(__xludf.DUMMYFUNCTION("""COMPUTED_VALUE"""),63.19)</f>
        <v>63.19</v>
      </c>
      <c r="F2848" s="1">
        <f>IFERROR(__xludf.DUMMYFUNCTION("""COMPUTED_VALUE"""),303951.0)</f>
        <v>303951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IFERROR(__xludf.DUMMYFUNCTION("""COMPUTED_VALUE"""),63.16)</f>
        <v>63.16</v>
      </c>
      <c r="C2849" s="1">
        <f>IFERROR(__xludf.DUMMYFUNCTION("""COMPUTED_VALUE"""),63.78)</f>
        <v>63.78</v>
      </c>
      <c r="D2849" s="1">
        <f>IFERROR(__xludf.DUMMYFUNCTION("""COMPUTED_VALUE"""),62.93)</f>
        <v>62.93</v>
      </c>
      <c r="E2849" s="1">
        <f>IFERROR(__xludf.DUMMYFUNCTION("""COMPUTED_VALUE"""),63.55)</f>
        <v>63.55</v>
      </c>
      <c r="F2849" s="1">
        <f>IFERROR(__xludf.DUMMYFUNCTION("""COMPUTED_VALUE"""),184027.0)</f>
        <v>184027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IFERROR(__xludf.DUMMYFUNCTION("""COMPUTED_VALUE"""),63.37)</f>
        <v>63.37</v>
      </c>
      <c r="C2850" s="1">
        <f>IFERROR(__xludf.DUMMYFUNCTION("""COMPUTED_VALUE"""),64.2)</f>
        <v>64.2</v>
      </c>
      <c r="D2850" s="1">
        <f>IFERROR(__xludf.DUMMYFUNCTION("""COMPUTED_VALUE"""),63.34)</f>
        <v>63.34</v>
      </c>
      <c r="E2850" s="1">
        <f>IFERROR(__xludf.DUMMYFUNCTION("""COMPUTED_VALUE"""),63.84)</f>
        <v>63.84</v>
      </c>
      <c r="F2850" s="1">
        <f>IFERROR(__xludf.DUMMYFUNCTION("""COMPUTED_VALUE"""),231454.0)</f>
        <v>231454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IFERROR(__xludf.DUMMYFUNCTION("""COMPUTED_VALUE"""),64.1)</f>
        <v>64.1</v>
      </c>
      <c r="C2851" s="1">
        <f>IFERROR(__xludf.DUMMYFUNCTION("""COMPUTED_VALUE"""),64.78)</f>
        <v>64.78</v>
      </c>
      <c r="D2851" s="1">
        <f>IFERROR(__xludf.DUMMYFUNCTION("""COMPUTED_VALUE"""),63.84)</f>
        <v>63.84</v>
      </c>
      <c r="E2851" s="1">
        <f>IFERROR(__xludf.DUMMYFUNCTION("""COMPUTED_VALUE"""),64.64)</f>
        <v>64.64</v>
      </c>
      <c r="F2851" s="1">
        <f>IFERROR(__xludf.DUMMYFUNCTION("""COMPUTED_VALUE"""),266474.0)</f>
        <v>266474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IFERROR(__xludf.DUMMYFUNCTION("""COMPUTED_VALUE"""),64.48)</f>
        <v>64.48</v>
      </c>
      <c r="C2852" s="1">
        <f>IFERROR(__xludf.DUMMYFUNCTION("""COMPUTED_VALUE"""),64.69)</f>
        <v>64.69</v>
      </c>
      <c r="D2852" s="1">
        <f>IFERROR(__xludf.DUMMYFUNCTION("""COMPUTED_VALUE"""),63.54)</f>
        <v>63.54</v>
      </c>
      <c r="E2852" s="1">
        <f>IFERROR(__xludf.DUMMYFUNCTION("""COMPUTED_VALUE"""),63.6)</f>
        <v>63.6</v>
      </c>
      <c r="F2852" s="1">
        <f>IFERROR(__xludf.DUMMYFUNCTION("""COMPUTED_VALUE"""),273718.0)</f>
        <v>273718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IFERROR(__xludf.DUMMYFUNCTION("""COMPUTED_VALUE"""),63.95)</f>
        <v>63.95</v>
      </c>
      <c r="C2853" s="1">
        <f>IFERROR(__xludf.DUMMYFUNCTION("""COMPUTED_VALUE"""),64.26)</f>
        <v>64.26</v>
      </c>
      <c r="D2853" s="1">
        <f>IFERROR(__xludf.DUMMYFUNCTION("""COMPUTED_VALUE"""),63.11)</f>
        <v>63.11</v>
      </c>
      <c r="E2853" s="1">
        <f>IFERROR(__xludf.DUMMYFUNCTION("""COMPUTED_VALUE"""),63.14)</f>
        <v>63.14</v>
      </c>
      <c r="F2853" s="1">
        <f>IFERROR(__xludf.DUMMYFUNCTION("""COMPUTED_VALUE"""),790542.0)</f>
        <v>790542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IFERROR(__xludf.DUMMYFUNCTION("""COMPUTED_VALUE"""),62.67)</f>
        <v>62.67</v>
      </c>
      <c r="C2854" s="1">
        <f>IFERROR(__xludf.DUMMYFUNCTION("""COMPUTED_VALUE"""),63.06)</f>
        <v>63.06</v>
      </c>
      <c r="D2854" s="1">
        <f>IFERROR(__xludf.DUMMYFUNCTION("""COMPUTED_VALUE"""),61.88)</f>
        <v>61.88</v>
      </c>
      <c r="E2854" s="1">
        <f>IFERROR(__xludf.DUMMYFUNCTION("""COMPUTED_VALUE"""),62.41)</f>
        <v>62.41</v>
      </c>
      <c r="F2854" s="1">
        <f>IFERROR(__xludf.DUMMYFUNCTION("""COMPUTED_VALUE"""),623580.0)</f>
        <v>623580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IFERROR(__xludf.DUMMYFUNCTION("""COMPUTED_VALUE"""),62.96)</f>
        <v>62.96</v>
      </c>
      <c r="C2855" s="1">
        <f>IFERROR(__xludf.DUMMYFUNCTION("""COMPUTED_VALUE"""),66.7)</f>
        <v>66.7</v>
      </c>
      <c r="D2855" s="1">
        <f>IFERROR(__xludf.DUMMYFUNCTION("""COMPUTED_VALUE"""),62.63)</f>
        <v>62.63</v>
      </c>
      <c r="E2855" s="1">
        <f>IFERROR(__xludf.DUMMYFUNCTION("""COMPUTED_VALUE"""),65.45)</f>
        <v>65.45</v>
      </c>
      <c r="F2855" s="1">
        <f>IFERROR(__xludf.DUMMYFUNCTION("""COMPUTED_VALUE"""),764324.0)</f>
        <v>764324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IFERROR(__xludf.DUMMYFUNCTION("""COMPUTED_VALUE"""),65.3)</f>
        <v>65.3</v>
      </c>
      <c r="C2856" s="1">
        <f>IFERROR(__xludf.DUMMYFUNCTION("""COMPUTED_VALUE"""),66.07)</f>
        <v>66.07</v>
      </c>
      <c r="D2856" s="1">
        <f>IFERROR(__xludf.DUMMYFUNCTION("""COMPUTED_VALUE"""),65.3)</f>
        <v>65.3</v>
      </c>
      <c r="E2856" s="1">
        <f>IFERROR(__xludf.DUMMYFUNCTION("""COMPUTED_VALUE"""),66.07)</f>
        <v>66.07</v>
      </c>
      <c r="F2856" s="1">
        <f>IFERROR(__xludf.DUMMYFUNCTION("""COMPUTED_VALUE"""),804494.0)</f>
        <v>804494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IFERROR(__xludf.DUMMYFUNCTION("""COMPUTED_VALUE"""),66.3)</f>
        <v>66.3</v>
      </c>
      <c r="C2857" s="1">
        <f>IFERROR(__xludf.DUMMYFUNCTION("""COMPUTED_VALUE"""),67.32)</f>
        <v>67.32</v>
      </c>
      <c r="D2857" s="1">
        <f>IFERROR(__xludf.DUMMYFUNCTION("""COMPUTED_VALUE"""),66.27)</f>
        <v>66.27</v>
      </c>
      <c r="E2857" s="1">
        <f>IFERROR(__xludf.DUMMYFUNCTION("""COMPUTED_VALUE"""),67.09)</f>
        <v>67.09</v>
      </c>
      <c r="F2857" s="1">
        <f>IFERROR(__xludf.DUMMYFUNCTION("""COMPUTED_VALUE"""),322667.0)</f>
        <v>322667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IFERROR(__xludf.DUMMYFUNCTION("""COMPUTED_VALUE"""),67.34)</f>
        <v>67.34</v>
      </c>
      <c r="C2858" s="1">
        <f>IFERROR(__xludf.DUMMYFUNCTION("""COMPUTED_VALUE"""),68.44)</f>
        <v>68.44</v>
      </c>
      <c r="D2858" s="1">
        <f>IFERROR(__xludf.DUMMYFUNCTION("""COMPUTED_VALUE"""),66.63)</f>
        <v>66.63</v>
      </c>
      <c r="E2858" s="1">
        <f>IFERROR(__xludf.DUMMYFUNCTION("""COMPUTED_VALUE"""),67.5)</f>
        <v>67.5</v>
      </c>
      <c r="F2858" s="1">
        <f>IFERROR(__xludf.DUMMYFUNCTION("""COMPUTED_VALUE"""),472571.0)</f>
        <v>472571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IFERROR(__xludf.DUMMYFUNCTION("""COMPUTED_VALUE"""),66.51)</f>
        <v>66.51</v>
      </c>
      <c r="C2859" s="1">
        <f>IFERROR(__xludf.DUMMYFUNCTION("""COMPUTED_VALUE"""),68.22)</f>
        <v>68.22</v>
      </c>
      <c r="D2859" s="1">
        <f>IFERROR(__xludf.DUMMYFUNCTION("""COMPUTED_VALUE"""),65.33)</f>
        <v>65.33</v>
      </c>
      <c r="E2859" s="1">
        <f>IFERROR(__xludf.DUMMYFUNCTION("""COMPUTED_VALUE"""),65.39)</f>
        <v>65.39</v>
      </c>
      <c r="F2859" s="1">
        <f>IFERROR(__xludf.DUMMYFUNCTION("""COMPUTED_VALUE"""),1248515.0)</f>
        <v>1248515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IFERROR(__xludf.DUMMYFUNCTION("""COMPUTED_VALUE"""),64.34)</f>
        <v>64.34</v>
      </c>
      <c r="C2860" s="1">
        <f>IFERROR(__xludf.DUMMYFUNCTION("""COMPUTED_VALUE"""),64.53)</f>
        <v>64.53</v>
      </c>
      <c r="D2860" s="1">
        <f>IFERROR(__xludf.DUMMYFUNCTION("""COMPUTED_VALUE"""),60.25)</f>
        <v>60.25</v>
      </c>
      <c r="E2860" s="1">
        <f>IFERROR(__xludf.DUMMYFUNCTION("""COMPUTED_VALUE"""),60.54)</f>
        <v>60.54</v>
      </c>
      <c r="F2860" s="1">
        <f>IFERROR(__xludf.DUMMYFUNCTION("""COMPUTED_VALUE"""),973335.0)</f>
        <v>973335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IFERROR(__xludf.DUMMYFUNCTION("""COMPUTED_VALUE"""),60.6)</f>
        <v>60.6</v>
      </c>
      <c r="C2861" s="1">
        <f>IFERROR(__xludf.DUMMYFUNCTION("""COMPUTED_VALUE"""),62.02)</f>
        <v>62.02</v>
      </c>
      <c r="D2861" s="1">
        <f>IFERROR(__xludf.DUMMYFUNCTION("""COMPUTED_VALUE"""),60.41)</f>
        <v>60.41</v>
      </c>
      <c r="E2861" s="1">
        <f>IFERROR(__xludf.DUMMYFUNCTION("""COMPUTED_VALUE"""),61.41)</f>
        <v>61.41</v>
      </c>
      <c r="F2861" s="1">
        <f>IFERROR(__xludf.DUMMYFUNCTION("""COMPUTED_VALUE"""),522717.0)</f>
        <v>522717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IFERROR(__xludf.DUMMYFUNCTION("""COMPUTED_VALUE"""),61.64)</f>
        <v>61.64</v>
      </c>
      <c r="C2862" s="1">
        <f>IFERROR(__xludf.DUMMYFUNCTION("""COMPUTED_VALUE"""),63.43)</f>
        <v>63.43</v>
      </c>
      <c r="D2862" s="1">
        <f>IFERROR(__xludf.DUMMYFUNCTION("""COMPUTED_VALUE"""),61.49)</f>
        <v>61.49</v>
      </c>
      <c r="E2862" s="1">
        <f>IFERROR(__xludf.DUMMYFUNCTION("""COMPUTED_VALUE"""),63.23)</f>
        <v>63.23</v>
      </c>
      <c r="F2862" s="1">
        <f>IFERROR(__xludf.DUMMYFUNCTION("""COMPUTED_VALUE"""),342321.0)</f>
        <v>342321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IFERROR(__xludf.DUMMYFUNCTION("""COMPUTED_VALUE"""),63.02)</f>
        <v>63.02</v>
      </c>
      <c r="C2863" s="1">
        <f>IFERROR(__xludf.DUMMYFUNCTION("""COMPUTED_VALUE"""),63.24)</f>
        <v>63.24</v>
      </c>
      <c r="D2863" s="1">
        <f>IFERROR(__xludf.DUMMYFUNCTION("""COMPUTED_VALUE"""),62.29)</f>
        <v>62.29</v>
      </c>
      <c r="E2863" s="1">
        <f>IFERROR(__xludf.DUMMYFUNCTION("""COMPUTED_VALUE"""),62.95)</f>
        <v>62.95</v>
      </c>
      <c r="F2863" s="1">
        <f>IFERROR(__xludf.DUMMYFUNCTION("""COMPUTED_VALUE"""),752656.0)</f>
        <v>752656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IFERROR(__xludf.DUMMYFUNCTION("""COMPUTED_VALUE"""),62.89)</f>
        <v>62.89</v>
      </c>
      <c r="C2864" s="1">
        <f>IFERROR(__xludf.DUMMYFUNCTION("""COMPUTED_VALUE"""),62.98)</f>
        <v>62.98</v>
      </c>
      <c r="D2864" s="1">
        <f>IFERROR(__xludf.DUMMYFUNCTION("""COMPUTED_VALUE"""),61.18)</f>
        <v>61.18</v>
      </c>
      <c r="E2864" s="1">
        <f>IFERROR(__xludf.DUMMYFUNCTION("""COMPUTED_VALUE"""),61.18)</f>
        <v>61.18</v>
      </c>
      <c r="F2864" s="1">
        <f>IFERROR(__xludf.DUMMYFUNCTION("""COMPUTED_VALUE"""),336206.0)</f>
        <v>336206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IFERROR(__xludf.DUMMYFUNCTION("""COMPUTED_VALUE"""),60.37)</f>
        <v>60.37</v>
      </c>
      <c r="C2865" s="1">
        <f>IFERROR(__xludf.DUMMYFUNCTION("""COMPUTED_VALUE"""),61.54)</f>
        <v>61.54</v>
      </c>
      <c r="D2865" s="1">
        <f>IFERROR(__xludf.DUMMYFUNCTION("""COMPUTED_VALUE"""),59.84)</f>
        <v>59.84</v>
      </c>
      <c r="E2865" s="1">
        <f>IFERROR(__xludf.DUMMYFUNCTION("""COMPUTED_VALUE"""),61.52)</f>
        <v>61.52</v>
      </c>
      <c r="F2865" s="1">
        <f>IFERROR(__xludf.DUMMYFUNCTION("""COMPUTED_VALUE"""),295125.0)</f>
        <v>295125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IFERROR(__xludf.DUMMYFUNCTION("""COMPUTED_VALUE"""),62.04)</f>
        <v>62.04</v>
      </c>
      <c r="C2866" s="1">
        <f>IFERROR(__xludf.DUMMYFUNCTION("""COMPUTED_VALUE"""),62.76)</f>
        <v>62.76</v>
      </c>
      <c r="D2866" s="1">
        <f>IFERROR(__xludf.DUMMYFUNCTION("""COMPUTED_VALUE"""),61.43)</f>
        <v>61.43</v>
      </c>
      <c r="E2866" s="1">
        <f>IFERROR(__xludf.DUMMYFUNCTION("""COMPUTED_VALUE"""),61.98)</f>
        <v>61.98</v>
      </c>
      <c r="F2866" s="1">
        <f>IFERROR(__xludf.DUMMYFUNCTION("""COMPUTED_VALUE"""),296743.0)</f>
        <v>296743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IFERROR(__xludf.DUMMYFUNCTION("""COMPUTED_VALUE"""),62.32)</f>
        <v>62.32</v>
      </c>
      <c r="C2867" s="1">
        <f>IFERROR(__xludf.DUMMYFUNCTION("""COMPUTED_VALUE"""),62.75)</f>
        <v>62.75</v>
      </c>
      <c r="D2867" s="1">
        <f>IFERROR(__xludf.DUMMYFUNCTION("""COMPUTED_VALUE"""),61.93)</f>
        <v>61.93</v>
      </c>
      <c r="E2867" s="1">
        <f>IFERROR(__xludf.DUMMYFUNCTION("""COMPUTED_VALUE"""),62.12)</f>
        <v>62.12</v>
      </c>
      <c r="F2867" s="1">
        <f>IFERROR(__xludf.DUMMYFUNCTION("""COMPUTED_VALUE"""),316544.0)</f>
        <v>316544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IFERROR(__xludf.DUMMYFUNCTION("""COMPUTED_VALUE"""),62.56)</f>
        <v>62.56</v>
      </c>
      <c r="C2868" s="1">
        <f>IFERROR(__xludf.DUMMYFUNCTION("""COMPUTED_VALUE"""),62.62)</f>
        <v>62.62</v>
      </c>
      <c r="D2868" s="1">
        <f>IFERROR(__xludf.DUMMYFUNCTION("""COMPUTED_VALUE"""),61.85)</f>
        <v>61.85</v>
      </c>
      <c r="E2868" s="1">
        <f>IFERROR(__xludf.DUMMYFUNCTION("""COMPUTED_VALUE"""),62.3)</f>
        <v>62.3</v>
      </c>
      <c r="F2868" s="1">
        <f>IFERROR(__xludf.DUMMYFUNCTION("""COMPUTED_VALUE"""),157641.0)</f>
        <v>157641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IFERROR(__xludf.DUMMYFUNCTION("""COMPUTED_VALUE"""),62.2)</f>
        <v>62.2</v>
      </c>
      <c r="C2869" s="1">
        <f>IFERROR(__xludf.DUMMYFUNCTION("""COMPUTED_VALUE"""),62.2)</f>
        <v>62.2</v>
      </c>
      <c r="D2869" s="1">
        <f>IFERROR(__xludf.DUMMYFUNCTION("""COMPUTED_VALUE"""),60.86)</f>
        <v>60.86</v>
      </c>
      <c r="E2869" s="1">
        <f>IFERROR(__xludf.DUMMYFUNCTION("""COMPUTED_VALUE"""),61.4)</f>
        <v>61.4</v>
      </c>
      <c r="F2869" s="1">
        <f>IFERROR(__xludf.DUMMYFUNCTION("""COMPUTED_VALUE"""),506835.0)</f>
        <v>506835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IFERROR(__xludf.DUMMYFUNCTION("""COMPUTED_VALUE"""),61.7)</f>
        <v>61.7</v>
      </c>
      <c r="C2870" s="1">
        <f>IFERROR(__xludf.DUMMYFUNCTION("""COMPUTED_VALUE"""),62.26)</f>
        <v>62.26</v>
      </c>
      <c r="D2870" s="1">
        <f>IFERROR(__xludf.DUMMYFUNCTION("""COMPUTED_VALUE"""),60.91)</f>
        <v>60.91</v>
      </c>
      <c r="E2870" s="1">
        <f>IFERROR(__xludf.DUMMYFUNCTION("""COMPUTED_VALUE"""),60.91)</f>
        <v>60.91</v>
      </c>
      <c r="F2870" s="1">
        <f>IFERROR(__xludf.DUMMYFUNCTION("""COMPUTED_VALUE"""),895232.0)</f>
        <v>895232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IFERROR(__xludf.DUMMYFUNCTION("""COMPUTED_VALUE"""),61.02)</f>
        <v>61.02</v>
      </c>
      <c r="C2871" s="1">
        <f>IFERROR(__xludf.DUMMYFUNCTION("""COMPUTED_VALUE"""),61.18)</f>
        <v>61.18</v>
      </c>
      <c r="D2871" s="1">
        <f>IFERROR(__xludf.DUMMYFUNCTION("""COMPUTED_VALUE"""),60.01)</f>
        <v>60.01</v>
      </c>
      <c r="E2871" s="1">
        <f>IFERROR(__xludf.DUMMYFUNCTION("""COMPUTED_VALUE"""),60.23)</f>
        <v>60.23</v>
      </c>
      <c r="F2871" s="1">
        <f>IFERROR(__xludf.DUMMYFUNCTION("""COMPUTED_VALUE"""),476589.0)</f>
        <v>476589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IFERROR(__xludf.DUMMYFUNCTION("""COMPUTED_VALUE"""),60.39)</f>
        <v>60.39</v>
      </c>
      <c r="C2872" s="1">
        <f>IFERROR(__xludf.DUMMYFUNCTION("""COMPUTED_VALUE"""),60.39)</f>
        <v>60.39</v>
      </c>
      <c r="D2872" s="1">
        <f>IFERROR(__xludf.DUMMYFUNCTION("""COMPUTED_VALUE"""),59.45)</f>
        <v>59.45</v>
      </c>
      <c r="E2872" s="1">
        <f>IFERROR(__xludf.DUMMYFUNCTION("""COMPUTED_VALUE"""),59.71)</f>
        <v>59.71</v>
      </c>
      <c r="F2872" s="1">
        <f>IFERROR(__xludf.DUMMYFUNCTION("""COMPUTED_VALUE"""),544138.0)</f>
        <v>544138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IFERROR(__xludf.DUMMYFUNCTION("""COMPUTED_VALUE"""),60.05)</f>
        <v>60.05</v>
      </c>
      <c r="C2873" s="1">
        <f>IFERROR(__xludf.DUMMYFUNCTION("""COMPUTED_VALUE"""),60.46)</f>
        <v>60.46</v>
      </c>
      <c r="D2873" s="1">
        <f>IFERROR(__xludf.DUMMYFUNCTION("""COMPUTED_VALUE"""),59.5)</f>
        <v>59.5</v>
      </c>
      <c r="E2873" s="1">
        <f>IFERROR(__xludf.DUMMYFUNCTION("""COMPUTED_VALUE"""),59.54)</f>
        <v>59.54</v>
      </c>
      <c r="F2873" s="1">
        <f>IFERROR(__xludf.DUMMYFUNCTION("""COMPUTED_VALUE"""),732263.0)</f>
        <v>732263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IFERROR(__xludf.DUMMYFUNCTION("""COMPUTED_VALUE"""),59.81)</f>
        <v>59.81</v>
      </c>
      <c r="C2874" s="1">
        <f>IFERROR(__xludf.DUMMYFUNCTION("""COMPUTED_VALUE"""),60.65)</f>
        <v>60.65</v>
      </c>
      <c r="D2874" s="1">
        <f>IFERROR(__xludf.DUMMYFUNCTION("""COMPUTED_VALUE"""),59.4)</f>
        <v>59.4</v>
      </c>
      <c r="E2874" s="1">
        <f>IFERROR(__xludf.DUMMYFUNCTION("""COMPUTED_VALUE"""),60.59)</f>
        <v>60.59</v>
      </c>
      <c r="F2874" s="1">
        <f>IFERROR(__xludf.DUMMYFUNCTION("""COMPUTED_VALUE"""),636865.0)</f>
        <v>636865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IFERROR(__xludf.DUMMYFUNCTION("""COMPUTED_VALUE"""),60.19)</f>
        <v>60.19</v>
      </c>
      <c r="C2875" s="1">
        <f>IFERROR(__xludf.DUMMYFUNCTION("""COMPUTED_VALUE"""),60.47)</f>
        <v>60.47</v>
      </c>
      <c r="D2875" s="1">
        <f>IFERROR(__xludf.DUMMYFUNCTION("""COMPUTED_VALUE"""),59.59)</f>
        <v>59.59</v>
      </c>
      <c r="E2875" s="1">
        <f>IFERROR(__xludf.DUMMYFUNCTION("""COMPUTED_VALUE"""),59.82)</f>
        <v>59.82</v>
      </c>
      <c r="F2875" s="1">
        <f>IFERROR(__xludf.DUMMYFUNCTION("""COMPUTED_VALUE"""),233792.0)</f>
        <v>233792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IFERROR(__xludf.DUMMYFUNCTION("""COMPUTED_VALUE"""),60.23)</f>
        <v>60.23</v>
      </c>
      <c r="C2876" s="1">
        <f>IFERROR(__xludf.DUMMYFUNCTION("""COMPUTED_VALUE"""),60.76)</f>
        <v>60.76</v>
      </c>
      <c r="D2876" s="1">
        <f>IFERROR(__xludf.DUMMYFUNCTION("""COMPUTED_VALUE"""),59.23)</f>
        <v>59.23</v>
      </c>
      <c r="E2876" s="1">
        <f>IFERROR(__xludf.DUMMYFUNCTION("""COMPUTED_VALUE"""),59.59)</f>
        <v>59.59</v>
      </c>
      <c r="F2876" s="1">
        <f>IFERROR(__xludf.DUMMYFUNCTION("""COMPUTED_VALUE"""),227132.0)</f>
        <v>227132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IFERROR(__xludf.DUMMYFUNCTION("""COMPUTED_VALUE"""),59.41)</f>
        <v>59.41</v>
      </c>
      <c r="C2877" s="1">
        <f>IFERROR(__xludf.DUMMYFUNCTION("""COMPUTED_VALUE"""),59.86)</f>
        <v>59.86</v>
      </c>
      <c r="D2877" s="1">
        <f>IFERROR(__xludf.DUMMYFUNCTION("""COMPUTED_VALUE"""),58.03)</f>
        <v>58.03</v>
      </c>
      <c r="E2877" s="1">
        <f>IFERROR(__xludf.DUMMYFUNCTION("""COMPUTED_VALUE"""),58.1)</f>
        <v>58.1</v>
      </c>
      <c r="F2877" s="1">
        <f>IFERROR(__xludf.DUMMYFUNCTION("""COMPUTED_VALUE"""),438426.0)</f>
        <v>438426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IFERROR(__xludf.DUMMYFUNCTION("""COMPUTED_VALUE"""),58.51)</f>
        <v>58.51</v>
      </c>
      <c r="C2878" s="1">
        <f>IFERROR(__xludf.DUMMYFUNCTION("""COMPUTED_VALUE"""),58.75)</f>
        <v>58.75</v>
      </c>
      <c r="D2878" s="1">
        <f>IFERROR(__xludf.DUMMYFUNCTION("""COMPUTED_VALUE"""),57.85)</f>
        <v>57.85</v>
      </c>
      <c r="E2878" s="1">
        <f>IFERROR(__xludf.DUMMYFUNCTION("""COMPUTED_VALUE"""),58.49)</f>
        <v>58.49</v>
      </c>
      <c r="F2878" s="1">
        <f>IFERROR(__xludf.DUMMYFUNCTION("""COMPUTED_VALUE"""),496573.0)</f>
        <v>496573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IFERROR(__xludf.DUMMYFUNCTION("""COMPUTED_VALUE"""),58.64)</f>
        <v>58.64</v>
      </c>
      <c r="C2879" s="1">
        <f>IFERROR(__xludf.DUMMYFUNCTION("""COMPUTED_VALUE"""),58.7)</f>
        <v>58.7</v>
      </c>
      <c r="D2879" s="1">
        <f>IFERROR(__xludf.DUMMYFUNCTION("""COMPUTED_VALUE"""),57.53)</f>
        <v>57.53</v>
      </c>
      <c r="E2879" s="1">
        <f>IFERROR(__xludf.DUMMYFUNCTION("""COMPUTED_VALUE"""),57.66)</f>
        <v>57.66</v>
      </c>
      <c r="F2879" s="1">
        <f>IFERROR(__xludf.DUMMYFUNCTION("""COMPUTED_VALUE"""),329631.0)</f>
        <v>329631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IFERROR(__xludf.DUMMYFUNCTION("""COMPUTED_VALUE"""),57.72)</f>
        <v>57.72</v>
      </c>
      <c r="C2880" s="1">
        <f>IFERROR(__xludf.DUMMYFUNCTION("""COMPUTED_VALUE"""),57.98)</f>
        <v>57.98</v>
      </c>
      <c r="D2880" s="1">
        <f>IFERROR(__xludf.DUMMYFUNCTION("""COMPUTED_VALUE"""),57.05)</f>
        <v>57.05</v>
      </c>
      <c r="E2880" s="1">
        <f>IFERROR(__xludf.DUMMYFUNCTION("""COMPUTED_VALUE"""),57.68)</f>
        <v>57.68</v>
      </c>
      <c r="F2880" s="1">
        <f>IFERROR(__xludf.DUMMYFUNCTION("""COMPUTED_VALUE"""),443140.0)</f>
        <v>443140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IFERROR(__xludf.DUMMYFUNCTION("""COMPUTED_VALUE"""),58.01)</f>
        <v>58.01</v>
      </c>
      <c r="C2881" s="1">
        <f>IFERROR(__xludf.DUMMYFUNCTION("""COMPUTED_VALUE"""),58.79)</f>
        <v>58.79</v>
      </c>
      <c r="D2881" s="1">
        <f>IFERROR(__xludf.DUMMYFUNCTION("""COMPUTED_VALUE"""),57.9)</f>
        <v>57.9</v>
      </c>
      <c r="E2881" s="1">
        <f>IFERROR(__xludf.DUMMYFUNCTION("""COMPUTED_VALUE"""),58.66)</f>
        <v>58.66</v>
      </c>
      <c r="F2881" s="1">
        <f>IFERROR(__xludf.DUMMYFUNCTION("""COMPUTED_VALUE"""),1283396.0)</f>
        <v>1283396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IFERROR(__xludf.DUMMYFUNCTION("""COMPUTED_VALUE"""),58.65)</f>
        <v>58.65</v>
      </c>
      <c r="C2882" s="1">
        <f>IFERROR(__xludf.DUMMYFUNCTION("""COMPUTED_VALUE"""),60.0)</f>
        <v>60</v>
      </c>
      <c r="D2882" s="1">
        <f>IFERROR(__xludf.DUMMYFUNCTION("""COMPUTED_VALUE"""),58.54)</f>
        <v>58.54</v>
      </c>
      <c r="E2882" s="1">
        <f>IFERROR(__xludf.DUMMYFUNCTION("""COMPUTED_VALUE"""),59.54)</f>
        <v>59.54</v>
      </c>
      <c r="F2882" s="1">
        <f>IFERROR(__xludf.DUMMYFUNCTION("""COMPUTED_VALUE"""),1073278.0)</f>
        <v>1073278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IFERROR(__xludf.DUMMYFUNCTION("""COMPUTED_VALUE"""),59.56)</f>
        <v>59.56</v>
      </c>
      <c r="C2883" s="1">
        <f>IFERROR(__xludf.DUMMYFUNCTION("""COMPUTED_VALUE"""),59.87)</f>
        <v>59.87</v>
      </c>
      <c r="D2883" s="1">
        <f>IFERROR(__xludf.DUMMYFUNCTION("""COMPUTED_VALUE"""),58.97)</f>
        <v>58.97</v>
      </c>
      <c r="E2883" s="1">
        <f>IFERROR(__xludf.DUMMYFUNCTION("""COMPUTED_VALUE"""),59.32)</f>
        <v>59.32</v>
      </c>
      <c r="F2883" s="1">
        <f>IFERROR(__xludf.DUMMYFUNCTION("""COMPUTED_VALUE"""),652794.0)</f>
        <v>652794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IFERROR(__xludf.DUMMYFUNCTION("""COMPUTED_VALUE"""),59.62)</f>
        <v>59.62</v>
      </c>
      <c r="C2884" s="1">
        <f>IFERROR(__xludf.DUMMYFUNCTION("""COMPUTED_VALUE"""),60.22)</f>
        <v>60.22</v>
      </c>
      <c r="D2884" s="1">
        <f>IFERROR(__xludf.DUMMYFUNCTION("""COMPUTED_VALUE"""),59.05)</f>
        <v>59.05</v>
      </c>
      <c r="E2884" s="1">
        <f>IFERROR(__xludf.DUMMYFUNCTION("""COMPUTED_VALUE"""),59.19)</f>
        <v>59.19</v>
      </c>
      <c r="F2884" s="1">
        <f>IFERROR(__xludf.DUMMYFUNCTION("""COMPUTED_VALUE"""),661314.0)</f>
        <v>661314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IFERROR(__xludf.DUMMYFUNCTION("""COMPUTED_VALUE"""),59.1)</f>
        <v>59.1</v>
      </c>
      <c r="C2885" s="1">
        <f>IFERROR(__xludf.DUMMYFUNCTION("""COMPUTED_VALUE"""),59.2)</f>
        <v>59.2</v>
      </c>
      <c r="D2885" s="1">
        <f>IFERROR(__xludf.DUMMYFUNCTION("""COMPUTED_VALUE"""),58.06)</f>
        <v>58.06</v>
      </c>
      <c r="E2885" s="1">
        <f>IFERROR(__xludf.DUMMYFUNCTION("""COMPUTED_VALUE"""),58.92)</f>
        <v>58.92</v>
      </c>
      <c r="F2885" s="1">
        <f>IFERROR(__xludf.DUMMYFUNCTION("""COMPUTED_VALUE"""),323997.0)</f>
        <v>323997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IFERROR(__xludf.DUMMYFUNCTION("""COMPUTED_VALUE"""),58.36)</f>
        <v>58.36</v>
      </c>
      <c r="C2886" s="1">
        <f>IFERROR(__xludf.DUMMYFUNCTION("""COMPUTED_VALUE"""),59.78)</f>
        <v>59.78</v>
      </c>
      <c r="D2886" s="1">
        <f>IFERROR(__xludf.DUMMYFUNCTION("""COMPUTED_VALUE"""),58.29)</f>
        <v>58.29</v>
      </c>
      <c r="E2886" s="1">
        <f>IFERROR(__xludf.DUMMYFUNCTION("""COMPUTED_VALUE"""),58.93)</f>
        <v>58.93</v>
      </c>
      <c r="F2886" s="1">
        <f>IFERROR(__xludf.DUMMYFUNCTION("""COMPUTED_VALUE"""),320926.0)</f>
        <v>320926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IFERROR(__xludf.DUMMYFUNCTION("""COMPUTED_VALUE"""),59.27)</f>
        <v>59.27</v>
      </c>
      <c r="C2887" s="1">
        <f>IFERROR(__xludf.DUMMYFUNCTION("""COMPUTED_VALUE"""),59.85)</f>
        <v>59.85</v>
      </c>
      <c r="D2887" s="1">
        <f>IFERROR(__xludf.DUMMYFUNCTION("""COMPUTED_VALUE"""),58.82)</f>
        <v>58.82</v>
      </c>
      <c r="E2887" s="1">
        <f>IFERROR(__xludf.DUMMYFUNCTION("""COMPUTED_VALUE"""),59.8)</f>
        <v>59.8</v>
      </c>
      <c r="F2887" s="1">
        <f>IFERROR(__xludf.DUMMYFUNCTION("""COMPUTED_VALUE"""),217611.0)</f>
        <v>217611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IFERROR(__xludf.DUMMYFUNCTION("""COMPUTED_VALUE"""),59.84)</f>
        <v>59.84</v>
      </c>
      <c r="C2888" s="1">
        <f>IFERROR(__xludf.DUMMYFUNCTION("""COMPUTED_VALUE"""),61.05)</f>
        <v>61.05</v>
      </c>
      <c r="D2888" s="1">
        <f>IFERROR(__xludf.DUMMYFUNCTION("""COMPUTED_VALUE"""),59.61)</f>
        <v>59.61</v>
      </c>
      <c r="E2888" s="1">
        <f>IFERROR(__xludf.DUMMYFUNCTION("""COMPUTED_VALUE"""),60.8)</f>
        <v>60.8</v>
      </c>
      <c r="F2888" s="1">
        <f>IFERROR(__xludf.DUMMYFUNCTION("""COMPUTED_VALUE"""),300872.0)</f>
        <v>300872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IFERROR(__xludf.DUMMYFUNCTION("""COMPUTED_VALUE"""),60.91)</f>
        <v>60.91</v>
      </c>
      <c r="C2889" s="1">
        <f>IFERROR(__xludf.DUMMYFUNCTION("""COMPUTED_VALUE"""),61.35)</f>
        <v>61.35</v>
      </c>
      <c r="D2889" s="1">
        <f>IFERROR(__xludf.DUMMYFUNCTION("""COMPUTED_VALUE"""),60.55)</f>
        <v>60.55</v>
      </c>
      <c r="E2889" s="1">
        <f>IFERROR(__xludf.DUMMYFUNCTION("""COMPUTED_VALUE"""),60.91)</f>
        <v>60.91</v>
      </c>
      <c r="F2889" s="1">
        <f>IFERROR(__xludf.DUMMYFUNCTION("""COMPUTED_VALUE"""),211257.0)</f>
        <v>211257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IFERROR(__xludf.DUMMYFUNCTION("""COMPUTED_VALUE"""),61.43)</f>
        <v>61.43</v>
      </c>
      <c r="C2890" s="1">
        <f>IFERROR(__xludf.DUMMYFUNCTION("""COMPUTED_VALUE"""),61.56)</f>
        <v>61.56</v>
      </c>
      <c r="D2890" s="1">
        <f>IFERROR(__xludf.DUMMYFUNCTION("""COMPUTED_VALUE"""),60.51)</f>
        <v>60.51</v>
      </c>
      <c r="E2890" s="1">
        <f>IFERROR(__xludf.DUMMYFUNCTION("""COMPUTED_VALUE"""),61.16)</f>
        <v>61.16</v>
      </c>
      <c r="F2890" s="1">
        <f>IFERROR(__xludf.DUMMYFUNCTION("""COMPUTED_VALUE"""),223015.0)</f>
        <v>223015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IFERROR(__xludf.DUMMYFUNCTION("""COMPUTED_VALUE"""),61.41)</f>
        <v>61.41</v>
      </c>
      <c r="C2891" s="1">
        <f>IFERROR(__xludf.DUMMYFUNCTION("""COMPUTED_VALUE"""),61.49)</f>
        <v>61.49</v>
      </c>
      <c r="D2891" s="1">
        <f>IFERROR(__xludf.DUMMYFUNCTION("""COMPUTED_VALUE"""),60.32)</f>
        <v>60.32</v>
      </c>
      <c r="E2891" s="1">
        <f>IFERROR(__xludf.DUMMYFUNCTION("""COMPUTED_VALUE"""),60.59)</f>
        <v>60.59</v>
      </c>
      <c r="F2891" s="1">
        <f>IFERROR(__xludf.DUMMYFUNCTION("""COMPUTED_VALUE"""),223339.0)</f>
        <v>223339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IFERROR(__xludf.DUMMYFUNCTION("""COMPUTED_VALUE"""),60.23)</f>
        <v>60.23</v>
      </c>
      <c r="C2892" s="1">
        <f>IFERROR(__xludf.DUMMYFUNCTION("""COMPUTED_VALUE"""),60.53)</f>
        <v>60.53</v>
      </c>
      <c r="D2892" s="1">
        <f>IFERROR(__xludf.DUMMYFUNCTION("""COMPUTED_VALUE"""),58.79)</f>
        <v>58.79</v>
      </c>
      <c r="E2892" s="1">
        <f>IFERROR(__xludf.DUMMYFUNCTION("""COMPUTED_VALUE"""),59.03)</f>
        <v>59.03</v>
      </c>
      <c r="F2892" s="1">
        <f>IFERROR(__xludf.DUMMYFUNCTION("""COMPUTED_VALUE"""),697797.0)</f>
        <v>697797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IFERROR(__xludf.DUMMYFUNCTION("""COMPUTED_VALUE"""),58.69)</f>
        <v>58.69</v>
      </c>
      <c r="C2893" s="1">
        <f>IFERROR(__xludf.DUMMYFUNCTION("""COMPUTED_VALUE"""),59.42)</f>
        <v>59.42</v>
      </c>
      <c r="D2893" s="1">
        <f>IFERROR(__xludf.DUMMYFUNCTION("""COMPUTED_VALUE"""),57.83)</f>
        <v>57.83</v>
      </c>
      <c r="E2893" s="1">
        <f>IFERROR(__xludf.DUMMYFUNCTION("""COMPUTED_VALUE"""),59.19)</f>
        <v>59.19</v>
      </c>
      <c r="F2893" s="1">
        <f>IFERROR(__xludf.DUMMYFUNCTION("""COMPUTED_VALUE"""),396399.0)</f>
        <v>396399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IFERROR(__xludf.DUMMYFUNCTION("""COMPUTED_VALUE"""),59.24)</f>
        <v>59.24</v>
      </c>
      <c r="C2894" s="1">
        <f>IFERROR(__xludf.DUMMYFUNCTION("""COMPUTED_VALUE"""),59.62)</f>
        <v>59.62</v>
      </c>
      <c r="D2894" s="1">
        <f>IFERROR(__xludf.DUMMYFUNCTION("""COMPUTED_VALUE"""),58.84)</f>
        <v>58.84</v>
      </c>
      <c r="E2894" s="1">
        <f>IFERROR(__xludf.DUMMYFUNCTION("""COMPUTED_VALUE"""),59.28)</f>
        <v>59.28</v>
      </c>
      <c r="F2894" s="1">
        <f>IFERROR(__xludf.DUMMYFUNCTION("""COMPUTED_VALUE"""),296558.0)</f>
        <v>296558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IFERROR(__xludf.DUMMYFUNCTION("""COMPUTED_VALUE"""),59.38)</f>
        <v>59.38</v>
      </c>
      <c r="C2895" s="1">
        <f>IFERROR(__xludf.DUMMYFUNCTION("""COMPUTED_VALUE"""),59.91)</f>
        <v>59.91</v>
      </c>
      <c r="D2895" s="1">
        <f>IFERROR(__xludf.DUMMYFUNCTION("""COMPUTED_VALUE"""),58.57)</f>
        <v>58.57</v>
      </c>
      <c r="E2895" s="1">
        <f>IFERROR(__xludf.DUMMYFUNCTION("""COMPUTED_VALUE"""),59.77)</f>
        <v>59.77</v>
      </c>
      <c r="F2895" s="1">
        <f>IFERROR(__xludf.DUMMYFUNCTION("""COMPUTED_VALUE"""),158836.0)</f>
        <v>158836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IFERROR(__xludf.DUMMYFUNCTION("""COMPUTED_VALUE"""),60.19)</f>
        <v>60.19</v>
      </c>
      <c r="C2896" s="1">
        <f>IFERROR(__xludf.DUMMYFUNCTION("""COMPUTED_VALUE"""),60.19)</f>
        <v>60.19</v>
      </c>
      <c r="D2896" s="1">
        <f>IFERROR(__xludf.DUMMYFUNCTION("""COMPUTED_VALUE"""),59.51)</f>
        <v>59.51</v>
      </c>
      <c r="E2896" s="1">
        <f>IFERROR(__xludf.DUMMYFUNCTION("""COMPUTED_VALUE"""),59.87)</f>
        <v>59.87</v>
      </c>
      <c r="F2896" s="1">
        <f>IFERROR(__xludf.DUMMYFUNCTION("""COMPUTED_VALUE"""),226411.0)</f>
        <v>226411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IFERROR(__xludf.DUMMYFUNCTION("""COMPUTED_VALUE"""),59.26)</f>
        <v>59.26</v>
      </c>
      <c r="C2897" s="1">
        <f>IFERROR(__xludf.DUMMYFUNCTION("""COMPUTED_VALUE"""),59.51)</f>
        <v>59.51</v>
      </c>
      <c r="D2897" s="1">
        <f>IFERROR(__xludf.DUMMYFUNCTION("""COMPUTED_VALUE"""),58.27)</f>
        <v>58.27</v>
      </c>
      <c r="E2897" s="1">
        <f>IFERROR(__xludf.DUMMYFUNCTION("""COMPUTED_VALUE"""),59.39)</f>
        <v>59.39</v>
      </c>
      <c r="F2897" s="1">
        <f>IFERROR(__xludf.DUMMYFUNCTION("""COMPUTED_VALUE"""),210204.0)</f>
        <v>210204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IFERROR(__xludf.DUMMYFUNCTION("""COMPUTED_VALUE"""),59.52)</f>
        <v>59.52</v>
      </c>
      <c r="C2898" s="1">
        <f>IFERROR(__xludf.DUMMYFUNCTION("""COMPUTED_VALUE"""),60.57)</f>
        <v>60.57</v>
      </c>
      <c r="D2898" s="1">
        <f>IFERROR(__xludf.DUMMYFUNCTION("""COMPUTED_VALUE"""),59.47)</f>
        <v>59.47</v>
      </c>
      <c r="E2898" s="1">
        <f>IFERROR(__xludf.DUMMYFUNCTION("""COMPUTED_VALUE"""),60.27)</f>
        <v>60.27</v>
      </c>
      <c r="F2898" s="1">
        <f>IFERROR(__xludf.DUMMYFUNCTION("""COMPUTED_VALUE"""),211495.0)</f>
        <v>211495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IFERROR(__xludf.DUMMYFUNCTION("""COMPUTED_VALUE"""),59.67)</f>
        <v>59.67</v>
      </c>
      <c r="C2899" s="1">
        <f>IFERROR(__xludf.DUMMYFUNCTION("""COMPUTED_VALUE"""),59.94)</f>
        <v>59.94</v>
      </c>
      <c r="D2899" s="1">
        <f>IFERROR(__xludf.DUMMYFUNCTION("""COMPUTED_VALUE"""),58.75)</f>
        <v>58.75</v>
      </c>
      <c r="E2899" s="1">
        <f>IFERROR(__xludf.DUMMYFUNCTION("""COMPUTED_VALUE"""),58.94)</f>
        <v>58.94</v>
      </c>
      <c r="F2899" s="1">
        <f>IFERROR(__xludf.DUMMYFUNCTION("""COMPUTED_VALUE"""),330345.0)</f>
        <v>330345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IFERROR(__xludf.DUMMYFUNCTION("""COMPUTED_VALUE"""),59.11)</f>
        <v>59.11</v>
      </c>
      <c r="C2900" s="1">
        <f>IFERROR(__xludf.DUMMYFUNCTION("""COMPUTED_VALUE"""),59.72)</f>
        <v>59.72</v>
      </c>
      <c r="D2900" s="1">
        <f>IFERROR(__xludf.DUMMYFUNCTION("""COMPUTED_VALUE"""),58.98)</f>
        <v>58.98</v>
      </c>
      <c r="E2900" s="1">
        <f>IFERROR(__xludf.DUMMYFUNCTION("""COMPUTED_VALUE"""),59.67)</f>
        <v>59.67</v>
      </c>
      <c r="F2900" s="1">
        <f>IFERROR(__xludf.DUMMYFUNCTION("""COMPUTED_VALUE"""),231400.0)</f>
        <v>231400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IFERROR(__xludf.DUMMYFUNCTION("""COMPUTED_VALUE"""),59.26)</f>
        <v>59.26</v>
      </c>
      <c r="C2901" s="1">
        <f>IFERROR(__xludf.DUMMYFUNCTION("""COMPUTED_VALUE"""),59.69)</f>
        <v>59.69</v>
      </c>
      <c r="D2901" s="1">
        <f>IFERROR(__xludf.DUMMYFUNCTION("""COMPUTED_VALUE"""),59.08)</f>
        <v>59.08</v>
      </c>
      <c r="E2901" s="1">
        <f>IFERROR(__xludf.DUMMYFUNCTION("""COMPUTED_VALUE"""),59.53)</f>
        <v>59.53</v>
      </c>
      <c r="F2901" s="1">
        <f>IFERROR(__xludf.DUMMYFUNCTION("""COMPUTED_VALUE"""),218538.0)</f>
        <v>218538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IFERROR(__xludf.DUMMYFUNCTION("""COMPUTED_VALUE"""),59.27)</f>
        <v>59.27</v>
      </c>
      <c r="C2902" s="1">
        <f>IFERROR(__xludf.DUMMYFUNCTION("""COMPUTED_VALUE"""),59.74)</f>
        <v>59.74</v>
      </c>
      <c r="D2902" s="1">
        <f>IFERROR(__xludf.DUMMYFUNCTION("""COMPUTED_VALUE"""),59.17)</f>
        <v>59.17</v>
      </c>
      <c r="E2902" s="1">
        <f>IFERROR(__xludf.DUMMYFUNCTION("""COMPUTED_VALUE"""),59.5)</f>
        <v>59.5</v>
      </c>
      <c r="F2902" s="1">
        <f>IFERROR(__xludf.DUMMYFUNCTION("""COMPUTED_VALUE"""),216203.0)</f>
        <v>216203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IFERROR(__xludf.DUMMYFUNCTION("""COMPUTED_VALUE"""),59.88)</f>
        <v>59.88</v>
      </c>
      <c r="C2903" s="1">
        <f>IFERROR(__xludf.DUMMYFUNCTION("""COMPUTED_VALUE"""),60.33)</f>
        <v>60.33</v>
      </c>
      <c r="D2903" s="1">
        <f>IFERROR(__xludf.DUMMYFUNCTION("""COMPUTED_VALUE"""),59.22)</f>
        <v>59.22</v>
      </c>
      <c r="E2903" s="1">
        <f>IFERROR(__xludf.DUMMYFUNCTION("""COMPUTED_VALUE"""),59.28)</f>
        <v>59.28</v>
      </c>
      <c r="F2903" s="1">
        <f>IFERROR(__xludf.DUMMYFUNCTION("""COMPUTED_VALUE"""),212456.0)</f>
        <v>212456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IFERROR(__xludf.DUMMYFUNCTION("""COMPUTED_VALUE"""),59.24)</f>
        <v>59.24</v>
      </c>
      <c r="C2904" s="1">
        <f>IFERROR(__xludf.DUMMYFUNCTION("""COMPUTED_VALUE"""),59.24)</f>
        <v>59.24</v>
      </c>
      <c r="D2904" s="1">
        <f>IFERROR(__xludf.DUMMYFUNCTION("""COMPUTED_VALUE"""),58.23)</f>
        <v>58.23</v>
      </c>
      <c r="E2904" s="1">
        <f>IFERROR(__xludf.DUMMYFUNCTION("""COMPUTED_VALUE"""),58.76)</f>
        <v>58.76</v>
      </c>
      <c r="F2904" s="1">
        <f>IFERROR(__xludf.DUMMYFUNCTION("""COMPUTED_VALUE"""),202594.0)</f>
        <v>202594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IFERROR(__xludf.DUMMYFUNCTION("""COMPUTED_VALUE"""),59.01)</f>
        <v>59.01</v>
      </c>
      <c r="C2905" s="1">
        <f>IFERROR(__xludf.DUMMYFUNCTION("""COMPUTED_VALUE"""),60.42)</f>
        <v>60.42</v>
      </c>
      <c r="D2905" s="1">
        <f>IFERROR(__xludf.DUMMYFUNCTION("""COMPUTED_VALUE"""),58.83)</f>
        <v>58.83</v>
      </c>
      <c r="E2905" s="1">
        <f>IFERROR(__xludf.DUMMYFUNCTION("""COMPUTED_VALUE"""),59.94)</f>
        <v>59.94</v>
      </c>
      <c r="F2905" s="1">
        <f>IFERROR(__xludf.DUMMYFUNCTION("""COMPUTED_VALUE"""),457156.0)</f>
        <v>457156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IFERROR(__xludf.DUMMYFUNCTION("""COMPUTED_VALUE"""),59.01)</f>
        <v>59.01</v>
      </c>
      <c r="C2906" s="1">
        <f>IFERROR(__xludf.DUMMYFUNCTION("""COMPUTED_VALUE"""),59.04)</f>
        <v>59.04</v>
      </c>
      <c r="D2906" s="1">
        <f>IFERROR(__xludf.DUMMYFUNCTION("""COMPUTED_VALUE"""),57.79)</f>
        <v>57.79</v>
      </c>
      <c r="E2906" s="1">
        <f>IFERROR(__xludf.DUMMYFUNCTION("""COMPUTED_VALUE"""),58.17)</f>
        <v>58.17</v>
      </c>
      <c r="F2906" s="1">
        <f>IFERROR(__xludf.DUMMYFUNCTION("""COMPUTED_VALUE"""),314588.0)</f>
        <v>314588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IFERROR(__xludf.DUMMYFUNCTION("""COMPUTED_VALUE"""),58.1)</f>
        <v>58.1</v>
      </c>
      <c r="C2907" s="1">
        <f>IFERROR(__xludf.DUMMYFUNCTION("""COMPUTED_VALUE"""),60.11)</f>
        <v>60.11</v>
      </c>
      <c r="D2907" s="1">
        <f>IFERROR(__xludf.DUMMYFUNCTION("""COMPUTED_VALUE"""),57.87)</f>
        <v>57.87</v>
      </c>
      <c r="E2907" s="1">
        <f>IFERROR(__xludf.DUMMYFUNCTION("""COMPUTED_VALUE"""),59.89)</f>
        <v>59.89</v>
      </c>
      <c r="F2907" s="1">
        <f>IFERROR(__xludf.DUMMYFUNCTION("""COMPUTED_VALUE"""),161023.0)</f>
        <v>161023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IFERROR(__xludf.DUMMYFUNCTION("""COMPUTED_VALUE"""),60.06)</f>
        <v>60.06</v>
      </c>
      <c r="C2908" s="1">
        <f>IFERROR(__xludf.DUMMYFUNCTION("""COMPUTED_VALUE"""),61.15)</f>
        <v>61.15</v>
      </c>
      <c r="D2908" s="1">
        <f>IFERROR(__xludf.DUMMYFUNCTION("""COMPUTED_VALUE"""),59.95)</f>
        <v>59.95</v>
      </c>
      <c r="E2908" s="1">
        <f>IFERROR(__xludf.DUMMYFUNCTION("""COMPUTED_VALUE"""),60.84)</f>
        <v>60.84</v>
      </c>
      <c r="F2908" s="1">
        <f>IFERROR(__xludf.DUMMYFUNCTION("""COMPUTED_VALUE"""),139387.0)</f>
        <v>139387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IFERROR(__xludf.DUMMYFUNCTION("""COMPUTED_VALUE"""),61.08)</f>
        <v>61.08</v>
      </c>
      <c r="C2909" s="1">
        <f>IFERROR(__xludf.DUMMYFUNCTION("""COMPUTED_VALUE"""),61.08)</f>
        <v>61.08</v>
      </c>
      <c r="D2909" s="1">
        <f>IFERROR(__xludf.DUMMYFUNCTION("""COMPUTED_VALUE"""),60.6)</f>
        <v>60.6</v>
      </c>
      <c r="E2909" s="1">
        <f>IFERROR(__xludf.DUMMYFUNCTION("""COMPUTED_VALUE"""),60.63)</f>
        <v>60.63</v>
      </c>
      <c r="F2909" s="1">
        <f>IFERROR(__xludf.DUMMYFUNCTION("""COMPUTED_VALUE"""),219381.0)</f>
        <v>219381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IFERROR(__xludf.DUMMYFUNCTION("""COMPUTED_VALUE"""),60.72)</f>
        <v>60.72</v>
      </c>
      <c r="C2910" s="1">
        <f>IFERROR(__xludf.DUMMYFUNCTION("""COMPUTED_VALUE"""),61.07)</f>
        <v>61.07</v>
      </c>
      <c r="D2910" s="1">
        <f>IFERROR(__xludf.DUMMYFUNCTION("""COMPUTED_VALUE"""),60.43)</f>
        <v>60.43</v>
      </c>
      <c r="E2910" s="1">
        <f>IFERROR(__xludf.DUMMYFUNCTION("""COMPUTED_VALUE"""),60.54)</f>
        <v>60.54</v>
      </c>
      <c r="F2910" s="1">
        <f>IFERROR(__xludf.DUMMYFUNCTION("""COMPUTED_VALUE"""),197250.0)</f>
        <v>197250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IFERROR(__xludf.DUMMYFUNCTION("""COMPUTED_VALUE"""),60.35)</f>
        <v>60.35</v>
      </c>
      <c r="C2911" s="1">
        <f>IFERROR(__xludf.DUMMYFUNCTION("""COMPUTED_VALUE"""),60.5)</f>
        <v>60.5</v>
      </c>
      <c r="D2911" s="1">
        <f>IFERROR(__xludf.DUMMYFUNCTION("""COMPUTED_VALUE"""),59.41)</f>
        <v>59.41</v>
      </c>
      <c r="E2911" s="1">
        <f>IFERROR(__xludf.DUMMYFUNCTION("""COMPUTED_VALUE"""),59.84)</f>
        <v>59.84</v>
      </c>
      <c r="F2911" s="1">
        <f>IFERROR(__xludf.DUMMYFUNCTION("""COMPUTED_VALUE"""),232562.0)</f>
        <v>232562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IFERROR(__xludf.DUMMYFUNCTION("""COMPUTED_VALUE"""),59.79)</f>
        <v>59.79</v>
      </c>
      <c r="C2912" s="1">
        <f>IFERROR(__xludf.DUMMYFUNCTION("""COMPUTED_VALUE"""),60.37)</f>
        <v>60.37</v>
      </c>
      <c r="D2912" s="1">
        <f>IFERROR(__xludf.DUMMYFUNCTION("""COMPUTED_VALUE"""),58.56)</f>
        <v>58.56</v>
      </c>
      <c r="E2912" s="1">
        <f>IFERROR(__xludf.DUMMYFUNCTION("""COMPUTED_VALUE"""),59.15)</f>
        <v>59.15</v>
      </c>
      <c r="F2912" s="1">
        <f>IFERROR(__xludf.DUMMYFUNCTION("""COMPUTED_VALUE"""),267303.0)</f>
        <v>267303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IFERROR(__xludf.DUMMYFUNCTION("""COMPUTED_VALUE"""),59.12)</f>
        <v>59.12</v>
      </c>
      <c r="C2913" s="1">
        <f>IFERROR(__xludf.DUMMYFUNCTION("""COMPUTED_VALUE"""),59.54)</f>
        <v>59.54</v>
      </c>
      <c r="D2913" s="1">
        <f>IFERROR(__xludf.DUMMYFUNCTION("""COMPUTED_VALUE"""),58.44)</f>
        <v>58.44</v>
      </c>
      <c r="E2913" s="1">
        <f>IFERROR(__xludf.DUMMYFUNCTION("""COMPUTED_VALUE"""),59.3)</f>
        <v>59.3</v>
      </c>
      <c r="F2913" s="1">
        <f>IFERROR(__xludf.DUMMYFUNCTION("""COMPUTED_VALUE"""),201571.0)</f>
        <v>201571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IFERROR(__xludf.DUMMYFUNCTION("""COMPUTED_VALUE"""),59.62)</f>
        <v>59.62</v>
      </c>
      <c r="C2914" s="1">
        <f>IFERROR(__xludf.DUMMYFUNCTION("""COMPUTED_VALUE"""),60.28)</f>
        <v>60.28</v>
      </c>
      <c r="D2914" s="1">
        <f>IFERROR(__xludf.DUMMYFUNCTION("""COMPUTED_VALUE"""),59.51)</f>
        <v>59.51</v>
      </c>
      <c r="E2914" s="1">
        <f>IFERROR(__xludf.DUMMYFUNCTION("""COMPUTED_VALUE"""),59.6)</f>
        <v>59.6</v>
      </c>
      <c r="F2914" s="1">
        <f>IFERROR(__xludf.DUMMYFUNCTION("""COMPUTED_VALUE"""),173775.0)</f>
        <v>173775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IFERROR(__xludf.DUMMYFUNCTION("""COMPUTED_VALUE"""),59.21)</f>
        <v>59.21</v>
      </c>
      <c r="C2915" s="1">
        <f>IFERROR(__xludf.DUMMYFUNCTION("""COMPUTED_VALUE"""),59.86)</f>
        <v>59.86</v>
      </c>
      <c r="D2915" s="1">
        <f>IFERROR(__xludf.DUMMYFUNCTION("""COMPUTED_VALUE"""),59.21)</f>
        <v>59.21</v>
      </c>
      <c r="E2915" s="1">
        <f>IFERROR(__xludf.DUMMYFUNCTION("""COMPUTED_VALUE"""),59.73)</f>
        <v>59.73</v>
      </c>
      <c r="F2915" s="1">
        <f>IFERROR(__xludf.DUMMYFUNCTION("""COMPUTED_VALUE"""),203461.0)</f>
        <v>203461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IFERROR(__xludf.DUMMYFUNCTION("""COMPUTED_VALUE"""),60.16)</f>
        <v>60.16</v>
      </c>
      <c r="C2916" s="1">
        <f>IFERROR(__xludf.DUMMYFUNCTION("""COMPUTED_VALUE"""),60.35)</f>
        <v>60.35</v>
      </c>
      <c r="D2916" s="1">
        <f>IFERROR(__xludf.DUMMYFUNCTION("""COMPUTED_VALUE"""),59.11)</f>
        <v>59.11</v>
      </c>
      <c r="E2916" s="1">
        <f>IFERROR(__xludf.DUMMYFUNCTION("""COMPUTED_VALUE"""),59.13)</f>
        <v>59.13</v>
      </c>
      <c r="F2916" s="1">
        <f>IFERROR(__xludf.DUMMYFUNCTION("""COMPUTED_VALUE"""),133595.0)</f>
        <v>133595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IFERROR(__xludf.DUMMYFUNCTION("""COMPUTED_VALUE"""),59.29)</f>
        <v>59.29</v>
      </c>
      <c r="C2917" s="1">
        <f>IFERROR(__xludf.DUMMYFUNCTION("""COMPUTED_VALUE"""),59.52)</f>
        <v>59.52</v>
      </c>
      <c r="D2917" s="1">
        <f>IFERROR(__xludf.DUMMYFUNCTION("""COMPUTED_VALUE"""),58.4)</f>
        <v>58.4</v>
      </c>
      <c r="E2917" s="1">
        <f>IFERROR(__xludf.DUMMYFUNCTION("""COMPUTED_VALUE"""),58.63)</f>
        <v>58.63</v>
      </c>
      <c r="F2917" s="1">
        <f>IFERROR(__xludf.DUMMYFUNCTION("""COMPUTED_VALUE"""),294515.0)</f>
        <v>294515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IFERROR(__xludf.DUMMYFUNCTION("""COMPUTED_VALUE"""),58.21)</f>
        <v>58.21</v>
      </c>
      <c r="C2918" s="1">
        <f>IFERROR(__xludf.DUMMYFUNCTION("""COMPUTED_VALUE"""),59.05)</f>
        <v>59.05</v>
      </c>
      <c r="D2918" s="1">
        <f>IFERROR(__xludf.DUMMYFUNCTION("""COMPUTED_VALUE"""),58.21)</f>
        <v>58.21</v>
      </c>
      <c r="E2918" s="1">
        <f>IFERROR(__xludf.DUMMYFUNCTION("""COMPUTED_VALUE"""),58.39)</f>
        <v>58.39</v>
      </c>
      <c r="F2918" s="1">
        <f>IFERROR(__xludf.DUMMYFUNCTION("""COMPUTED_VALUE"""),269585.0)</f>
        <v>269585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IFERROR(__xludf.DUMMYFUNCTION("""COMPUTED_VALUE"""),58.75)</f>
        <v>58.75</v>
      </c>
      <c r="C2919" s="1">
        <f>IFERROR(__xludf.DUMMYFUNCTION("""COMPUTED_VALUE"""),59.62)</f>
        <v>59.62</v>
      </c>
      <c r="D2919" s="1">
        <f>IFERROR(__xludf.DUMMYFUNCTION("""COMPUTED_VALUE"""),58.28)</f>
        <v>58.28</v>
      </c>
      <c r="E2919" s="1">
        <f>IFERROR(__xludf.DUMMYFUNCTION("""COMPUTED_VALUE"""),59.61)</f>
        <v>59.61</v>
      </c>
      <c r="F2919" s="1">
        <f>IFERROR(__xludf.DUMMYFUNCTION("""COMPUTED_VALUE"""),422459.0)</f>
        <v>422459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IFERROR(__xludf.DUMMYFUNCTION("""COMPUTED_VALUE"""),57.01)</f>
        <v>57.01</v>
      </c>
      <c r="C2920" s="1">
        <f>IFERROR(__xludf.DUMMYFUNCTION("""COMPUTED_VALUE"""),58.8)</f>
        <v>58.8</v>
      </c>
      <c r="D2920" s="1">
        <f>IFERROR(__xludf.DUMMYFUNCTION("""COMPUTED_VALUE"""),53.33)</f>
        <v>53.33</v>
      </c>
      <c r="E2920" s="1">
        <f>IFERROR(__xludf.DUMMYFUNCTION("""COMPUTED_VALUE"""),58.28)</f>
        <v>58.28</v>
      </c>
      <c r="F2920" s="1">
        <f>IFERROR(__xludf.DUMMYFUNCTION("""COMPUTED_VALUE"""),1727981.0)</f>
        <v>1727981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IFERROR(__xludf.DUMMYFUNCTION("""COMPUTED_VALUE"""),62.01)</f>
        <v>62.01</v>
      </c>
      <c r="C2921" s="1">
        <f>IFERROR(__xludf.DUMMYFUNCTION("""COMPUTED_VALUE"""),62.21)</f>
        <v>62.21</v>
      </c>
      <c r="D2921" s="1">
        <f>IFERROR(__xludf.DUMMYFUNCTION("""COMPUTED_VALUE"""),59.01)</f>
        <v>59.01</v>
      </c>
      <c r="E2921" s="1">
        <f>IFERROR(__xludf.DUMMYFUNCTION("""COMPUTED_VALUE"""),59.21)</f>
        <v>59.21</v>
      </c>
      <c r="F2921" s="1">
        <f>IFERROR(__xludf.DUMMYFUNCTION("""COMPUTED_VALUE"""),1005109.0)</f>
        <v>1005109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IFERROR(__xludf.DUMMYFUNCTION("""COMPUTED_VALUE"""),58.93)</f>
        <v>58.93</v>
      </c>
      <c r="C2922" s="1">
        <f>IFERROR(__xludf.DUMMYFUNCTION("""COMPUTED_VALUE"""),60.67)</f>
        <v>60.67</v>
      </c>
      <c r="D2922" s="1">
        <f>IFERROR(__xludf.DUMMYFUNCTION("""COMPUTED_VALUE"""),58.63)</f>
        <v>58.63</v>
      </c>
      <c r="E2922" s="1">
        <f>IFERROR(__xludf.DUMMYFUNCTION("""COMPUTED_VALUE"""),59.41)</f>
        <v>59.41</v>
      </c>
      <c r="F2922" s="1">
        <f>IFERROR(__xludf.DUMMYFUNCTION("""COMPUTED_VALUE"""),548663.0)</f>
        <v>548663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IFERROR(__xludf.DUMMYFUNCTION("""COMPUTED_VALUE"""),59.75)</f>
        <v>59.75</v>
      </c>
      <c r="C2923" s="1">
        <f>IFERROR(__xludf.DUMMYFUNCTION("""COMPUTED_VALUE"""),60.48)</f>
        <v>60.48</v>
      </c>
      <c r="D2923" s="1">
        <f>IFERROR(__xludf.DUMMYFUNCTION("""COMPUTED_VALUE"""),59.47)</f>
        <v>59.47</v>
      </c>
      <c r="E2923" s="1">
        <f>IFERROR(__xludf.DUMMYFUNCTION("""COMPUTED_VALUE"""),60.39)</f>
        <v>60.39</v>
      </c>
      <c r="F2923" s="1">
        <f>IFERROR(__xludf.DUMMYFUNCTION("""COMPUTED_VALUE"""),317908.0)</f>
        <v>317908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IFERROR(__xludf.DUMMYFUNCTION("""COMPUTED_VALUE"""),60.47)</f>
        <v>60.47</v>
      </c>
      <c r="C2924" s="1">
        <f>IFERROR(__xludf.DUMMYFUNCTION("""COMPUTED_VALUE"""),61.68)</f>
        <v>61.68</v>
      </c>
      <c r="D2924" s="1">
        <f>IFERROR(__xludf.DUMMYFUNCTION("""COMPUTED_VALUE"""),59.68)</f>
        <v>59.68</v>
      </c>
      <c r="E2924" s="1">
        <f>IFERROR(__xludf.DUMMYFUNCTION("""COMPUTED_VALUE"""),61.48)</f>
        <v>61.48</v>
      </c>
      <c r="F2924" s="1">
        <f>IFERROR(__xludf.DUMMYFUNCTION("""COMPUTED_VALUE"""),496774.0)</f>
        <v>496774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IFERROR(__xludf.DUMMYFUNCTION("""COMPUTED_VALUE"""),61.41)</f>
        <v>61.41</v>
      </c>
      <c r="C2925" s="1">
        <f>IFERROR(__xludf.DUMMYFUNCTION("""COMPUTED_VALUE"""),61.81)</f>
        <v>61.81</v>
      </c>
      <c r="D2925" s="1">
        <f>IFERROR(__xludf.DUMMYFUNCTION("""COMPUTED_VALUE"""),60.38)</f>
        <v>60.38</v>
      </c>
      <c r="E2925" s="1">
        <f>IFERROR(__xludf.DUMMYFUNCTION("""COMPUTED_VALUE"""),61.54)</f>
        <v>61.54</v>
      </c>
      <c r="F2925" s="1">
        <f>IFERROR(__xludf.DUMMYFUNCTION("""COMPUTED_VALUE"""),699042.0)</f>
        <v>699042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IFERROR(__xludf.DUMMYFUNCTION("""COMPUTED_VALUE"""),60.97)</f>
        <v>60.97</v>
      </c>
      <c r="C2926" s="1">
        <f>IFERROR(__xludf.DUMMYFUNCTION("""COMPUTED_VALUE"""),63.16)</f>
        <v>63.16</v>
      </c>
      <c r="D2926" s="1">
        <f>IFERROR(__xludf.DUMMYFUNCTION("""COMPUTED_VALUE"""),60.48)</f>
        <v>60.48</v>
      </c>
      <c r="E2926" s="1">
        <f>IFERROR(__xludf.DUMMYFUNCTION("""COMPUTED_VALUE"""),63.05)</f>
        <v>63.05</v>
      </c>
      <c r="F2926" s="1">
        <f>IFERROR(__xludf.DUMMYFUNCTION("""COMPUTED_VALUE"""),831318.0)</f>
        <v>831318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IFERROR(__xludf.DUMMYFUNCTION("""COMPUTED_VALUE"""),62.5)</f>
        <v>62.5</v>
      </c>
      <c r="C2927" s="1">
        <f>IFERROR(__xludf.DUMMYFUNCTION("""COMPUTED_VALUE"""),63.02)</f>
        <v>63.02</v>
      </c>
      <c r="D2927" s="1">
        <f>IFERROR(__xludf.DUMMYFUNCTION("""COMPUTED_VALUE"""),62.14)</f>
        <v>62.14</v>
      </c>
      <c r="E2927" s="1">
        <f>IFERROR(__xludf.DUMMYFUNCTION("""COMPUTED_VALUE"""),62.76)</f>
        <v>62.76</v>
      </c>
      <c r="F2927" s="1">
        <f>IFERROR(__xludf.DUMMYFUNCTION("""COMPUTED_VALUE"""),1409564.0)</f>
        <v>1409564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IFERROR(__xludf.DUMMYFUNCTION("""COMPUTED_VALUE"""),62.9)</f>
        <v>62.9</v>
      </c>
      <c r="C2928" s="1">
        <f>IFERROR(__xludf.DUMMYFUNCTION("""COMPUTED_VALUE"""),62.9)</f>
        <v>62.9</v>
      </c>
      <c r="D2928" s="1">
        <f>IFERROR(__xludf.DUMMYFUNCTION("""COMPUTED_VALUE"""),60.49)</f>
        <v>60.49</v>
      </c>
      <c r="E2928" s="1">
        <f>IFERROR(__xludf.DUMMYFUNCTION("""COMPUTED_VALUE"""),60.62)</f>
        <v>60.62</v>
      </c>
      <c r="F2928" s="1">
        <f>IFERROR(__xludf.DUMMYFUNCTION("""COMPUTED_VALUE"""),1643233.0)</f>
        <v>1643233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IFERROR(__xludf.DUMMYFUNCTION("""COMPUTED_VALUE"""),60.39)</f>
        <v>60.39</v>
      </c>
      <c r="C2929" s="1">
        <f>IFERROR(__xludf.DUMMYFUNCTION("""COMPUTED_VALUE"""),61.37)</f>
        <v>61.37</v>
      </c>
      <c r="D2929" s="1">
        <f>IFERROR(__xludf.DUMMYFUNCTION("""COMPUTED_VALUE"""),59.86)</f>
        <v>59.86</v>
      </c>
      <c r="E2929" s="1">
        <f>IFERROR(__xludf.DUMMYFUNCTION("""COMPUTED_VALUE"""),61.13)</f>
        <v>61.13</v>
      </c>
      <c r="F2929" s="1">
        <f>IFERROR(__xludf.DUMMYFUNCTION("""COMPUTED_VALUE"""),654052.0)</f>
        <v>654052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IFERROR(__xludf.DUMMYFUNCTION("""COMPUTED_VALUE"""),61.21)</f>
        <v>61.21</v>
      </c>
      <c r="C2930" s="1">
        <f>IFERROR(__xludf.DUMMYFUNCTION("""COMPUTED_VALUE"""),62.0)</f>
        <v>62</v>
      </c>
      <c r="D2930" s="1">
        <f>IFERROR(__xludf.DUMMYFUNCTION("""COMPUTED_VALUE"""),60.71)</f>
        <v>60.71</v>
      </c>
      <c r="E2930" s="1">
        <f>IFERROR(__xludf.DUMMYFUNCTION("""COMPUTED_VALUE"""),61.67)</f>
        <v>61.67</v>
      </c>
      <c r="F2930" s="1">
        <f>IFERROR(__xludf.DUMMYFUNCTION("""COMPUTED_VALUE"""),622903.0)</f>
        <v>622903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IFERROR(__xludf.DUMMYFUNCTION("""COMPUTED_VALUE"""),62.04)</f>
        <v>62.04</v>
      </c>
      <c r="C2931" s="1">
        <f>IFERROR(__xludf.DUMMYFUNCTION("""COMPUTED_VALUE"""),62.22)</f>
        <v>62.22</v>
      </c>
      <c r="D2931" s="1">
        <f>IFERROR(__xludf.DUMMYFUNCTION("""COMPUTED_VALUE"""),60.99)</f>
        <v>60.99</v>
      </c>
      <c r="E2931" s="1">
        <f>IFERROR(__xludf.DUMMYFUNCTION("""COMPUTED_VALUE"""),61.86)</f>
        <v>61.86</v>
      </c>
      <c r="F2931" s="1">
        <f>IFERROR(__xludf.DUMMYFUNCTION("""COMPUTED_VALUE"""),696100.0)</f>
        <v>696100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IFERROR(__xludf.DUMMYFUNCTION("""COMPUTED_VALUE"""),61.8)</f>
        <v>61.8</v>
      </c>
      <c r="C2932" s="1">
        <f>IFERROR(__xludf.DUMMYFUNCTION("""COMPUTED_VALUE"""),62.36)</f>
        <v>62.36</v>
      </c>
      <c r="D2932" s="1">
        <f>IFERROR(__xludf.DUMMYFUNCTION("""COMPUTED_VALUE"""),61.32)</f>
        <v>61.32</v>
      </c>
      <c r="E2932" s="1">
        <f>IFERROR(__xludf.DUMMYFUNCTION("""COMPUTED_VALUE"""),62.02)</f>
        <v>62.02</v>
      </c>
      <c r="F2932" s="1">
        <f>IFERROR(__xludf.DUMMYFUNCTION("""COMPUTED_VALUE"""),538073.0)</f>
        <v>538073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IFERROR(__xludf.DUMMYFUNCTION("""COMPUTED_VALUE"""),62.17)</f>
        <v>62.17</v>
      </c>
      <c r="C2933" s="1">
        <f>IFERROR(__xludf.DUMMYFUNCTION("""COMPUTED_VALUE"""),62.69)</f>
        <v>62.69</v>
      </c>
      <c r="D2933" s="1">
        <f>IFERROR(__xludf.DUMMYFUNCTION("""COMPUTED_VALUE"""),61.8)</f>
        <v>61.8</v>
      </c>
      <c r="E2933" s="1">
        <f>IFERROR(__xludf.DUMMYFUNCTION("""COMPUTED_VALUE"""),62.26)</f>
        <v>62.26</v>
      </c>
      <c r="F2933" s="1">
        <f>IFERROR(__xludf.DUMMYFUNCTION("""COMPUTED_VALUE"""),484418.0)</f>
        <v>484418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IFERROR(__xludf.DUMMYFUNCTION("""COMPUTED_VALUE"""),62.16)</f>
        <v>62.16</v>
      </c>
      <c r="C2934" s="1">
        <f>IFERROR(__xludf.DUMMYFUNCTION("""COMPUTED_VALUE"""),62.23)</f>
        <v>62.23</v>
      </c>
      <c r="D2934" s="1">
        <f>IFERROR(__xludf.DUMMYFUNCTION("""COMPUTED_VALUE"""),61.72)</f>
        <v>61.72</v>
      </c>
      <c r="E2934" s="1">
        <f>IFERROR(__xludf.DUMMYFUNCTION("""COMPUTED_VALUE"""),62.22)</f>
        <v>62.22</v>
      </c>
      <c r="F2934" s="1">
        <f>IFERROR(__xludf.DUMMYFUNCTION("""COMPUTED_VALUE"""),375217.0)</f>
        <v>375217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IFERROR(__xludf.DUMMYFUNCTION("""COMPUTED_VALUE"""),62.48)</f>
        <v>62.48</v>
      </c>
      <c r="C2935" s="1">
        <f>IFERROR(__xludf.DUMMYFUNCTION("""COMPUTED_VALUE"""),63.0)</f>
        <v>63</v>
      </c>
      <c r="D2935" s="1">
        <f>IFERROR(__xludf.DUMMYFUNCTION("""COMPUTED_VALUE"""),62.07)</f>
        <v>62.07</v>
      </c>
      <c r="E2935" s="1">
        <f>IFERROR(__xludf.DUMMYFUNCTION("""COMPUTED_VALUE"""),62.63)</f>
        <v>62.63</v>
      </c>
      <c r="F2935" s="1">
        <f>IFERROR(__xludf.DUMMYFUNCTION("""COMPUTED_VALUE"""),578968.0)</f>
        <v>578968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IFERROR(__xludf.DUMMYFUNCTION("""COMPUTED_VALUE"""),62.58)</f>
        <v>62.58</v>
      </c>
      <c r="C2936" s="1">
        <f>IFERROR(__xludf.DUMMYFUNCTION("""COMPUTED_VALUE"""),63.14)</f>
        <v>63.14</v>
      </c>
      <c r="D2936" s="1">
        <f>IFERROR(__xludf.DUMMYFUNCTION("""COMPUTED_VALUE"""),62.29)</f>
        <v>62.29</v>
      </c>
      <c r="E2936" s="1">
        <f>IFERROR(__xludf.DUMMYFUNCTION("""COMPUTED_VALUE"""),63.0)</f>
        <v>63</v>
      </c>
      <c r="F2936" s="1">
        <f>IFERROR(__xludf.DUMMYFUNCTION("""COMPUTED_VALUE"""),231150.0)</f>
        <v>231150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IFERROR(__xludf.DUMMYFUNCTION("""COMPUTED_VALUE"""),63.31)</f>
        <v>63.31</v>
      </c>
      <c r="C2937" s="1">
        <f>IFERROR(__xludf.DUMMYFUNCTION("""COMPUTED_VALUE"""),63.39)</f>
        <v>63.39</v>
      </c>
      <c r="D2937" s="1">
        <f>IFERROR(__xludf.DUMMYFUNCTION("""COMPUTED_VALUE"""),62.56)</f>
        <v>62.56</v>
      </c>
      <c r="E2937" s="1">
        <f>IFERROR(__xludf.DUMMYFUNCTION("""COMPUTED_VALUE"""),62.59)</f>
        <v>62.59</v>
      </c>
      <c r="F2937" s="1">
        <f>IFERROR(__xludf.DUMMYFUNCTION("""COMPUTED_VALUE"""),458041.0)</f>
        <v>458041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IFERROR(__xludf.DUMMYFUNCTION("""COMPUTED_VALUE"""),62.62)</f>
        <v>62.62</v>
      </c>
      <c r="C2938" s="1">
        <f>IFERROR(__xludf.DUMMYFUNCTION("""COMPUTED_VALUE"""),63.62)</f>
        <v>63.62</v>
      </c>
      <c r="D2938" s="1">
        <f>IFERROR(__xludf.DUMMYFUNCTION("""COMPUTED_VALUE"""),62.56)</f>
        <v>62.56</v>
      </c>
      <c r="E2938" s="1">
        <f>IFERROR(__xludf.DUMMYFUNCTION("""COMPUTED_VALUE"""),63.35)</f>
        <v>63.35</v>
      </c>
      <c r="F2938" s="1">
        <f>IFERROR(__xludf.DUMMYFUNCTION("""COMPUTED_VALUE"""),446659.0)</f>
        <v>446659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IFERROR(__xludf.DUMMYFUNCTION("""COMPUTED_VALUE"""),63.83)</f>
        <v>63.83</v>
      </c>
      <c r="C2939" s="1">
        <f>IFERROR(__xludf.DUMMYFUNCTION("""COMPUTED_VALUE"""),64.7)</f>
        <v>64.7</v>
      </c>
      <c r="D2939" s="1">
        <f>IFERROR(__xludf.DUMMYFUNCTION("""COMPUTED_VALUE"""),63.56)</f>
        <v>63.56</v>
      </c>
      <c r="E2939" s="1">
        <f>IFERROR(__xludf.DUMMYFUNCTION("""COMPUTED_VALUE"""),64.12)</f>
        <v>64.12</v>
      </c>
      <c r="F2939" s="1">
        <f>IFERROR(__xludf.DUMMYFUNCTION("""COMPUTED_VALUE"""),399300.0)</f>
        <v>399300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IFERROR(__xludf.DUMMYFUNCTION("""COMPUTED_VALUE"""),64.29)</f>
        <v>64.29</v>
      </c>
      <c r="C2940" s="1">
        <f>IFERROR(__xludf.DUMMYFUNCTION("""COMPUTED_VALUE"""),64.29)</f>
        <v>64.29</v>
      </c>
      <c r="D2940" s="1">
        <f>IFERROR(__xludf.DUMMYFUNCTION("""COMPUTED_VALUE"""),62.84)</f>
        <v>62.84</v>
      </c>
      <c r="E2940" s="1">
        <f>IFERROR(__xludf.DUMMYFUNCTION("""COMPUTED_VALUE"""),62.88)</f>
        <v>62.88</v>
      </c>
      <c r="F2940" s="1">
        <f>IFERROR(__xludf.DUMMYFUNCTION("""COMPUTED_VALUE"""),360234.0)</f>
        <v>360234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IFERROR(__xludf.DUMMYFUNCTION("""COMPUTED_VALUE"""),62.68)</f>
        <v>62.68</v>
      </c>
      <c r="C2941" s="1">
        <f>IFERROR(__xludf.DUMMYFUNCTION("""COMPUTED_VALUE"""),62.83)</f>
        <v>62.83</v>
      </c>
      <c r="D2941" s="1">
        <f>IFERROR(__xludf.DUMMYFUNCTION("""COMPUTED_VALUE"""),61.92)</f>
        <v>61.92</v>
      </c>
      <c r="E2941" s="1">
        <f>IFERROR(__xludf.DUMMYFUNCTION("""COMPUTED_VALUE"""),61.92)</f>
        <v>61.92</v>
      </c>
      <c r="F2941" s="1">
        <f>IFERROR(__xludf.DUMMYFUNCTION("""COMPUTED_VALUE"""),619470.0)</f>
        <v>619470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IFERROR(__xludf.DUMMYFUNCTION("""COMPUTED_VALUE"""),61.71)</f>
        <v>61.71</v>
      </c>
      <c r="C2942" s="1">
        <f>IFERROR(__xludf.DUMMYFUNCTION("""COMPUTED_VALUE"""),62.99)</f>
        <v>62.99</v>
      </c>
      <c r="D2942" s="1">
        <f>IFERROR(__xludf.DUMMYFUNCTION("""COMPUTED_VALUE"""),61.48)</f>
        <v>61.48</v>
      </c>
      <c r="E2942" s="1">
        <f>IFERROR(__xludf.DUMMYFUNCTION("""COMPUTED_VALUE"""),62.96)</f>
        <v>62.96</v>
      </c>
      <c r="F2942" s="1">
        <f>IFERROR(__xludf.DUMMYFUNCTION("""COMPUTED_VALUE"""),314071.0)</f>
        <v>314071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IFERROR(__xludf.DUMMYFUNCTION("""COMPUTED_VALUE"""),63.41)</f>
        <v>63.41</v>
      </c>
      <c r="C2943" s="1">
        <f>IFERROR(__xludf.DUMMYFUNCTION("""COMPUTED_VALUE"""),64.4)</f>
        <v>64.4</v>
      </c>
      <c r="D2943" s="1">
        <f>IFERROR(__xludf.DUMMYFUNCTION("""COMPUTED_VALUE"""),63.07)</f>
        <v>63.07</v>
      </c>
      <c r="E2943" s="1">
        <f>IFERROR(__xludf.DUMMYFUNCTION("""COMPUTED_VALUE"""),64.15)</f>
        <v>64.15</v>
      </c>
      <c r="F2943" s="1">
        <f>IFERROR(__xludf.DUMMYFUNCTION("""COMPUTED_VALUE"""),386340.0)</f>
        <v>386340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IFERROR(__xludf.DUMMYFUNCTION("""COMPUTED_VALUE"""),64.27)</f>
        <v>64.27</v>
      </c>
      <c r="C2944" s="1">
        <f>IFERROR(__xludf.DUMMYFUNCTION("""COMPUTED_VALUE"""),65.42)</f>
        <v>65.42</v>
      </c>
      <c r="D2944" s="1">
        <f>IFERROR(__xludf.DUMMYFUNCTION("""COMPUTED_VALUE"""),64.21)</f>
        <v>64.21</v>
      </c>
      <c r="E2944" s="1">
        <f>IFERROR(__xludf.DUMMYFUNCTION("""COMPUTED_VALUE"""),64.97)</f>
        <v>64.97</v>
      </c>
      <c r="F2944" s="1">
        <f>IFERROR(__xludf.DUMMYFUNCTION("""COMPUTED_VALUE"""),343158.0)</f>
        <v>343158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IFERROR(__xludf.DUMMYFUNCTION("""COMPUTED_VALUE"""),65.38)</f>
        <v>65.38</v>
      </c>
      <c r="C2945" s="1">
        <f>IFERROR(__xludf.DUMMYFUNCTION("""COMPUTED_VALUE"""),65.38)</f>
        <v>65.38</v>
      </c>
      <c r="D2945" s="1">
        <f>IFERROR(__xludf.DUMMYFUNCTION("""COMPUTED_VALUE"""),63.57)</f>
        <v>63.57</v>
      </c>
      <c r="E2945" s="1">
        <f>IFERROR(__xludf.DUMMYFUNCTION("""COMPUTED_VALUE"""),63.75)</f>
        <v>63.75</v>
      </c>
      <c r="F2945" s="1">
        <f>IFERROR(__xludf.DUMMYFUNCTION("""COMPUTED_VALUE"""),322806.0)</f>
        <v>322806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IFERROR(__xludf.DUMMYFUNCTION("""COMPUTED_VALUE"""),63.83)</f>
        <v>63.83</v>
      </c>
      <c r="C2946" s="1">
        <f>IFERROR(__xludf.DUMMYFUNCTION("""COMPUTED_VALUE"""),64.27)</f>
        <v>64.27</v>
      </c>
      <c r="D2946" s="1">
        <f>IFERROR(__xludf.DUMMYFUNCTION("""COMPUTED_VALUE"""),63.05)</f>
        <v>63.05</v>
      </c>
      <c r="E2946" s="1">
        <f>IFERROR(__xludf.DUMMYFUNCTION("""COMPUTED_VALUE"""),63.31)</f>
        <v>63.31</v>
      </c>
      <c r="F2946" s="1">
        <f>IFERROR(__xludf.DUMMYFUNCTION("""COMPUTED_VALUE"""),217940.0)</f>
        <v>217940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IFERROR(__xludf.DUMMYFUNCTION("""COMPUTED_VALUE"""),63.39)</f>
        <v>63.39</v>
      </c>
      <c r="C2947" s="1">
        <f>IFERROR(__xludf.DUMMYFUNCTION("""COMPUTED_VALUE"""),64.05)</f>
        <v>64.05</v>
      </c>
      <c r="D2947" s="1">
        <f>IFERROR(__xludf.DUMMYFUNCTION("""COMPUTED_VALUE"""),62.99)</f>
        <v>62.99</v>
      </c>
      <c r="E2947" s="1">
        <f>IFERROR(__xludf.DUMMYFUNCTION("""COMPUTED_VALUE"""),63.86)</f>
        <v>63.86</v>
      </c>
      <c r="F2947" s="1">
        <f>IFERROR(__xludf.DUMMYFUNCTION("""COMPUTED_VALUE"""),167768.0)</f>
        <v>167768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IFERROR(__xludf.DUMMYFUNCTION("""COMPUTED_VALUE"""),63.96)</f>
        <v>63.96</v>
      </c>
      <c r="C2948" s="1">
        <f>IFERROR(__xludf.DUMMYFUNCTION("""COMPUTED_VALUE"""),64.22)</f>
        <v>64.22</v>
      </c>
      <c r="D2948" s="1">
        <f>IFERROR(__xludf.DUMMYFUNCTION("""COMPUTED_VALUE"""),62.86)</f>
        <v>62.86</v>
      </c>
      <c r="E2948" s="1">
        <f>IFERROR(__xludf.DUMMYFUNCTION("""COMPUTED_VALUE"""),62.94)</f>
        <v>62.94</v>
      </c>
      <c r="F2948" s="1">
        <f>IFERROR(__xludf.DUMMYFUNCTION("""COMPUTED_VALUE"""),240332.0)</f>
        <v>240332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IFERROR(__xludf.DUMMYFUNCTION("""COMPUTED_VALUE"""),62.9)</f>
        <v>62.9</v>
      </c>
      <c r="C2949" s="1">
        <f>IFERROR(__xludf.DUMMYFUNCTION("""COMPUTED_VALUE"""),62.93)</f>
        <v>62.93</v>
      </c>
      <c r="D2949" s="1">
        <f>IFERROR(__xludf.DUMMYFUNCTION("""COMPUTED_VALUE"""),61.4)</f>
        <v>61.4</v>
      </c>
      <c r="E2949" s="1">
        <f>IFERROR(__xludf.DUMMYFUNCTION("""COMPUTED_VALUE"""),61.57)</f>
        <v>61.57</v>
      </c>
      <c r="F2949" s="1">
        <f>IFERROR(__xludf.DUMMYFUNCTION("""COMPUTED_VALUE"""),1025286.0)</f>
        <v>1025286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IFERROR(__xludf.DUMMYFUNCTION("""COMPUTED_VALUE"""),60.01)</f>
        <v>60.01</v>
      </c>
      <c r="C2950" s="1">
        <f>IFERROR(__xludf.DUMMYFUNCTION("""COMPUTED_VALUE"""),61.5)</f>
        <v>61.5</v>
      </c>
      <c r="D2950" s="1">
        <f>IFERROR(__xludf.DUMMYFUNCTION("""COMPUTED_VALUE"""),59.95)</f>
        <v>59.95</v>
      </c>
      <c r="E2950" s="1">
        <f>IFERROR(__xludf.DUMMYFUNCTION("""COMPUTED_VALUE"""),61.41)</f>
        <v>61.41</v>
      </c>
      <c r="F2950" s="1">
        <f>IFERROR(__xludf.DUMMYFUNCTION("""COMPUTED_VALUE"""),639855.0)</f>
        <v>639855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IFERROR(__xludf.DUMMYFUNCTION("""COMPUTED_VALUE"""),61.41)</f>
        <v>61.41</v>
      </c>
      <c r="C2951" s="1">
        <f>IFERROR(__xludf.DUMMYFUNCTION("""COMPUTED_VALUE"""),61.81)</f>
        <v>61.81</v>
      </c>
      <c r="D2951" s="1">
        <f>IFERROR(__xludf.DUMMYFUNCTION("""COMPUTED_VALUE"""),60.54)</f>
        <v>60.54</v>
      </c>
      <c r="E2951" s="1">
        <f>IFERROR(__xludf.DUMMYFUNCTION("""COMPUTED_VALUE"""),61.17)</f>
        <v>61.17</v>
      </c>
      <c r="F2951" s="1">
        <f>IFERROR(__xludf.DUMMYFUNCTION("""COMPUTED_VALUE"""),532184.0)</f>
        <v>532184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IFERROR(__xludf.DUMMYFUNCTION("""COMPUTED_VALUE"""),61.5)</f>
        <v>61.5</v>
      </c>
      <c r="C2952" s="1">
        <f>IFERROR(__xludf.DUMMYFUNCTION("""COMPUTED_VALUE"""),62.78)</f>
        <v>62.78</v>
      </c>
      <c r="D2952" s="1">
        <f>IFERROR(__xludf.DUMMYFUNCTION("""COMPUTED_VALUE"""),61.0)</f>
        <v>61</v>
      </c>
      <c r="E2952" s="1">
        <f>IFERROR(__xludf.DUMMYFUNCTION("""COMPUTED_VALUE"""),62.42)</f>
        <v>62.42</v>
      </c>
      <c r="F2952" s="1">
        <f>IFERROR(__xludf.DUMMYFUNCTION("""COMPUTED_VALUE"""),362971.0)</f>
        <v>362971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IFERROR(__xludf.DUMMYFUNCTION("""COMPUTED_VALUE"""),62.9)</f>
        <v>62.9</v>
      </c>
      <c r="C2953" s="1">
        <f>IFERROR(__xludf.DUMMYFUNCTION("""COMPUTED_VALUE"""),63.18)</f>
        <v>63.18</v>
      </c>
      <c r="D2953" s="1">
        <f>IFERROR(__xludf.DUMMYFUNCTION("""COMPUTED_VALUE"""),62.46)</f>
        <v>62.46</v>
      </c>
      <c r="E2953" s="1">
        <f>IFERROR(__xludf.DUMMYFUNCTION("""COMPUTED_VALUE"""),62.56)</f>
        <v>62.56</v>
      </c>
      <c r="F2953" s="1">
        <f>IFERROR(__xludf.DUMMYFUNCTION("""COMPUTED_VALUE"""),350474.0)</f>
        <v>350474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IFERROR(__xludf.DUMMYFUNCTION("""COMPUTED_VALUE"""),61.85)</f>
        <v>61.85</v>
      </c>
      <c r="C2954" s="1">
        <f>IFERROR(__xludf.DUMMYFUNCTION("""COMPUTED_VALUE"""),62.23)</f>
        <v>62.23</v>
      </c>
      <c r="D2954" s="1">
        <f>IFERROR(__xludf.DUMMYFUNCTION("""COMPUTED_VALUE"""),61.5)</f>
        <v>61.5</v>
      </c>
      <c r="E2954" s="1">
        <f>IFERROR(__xludf.DUMMYFUNCTION("""COMPUTED_VALUE"""),61.98)</f>
        <v>61.98</v>
      </c>
      <c r="F2954" s="1">
        <f>IFERROR(__xludf.DUMMYFUNCTION("""COMPUTED_VALUE"""),365208.0)</f>
        <v>365208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IFERROR(__xludf.DUMMYFUNCTION("""COMPUTED_VALUE"""),61.86)</f>
        <v>61.86</v>
      </c>
      <c r="C2955" s="1">
        <f>IFERROR(__xludf.DUMMYFUNCTION("""COMPUTED_VALUE"""),62.33)</f>
        <v>62.33</v>
      </c>
      <c r="D2955" s="1">
        <f>IFERROR(__xludf.DUMMYFUNCTION("""COMPUTED_VALUE"""),61.39)</f>
        <v>61.39</v>
      </c>
      <c r="E2955" s="1">
        <f>IFERROR(__xludf.DUMMYFUNCTION("""COMPUTED_VALUE"""),62.18)</f>
        <v>62.18</v>
      </c>
      <c r="F2955" s="1">
        <f>IFERROR(__xludf.DUMMYFUNCTION("""COMPUTED_VALUE"""),330975.0)</f>
        <v>330975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IFERROR(__xludf.DUMMYFUNCTION("""COMPUTED_VALUE"""),61.39)</f>
        <v>61.39</v>
      </c>
      <c r="C2956" s="1">
        <f>IFERROR(__xludf.DUMMYFUNCTION("""COMPUTED_VALUE"""),61.86)</f>
        <v>61.86</v>
      </c>
      <c r="D2956" s="1">
        <f>IFERROR(__xludf.DUMMYFUNCTION("""COMPUTED_VALUE"""),60.54)</f>
        <v>60.54</v>
      </c>
      <c r="E2956" s="1">
        <f>IFERROR(__xludf.DUMMYFUNCTION("""COMPUTED_VALUE"""),60.9)</f>
        <v>60.9</v>
      </c>
      <c r="F2956" s="1">
        <f>IFERROR(__xludf.DUMMYFUNCTION("""COMPUTED_VALUE"""),431414.0)</f>
        <v>431414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IFERROR(__xludf.DUMMYFUNCTION("""COMPUTED_VALUE"""),61.18)</f>
        <v>61.18</v>
      </c>
      <c r="C2957" s="1">
        <f>IFERROR(__xludf.DUMMYFUNCTION("""COMPUTED_VALUE"""),61.92)</f>
        <v>61.92</v>
      </c>
      <c r="D2957" s="1">
        <f>IFERROR(__xludf.DUMMYFUNCTION("""COMPUTED_VALUE"""),60.9)</f>
        <v>60.9</v>
      </c>
      <c r="E2957" s="1">
        <f>IFERROR(__xludf.DUMMYFUNCTION("""COMPUTED_VALUE"""),61.49)</f>
        <v>61.49</v>
      </c>
      <c r="F2957" s="1">
        <f>IFERROR(__xludf.DUMMYFUNCTION("""COMPUTED_VALUE"""),211923.0)</f>
        <v>211923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IFERROR(__xludf.DUMMYFUNCTION("""COMPUTED_VALUE"""),61.81)</f>
        <v>61.81</v>
      </c>
      <c r="C2958" s="1">
        <f>IFERROR(__xludf.DUMMYFUNCTION("""COMPUTED_VALUE"""),62.37)</f>
        <v>62.37</v>
      </c>
      <c r="D2958" s="1">
        <f>IFERROR(__xludf.DUMMYFUNCTION("""COMPUTED_VALUE"""),61.38)</f>
        <v>61.38</v>
      </c>
      <c r="E2958" s="1">
        <f>IFERROR(__xludf.DUMMYFUNCTION("""COMPUTED_VALUE"""),61.66)</f>
        <v>61.66</v>
      </c>
      <c r="F2958" s="1">
        <f>IFERROR(__xludf.DUMMYFUNCTION("""COMPUTED_VALUE"""),325663.0)</f>
        <v>325663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IFERROR(__xludf.DUMMYFUNCTION("""COMPUTED_VALUE"""),61.41)</f>
        <v>61.41</v>
      </c>
      <c r="C2959" s="1">
        <f>IFERROR(__xludf.DUMMYFUNCTION("""COMPUTED_VALUE"""),61.94)</f>
        <v>61.94</v>
      </c>
      <c r="D2959" s="1">
        <f>IFERROR(__xludf.DUMMYFUNCTION("""COMPUTED_VALUE"""),60.97)</f>
        <v>60.97</v>
      </c>
      <c r="E2959" s="1">
        <f>IFERROR(__xludf.DUMMYFUNCTION("""COMPUTED_VALUE"""),61.59)</f>
        <v>61.59</v>
      </c>
      <c r="F2959" s="1">
        <f>IFERROR(__xludf.DUMMYFUNCTION("""COMPUTED_VALUE"""),332112.0)</f>
        <v>332112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IFERROR(__xludf.DUMMYFUNCTION("""COMPUTED_VALUE"""),61.66)</f>
        <v>61.66</v>
      </c>
      <c r="C2960" s="1">
        <f>IFERROR(__xludf.DUMMYFUNCTION("""COMPUTED_VALUE"""),62.28)</f>
        <v>62.28</v>
      </c>
      <c r="D2960" s="1">
        <f>IFERROR(__xludf.DUMMYFUNCTION("""COMPUTED_VALUE"""),61.06)</f>
        <v>61.06</v>
      </c>
      <c r="E2960" s="1">
        <f>IFERROR(__xludf.DUMMYFUNCTION("""COMPUTED_VALUE"""),62.12)</f>
        <v>62.12</v>
      </c>
      <c r="F2960" s="1">
        <f>IFERROR(__xludf.DUMMYFUNCTION("""COMPUTED_VALUE"""),490943.0)</f>
        <v>490943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IFERROR(__xludf.DUMMYFUNCTION("""COMPUTED_VALUE"""),62.4)</f>
        <v>62.4</v>
      </c>
      <c r="C2961" s="1">
        <f>IFERROR(__xludf.DUMMYFUNCTION("""COMPUTED_VALUE"""),63.76)</f>
        <v>63.76</v>
      </c>
      <c r="D2961" s="1">
        <f>IFERROR(__xludf.DUMMYFUNCTION("""COMPUTED_VALUE"""),61.93)</f>
        <v>61.93</v>
      </c>
      <c r="E2961" s="1">
        <f>IFERROR(__xludf.DUMMYFUNCTION("""COMPUTED_VALUE"""),63.45)</f>
        <v>63.45</v>
      </c>
      <c r="F2961" s="1">
        <f>IFERROR(__xludf.DUMMYFUNCTION("""COMPUTED_VALUE"""),471904.0)</f>
        <v>471904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IFERROR(__xludf.DUMMYFUNCTION("""COMPUTED_VALUE"""),63.0)</f>
        <v>63</v>
      </c>
      <c r="C2962" s="1">
        <f>IFERROR(__xludf.DUMMYFUNCTION("""COMPUTED_VALUE"""),63.64)</f>
        <v>63.64</v>
      </c>
      <c r="D2962" s="1">
        <f>IFERROR(__xludf.DUMMYFUNCTION("""COMPUTED_VALUE"""),62.27)</f>
        <v>62.27</v>
      </c>
      <c r="E2962" s="1">
        <f>IFERROR(__xludf.DUMMYFUNCTION("""COMPUTED_VALUE"""),62.86)</f>
        <v>62.86</v>
      </c>
      <c r="F2962" s="1">
        <f>IFERROR(__xludf.DUMMYFUNCTION("""COMPUTED_VALUE"""),279471.0)</f>
        <v>279471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IFERROR(__xludf.DUMMYFUNCTION("""COMPUTED_VALUE"""),63.38)</f>
        <v>63.38</v>
      </c>
      <c r="C2963" s="1">
        <f>IFERROR(__xludf.DUMMYFUNCTION("""COMPUTED_VALUE"""),65.06)</f>
        <v>65.06</v>
      </c>
      <c r="D2963" s="1">
        <f>IFERROR(__xludf.DUMMYFUNCTION("""COMPUTED_VALUE"""),63.36)</f>
        <v>63.36</v>
      </c>
      <c r="E2963" s="1">
        <f>IFERROR(__xludf.DUMMYFUNCTION("""COMPUTED_VALUE"""),64.25)</f>
        <v>64.25</v>
      </c>
      <c r="F2963" s="1">
        <f>IFERROR(__xludf.DUMMYFUNCTION("""COMPUTED_VALUE"""),355009.0)</f>
        <v>355009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IFERROR(__xludf.DUMMYFUNCTION("""COMPUTED_VALUE"""),64.29)</f>
        <v>64.29</v>
      </c>
      <c r="C2964" s="1">
        <f>IFERROR(__xludf.DUMMYFUNCTION("""COMPUTED_VALUE"""),64.67)</f>
        <v>64.67</v>
      </c>
      <c r="D2964" s="1">
        <f>IFERROR(__xludf.DUMMYFUNCTION("""COMPUTED_VALUE"""),63.59)</f>
        <v>63.59</v>
      </c>
      <c r="E2964" s="1">
        <f>IFERROR(__xludf.DUMMYFUNCTION("""COMPUTED_VALUE"""),63.66)</f>
        <v>63.66</v>
      </c>
      <c r="F2964" s="1">
        <f>IFERROR(__xludf.DUMMYFUNCTION("""COMPUTED_VALUE"""),276991.0)</f>
        <v>276991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IFERROR(__xludf.DUMMYFUNCTION("""COMPUTED_VALUE"""),63.77)</f>
        <v>63.77</v>
      </c>
      <c r="C2965" s="1">
        <f>IFERROR(__xludf.DUMMYFUNCTION("""COMPUTED_VALUE"""),64.36)</f>
        <v>64.36</v>
      </c>
      <c r="D2965" s="1">
        <f>IFERROR(__xludf.DUMMYFUNCTION("""COMPUTED_VALUE"""),63.24)</f>
        <v>63.24</v>
      </c>
      <c r="E2965" s="1">
        <f>IFERROR(__xludf.DUMMYFUNCTION("""COMPUTED_VALUE"""),63.27)</f>
        <v>63.27</v>
      </c>
      <c r="F2965" s="1">
        <f>IFERROR(__xludf.DUMMYFUNCTION("""COMPUTED_VALUE"""),111157.0)</f>
        <v>111157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IFERROR(__xludf.DUMMYFUNCTION("""COMPUTED_VALUE"""),63.36)</f>
        <v>63.36</v>
      </c>
      <c r="C2966" s="1">
        <f>IFERROR(__xludf.DUMMYFUNCTION("""COMPUTED_VALUE"""),64.45)</f>
        <v>64.45</v>
      </c>
      <c r="D2966" s="1">
        <f>IFERROR(__xludf.DUMMYFUNCTION("""COMPUTED_VALUE"""),63.26)</f>
        <v>63.26</v>
      </c>
      <c r="E2966" s="1">
        <f>IFERROR(__xludf.DUMMYFUNCTION("""COMPUTED_VALUE"""),63.57)</f>
        <v>63.57</v>
      </c>
      <c r="F2966" s="1">
        <f>IFERROR(__xludf.DUMMYFUNCTION("""COMPUTED_VALUE"""),475308.0)</f>
        <v>475308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IFERROR(__xludf.DUMMYFUNCTION("""COMPUTED_VALUE"""),63.98)</f>
        <v>63.98</v>
      </c>
      <c r="C2967" s="1">
        <f>IFERROR(__xludf.DUMMYFUNCTION("""COMPUTED_VALUE"""),65.05)</f>
        <v>65.05</v>
      </c>
      <c r="D2967" s="1">
        <f>IFERROR(__xludf.DUMMYFUNCTION("""COMPUTED_VALUE"""),63.88)</f>
        <v>63.88</v>
      </c>
      <c r="E2967" s="1">
        <f>IFERROR(__xludf.DUMMYFUNCTION("""COMPUTED_VALUE"""),64.88)</f>
        <v>64.88</v>
      </c>
      <c r="F2967" s="1">
        <f>IFERROR(__xludf.DUMMYFUNCTION("""COMPUTED_VALUE"""),237182.0)</f>
        <v>237182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IFERROR(__xludf.DUMMYFUNCTION("""COMPUTED_VALUE"""),65.5)</f>
        <v>65.5</v>
      </c>
      <c r="C2968" s="1">
        <f>IFERROR(__xludf.DUMMYFUNCTION("""COMPUTED_VALUE"""),66.17)</f>
        <v>66.17</v>
      </c>
      <c r="D2968" s="1">
        <f>IFERROR(__xludf.DUMMYFUNCTION("""COMPUTED_VALUE"""),65.42)</f>
        <v>65.42</v>
      </c>
      <c r="E2968" s="1">
        <f>IFERROR(__xludf.DUMMYFUNCTION("""COMPUTED_VALUE"""),66.12)</f>
        <v>66.12</v>
      </c>
      <c r="F2968" s="1">
        <f>IFERROR(__xludf.DUMMYFUNCTION("""COMPUTED_VALUE"""),169672.0)</f>
        <v>169672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IFERROR(__xludf.DUMMYFUNCTION("""COMPUTED_VALUE"""),66.31)</f>
        <v>66.31</v>
      </c>
      <c r="C2969" s="1">
        <f>IFERROR(__xludf.DUMMYFUNCTION("""COMPUTED_VALUE"""),67.05)</f>
        <v>67.05</v>
      </c>
      <c r="D2969" s="1">
        <f>IFERROR(__xludf.DUMMYFUNCTION("""COMPUTED_VALUE"""),66.1)</f>
        <v>66.1</v>
      </c>
      <c r="E2969" s="1">
        <f>IFERROR(__xludf.DUMMYFUNCTION("""COMPUTED_VALUE"""),66.6)</f>
        <v>66.6</v>
      </c>
      <c r="F2969" s="1">
        <f>IFERROR(__xludf.DUMMYFUNCTION("""COMPUTED_VALUE"""),272842.0)</f>
        <v>272842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IFERROR(__xludf.DUMMYFUNCTION("""COMPUTED_VALUE"""),66.31)</f>
        <v>66.31</v>
      </c>
      <c r="C2970" s="1">
        <f>IFERROR(__xludf.DUMMYFUNCTION("""COMPUTED_VALUE"""),67.45)</f>
        <v>67.45</v>
      </c>
      <c r="D2970" s="1">
        <f>IFERROR(__xludf.DUMMYFUNCTION("""COMPUTED_VALUE"""),66.0)</f>
        <v>66</v>
      </c>
      <c r="E2970" s="1">
        <f>IFERROR(__xludf.DUMMYFUNCTION("""COMPUTED_VALUE"""),67.38)</f>
        <v>67.38</v>
      </c>
      <c r="F2970" s="1">
        <f>IFERROR(__xludf.DUMMYFUNCTION("""COMPUTED_VALUE"""),330988.0)</f>
        <v>330988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IFERROR(__xludf.DUMMYFUNCTION("""COMPUTED_VALUE"""),67.65)</f>
        <v>67.65</v>
      </c>
      <c r="C2971" s="1">
        <f>IFERROR(__xludf.DUMMYFUNCTION("""COMPUTED_VALUE"""),68.09)</f>
        <v>68.09</v>
      </c>
      <c r="D2971" s="1">
        <f>IFERROR(__xludf.DUMMYFUNCTION("""COMPUTED_VALUE"""),67.04)</f>
        <v>67.04</v>
      </c>
      <c r="E2971" s="1">
        <f>IFERROR(__xludf.DUMMYFUNCTION("""COMPUTED_VALUE"""),67.99)</f>
        <v>67.99</v>
      </c>
      <c r="F2971" s="1">
        <f>IFERROR(__xludf.DUMMYFUNCTION("""COMPUTED_VALUE"""),362790.0)</f>
        <v>362790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IFERROR(__xludf.DUMMYFUNCTION("""COMPUTED_VALUE"""),68.3)</f>
        <v>68.3</v>
      </c>
      <c r="C2972" s="1">
        <f>IFERROR(__xludf.DUMMYFUNCTION("""COMPUTED_VALUE"""),68.46)</f>
        <v>68.46</v>
      </c>
      <c r="D2972" s="1">
        <f>IFERROR(__xludf.DUMMYFUNCTION("""COMPUTED_VALUE"""),67.12)</f>
        <v>67.12</v>
      </c>
      <c r="E2972" s="1">
        <f>IFERROR(__xludf.DUMMYFUNCTION("""COMPUTED_VALUE"""),67.26)</f>
        <v>67.26</v>
      </c>
      <c r="F2972" s="1">
        <f>IFERROR(__xludf.DUMMYFUNCTION("""COMPUTED_VALUE"""),521676.0)</f>
        <v>521676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IFERROR(__xludf.DUMMYFUNCTION("""COMPUTED_VALUE"""),67.41)</f>
        <v>67.41</v>
      </c>
      <c r="C2973" s="1">
        <f>IFERROR(__xludf.DUMMYFUNCTION("""COMPUTED_VALUE"""),67.57)</f>
        <v>67.57</v>
      </c>
      <c r="D2973" s="1">
        <f>IFERROR(__xludf.DUMMYFUNCTION("""COMPUTED_VALUE"""),66.71)</f>
        <v>66.71</v>
      </c>
      <c r="E2973" s="1">
        <f>IFERROR(__xludf.DUMMYFUNCTION("""COMPUTED_VALUE"""),67.29)</f>
        <v>67.29</v>
      </c>
      <c r="F2973" s="1">
        <f>IFERROR(__xludf.DUMMYFUNCTION("""COMPUTED_VALUE"""),290889.0)</f>
        <v>290889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IFERROR(__xludf.DUMMYFUNCTION("""COMPUTED_VALUE"""),67.23)</f>
        <v>67.23</v>
      </c>
      <c r="C2974" s="1">
        <f>IFERROR(__xludf.DUMMYFUNCTION("""COMPUTED_VALUE"""),67.85)</f>
        <v>67.85</v>
      </c>
      <c r="D2974" s="1">
        <f>IFERROR(__xludf.DUMMYFUNCTION("""COMPUTED_VALUE"""),66.86)</f>
        <v>66.86</v>
      </c>
      <c r="E2974" s="1">
        <f>IFERROR(__xludf.DUMMYFUNCTION("""COMPUTED_VALUE"""),67.54)</f>
        <v>67.54</v>
      </c>
      <c r="F2974" s="1">
        <f>IFERROR(__xludf.DUMMYFUNCTION("""COMPUTED_VALUE"""),422571.0)</f>
        <v>422571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IFERROR(__xludf.DUMMYFUNCTION("""COMPUTED_VALUE"""),67.44)</f>
        <v>67.44</v>
      </c>
      <c r="C2975" s="1">
        <f>IFERROR(__xludf.DUMMYFUNCTION("""COMPUTED_VALUE"""),68.77)</f>
        <v>68.77</v>
      </c>
      <c r="D2975" s="1">
        <f>IFERROR(__xludf.DUMMYFUNCTION("""COMPUTED_VALUE"""),67.2)</f>
        <v>67.2</v>
      </c>
      <c r="E2975" s="1">
        <f>IFERROR(__xludf.DUMMYFUNCTION("""COMPUTED_VALUE"""),68.55)</f>
        <v>68.55</v>
      </c>
      <c r="F2975" s="1">
        <f>IFERROR(__xludf.DUMMYFUNCTION("""COMPUTED_VALUE"""),309216.0)</f>
        <v>309216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IFERROR(__xludf.DUMMYFUNCTION("""COMPUTED_VALUE"""),68.63)</f>
        <v>68.63</v>
      </c>
      <c r="C2976" s="1">
        <f>IFERROR(__xludf.DUMMYFUNCTION("""COMPUTED_VALUE"""),68.63)</f>
        <v>68.63</v>
      </c>
      <c r="D2976" s="1">
        <f>IFERROR(__xludf.DUMMYFUNCTION("""COMPUTED_VALUE"""),67.52)</f>
        <v>67.52</v>
      </c>
      <c r="E2976" s="1">
        <f>IFERROR(__xludf.DUMMYFUNCTION("""COMPUTED_VALUE"""),67.76)</f>
        <v>67.76</v>
      </c>
      <c r="F2976" s="1">
        <f>IFERROR(__xludf.DUMMYFUNCTION("""COMPUTED_VALUE"""),530805.0)</f>
        <v>530805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IFERROR(__xludf.DUMMYFUNCTION("""COMPUTED_VALUE"""),67.77)</f>
        <v>67.77</v>
      </c>
      <c r="C2977" s="1">
        <f>IFERROR(__xludf.DUMMYFUNCTION("""COMPUTED_VALUE"""),68.1)</f>
        <v>68.1</v>
      </c>
      <c r="D2977" s="1">
        <f>IFERROR(__xludf.DUMMYFUNCTION("""COMPUTED_VALUE"""),66.92)</f>
        <v>66.92</v>
      </c>
      <c r="E2977" s="1">
        <f>IFERROR(__xludf.DUMMYFUNCTION("""COMPUTED_VALUE"""),67.3)</f>
        <v>67.3</v>
      </c>
      <c r="F2977" s="1">
        <f>IFERROR(__xludf.DUMMYFUNCTION("""COMPUTED_VALUE"""),570613.0)</f>
        <v>570613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IFERROR(__xludf.DUMMYFUNCTION("""COMPUTED_VALUE"""),67.49)</f>
        <v>67.49</v>
      </c>
      <c r="C2978" s="1">
        <f>IFERROR(__xludf.DUMMYFUNCTION("""COMPUTED_VALUE"""),68.12)</f>
        <v>68.12</v>
      </c>
      <c r="D2978" s="1">
        <f>IFERROR(__xludf.DUMMYFUNCTION("""COMPUTED_VALUE"""),67.04)</f>
        <v>67.04</v>
      </c>
      <c r="E2978" s="1">
        <f>IFERROR(__xludf.DUMMYFUNCTION("""COMPUTED_VALUE"""),68.0)</f>
        <v>68</v>
      </c>
      <c r="F2978" s="1">
        <f>IFERROR(__xludf.DUMMYFUNCTION("""COMPUTED_VALUE"""),254621.0)</f>
        <v>254621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IFERROR(__xludf.DUMMYFUNCTION("""COMPUTED_VALUE"""),67.87)</f>
        <v>67.87</v>
      </c>
      <c r="C2979" s="1">
        <f>IFERROR(__xludf.DUMMYFUNCTION("""COMPUTED_VALUE"""),68.6)</f>
        <v>68.6</v>
      </c>
      <c r="D2979" s="1">
        <f>IFERROR(__xludf.DUMMYFUNCTION("""COMPUTED_VALUE"""),67.72)</f>
        <v>67.72</v>
      </c>
      <c r="E2979" s="1">
        <f>IFERROR(__xludf.DUMMYFUNCTION("""COMPUTED_VALUE"""),68.35)</f>
        <v>68.35</v>
      </c>
      <c r="F2979" s="1">
        <f>IFERROR(__xludf.DUMMYFUNCTION("""COMPUTED_VALUE"""),269525.0)</f>
        <v>269525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IFERROR(__xludf.DUMMYFUNCTION("""COMPUTED_VALUE"""),68.36)</f>
        <v>68.36</v>
      </c>
      <c r="C2980" s="1">
        <f>IFERROR(__xludf.DUMMYFUNCTION("""COMPUTED_VALUE"""),68.72)</f>
        <v>68.72</v>
      </c>
      <c r="D2980" s="1">
        <f>IFERROR(__xludf.DUMMYFUNCTION("""COMPUTED_VALUE"""),67.95)</f>
        <v>67.95</v>
      </c>
      <c r="E2980" s="1">
        <f>IFERROR(__xludf.DUMMYFUNCTION("""COMPUTED_VALUE"""),68.34)</f>
        <v>68.34</v>
      </c>
      <c r="F2980" s="1">
        <f>IFERROR(__xludf.DUMMYFUNCTION("""COMPUTED_VALUE"""),187223.0)</f>
        <v>187223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IFERROR(__xludf.DUMMYFUNCTION("""COMPUTED_VALUE"""),67.93)</f>
        <v>67.93</v>
      </c>
      <c r="C2981" s="1">
        <f>IFERROR(__xludf.DUMMYFUNCTION("""COMPUTED_VALUE"""),69.9)</f>
        <v>69.9</v>
      </c>
      <c r="D2981" s="1">
        <f>IFERROR(__xludf.DUMMYFUNCTION("""COMPUTED_VALUE"""),67.17)</f>
        <v>67.17</v>
      </c>
      <c r="E2981" s="1">
        <f>IFERROR(__xludf.DUMMYFUNCTION("""COMPUTED_VALUE"""),68.39)</f>
        <v>68.39</v>
      </c>
      <c r="F2981" s="1">
        <f>IFERROR(__xludf.DUMMYFUNCTION("""COMPUTED_VALUE"""),450682.0)</f>
        <v>450682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IFERROR(__xludf.DUMMYFUNCTION("""COMPUTED_VALUE"""),68.49)</f>
        <v>68.49</v>
      </c>
      <c r="C2982" s="1">
        <f>IFERROR(__xludf.DUMMYFUNCTION("""COMPUTED_VALUE"""),68.61)</f>
        <v>68.61</v>
      </c>
      <c r="D2982" s="1">
        <f>IFERROR(__xludf.DUMMYFUNCTION("""COMPUTED_VALUE"""),67.39)</f>
        <v>67.39</v>
      </c>
      <c r="E2982" s="1">
        <f>IFERROR(__xludf.DUMMYFUNCTION("""COMPUTED_VALUE"""),68.02)</f>
        <v>68.02</v>
      </c>
      <c r="F2982" s="1">
        <f>IFERROR(__xludf.DUMMYFUNCTION("""COMPUTED_VALUE"""),507933.0)</f>
        <v>507933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IFERROR(__xludf.DUMMYFUNCTION("""COMPUTED_VALUE"""),68.18)</f>
        <v>68.18</v>
      </c>
      <c r="C2983" s="1">
        <f>IFERROR(__xludf.DUMMYFUNCTION("""COMPUTED_VALUE"""),69.03)</f>
        <v>69.03</v>
      </c>
      <c r="D2983" s="1">
        <f>IFERROR(__xludf.DUMMYFUNCTION("""COMPUTED_VALUE"""),67.43)</f>
        <v>67.43</v>
      </c>
      <c r="E2983" s="1">
        <f>IFERROR(__xludf.DUMMYFUNCTION("""COMPUTED_VALUE"""),68.82)</f>
        <v>68.82</v>
      </c>
      <c r="F2983" s="1">
        <f>IFERROR(__xludf.DUMMYFUNCTION("""COMPUTED_VALUE"""),558234.0)</f>
        <v>558234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IFERROR(__xludf.DUMMYFUNCTION("""COMPUTED_VALUE"""),69.5)</f>
        <v>69.5</v>
      </c>
      <c r="C2984" s="1">
        <f>IFERROR(__xludf.DUMMYFUNCTION("""COMPUTED_VALUE"""),76.18)</f>
        <v>76.18</v>
      </c>
      <c r="D2984" s="1">
        <f>IFERROR(__xludf.DUMMYFUNCTION("""COMPUTED_VALUE"""),69.29)</f>
        <v>69.29</v>
      </c>
      <c r="E2984" s="1">
        <f>IFERROR(__xludf.DUMMYFUNCTION("""COMPUTED_VALUE"""),74.49)</f>
        <v>74.49</v>
      </c>
      <c r="F2984" s="1">
        <f>IFERROR(__xludf.DUMMYFUNCTION("""COMPUTED_VALUE"""),1232264.0)</f>
        <v>1232264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IFERROR(__xludf.DUMMYFUNCTION("""COMPUTED_VALUE"""),74.03)</f>
        <v>74.03</v>
      </c>
      <c r="C2985" s="1">
        <f>IFERROR(__xludf.DUMMYFUNCTION("""COMPUTED_VALUE"""),74.08)</f>
        <v>74.08</v>
      </c>
      <c r="D2985" s="1">
        <f>IFERROR(__xludf.DUMMYFUNCTION("""COMPUTED_VALUE"""),70.1)</f>
        <v>70.1</v>
      </c>
      <c r="E2985" s="1">
        <f>IFERROR(__xludf.DUMMYFUNCTION("""COMPUTED_VALUE"""),70.72)</f>
        <v>70.72</v>
      </c>
      <c r="F2985" s="1">
        <f>IFERROR(__xludf.DUMMYFUNCTION("""COMPUTED_VALUE"""),742308.0)</f>
        <v>742308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IFERROR(__xludf.DUMMYFUNCTION("""COMPUTED_VALUE"""),70.72)</f>
        <v>70.72</v>
      </c>
      <c r="C2986" s="1">
        <f>IFERROR(__xludf.DUMMYFUNCTION("""COMPUTED_VALUE"""),71.02)</f>
        <v>71.02</v>
      </c>
      <c r="D2986" s="1">
        <f>IFERROR(__xludf.DUMMYFUNCTION("""COMPUTED_VALUE"""),69.91)</f>
        <v>69.91</v>
      </c>
      <c r="E2986" s="1">
        <f>IFERROR(__xludf.DUMMYFUNCTION("""COMPUTED_VALUE"""),70.69)</f>
        <v>70.69</v>
      </c>
      <c r="F2986" s="1">
        <f>IFERROR(__xludf.DUMMYFUNCTION("""COMPUTED_VALUE"""),417157.0)</f>
        <v>417157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IFERROR(__xludf.DUMMYFUNCTION("""COMPUTED_VALUE"""),70.59)</f>
        <v>70.59</v>
      </c>
      <c r="C2987" s="1">
        <f>IFERROR(__xludf.DUMMYFUNCTION("""COMPUTED_VALUE"""),71.93)</f>
        <v>71.93</v>
      </c>
      <c r="D2987" s="1">
        <f>IFERROR(__xludf.DUMMYFUNCTION("""COMPUTED_VALUE"""),70.36)</f>
        <v>70.36</v>
      </c>
      <c r="E2987" s="1">
        <f>IFERROR(__xludf.DUMMYFUNCTION("""COMPUTED_VALUE"""),70.58)</f>
        <v>70.58</v>
      </c>
      <c r="F2987" s="1">
        <f>IFERROR(__xludf.DUMMYFUNCTION("""COMPUTED_VALUE"""),358311.0)</f>
        <v>358311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IFERROR(__xludf.DUMMYFUNCTION("""COMPUTED_VALUE"""),70.76)</f>
        <v>70.76</v>
      </c>
      <c r="C2988" s="1">
        <f>IFERROR(__xludf.DUMMYFUNCTION("""COMPUTED_VALUE"""),70.9)</f>
        <v>70.9</v>
      </c>
      <c r="D2988" s="1">
        <f>IFERROR(__xludf.DUMMYFUNCTION("""COMPUTED_VALUE"""),70.0)</f>
        <v>70</v>
      </c>
      <c r="E2988" s="1">
        <f>IFERROR(__xludf.DUMMYFUNCTION("""COMPUTED_VALUE"""),70.26)</f>
        <v>70.26</v>
      </c>
      <c r="F2988" s="1">
        <f>IFERROR(__xludf.DUMMYFUNCTION("""COMPUTED_VALUE"""),209161.0)</f>
        <v>209161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IFERROR(__xludf.DUMMYFUNCTION("""COMPUTED_VALUE"""),70.26)</f>
        <v>70.26</v>
      </c>
      <c r="C2989" s="1">
        <f>IFERROR(__xludf.DUMMYFUNCTION("""COMPUTED_VALUE"""),71.51)</f>
        <v>71.51</v>
      </c>
      <c r="D2989" s="1">
        <f>IFERROR(__xludf.DUMMYFUNCTION("""COMPUTED_VALUE"""),70.26)</f>
        <v>70.26</v>
      </c>
      <c r="E2989" s="1">
        <f>IFERROR(__xludf.DUMMYFUNCTION("""COMPUTED_VALUE"""),70.99)</f>
        <v>70.99</v>
      </c>
      <c r="F2989" s="1">
        <f>IFERROR(__xludf.DUMMYFUNCTION("""COMPUTED_VALUE"""),329751.0)</f>
        <v>329751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IFERROR(__xludf.DUMMYFUNCTION("""COMPUTED_VALUE"""),71.16)</f>
        <v>71.16</v>
      </c>
      <c r="C2990" s="1">
        <f>IFERROR(__xludf.DUMMYFUNCTION("""COMPUTED_VALUE"""),71.93)</f>
        <v>71.93</v>
      </c>
      <c r="D2990" s="1">
        <f>IFERROR(__xludf.DUMMYFUNCTION("""COMPUTED_VALUE"""),70.88)</f>
        <v>70.88</v>
      </c>
      <c r="E2990" s="1">
        <f>IFERROR(__xludf.DUMMYFUNCTION("""COMPUTED_VALUE"""),71.55)</f>
        <v>71.55</v>
      </c>
      <c r="F2990" s="1">
        <f>IFERROR(__xludf.DUMMYFUNCTION("""COMPUTED_VALUE"""),244126.0)</f>
        <v>244126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IFERROR(__xludf.DUMMYFUNCTION("""COMPUTED_VALUE"""),71.5)</f>
        <v>71.5</v>
      </c>
      <c r="C2991" s="1">
        <f>IFERROR(__xludf.DUMMYFUNCTION("""COMPUTED_VALUE"""),72.86)</f>
        <v>72.86</v>
      </c>
      <c r="D2991" s="1">
        <f>IFERROR(__xludf.DUMMYFUNCTION("""COMPUTED_VALUE"""),71.2)</f>
        <v>71.2</v>
      </c>
      <c r="E2991" s="1">
        <f>IFERROR(__xludf.DUMMYFUNCTION("""COMPUTED_VALUE"""),72.6)</f>
        <v>72.6</v>
      </c>
      <c r="F2991" s="1">
        <f>IFERROR(__xludf.DUMMYFUNCTION("""COMPUTED_VALUE"""),238020.0)</f>
        <v>238020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IFERROR(__xludf.DUMMYFUNCTION("""COMPUTED_VALUE"""),72.4)</f>
        <v>72.4</v>
      </c>
      <c r="C2992" s="1">
        <f>IFERROR(__xludf.DUMMYFUNCTION("""COMPUTED_VALUE"""),72.68)</f>
        <v>72.68</v>
      </c>
      <c r="D2992" s="1">
        <f>IFERROR(__xludf.DUMMYFUNCTION("""COMPUTED_VALUE"""),71.91)</f>
        <v>71.91</v>
      </c>
      <c r="E2992" s="1">
        <f>IFERROR(__xludf.DUMMYFUNCTION("""COMPUTED_VALUE"""),72.4)</f>
        <v>72.4</v>
      </c>
      <c r="F2992" s="1">
        <f>IFERROR(__xludf.DUMMYFUNCTION("""COMPUTED_VALUE"""),478303.0)</f>
        <v>478303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IFERROR(__xludf.DUMMYFUNCTION("""COMPUTED_VALUE"""),72.67)</f>
        <v>72.67</v>
      </c>
      <c r="C2993" s="1">
        <f>IFERROR(__xludf.DUMMYFUNCTION("""COMPUTED_VALUE"""),73.18)</f>
        <v>73.18</v>
      </c>
      <c r="D2993" s="1">
        <f>IFERROR(__xludf.DUMMYFUNCTION("""COMPUTED_VALUE"""),72.11)</f>
        <v>72.11</v>
      </c>
      <c r="E2993" s="1">
        <f>IFERROR(__xludf.DUMMYFUNCTION("""COMPUTED_VALUE"""),72.75)</f>
        <v>72.75</v>
      </c>
      <c r="F2993" s="1">
        <f>IFERROR(__xludf.DUMMYFUNCTION("""COMPUTED_VALUE"""),341760.0)</f>
        <v>341760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IFERROR(__xludf.DUMMYFUNCTION("""COMPUTED_VALUE"""),72.91)</f>
        <v>72.91</v>
      </c>
      <c r="C2994" s="1">
        <f>IFERROR(__xludf.DUMMYFUNCTION("""COMPUTED_VALUE"""),73.63)</f>
        <v>73.63</v>
      </c>
      <c r="D2994" s="1">
        <f>IFERROR(__xludf.DUMMYFUNCTION("""COMPUTED_VALUE"""),72.6)</f>
        <v>72.6</v>
      </c>
      <c r="E2994" s="1">
        <f>IFERROR(__xludf.DUMMYFUNCTION("""COMPUTED_VALUE"""),72.72)</f>
        <v>72.72</v>
      </c>
      <c r="F2994" s="1">
        <f>IFERROR(__xludf.DUMMYFUNCTION("""COMPUTED_VALUE"""),241286.0)</f>
        <v>241286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IFERROR(__xludf.DUMMYFUNCTION("""COMPUTED_VALUE"""),72.73)</f>
        <v>72.73</v>
      </c>
      <c r="C2995" s="1">
        <f>IFERROR(__xludf.DUMMYFUNCTION("""COMPUTED_VALUE"""),73.18)</f>
        <v>73.18</v>
      </c>
      <c r="D2995" s="1">
        <f>IFERROR(__xludf.DUMMYFUNCTION("""COMPUTED_VALUE"""),70.47)</f>
        <v>70.47</v>
      </c>
      <c r="E2995" s="1">
        <f>IFERROR(__xludf.DUMMYFUNCTION("""COMPUTED_VALUE"""),70.49)</f>
        <v>70.49</v>
      </c>
      <c r="F2995" s="1">
        <f>IFERROR(__xludf.DUMMYFUNCTION("""COMPUTED_VALUE"""),264671.0)</f>
        <v>264671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IFERROR(__xludf.DUMMYFUNCTION("""COMPUTED_VALUE"""),70.15)</f>
        <v>70.15</v>
      </c>
      <c r="C2996" s="1">
        <f>IFERROR(__xludf.DUMMYFUNCTION("""COMPUTED_VALUE"""),70.34)</f>
        <v>70.34</v>
      </c>
      <c r="D2996" s="1">
        <f>IFERROR(__xludf.DUMMYFUNCTION("""COMPUTED_VALUE"""),69.24)</f>
        <v>69.24</v>
      </c>
      <c r="E2996" s="1">
        <f>IFERROR(__xludf.DUMMYFUNCTION("""COMPUTED_VALUE"""),70.11)</f>
        <v>70.11</v>
      </c>
      <c r="F2996" s="1">
        <f>IFERROR(__xludf.DUMMYFUNCTION("""COMPUTED_VALUE"""),263027.0)</f>
        <v>263027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IFERROR(__xludf.DUMMYFUNCTION("""COMPUTED_VALUE"""),69.63)</f>
        <v>69.63</v>
      </c>
      <c r="C2997" s="1">
        <f>IFERROR(__xludf.DUMMYFUNCTION("""COMPUTED_VALUE"""),70.43)</f>
        <v>70.43</v>
      </c>
      <c r="D2997" s="1">
        <f>IFERROR(__xludf.DUMMYFUNCTION("""COMPUTED_VALUE"""),69.31)</f>
        <v>69.31</v>
      </c>
      <c r="E2997" s="1">
        <f>IFERROR(__xludf.DUMMYFUNCTION("""COMPUTED_VALUE"""),70.34)</f>
        <v>70.34</v>
      </c>
      <c r="F2997" s="1">
        <f>IFERROR(__xludf.DUMMYFUNCTION("""COMPUTED_VALUE"""),157982.0)</f>
        <v>157982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IFERROR(__xludf.DUMMYFUNCTION("""COMPUTED_VALUE"""),69.38)</f>
        <v>69.38</v>
      </c>
      <c r="C2998" s="1">
        <f>IFERROR(__xludf.DUMMYFUNCTION("""COMPUTED_VALUE"""),70.26)</f>
        <v>70.26</v>
      </c>
      <c r="D2998" s="1">
        <f>IFERROR(__xludf.DUMMYFUNCTION("""COMPUTED_VALUE"""),68.93)</f>
        <v>68.93</v>
      </c>
      <c r="E2998" s="1">
        <f>IFERROR(__xludf.DUMMYFUNCTION("""COMPUTED_VALUE"""),69.11)</f>
        <v>69.11</v>
      </c>
      <c r="F2998" s="1">
        <f>IFERROR(__xludf.DUMMYFUNCTION("""COMPUTED_VALUE"""),179100.0)</f>
        <v>179100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IFERROR(__xludf.DUMMYFUNCTION("""COMPUTED_VALUE"""),69.8)</f>
        <v>69.8</v>
      </c>
      <c r="C2999" s="1">
        <f>IFERROR(__xludf.DUMMYFUNCTION("""COMPUTED_VALUE"""),70.33)</f>
        <v>70.33</v>
      </c>
      <c r="D2999" s="1">
        <f>IFERROR(__xludf.DUMMYFUNCTION("""COMPUTED_VALUE"""),69.02)</f>
        <v>69.02</v>
      </c>
      <c r="E2999" s="1">
        <f>IFERROR(__xludf.DUMMYFUNCTION("""COMPUTED_VALUE"""),69.5)</f>
        <v>69.5</v>
      </c>
      <c r="F2999" s="1">
        <f>IFERROR(__xludf.DUMMYFUNCTION("""COMPUTED_VALUE"""),391650.0)</f>
        <v>391650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IFERROR(__xludf.DUMMYFUNCTION("""COMPUTED_VALUE"""),69.12)</f>
        <v>69.12</v>
      </c>
      <c r="C3000" s="1">
        <f>IFERROR(__xludf.DUMMYFUNCTION("""COMPUTED_VALUE"""),69.61)</f>
        <v>69.61</v>
      </c>
      <c r="D3000" s="1">
        <f>IFERROR(__xludf.DUMMYFUNCTION("""COMPUTED_VALUE"""),67.68)</f>
        <v>67.68</v>
      </c>
      <c r="E3000" s="1">
        <f>IFERROR(__xludf.DUMMYFUNCTION("""COMPUTED_VALUE"""),67.88)</f>
        <v>67.88</v>
      </c>
      <c r="F3000" s="1">
        <f>IFERROR(__xludf.DUMMYFUNCTION("""COMPUTED_VALUE"""),428042.0)</f>
        <v>428042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IFERROR(__xludf.DUMMYFUNCTION("""COMPUTED_VALUE"""),68.59)</f>
        <v>68.59</v>
      </c>
      <c r="C3001" s="1">
        <f>IFERROR(__xludf.DUMMYFUNCTION("""COMPUTED_VALUE"""),68.86)</f>
        <v>68.86</v>
      </c>
      <c r="D3001" s="1">
        <f>IFERROR(__xludf.DUMMYFUNCTION("""COMPUTED_VALUE"""),66.72)</f>
        <v>66.72</v>
      </c>
      <c r="E3001" s="1">
        <f>IFERROR(__xludf.DUMMYFUNCTION("""COMPUTED_VALUE"""),66.83)</f>
        <v>66.83</v>
      </c>
      <c r="F3001" s="1">
        <f>IFERROR(__xludf.DUMMYFUNCTION("""COMPUTED_VALUE"""),651899.0)</f>
        <v>651899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IFERROR(__xludf.DUMMYFUNCTION("""COMPUTED_VALUE"""),66.95)</f>
        <v>66.95</v>
      </c>
      <c r="C3002" s="1">
        <f>IFERROR(__xludf.DUMMYFUNCTION("""COMPUTED_VALUE"""),69.14)</f>
        <v>69.14</v>
      </c>
      <c r="D3002" s="1">
        <f>IFERROR(__xludf.DUMMYFUNCTION("""COMPUTED_VALUE"""),66.95)</f>
        <v>66.95</v>
      </c>
      <c r="E3002" s="1">
        <f>IFERROR(__xludf.DUMMYFUNCTION("""COMPUTED_VALUE"""),68.93)</f>
        <v>68.93</v>
      </c>
      <c r="F3002" s="1">
        <f>IFERROR(__xludf.DUMMYFUNCTION("""COMPUTED_VALUE"""),557877.0)</f>
        <v>557877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IFERROR(__xludf.DUMMYFUNCTION("""COMPUTED_VALUE"""),69.29)</f>
        <v>69.29</v>
      </c>
      <c r="C3003" s="1">
        <f>IFERROR(__xludf.DUMMYFUNCTION("""COMPUTED_VALUE"""),69.71)</f>
        <v>69.71</v>
      </c>
      <c r="D3003" s="1">
        <f>IFERROR(__xludf.DUMMYFUNCTION("""COMPUTED_VALUE"""),67.84)</f>
        <v>67.84</v>
      </c>
      <c r="E3003" s="1">
        <f>IFERROR(__xludf.DUMMYFUNCTION("""COMPUTED_VALUE"""),68.57)</f>
        <v>68.57</v>
      </c>
      <c r="F3003" s="1">
        <f>IFERROR(__xludf.DUMMYFUNCTION("""COMPUTED_VALUE"""),237494.0)</f>
        <v>237494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IFERROR(__xludf.DUMMYFUNCTION("""COMPUTED_VALUE"""),68.67)</f>
        <v>68.67</v>
      </c>
      <c r="C3004" s="1">
        <f>IFERROR(__xludf.DUMMYFUNCTION("""COMPUTED_VALUE"""),69.88)</f>
        <v>69.88</v>
      </c>
      <c r="D3004" s="1">
        <f>IFERROR(__xludf.DUMMYFUNCTION("""COMPUTED_VALUE"""),68.54)</f>
        <v>68.54</v>
      </c>
      <c r="E3004" s="1">
        <f>IFERROR(__xludf.DUMMYFUNCTION("""COMPUTED_VALUE"""),69.56)</f>
        <v>69.56</v>
      </c>
      <c r="F3004" s="1">
        <f>IFERROR(__xludf.DUMMYFUNCTION("""COMPUTED_VALUE"""),188622.0)</f>
        <v>188622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IFERROR(__xludf.DUMMYFUNCTION("""COMPUTED_VALUE"""),70.52)</f>
        <v>70.52</v>
      </c>
      <c r="C3005" s="1">
        <f>IFERROR(__xludf.DUMMYFUNCTION("""COMPUTED_VALUE"""),71.65)</f>
        <v>71.65</v>
      </c>
      <c r="D3005" s="1">
        <f>IFERROR(__xludf.DUMMYFUNCTION("""COMPUTED_VALUE"""),70.18)</f>
        <v>70.18</v>
      </c>
      <c r="E3005" s="1">
        <f>IFERROR(__xludf.DUMMYFUNCTION("""COMPUTED_VALUE"""),70.84)</f>
        <v>70.84</v>
      </c>
      <c r="F3005" s="1">
        <f>IFERROR(__xludf.DUMMYFUNCTION("""COMPUTED_VALUE"""),268857.0)</f>
        <v>268857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IFERROR(__xludf.DUMMYFUNCTION("""COMPUTED_VALUE"""),70.97)</f>
        <v>70.97</v>
      </c>
      <c r="C3006" s="1">
        <f>IFERROR(__xludf.DUMMYFUNCTION("""COMPUTED_VALUE"""),70.98)</f>
        <v>70.98</v>
      </c>
      <c r="D3006" s="1">
        <f>IFERROR(__xludf.DUMMYFUNCTION("""COMPUTED_VALUE"""),69.98)</f>
        <v>69.98</v>
      </c>
      <c r="E3006" s="1">
        <f>IFERROR(__xludf.DUMMYFUNCTION("""COMPUTED_VALUE"""),70.3)</f>
        <v>70.3</v>
      </c>
      <c r="F3006" s="1">
        <f>IFERROR(__xludf.DUMMYFUNCTION("""COMPUTED_VALUE"""),300526.0)</f>
        <v>300526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IFERROR(__xludf.DUMMYFUNCTION("""COMPUTED_VALUE"""),70.07)</f>
        <v>70.07</v>
      </c>
      <c r="C3007" s="1">
        <f>IFERROR(__xludf.DUMMYFUNCTION("""COMPUTED_VALUE"""),70.28)</f>
        <v>70.28</v>
      </c>
      <c r="D3007" s="1">
        <f>IFERROR(__xludf.DUMMYFUNCTION("""COMPUTED_VALUE"""),68.01)</f>
        <v>68.01</v>
      </c>
      <c r="E3007" s="1">
        <f>IFERROR(__xludf.DUMMYFUNCTION("""COMPUTED_VALUE"""),68.09)</f>
        <v>68.09</v>
      </c>
      <c r="F3007" s="1">
        <f>IFERROR(__xludf.DUMMYFUNCTION("""COMPUTED_VALUE"""),373179.0)</f>
        <v>373179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IFERROR(__xludf.DUMMYFUNCTION("""COMPUTED_VALUE"""),68.08)</f>
        <v>68.08</v>
      </c>
      <c r="C3008" s="1">
        <f>IFERROR(__xludf.DUMMYFUNCTION("""COMPUTED_VALUE"""),68.18)</f>
        <v>68.18</v>
      </c>
      <c r="D3008" s="1">
        <f>IFERROR(__xludf.DUMMYFUNCTION("""COMPUTED_VALUE"""),67.05)</f>
        <v>67.05</v>
      </c>
      <c r="E3008" s="1">
        <f>IFERROR(__xludf.DUMMYFUNCTION("""COMPUTED_VALUE"""),67.52)</f>
        <v>67.52</v>
      </c>
      <c r="F3008" s="1">
        <f>IFERROR(__xludf.DUMMYFUNCTION("""COMPUTED_VALUE"""),353424.0)</f>
        <v>353424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IFERROR(__xludf.DUMMYFUNCTION("""COMPUTED_VALUE"""),67.37)</f>
        <v>67.37</v>
      </c>
      <c r="C3009" s="1">
        <f>IFERROR(__xludf.DUMMYFUNCTION("""COMPUTED_VALUE"""),67.37)</f>
        <v>67.37</v>
      </c>
      <c r="D3009" s="1">
        <f>IFERROR(__xludf.DUMMYFUNCTION("""COMPUTED_VALUE"""),65.88)</f>
        <v>65.88</v>
      </c>
      <c r="E3009" s="1">
        <f>IFERROR(__xludf.DUMMYFUNCTION("""COMPUTED_VALUE"""),65.91)</f>
        <v>65.91</v>
      </c>
      <c r="F3009" s="1">
        <f>IFERROR(__xludf.DUMMYFUNCTION("""COMPUTED_VALUE"""),518444.0)</f>
        <v>518444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IFERROR(__xludf.DUMMYFUNCTION("""COMPUTED_VALUE"""),65.82)</f>
        <v>65.82</v>
      </c>
      <c r="C3010" s="1">
        <f>IFERROR(__xludf.DUMMYFUNCTION("""COMPUTED_VALUE"""),65.97)</f>
        <v>65.97</v>
      </c>
      <c r="D3010" s="1">
        <f>IFERROR(__xludf.DUMMYFUNCTION("""COMPUTED_VALUE"""),63.44)</f>
        <v>63.44</v>
      </c>
      <c r="E3010" s="1">
        <f>IFERROR(__xludf.DUMMYFUNCTION("""COMPUTED_VALUE"""),63.66)</f>
        <v>63.66</v>
      </c>
      <c r="F3010" s="1">
        <f>IFERROR(__xludf.DUMMYFUNCTION("""COMPUTED_VALUE"""),744256.0)</f>
        <v>744256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IFERROR(__xludf.DUMMYFUNCTION("""COMPUTED_VALUE"""),63.82)</f>
        <v>63.82</v>
      </c>
      <c r="C3011" s="1">
        <f>IFERROR(__xludf.DUMMYFUNCTION("""COMPUTED_VALUE"""),63.82)</f>
        <v>63.82</v>
      </c>
      <c r="D3011" s="1">
        <f>IFERROR(__xludf.DUMMYFUNCTION("""COMPUTED_VALUE"""),62.65)</f>
        <v>62.65</v>
      </c>
      <c r="E3011" s="1">
        <f>IFERROR(__xludf.DUMMYFUNCTION("""COMPUTED_VALUE"""),63.37)</f>
        <v>63.37</v>
      </c>
      <c r="F3011" s="1">
        <f>IFERROR(__xludf.DUMMYFUNCTION("""COMPUTED_VALUE"""),434519.0)</f>
        <v>434519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IFERROR(__xludf.DUMMYFUNCTION("""COMPUTED_VALUE"""),63.86)</f>
        <v>63.86</v>
      </c>
      <c r="C3012" s="1">
        <f>IFERROR(__xludf.DUMMYFUNCTION("""COMPUTED_VALUE"""),64.25)</f>
        <v>64.25</v>
      </c>
      <c r="D3012" s="1">
        <f>IFERROR(__xludf.DUMMYFUNCTION("""COMPUTED_VALUE"""),62.86)</f>
        <v>62.86</v>
      </c>
      <c r="E3012" s="1">
        <f>IFERROR(__xludf.DUMMYFUNCTION("""COMPUTED_VALUE"""),63.41)</f>
        <v>63.41</v>
      </c>
      <c r="F3012" s="1">
        <f>IFERROR(__xludf.DUMMYFUNCTION("""COMPUTED_VALUE"""),533771.0)</f>
        <v>533771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IFERROR(__xludf.DUMMYFUNCTION("""COMPUTED_VALUE"""),62.72)</f>
        <v>62.72</v>
      </c>
      <c r="C3013" s="1">
        <f>IFERROR(__xludf.DUMMYFUNCTION("""COMPUTED_VALUE"""),63.65)</f>
        <v>63.65</v>
      </c>
      <c r="D3013" s="1">
        <f>IFERROR(__xludf.DUMMYFUNCTION("""COMPUTED_VALUE"""),62.33)</f>
        <v>62.33</v>
      </c>
      <c r="E3013" s="1">
        <f>IFERROR(__xludf.DUMMYFUNCTION("""COMPUTED_VALUE"""),62.62)</f>
        <v>62.62</v>
      </c>
      <c r="F3013" s="1">
        <f>IFERROR(__xludf.DUMMYFUNCTION("""COMPUTED_VALUE"""),681828.0)</f>
        <v>681828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IFERROR(__xludf.DUMMYFUNCTION("""COMPUTED_VALUE"""),61.91)</f>
        <v>61.91</v>
      </c>
      <c r="C3014" s="1">
        <f>IFERROR(__xludf.DUMMYFUNCTION("""COMPUTED_VALUE"""),62.06)</f>
        <v>62.06</v>
      </c>
      <c r="D3014" s="1">
        <f>IFERROR(__xludf.DUMMYFUNCTION("""COMPUTED_VALUE"""),59.55)</f>
        <v>59.55</v>
      </c>
      <c r="E3014" s="1">
        <f>IFERROR(__xludf.DUMMYFUNCTION("""COMPUTED_VALUE"""),60.08)</f>
        <v>60.08</v>
      </c>
      <c r="F3014" s="1">
        <f>IFERROR(__xludf.DUMMYFUNCTION("""COMPUTED_VALUE"""),600114.0)</f>
        <v>600114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IFERROR(__xludf.DUMMYFUNCTION("""COMPUTED_VALUE"""),60.7)</f>
        <v>60.7</v>
      </c>
      <c r="C3015" s="1">
        <f>IFERROR(__xludf.DUMMYFUNCTION("""COMPUTED_VALUE"""),61.16)</f>
        <v>61.16</v>
      </c>
      <c r="D3015" s="1">
        <f>IFERROR(__xludf.DUMMYFUNCTION("""COMPUTED_VALUE"""),60.21)</f>
        <v>60.21</v>
      </c>
      <c r="E3015" s="1">
        <f>IFERROR(__xludf.DUMMYFUNCTION("""COMPUTED_VALUE"""),61.01)</f>
        <v>61.01</v>
      </c>
      <c r="F3015" s="1">
        <f>IFERROR(__xludf.DUMMYFUNCTION("""COMPUTED_VALUE"""),618475.0)</f>
        <v>618475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IFERROR(__xludf.DUMMYFUNCTION("""COMPUTED_VALUE"""),61.03)</f>
        <v>61.03</v>
      </c>
      <c r="C3016" s="1">
        <f>IFERROR(__xludf.DUMMYFUNCTION("""COMPUTED_VALUE"""),61.12)</f>
        <v>61.12</v>
      </c>
      <c r="D3016" s="1">
        <f>IFERROR(__xludf.DUMMYFUNCTION("""COMPUTED_VALUE"""),60.19)</f>
        <v>60.19</v>
      </c>
      <c r="E3016" s="1">
        <f>IFERROR(__xludf.DUMMYFUNCTION("""COMPUTED_VALUE"""),60.71)</f>
        <v>60.71</v>
      </c>
      <c r="F3016" s="1">
        <f>IFERROR(__xludf.DUMMYFUNCTION("""COMPUTED_VALUE"""),406390.0)</f>
        <v>406390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IFERROR(__xludf.DUMMYFUNCTION("""COMPUTED_VALUE"""),60.58)</f>
        <v>60.58</v>
      </c>
      <c r="C3017" s="1">
        <f>IFERROR(__xludf.DUMMYFUNCTION("""COMPUTED_VALUE"""),61.53)</f>
        <v>61.53</v>
      </c>
      <c r="D3017" s="1">
        <f>IFERROR(__xludf.DUMMYFUNCTION("""COMPUTED_VALUE"""),60.21)</f>
        <v>60.21</v>
      </c>
      <c r="E3017" s="1">
        <f>IFERROR(__xludf.DUMMYFUNCTION("""COMPUTED_VALUE"""),61.25)</f>
        <v>61.25</v>
      </c>
      <c r="F3017" s="1">
        <f>IFERROR(__xludf.DUMMYFUNCTION("""COMPUTED_VALUE"""),345051.0)</f>
        <v>345051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IFERROR(__xludf.DUMMYFUNCTION("""COMPUTED_VALUE"""),61.41)</f>
        <v>61.41</v>
      </c>
      <c r="C3018" s="1">
        <f>IFERROR(__xludf.DUMMYFUNCTION("""COMPUTED_VALUE"""),62.14)</f>
        <v>62.14</v>
      </c>
      <c r="D3018" s="1">
        <f>IFERROR(__xludf.DUMMYFUNCTION("""COMPUTED_VALUE"""),60.87)</f>
        <v>60.87</v>
      </c>
      <c r="E3018" s="1">
        <f>IFERROR(__xludf.DUMMYFUNCTION("""COMPUTED_VALUE"""),62.08)</f>
        <v>62.08</v>
      </c>
      <c r="F3018" s="1">
        <f>IFERROR(__xludf.DUMMYFUNCTION("""COMPUTED_VALUE"""),196909.0)</f>
        <v>196909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IFERROR(__xludf.DUMMYFUNCTION("""COMPUTED_VALUE"""),62.23)</f>
        <v>62.23</v>
      </c>
      <c r="C3019" s="1">
        <f>IFERROR(__xludf.DUMMYFUNCTION("""COMPUTED_VALUE"""),62.45)</f>
        <v>62.45</v>
      </c>
      <c r="D3019" s="1">
        <f>IFERROR(__xludf.DUMMYFUNCTION("""COMPUTED_VALUE"""),61.37)</f>
        <v>61.37</v>
      </c>
      <c r="E3019" s="1">
        <f>IFERROR(__xludf.DUMMYFUNCTION("""COMPUTED_VALUE"""),61.67)</f>
        <v>61.67</v>
      </c>
      <c r="F3019" s="1">
        <f>IFERROR(__xludf.DUMMYFUNCTION("""COMPUTED_VALUE"""),197032.0)</f>
        <v>197032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IFERROR(__xludf.DUMMYFUNCTION("""COMPUTED_VALUE"""),61.59)</f>
        <v>61.59</v>
      </c>
      <c r="C3020" s="1">
        <f>IFERROR(__xludf.DUMMYFUNCTION("""COMPUTED_VALUE"""),62.2)</f>
        <v>62.2</v>
      </c>
      <c r="D3020" s="1">
        <f>IFERROR(__xludf.DUMMYFUNCTION("""COMPUTED_VALUE"""),61.47)</f>
        <v>61.47</v>
      </c>
      <c r="E3020" s="1">
        <f>IFERROR(__xludf.DUMMYFUNCTION("""COMPUTED_VALUE"""),61.47)</f>
        <v>61.47</v>
      </c>
      <c r="F3020" s="1">
        <f>IFERROR(__xludf.DUMMYFUNCTION("""COMPUTED_VALUE"""),293869.0)</f>
        <v>293869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IFERROR(__xludf.DUMMYFUNCTION("""COMPUTED_VALUE"""),61.79)</f>
        <v>61.79</v>
      </c>
      <c r="C3021" s="1">
        <f>IFERROR(__xludf.DUMMYFUNCTION("""COMPUTED_VALUE"""),61.85)</f>
        <v>61.85</v>
      </c>
      <c r="D3021" s="1">
        <f>IFERROR(__xludf.DUMMYFUNCTION("""COMPUTED_VALUE"""),61.2)</f>
        <v>61.2</v>
      </c>
      <c r="E3021" s="1">
        <f>IFERROR(__xludf.DUMMYFUNCTION("""COMPUTED_VALUE"""),61.23)</f>
        <v>61.23</v>
      </c>
      <c r="F3021" s="1">
        <f>IFERROR(__xludf.DUMMYFUNCTION("""COMPUTED_VALUE"""),258635.0)</f>
        <v>258635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IFERROR(__xludf.DUMMYFUNCTION("""COMPUTED_VALUE"""),61.06)</f>
        <v>61.06</v>
      </c>
      <c r="C3022" s="1">
        <f>IFERROR(__xludf.DUMMYFUNCTION("""COMPUTED_VALUE"""),61.46)</f>
        <v>61.46</v>
      </c>
      <c r="D3022" s="1">
        <f>IFERROR(__xludf.DUMMYFUNCTION("""COMPUTED_VALUE"""),60.81)</f>
        <v>60.81</v>
      </c>
      <c r="E3022" s="1">
        <f>IFERROR(__xludf.DUMMYFUNCTION("""COMPUTED_VALUE"""),61.21)</f>
        <v>61.21</v>
      </c>
      <c r="F3022" s="1">
        <f>IFERROR(__xludf.DUMMYFUNCTION("""COMPUTED_VALUE"""),221859.0)</f>
        <v>221859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IFERROR(__xludf.DUMMYFUNCTION("""COMPUTED_VALUE"""),61.15)</f>
        <v>61.15</v>
      </c>
      <c r="C3023" s="1">
        <f>IFERROR(__xludf.DUMMYFUNCTION("""COMPUTED_VALUE"""),61.73)</f>
        <v>61.73</v>
      </c>
      <c r="D3023" s="1">
        <f>IFERROR(__xludf.DUMMYFUNCTION("""COMPUTED_VALUE"""),60.36)</f>
        <v>60.36</v>
      </c>
      <c r="E3023" s="1">
        <f>IFERROR(__xludf.DUMMYFUNCTION("""COMPUTED_VALUE"""),61.42)</f>
        <v>61.42</v>
      </c>
      <c r="F3023" s="1">
        <f>IFERROR(__xludf.DUMMYFUNCTION("""COMPUTED_VALUE"""),273397.0)</f>
        <v>273397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IFERROR(__xludf.DUMMYFUNCTION("""COMPUTED_VALUE"""),61.35)</f>
        <v>61.35</v>
      </c>
      <c r="C3024" s="1">
        <f>IFERROR(__xludf.DUMMYFUNCTION("""COMPUTED_VALUE"""),61.68)</f>
        <v>61.68</v>
      </c>
      <c r="D3024" s="1">
        <f>IFERROR(__xludf.DUMMYFUNCTION("""COMPUTED_VALUE"""),60.77)</f>
        <v>60.77</v>
      </c>
      <c r="E3024" s="1">
        <f>IFERROR(__xludf.DUMMYFUNCTION("""COMPUTED_VALUE"""),61.21)</f>
        <v>61.21</v>
      </c>
      <c r="F3024" s="1">
        <f>IFERROR(__xludf.DUMMYFUNCTION("""COMPUTED_VALUE"""),243643.0)</f>
        <v>243643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IFERROR(__xludf.DUMMYFUNCTION("""COMPUTED_VALUE"""),60.99)</f>
        <v>60.99</v>
      </c>
      <c r="C3025" s="1">
        <f>IFERROR(__xludf.DUMMYFUNCTION("""COMPUTED_VALUE"""),62.21)</f>
        <v>62.21</v>
      </c>
      <c r="D3025" s="1">
        <f>IFERROR(__xludf.DUMMYFUNCTION("""COMPUTED_VALUE"""),60.58)</f>
        <v>60.58</v>
      </c>
      <c r="E3025" s="1">
        <f>IFERROR(__xludf.DUMMYFUNCTION("""COMPUTED_VALUE"""),60.74)</f>
        <v>60.74</v>
      </c>
      <c r="F3025" s="1">
        <f>IFERROR(__xludf.DUMMYFUNCTION("""COMPUTED_VALUE"""),825666.0)</f>
        <v>825666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IFERROR(__xludf.DUMMYFUNCTION("""COMPUTED_VALUE"""),61.42)</f>
        <v>61.42</v>
      </c>
      <c r="C3026" s="1">
        <f>IFERROR(__xludf.DUMMYFUNCTION("""COMPUTED_VALUE"""),61.42)</f>
        <v>61.42</v>
      </c>
      <c r="D3026" s="1">
        <f>IFERROR(__xludf.DUMMYFUNCTION("""COMPUTED_VALUE"""),59.88)</f>
        <v>59.88</v>
      </c>
      <c r="E3026" s="1">
        <f>IFERROR(__xludf.DUMMYFUNCTION("""COMPUTED_VALUE"""),60.78)</f>
        <v>60.78</v>
      </c>
      <c r="F3026" s="1">
        <f>IFERROR(__xludf.DUMMYFUNCTION("""COMPUTED_VALUE"""),448939.0)</f>
        <v>448939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IFERROR(__xludf.DUMMYFUNCTION("""COMPUTED_VALUE"""),60.39)</f>
        <v>60.39</v>
      </c>
      <c r="C3027" s="1">
        <f>IFERROR(__xludf.DUMMYFUNCTION("""COMPUTED_VALUE"""),60.92)</f>
        <v>60.92</v>
      </c>
      <c r="D3027" s="1">
        <f>IFERROR(__xludf.DUMMYFUNCTION("""COMPUTED_VALUE"""),58.77)</f>
        <v>58.77</v>
      </c>
      <c r="E3027" s="1">
        <f>IFERROR(__xludf.DUMMYFUNCTION("""COMPUTED_VALUE"""),59.79)</f>
        <v>59.79</v>
      </c>
      <c r="F3027" s="1">
        <f>IFERROR(__xludf.DUMMYFUNCTION("""COMPUTED_VALUE"""),630375.0)</f>
        <v>630375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IFERROR(__xludf.DUMMYFUNCTION("""COMPUTED_VALUE"""),59.2)</f>
        <v>59.2</v>
      </c>
      <c r="C3028" s="1">
        <f>IFERROR(__xludf.DUMMYFUNCTION("""COMPUTED_VALUE"""),60.44)</f>
        <v>60.44</v>
      </c>
      <c r="D3028" s="1">
        <f>IFERROR(__xludf.DUMMYFUNCTION("""COMPUTED_VALUE"""),58.79)</f>
        <v>58.79</v>
      </c>
      <c r="E3028" s="1">
        <f>IFERROR(__xludf.DUMMYFUNCTION("""COMPUTED_VALUE"""),60.38)</f>
        <v>60.38</v>
      </c>
      <c r="F3028" s="1">
        <f>IFERROR(__xludf.DUMMYFUNCTION("""COMPUTED_VALUE"""),525885.0)</f>
        <v>525885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IFERROR(__xludf.DUMMYFUNCTION("""COMPUTED_VALUE"""),60.38)</f>
        <v>60.38</v>
      </c>
      <c r="C3029" s="1">
        <f>IFERROR(__xludf.DUMMYFUNCTION("""COMPUTED_VALUE"""),61.09)</f>
        <v>61.09</v>
      </c>
      <c r="D3029" s="1">
        <f>IFERROR(__xludf.DUMMYFUNCTION("""COMPUTED_VALUE"""),59.34)</f>
        <v>59.34</v>
      </c>
      <c r="E3029" s="1">
        <f>IFERROR(__xludf.DUMMYFUNCTION("""COMPUTED_VALUE"""),60.56)</f>
        <v>60.56</v>
      </c>
      <c r="F3029" s="1">
        <f>IFERROR(__xludf.DUMMYFUNCTION("""COMPUTED_VALUE"""),486729.0)</f>
        <v>486729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IFERROR(__xludf.DUMMYFUNCTION("""COMPUTED_VALUE"""),60.67)</f>
        <v>60.67</v>
      </c>
      <c r="C3030" s="1">
        <f>IFERROR(__xludf.DUMMYFUNCTION("""COMPUTED_VALUE"""),61.73)</f>
        <v>61.73</v>
      </c>
      <c r="D3030" s="1">
        <f>IFERROR(__xludf.DUMMYFUNCTION("""COMPUTED_VALUE"""),60.44)</f>
        <v>60.44</v>
      </c>
      <c r="E3030" s="1">
        <f>IFERROR(__xludf.DUMMYFUNCTION("""COMPUTED_VALUE"""),61.69)</f>
        <v>61.69</v>
      </c>
      <c r="F3030" s="1">
        <f>IFERROR(__xludf.DUMMYFUNCTION("""COMPUTED_VALUE"""),692392.0)</f>
        <v>692392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IFERROR(__xludf.DUMMYFUNCTION("""COMPUTED_VALUE"""),62.1)</f>
        <v>62.1</v>
      </c>
      <c r="C3031" s="1">
        <f>IFERROR(__xludf.DUMMYFUNCTION("""COMPUTED_VALUE"""),62.88)</f>
        <v>62.88</v>
      </c>
      <c r="D3031" s="1">
        <f>IFERROR(__xludf.DUMMYFUNCTION("""COMPUTED_VALUE"""),61.78)</f>
        <v>61.78</v>
      </c>
      <c r="E3031" s="1">
        <f>IFERROR(__xludf.DUMMYFUNCTION("""COMPUTED_VALUE"""),62.37)</f>
        <v>62.37</v>
      </c>
      <c r="F3031" s="1">
        <f>IFERROR(__xludf.DUMMYFUNCTION("""COMPUTED_VALUE"""),573352.0)</f>
        <v>573352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IFERROR(__xludf.DUMMYFUNCTION("""COMPUTED_VALUE"""),62.06)</f>
        <v>62.06</v>
      </c>
      <c r="C3032" s="1">
        <f>IFERROR(__xludf.DUMMYFUNCTION("""COMPUTED_VALUE"""),62.6)</f>
        <v>62.6</v>
      </c>
      <c r="D3032" s="1">
        <f>IFERROR(__xludf.DUMMYFUNCTION("""COMPUTED_VALUE"""),61.58)</f>
        <v>61.58</v>
      </c>
      <c r="E3032" s="1">
        <f>IFERROR(__xludf.DUMMYFUNCTION("""COMPUTED_VALUE"""),61.86)</f>
        <v>61.86</v>
      </c>
      <c r="F3032" s="1">
        <f>IFERROR(__xludf.DUMMYFUNCTION("""COMPUTED_VALUE"""),474823.0)</f>
        <v>474823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IFERROR(__xludf.DUMMYFUNCTION("""COMPUTED_VALUE"""),61.7)</f>
        <v>61.7</v>
      </c>
      <c r="C3033" s="1">
        <f>IFERROR(__xludf.DUMMYFUNCTION("""COMPUTED_VALUE"""),62.16)</f>
        <v>62.16</v>
      </c>
      <c r="D3033" s="1">
        <f>IFERROR(__xludf.DUMMYFUNCTION("""COMPUTED_VALUE"""),60.72)</f>
        <v>60.72</v>
      </c>
      <c r="E3033" s="1">
        <f>IFERROR(__xludf.DUMMYFUNCTION("""COMPUTED_VALUE"""),61.35)</f>
        <v>61.35</v>
      </c>
      <c r="F3033" s="1">
        <f>IFERROR(__xludf.DUMMYFUNCTION("""COMPUTED_VALUE"""),532962.0)</f>
        <v>532962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IFERROR(__xludf.DUMMYFUNCTION("""COMPUTED_VALUE"""),61.42)</f>
        <v>61.42</v>
      </c>
      <c r="C3034" s="1">
        <f>IFERROR(__xludf.DUMMYFUNCTION("""COMPUTED_VALUE"""),62.95)</f>
        <v>62.95</v>
      </c>
      <c r="D3034" s="1">
        <f>IFERROR(__xludf.DUMMYFUNCTION("""COMPUTED_VALUE"""),61.13)</f>
        <v>61.13</v>
      </c>
      <c r="E3034" s="1">
        <f>IFERROR(__xludf.DUMMYFUNCTION("""COMPUTED_VALUE"""),62.39)</f>
        <v>62.39</v>
      </c>
      <c r="F3034" s="1">
        <f>IFERROR(__xludf.DUMMYFUNCTION("""COMPUTED_VALUE"""),499102.0)</f>
        <v>499102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IFERROR(__xludf.DUMMYFUNCTION("""COMPUTED_VALUE"""),62.99)</f>
        <v>62.99</v>
      </c>
      <c r="C3035" s="1">
        <f>IFERROR(__xludf.DUMMYFUNCTION("""COMPUTED_VALUE"""),64.59)</f>
        <v>64.59</v>
      </c>
      <c r="D3035" s="1">
        <f>IFERROR(__xludf.DUMMYFUNCTION("""COMPUTED_VALUE"""),62.63)</f>
        <v>62.63</v>
      </c>
      <c r="E3035" s="1">
        <f>IFERROR(__xludf.DUMMYFUNCTION("""COMPUTED_VALUE"""),62.66)</f>
        <v>62.66</v>
      </c>
      <c r="F3035" s="1">
        <f>IFERROR(__xludf.DUMMYFUNCTION("""COMPUTED_VALUE"""),556532.0)</f>
        <v>556532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IFERROR(__xludf.DUMMYFUNCTION("""COMPUTED_VALUE"""),62.39)</f>
        <v>62.39</v>
      </c>
      <c r="C3036" s="1">
        <f>IFERROR(__xludf.DUMMYFUNCTION("""COMPUTED_VALUE"""),62.39)</f>
        <v>62.39</v>
      </c>
      <c r="D3036" s="1">
        <f>IFERROR(__xludf.DUMMYFUNCTION("""COMPUTED_VALUE"""),60.86)</f>
        <v>60.86</v>
      </c>
      <c r="E3036" s="1">
        <f>IFERROR(__xludf.DUMMYFUNCTION("""COMPUTED_VALUE"""),60.89)</f>
        <v>60.89</v>
      </c>
      <c r="F3036" s="1">
        <f>IFERROR(__xludf.DUMMYFUNCTION("""COMPUTED_VALUE"""),543134.0)</f>
        <v>543134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IFERROR(__xludf.DUMMYFUNCTION("""COMPUTED_VALUE"""),59.81)</f>
        <v>59.81</v>
      </c>
      <c r="C3037" s="1">
        <f>IFERROR(__xludf.DUMMYFUNCTION("""COMPUTED_VALUE"""),61.84)</f>
        <v>61.84</v>
      </c>
      <c r="D3037" s="1">
        <f>IFERROR(__xludf.DUMMYFUNCTION("""COMPUTED_VALUE"""),59.43)</f>
        <v>59.43</v>
      </c>
      <c r="E3037" s="1">
        <f>IFERROR(__xludf.DUMMYFUNCTION("""COMPUTED_VALUE"""),61.72)</f>
        <v>61.72</v>
      </c>
      <c r="F3037" s="1">
        <f>IFERROR(__xludf.DUMMYFUNCTION("""COMPUTED_VALUE"""),616268.0)</f>
        <v>616268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IFERROR(__xludf.DUMMYFUNCTION("""COMPUTED_VALUE"""),60.79)</f>
        <v>60.79</v>
      </c>
      <c r="C3038" s="1">
        <f>IFERROR(__xludf.DUMMYFUNCTION("""COMPUTED_VALUE"""),60.9)</f>
        <v>60.9</v>
      </c>
      <c r="D3038" s="1">
        <f>IFERROR(__xludf.DUMMYFUNCTION("""COMPUTED_VALUE"""),59.15)</f>
        <v>59.15</v>
      </c>
      <c r="E3038" s="1">
        <f>IFERROR(__xludf.DUMMYFUNCTION("""COMPUTED_VALUE"""),60.14)</f>
        <v>60.14</v>
      </c>
      <c r="F3038" s="1">
        <f>IFERROR(__xludf.DUMMYFUNCTION("""COMPUTED_VALUE"""),643478.0)</f>
        <v>643478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IFERROR(__xludf.DUMMYFUNCTION("""COMPUTED_VALUE"""),60.63)</f>
        <v>60.63</v>
      </c>
      <c r="C3039" s="1">
        <f>IFERROR(__xludf.DUMMYFUNCTION("""COMPUTED_VALUE"""),61.3)</f>
        <v>61.3</v>
      </c>
      <c r="D3039" s="1">
        <f>IFERROR(__xludf.DUMMYFUNCTION("""COMPUTED_VALUE"""),59.24)</f>
        <v>59.24</v>
      </c>
      <c r="E3039" s="1">
        <f>IFERROR(__xludf.DUMMYFUNCTION("""COMPUTED_VALUE"""),59.39)</f>
        <v>59.39</v>
      </c>
      <c r="F3039" s="1">
        <f>IFERROR(__xludf.DUMMYFUNCTION("""COMPUTED_VALUE"""),478911.0)</f>
        <v>478911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IFERROR(__xludf.DUMMYFUNCTION("""COMPUTED_VALUE"""),59.94)</f>
        <v>59.94</v>
      </c>
      <c r="C3040" s="1">
        <f>IFERROR(__xludf.DUMMYFUNCTION("""COMPUTED_VALUE"""),60.3)</f>
        <v>60.3</v>
      </c>
      <c r="D3040" s="1">
        <f>IFERROR(__xludf.DUMMYFUNCTION("""COMPUTED_VALUE"""),57.77)</f>
        <v>57.77</v>
      </c>
      <c r="E3040" s="1">
        <f>IFERROR(__xludf.DUMMYFUNCTION("""COMPUTED_VALUE"""),57.79)</f>
        <v>57.79</v>
      </c>
      <c r="F3040" s="1">
        <f>IFERROR(__xludf.DUMMYFUNCTION("""COMPUTED_VALUE"""),374757.0)</f>
        <v>374757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IFERROR(__xludf.DUMMYFUNCTION("""COMPUTED_VALUE"""),58.01)</f>
        <v>58.01</v>
      </c>
      <c r="C3041" s="1">
        <f>IFERROR(__xludf.DUMMYFUNCTION("""COMPUTED_VALUE"""),59.31)</f>
        <v>59.31</v>
      </c>
      <c r="D3041" s="1">
        <f>IFERROR(__xludf.DUMMYFUNCTION("""COMPUTED_VALUE"""),57.1)</f>
        <v>57.1</v>
      </c>
      <c r="E3041" s="1">
        <f>IFERROR(__xludf.DUMMYFUNCTION("""COMPUTED_VALUE"""),59.26)</f>
        <v>59.26</v>
      </c>
      <c r="F3041" s="1">
        <f>IFERROR(__xludf.DUMMYFUNCTION("""COMPUTED_VALUE"""),379224.0)</f>
        <v>379224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IFERROR(__xludf.DUMMYFUNCTION("""COMPUTED_VALUE"""),59.17)</f>
        <v>59.17</v>
      </c>
      <c r="C3042" s="1">
        <f>IFERROR(__xludf.DUMMYFUNCTION("""COMPUTED_VALUE"""),61.14)</f>
        <v>61.14</v>
      </c>
      <c r="D3042" s="1">
        <f>IFERROR(__xludf.DUMMYFUNCTION("""COMPUTED_VALUE"""),59.14)</f>
        <v>59.14</v>
      </c>
      <c r="E3042" s="1">
        <f>IFERROR(__xludf.DUMMYFUNCTION("""COMPUTED_VALUE"""),60.96)</f>
        <v>60.96</v>
      </c>
      <c r="F3042" s="1">
        <f>IFERROR(__xludf.DUMMYFUNCTION("""COMPUTED_VALUE"""),283464.0)</f>
        <v>283464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IFERROR(__xludf.DUMMYFUNCTION("""COMPUTED_VALUE"""),60.84)</f>
        <v>60.84</v>
      </c>
      <c r="C3043" s="1">
        <f>IFERROR(__xludf.DUMMYFUNCTION("""COMPUTED_VALUE"""),61.74)</f>
        <v>61.74</v>
      </c>
      <c r="D3043" s="1">
        <f>IFERROR(__xludf.DUMMYFUNCTION("""COMPUTED_VALUE"""),60.03)</f>
        <v>60.03</v>
      </c>
      <c r="E3043" s="1">
        <f>IFERROR(__xludf.DUMMYFUNCTION("""COMPUTED_VALUE"""),61.71)</f>
        <v>61.71</v>
      </c>
      <c r="F3043" s="1">
        <f>IFERROR(__xludf.DUMMYFUNCTION("""COMPUTED_VALUE"""),203514.0)</f>
        <v>203514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IFERROR(__xludf.DUMMYFUNCTION("""COMPUTED_VALUE"""),62.05)</f>
        <v>62.05</v>
      </c>
      <c r="C3044" s="1">
        <f>IFERROR(__xludf.DUMMYFUNCTION("""COMPUTED_VALUE"""),62.24)</f>
        <v>62.24</v>
      </c>
      <c r="D3044" s="1">
        <f>IFERROR(__xludf.DUMMYFUNCTION("""COMPUTED_VALUE"""),61.61)</f>
        <v>61.61</v>
      </c>
      <c r="E3044" s="1">
        <f>IFERROR(__xludf.DUMMYFUNCTION("""COMPUTED_VALUE"""),61.89)</f>
        <v>61.89</v>
      </c>
      <c r="F3044" s="1">
        <f>IFERROR(__xludf.DUMMYFUNCTION("""COMPUTED_VALUE"""),225301.0)</f>
        <v>225301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IFERROR(__xludf.DUMMYFUNCTION("""COMPUTED_VALUE"""),61.11)</f>
        <v>61.11</v>
      </c>
      <c r="C3045" s="1">
        <f>IFERROR(__xludf.DUMMYFUNCTION("""COMPUTED_VALUE"""),61.66)</f>
        <v>61.66</v>
      </c>
      <c r="D3045" s="1">
        <f>IFERROR(__xludf.DUMMYFUNCTION("""COMPUTED_VALUE"""),60.62)</f>
        <v>60.62</v>
      </c>
      <c r="E3045" s="1">
        <f>IFERROR(__xludf.DUMMYFUNCTION("""COMPUTED_VALUE"""),60.97)</f>
        <v>60.97</v>
      </c>
      <c r="F3045" s="1">
        <f>IFERROR(__xludf.DUMMYFUNCTION("""COMPUTED_VALUE"""),332578.0)</f>
        <v>332578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IFERROR(__xludf.DUMMYFUNCTION("""COMPUTED_VALUE"""),60.7)</f>
        <v>60.7</v>
      </c>
      <c r="C3046" s="1">
        <f>IFERROR(__xludf.DUMMYFUNCTION("""COMPUTED_VALUE"""),60.93)</f>
        <v>60.93</v>
      </c>
      <c r="D3046" s="1">
        <f>IFERROR(__xludf.DUMMYFUNCTION("""COMPUTED_VALUE"""),59.79)</f>
        <v>59.79</v>
      </c>
      <c r="E3046" s="1">
        <f>IFERROR(__xludf.DUMMYFUNCTION("""COMPUTED_VALUE"""),60.51)</f>
        <v>60.51</v>
      </c>
      <c r="F3046" s="1">
        <f>IFERROR(__xludf.DUMMYFUNCTION("""COMPUTED_VALUE"""),217636.0)</f>
        <v>217636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IFERROR(__xludf.DUMMYFUNCTION("""COMPUTED_VALUE"""),61.09)</f>
        <v>61.09</v>
      </c>
      <c r="C3047" s="1">
        <f>IFERROR(__xludf.DUMMYFUNCTION("""COMPUTED_VALUE"""),61.09)</f>
        <v>61.09</v>
      </c>
      <c r="D3047" s="1">
        <f>IFERROR(__xludf.DUMMYFUNCTION("""COMPUTED_VALUE"""),59.93)</f>
        <v>59.93</v>
      </c>
      <c r="E3047" s="1">
        <f>IFERROR(__xludf.DUMMYFUNCTION("""COMPUTED_VALUE"""),60.24)</f>
        <v>60.24</v>
      </c>
      <c r="F3047" s="1">
        <f>IFERROR(__xludf.DUMMYFUNCTION("""COMPUTED_VALUE"""),261847.0)</f>
        <v>261847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IFERROR(__xludf.DUMMYFUNCTION("""COMPUTED_VALUE"""),59.99)</f>
        <v>59.99</v>
      </c>
      <c r="C3048" s="1">
        <f>IFERROR(__xludf.DUMMYFUNCTION("""COMPUTED_VALUE"""),61.65)</f>
        <v>61.65</v>
      </c>
      <c r="D3048" s="1">
        <f>IFERROR(__xludf.DUMMYFUNCTION("""COMPUTED_VALUE"""),59.96)</f>
        <v>59.96</v>
      </c>
      <c r="E3048" s="1">
        <f>IFERROR(__xludf.DUMMYFUNCTION("""COMPUTED_VALUE"""),61.23)</f>
        <v>61.23</v>
      </c>
      <c r="F3048" s="1">
        <f>IFERROR(__xludf.DUMMYFUNCTION("""COMPUTED_VALUE"""),318353.0)</f>
        <v>318353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IFERROR(__xludf.DUMMYFUNCTION("""COMPUTED_VALUE"""),61.85)</f>
        <v>61.85</v>
      </c>
      <c r="C3049" s="1">
        <f>IFERROR(__xludf.DUMMYFUNCTION("""COMPUTED_VALUE"""),63.02)</f>
        <v>63.02</v>
      </c>
      <c r="D3049" s="1">
        <f>IFERROR(__xludf.DUMMYFUNCTION("""COMPUTED_VALUE"""),61.85)</f>
        <v>61.85</v>
      </c>
      <c r="E3049" s="1">
        <f>IFERROR(__xludf.DUMMYFUNCTION("""COMPUTED_VALUE"""),62.74)</f>
        <v>62.74</v>
      </c>
      <c r="F3049" s="1">
        <f>IFERROR(__xludf.DUMMYFUNCTION("""COMPUTED_VALUE"""),2372611.0)</f>
        <v>2372611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IFERROR(__xludf.DUMMYFUNCTION("""COMPUTED_VALUE"""),61.35)</f>
        <v>61.35</v>
      </c>
      <c r="C3050" s="1">
        <f>IFERROR(__xludf.DUMMYFUNCTION("""COMPUTED_VALUE"""),61.54)</f>
        <v>61.54</v>
      </c>
      <c r="D3050" s="1">
        <f>IFERROR(__xludf.DUMMYFUNCTION("""COMPUTED_VALUE"""),58.55)</f>
        <v>58.55</v>
      </c>
      <c r="E3050" s="1">
        <f>IFERROR(__xludf.DUMMYFUNCTION("""COMPUTED_VALUE"""),58.82)</f>
        <v>58.82</v>
      </c>
      <c r="F3050" s="1">
        <f>IFERROR(__xludf.DUMMYFUNCTION("""COMPUTED_VALUE"""),1574822.0)</f>
        <v>1574822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IFERROR(__xludf.DUMMYFUNCTION("""COMPUTED_VALUE"""),58.81)</f>
        <v>58.81</v>
      </c>
      <c r="C3051" s="1">
        <f>IFERROR(__xludf.DUMMYFUNCTION("""COMPUTED_VALUE"""),59.09)</f>
        <v>59.09</v>
      </c>
      <c r="D3051" s="1">
        <f>IFERROR(__xludf.DUMMYFUNCTION("""COMPUTED_VALUE"""),57.04)</f>
        <v>57.04</v>
      </c>
      <c r="E3051" s="1">
        <f>IFERROR(__xludf.DUMMYFUNCTION("""COMPUTED_VALUE"""),57.39)</f>
        <v>57.39</v>
      </c>
      <c r="F3051" s="1">
        <f>IFERROR(__xludf.DUMMYFUNCTION("""COMPUTED_VALUE"""),508932.0)</f>
        <v>508932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IFERROR(__xludf.DUMMYFUNCTION("""COMPUTED_VALUE"""),57.3)</f>
        <v>57.3</v>
      </c>
      <c r="C3052" s="1">
        <f>IFERROR(__xludf.DUMMYFUNCTION("""COMPUTED_VALUE"""),57.95)</f>
        <v>57.95</v>
      </c>
      <c r="D3052" s="1">
        <f>IFERROR(__xludf.DUMMYFUNCTION("""COMPUTED_VALUE"""),56.86)</f>
        <v>56.86</v>
      </c>
      <c r="E3052" s="1">
        <f>IFERROR(__xludf.DUMMYFUNCTION("""COMPUTED_VALUE"""),57.4)</f>
        <v>57.4</v>
      </c>
      <c r="F3052" s="1">
        <f>IFERROR(__xludf.DUMMYFUNCTION("""COMPUTED_VALUE"""),506277.0)</f>
        <v>506277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IFERROR(__xludf.DUMMYFUNCTION("""COMPUTED_VALUE"""),58.03)</f>
        <v>58.03</v>
      </c>
      <c r="C3053" s="1">
        <f>IFERROR(__xludf.DUMMYFUNCTION("""COMPUTED_VALUE"""),58.37)</f>
        <v>58.37</v>
      </c>
      <c r="D3053" s="1">
        <f>IFERROR(__xludf.DUMMYFUNCTION("""COMPUTED_VALUE"""),57.94)</f>
        <v>57.94</v>
      </c>
      <c r="E3053" s="1">
        <f>IFERROR(__xludf.DUMMYFUNCTION("""COMPUTED_VALUE"""),58.1)</f>
        <v>58.1</v>
      </c>
      <c r="F3053" s="1">
        <f>IFERROR(__xludf.DUMMYFUNCTION("""COMPUTED_VALUE"""),426232.0)</f>
        <v>426232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IFERROR(__xludf.DUMMYFUNCTION("""COMPUTED_VALUE"""),57.94)</f>
        <v>57.94</v>
      </c>
      <c r="C3054" s="1">
        <f>IFERROR(__xludf.DUMMYFUNCTION("""COMPUTED_VALUE"""),58.28)</f>
        <v>58.28</v>
      </c>
      <c r="D3054" s="1">
        <f>IFERROR(__xludf.DUMMYFUNCTION("""COMPUTED_VALUE"""),57.46)</f>
        <v>57.46</v>
      </c>
      <c r="E3054" s="1">
        <f>IFERROR(__xludf.DUMMYFUNCTION("""COMPUTED_VALUE"""),57.98)</f>
        <v>57.98</v>
      </c>
      <c r="F3054" s="1">
        <f>IFERROR(__xludf.DUMMYFUNCTION("""COMPUTED_VALUE"""),443034.0)</f>
        <v>443034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IFERROR(__xludf.DUMMYFUNCTION("""COMPUTED_VALUE"""),57.63)</f>
        <v>57.63</v>
      </c>
      <c r="C3055" s="1">
        <f>IFERROR(__xludf.DUMMYFUNCTION("""COMPUTED_VALUE"""),58.19)</f>
        <v>58.19</v>
      </c>
      <c r="D3055" s="1">
        <f>IFERROR(__xludf.DUMMYFUNCTION("""COMPUTED_VALUE"""),57.18)</f>
        <v>57.18</v>
      </c>
      <c r="E3055" s="1">
        <f>IFERROR(__xludf.DUMMYFUNCTION("""COMPUTED_VALUE"""),57.45)</f>
        <v>57.45</v>
      </c>
      <c r="F3055" s="1">
        <f>IFERROR(__xludf.DUMMYFUNCTION("""COMPUTED_VALUE"""),409330.0)</f>
        <v>409330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IFERROR(__xludf.DUMMYFUNCTION("""COMPUTED_VALUE"""),55.01)</f>
        <v>55.01</v>
      </c>
      <c r="C3056" s="1">
        <f>IFERROR(__xludf.DUMMYFUNCTION("""COMPUTED_VALUE"""),56.06)</f>
        <v>56.06</v>
      </c>
      <c r="D3056" s="1">
        <f>IFERROR(__xludf.DUMMYFUNCTION("""COMPUTED_VALUE"""),48.65)</f>
        <v>48.65</v>
      </c>
      <c r="E3056" s="1">
        <f>IFERROR(__xludf.DUMMYFUNCTION("""COMPUTED_VALUE"""),51.28)</f>
        <v>51.28</v>
      </c>
      <c r="F3056" s="1">
        <f>IFERROR(__xludf.DUMMYFUNCTION("""COMPUTED_VALUE"""),2417268.0)</f>
        <v>2417268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IFERROR(__xludf.DUMMYFUNCTION("""COMPUTED_VALUE"""),51.92)</f>
        <v>51.92</v>
      </c>
      <c r="C3057" s="1">
        <f>IFERROR(__xludf.DUMMYFUNCTION("""COMPUTED_VALUE"""),52.66)</f>
        <v>52.66</v>
      </c>
      <c r="D3057" s="1">
        <f>IFERROR(__xludf.DUMMYFUNCTION("""COMPUTED_VALUE"""),51.22)</f>
        <v>51.22</v>
      </c>
      <c r="E3057" s="1">
        <f>IFERROR(__xludf.DUMMYFUNCTION("""COMPUTED_VALUE"""),51.76)</f>
        <v>51.76</v>
      </c>
      <c r="F3057" s="1">
        <f>IFERROR(__xludf.DUMMYFUNCTION("""COMPUTED_VALUE"""),1104476.0)</f>
        <v>1104476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IFERROR(__xludf.DUMMYFUNCTION("""COMPUTED_VALUE"""),51.85)</f>
        <v>51.85</v>
      </c>
      <c r="C3058" s="1">
        <f>IFERROR(__xludf.DUMMYFUNCTION("""COMPUTED_VALUE"""),52.35)</f>
        <v>52.35</v>
      </c>
      <c r="D3058" s="1">
        <f>IFERROR(__xludf.DUMMYFUNCTION("""COMPUTED_VALUE"""),50.43)</f>
        <v>50.43</v>
      </c>
      <c r="E3058" s="1">
        <f>IFERROR(__xludf.DUMMYFUNCTION("""COMPUTED_VALUE"""),50.49)</f>
        <v>50.49</v>
      </c>
      <c r="F3058" s="1">
        <f>IFERROR(__xludf.DUMMYFUNCTION("""COMPUTED_VALUE"""),801153.0)</f>
        <v>801153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IFERROR(__xludf.DUMMYFUNCTION("""COMPUTED_VALUE"""),49.16)</f>
        <v>49.16</v>
      </c>
      <c r="C3059" s="1">
        <f>IFERROR(__xludf.DUMMYFUNCTION("""COMPUTED_VALUE"""),52.14)</f>
        <v>52.14</v>
      </c>
      <c r="D3059" s="1">
        <f>IFERROR(__xludf.DUMMYFUNCTION("""COMPUTED_VALUE"""),49.16)</f>
        <v>49.16</v>
      </c>
      <c r="E3059" s="1">
        <f>IFERROR(__xludf.DUMMYFUNCTION("""COMPUTED_VALUE"""),52.04)</f>
        <v>52.04</v>
      </c>
      <c r="F3059" s="1">
        <f>IFERROR(__xludf.DUMMYFUNCTION("""COMPUTED_VALUE"""),693964.0)</f>
        <v>693964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IFERROR(__xludf.DUMMYFUNCTION("""COMPUTED_VALUE"""),52.11)</f>
        <v>52.11</v>
      </c>
      <c r="C3060" s="1">
        <f>IFERROR(__xludf.DUMMYFUNCTION("""COMPUTED_VALUE"""),52.45)</f>
        <v>52.45</v>
      </c>
      <c r="D3060" s="1">
        <f>IFERROR(__xludf.DUMMYFUNCTION("""COMPUTED_VALUE"""),51.41)</f>
        <v>51.41</v>
      </c>
      <c r="E3060" s="1">
        <f>IFERROR(__xludf.DUMMYFUNCTION("""COMPUTED_VALUE"""),52.19)</f>
        <v>52.19</v>
      </c>
      <c r="F3060" s="1">
        <f>IFERROR(__xludf.DUMMYFUNCTION("""COMPUTED_VALUE"""),633560.0)</f>
        <v>633560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IFERROR(__xludf.DUMMYFUNCTION("""COMPUTED_VALUE"""),51.95)</f>
        <v>51.95</v>
      </c>
      <c r="C3061" s="1">
        <f>IFERROR(__xludf.DUMMYFUNCTION("""COMPUTED_VALUE"""),52.6)</f>
        <v>52.6</v>
      </c>
      <c r="D3061" s="1">
        <f>IFERROR(__xludf.DUMMYFUNCTION("""COMPUTED_VALUE"""),51.73)</f>
        <v>51.73</v>
      </c>
      <c r="E3061" s="1">
        <f>IFERROR(__xludf.DUMMYFUNCTION("""COMPUTED_VALUE"""),52.38)</f>
        <v>52.38</v>
      </c>
      <c r="F3061" s="1">
        <f>IFERROR(__xludf.DUMMYFUNCTION("""COMPUTED_VALUE"""),466540.0)</f>
        <v>466540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IFERROR(__xludf.DUMMYFUNCTION("""COMPUTED_VALUE"""),52.52)</f>
        <v>52.52</v>
      </c>
      <c r="C3062" s="1">
        <f>IFERROR(__xludf.DUMMYFUNCTION("""COMPUTED_VALUE"""),54.66)</f>
        <v>54.66</v>
      </c>
      <c r="D3062" s="1">
        <f>IFERROR(__xludf.DUMMYFUNCTION("""COMPUTED_VALUE"""),52.38)</f>
        <v>52.38</v>
      </c>
      <c r="E3062" s="1">
        <f>IFERROR(__xludf.DUMMYFUNCTION("""COMPUTED_VALUE"""),54.13)</f>
        <v>54.13</v>
      </c>
      <c r="F3062" s="1">
        <f>IFERROR(__xludf.DUMMYFUNCTION("""COMPUTED_VALUE"""),543840.0)</f>
        <v>543840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IFERROR(__xludf.DUMMYFUNCTION("""COMPUTED_VALUE"""),54.52)</f>
        <v>54.52</v>
      </c>
      <c r="C3063" s="1">
        <f>IFERROR(__xludf.DUMMYFUNCTION("""COMPUTED_VALUE"""),57.08)</f>
        <v>57.08</v>
      </c>
      <c r="D3063" s="1">
        <f>IFERROR(__xludf.DUMMYFUNCTION("""COMPUTED_VALUE"""),54.52)</f>
        <v>54.52</v>
      </c>
      <c r="E3063" s="1">
        <f>IFERROR(__xludf.DUMMYFUNCTION("""COMPUTED_VALUE"""),56.24)</f>
        <v>56.24</v>
      </c>
      <c r="F3063" s="1">
        <f>IFERROR(__xludf.DUMMYFUNCTION("""COMPUTED_VALUE"""),669334.0)</f>
        <v>669334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IFERROR(__xludf.DUMMYFUNCTION("""COMPUTED_VALUE"""),56.35)</f>
        <v>56.35</v>
      </c>
      <c r="C3064" s="1">
        <f>IFERROR(__xludf.DUMMYFUNCTION("""COMPUTED_VALUE"""),56.71)</f>
        <v>56.71</v>
      </c>
      <c r="D3064" s="1">
        <f>IFERROR(__xludf.DUMMYFUNCTION("""COMPUTED_VALUE"""),55.82)</f>
        <v>55.82</v>
      </c>
      <c r="E3064" s="1">
        <f>IFERROR(__xludf.DUMMYFUNCTION("""COMPUTED_VALUE"""),56.42)</f>
        <v>56.42</v>
      </c>
      <c r="F3064" s="1">
        <f>IFERROR(__xludf.DUMMYFUNCTION("""COMPUTED_VALUE"""),495783.0)</f>
        <v>495783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IFERROR(__xludf.DUMMYFUNCTION("""COMPUTED_VALUE"""),56.04)</f>
        <v>56.04</v>
      </c>
      <c r="C3065" s="1">
        <f>IFERROR(__xludf.DUMMYFUNCTION("""COMPUTED_VALUE"""),57.4)</f>
        <v>57.4</v>
      </c>
      <c r="D3065" s="1">
        <f>IFERROR(__xludf.DUMMYFUNCTION("""COMPUTED_VALUE"""),56.04)</f>
        <v>56.04</v>
      </c>
      <c r="E3065" s="1">
        <f>IFERROR(__xludf.DUMMYFUNCTION("""COMPUTED_VALUE"""),57.15)</f>
        <v>57.15</v>
      </c>
      <c r="F3065" s="1">
        <f>IFERROR(__xludf.DUMMYFUNCTION("""COMPUTED_VALUE"""),410087.0)</f>
        <v>410087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IFERROR(__xludf.DUMMYFUNCTION("""COMPUTED_VALUE"""),57.24)</f>
        <v>57.24</v>
      </c>
      <c r="C3066" s="1">
        <f>IFERROR(__xludf.DUMMYFUNCTION("""COMPUTED_VALUE"""),57.97)</f>
        <v>57.97</v>
      </c>
      <c r="D3066" s="1">
        <f>IFERROR(__xludf.DUMMYFUNCTION("""COMPUTED_VALUE"""),56.6)</f>
        <v>56.6</v>
      </c>
      <c r="E3066" s="1">
        <f>IFERROR(__xludf.DUMMYFUNCTION("""COMPUTED_VALUE"""),56.78)</f>
        <v>56.78</v>
      </c>
      <c r="F3066" s="1">
        <f>IFERROR(__xludf.DUMMYFUNCTION("""COMPUTED_VALUE"""),566408.0)</f>
        <v>566408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IFERROR(__xludf.DUMMYFUNCTION("""COMPUTED_VALUE"""),56.46)</f>
        <v>56.46</v>
      </c>
      <c r="C3067" s="1">
        <f>IFERROR(__xludf.DUMMYFUNCTION("""COMPUTED_VALUE"""),58.0)</f>
        <v>58</v>
      </c>
      <c r="D3067" s="1">
        <f>IFERROR(__xludf.DUMMYFUNCTION("""COMPUTED_VALUE"""),56.23)</f>
        <v>56.23</v>
      </c>
      <c r="E3067" s="1">
        <f>IFERROR(__xludf.DUMMYFUNCTION("""COMPUTED_VALUE"""),56.28)</f>
        <v>56.28</v>
      </c>
      <c r="F3067" s="1">
        <f>IFERROR(__xludf.DUMMYFUNCTION("""COMPUTED_VALUE"""),678720.0)</f>
        <v>678720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IFERROR(__xludf.DUMMYFUNCTION("""COMPUTED_VALUE"""),56.96)</f>
        <v>56.96</v>
      </c>
      <c r="C3068" s="1">
        <f>IFERROR(__xludf.DUMMYFUNCTION("""COMPUTED_VALUE"""),58.06)</f>
        <v>58.06</v>
      </c>
      <c r="D3068" s="1">
        <f>IFERROR(__xludf.DUMMYFUNCTION("""COMPUTED_VALUE"""),56.96)</f>
        <v>56.96</v>
      </c>
      <c r="E3068" s="1">
        <f>IFERROR(__xludf.DUMMYFUNCTION("""COMPUTED_VALUE"""),57.59)</f>
        <v>57.59</v>
      </c>
      <c r="F3068" s="1">
        <f>IFERROR(__xludf.DUMMYFUNCTION("""COMPUTED_VALUE"""),592503.0)</f>
        <v>592503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IFERROR(__xludf.DUMMYFUNCTION("""COMPUTED_VALUE"""),57.01)</f>
        <v>57.01</v>
      </c>
      <c r="C3069" s="1">
        <f>IFERROR(__xludf.DUMMYFUNCTION("""COMPUTED_VALUE"""),57.86)</f>
        <v>57.86</v>
      </c>
      <c r="D3069" s="1">
        <f>IFERROR(__xludf.DUMMYFUNCTION("""COMPUTED_VALUE"""),56.83)</f>
        <v>56.83</v>
      </c>
      <c r="E3069" s="1">
        <f>IFERROR(__xludf.DUMMYFUNCTION("""COMPUTED_VALUE"""),57.75)</f>
        <v>57.75</v>
      </c>
      <c r="F3069" s="1">
        <f>IFERROR(__xludf.DUMMYFUNCTION("""COMPUTED_VALUE"""),219880.0)</f>
        <v>219880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IFERROR(__xludf.DUMMYFUNCTION("""COMPUTED_VALUE"""),58.07)</f>
        <v>58.07</v>
      </c>
      <c r="C3070" s="1">
        <f>IFERROR(__xludf.DUMMYFUNCTION("""COMPUTED_VALUE"""),58.36)</f>
        <v>58.36</v>
      </c>
      <c r="D3070" s="1">
        <f>IFERROR(__xludf.DUMMYFUNCTION("""COMPUTED_VALUE"""),57.04)</f>
        <v>57.04</v>
      </c>
      <c r="E3070" s="1">
        <f>IFERROR(__xludf.DUMMYFUNCTION("""COMPUTED_VALUE"""),57.29)</f>
        <v>57.29</v>
      </c>
      <c r="F3070" s="1">
        <f>IFERROR(__xludf.DUMMYFUNCTION("""COMPUTED_VALUE"""),438097.0)</f>
        <v>438097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IFERROR(__xludf.DUMMYFUNCTION("""COMPUTED_VALUE"""),57.56)</f>
        <v>57.56</v>
      </c>
      <c r="C3071" s="1">
        <f>IFERROR(__xludf.DUMMYFUNCTION("""COMPUTED_VALUE"""),57.72)</f>
        <v>57.72</v>
      </c>
      <c r="D3071" s="1">
        <f>IFERROR(__xludf.DUMMYFUNCTION("""COMPUTED_VALUE"""),56.66)</f>
        <v>56.66</v>
      </c>
      <c r="E3071" s="1">
        <f>IFERROR(__xludf.DUMMYFUNCTION("""COMPUTED_VALUE"""),56.93)</f>
        <v>56.93</v>
      </c>
      <c r="F3071" s="1">
        <f>IFERROR(__xludf.DUMMYFUNCTION("""COMPUTED_VALUE"""),414482.0)</f>
        <v>414482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IFERROR(__xludf.DUMMYFUNCTION("""COMPUTED_VALUE"""),57.08)</f>
        <v>57.08</v>
      </c>
      <c r="C3072" s="1">
        <f>IFERROR(__xludf.DUMMYFUNCTION("""COMPUTED_VALUE"""),57.73)</f>
        <v>57.73</v>
      </c>
      <c r="D3072" s="1">
        <f>IFERROR(__xludf.DUMMYFUNCTION("""COMPUTED_VALUE"""),56.7)</f>
        <v>56.7</v>
      </c>
      <c r="E3072" s="1">
        <f>IFERROR(__xludf.DUMMYFUNCTION("""COMPUTED_VALUE"""),57.7)</f>
        <v>57.7</v>
      </c>
      <c r="F3072" s="1">
        <f>IFERROR(__xludf.DUMMYFUNCTION("""COMPUTED_VALUE"""),257234.0)</f>
        <v>257234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IFERROR(__xludf.DUMMYFUNCTION("""COMPUTED_VALUE"""),58.36)</f>
        <v>58.36</v>
      </c>
      <c r="C3073" s="1">
        <f>IFERROR(__xludf.DUMMYFUNCTION("""COMPUTED_VALUE"""),58.66)</f>
        <v>58.66</v>
      </c>
      <c r="D3073" s="1">
        <f>IFERROR(__xludf.DUMMYFUNCTION("""COMPUTED_VALUE"""),57.39)</f>
        <v>57.39</v>
      </c>
      <c r="E3073" s="1">
        <f>IFERROR(__xludf.DUMMYFUNCTION("""COMPUTED_VALUE"""),58.64)</f>
        <v>58.64</v>
      </c>
      <c r="F3073" s="1">
        <f>IFERROR(__xludf.DUMMYFUNCTION("""COMPUTED_VALUE"""),277336.0)</f>
        <v>277336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IFERROR(__xludf.DUMMYFUNCTION("""COMPUTED_VALUE"""),58.47)</f>
        <v>58.47</v>
      </c>
      <c r="C3074" s="1">
        <f>IFERROR(__xludf.DUMMYFUNCTION("""COMPUTED_VALUE"""),60.59)</f>
        <v>60.59</v>
      </c>
      <c r="D3074" s="1">
        <f>IFERROR(__xludf.DUMMYFUNCTION("""COMPUTED_VALUE"""),58.45)</f>
        <v>58.45</v>
      </c>
      <c r="E3074" s="1">
        <f>IFERROR(__xludf.DUMMYFUNCTION("""COMPUTED_VALUE"""),60.3)</f>
        <v>60.3</v>
      </c>
      <c r="F3074" s="1">
        <f>IFERROR(__xludf.DUMMYFUNCTION("""COMPUTED_VALUE"""),336133.0)</f>
        <v>336133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IFERROR(__xludf.DUMMYFUNCTION("""COMPUTED_VALUE"""),59.8)</f>
        <v>59.8</v>
      </c>
      <c r="C3075" s="1">
        <f>IFERROR(__xludf.DUMMYFUNCTION("""COMPUTED_VALUE"""),60.26)</f>
        <v>60.26</v>
      </c>
      <c r="D3075" s="1">
        <f>IFERROR(__xludf.DUMMYFUNCTION("""COMPUTED_VALUE"""),59.03)</f>
        <v>59.03</v>
      </c>
      <c r="E3075" s="1">
        <f>IFERROR(__xludf.DUMMYFUNCTION("""COMPUTED_VALUE"""),60.17)</f>
        <v>60.17</v>
      </c>
      <c r="F3075" s="1">
        <f>IFERROR(__xludf.DUMMYFUNCTION("""COMPUTED_VALUE"""),521128.0)</f>
        <v>521128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IFERROR(__xludf.DUMMYFUNCTION("""COMPUTED_VALUE"""),59.9)</f>
        <v>59.9</v>
      </c>
      <c r="C3076" s="1">
        <f>IFERROR(__xludf.DUMMYFUNCTION("""COMPUTED_VALUE"""),60.27)</f>
        <v>60.27</v>
      </c>
      <c r="D3076" s="1">
        <f>IFERROR(__xludf.DUMMYFUNCTION("""COMPUTED_VALUE"""),59.03)</f>
        <v>59.03</v>
      </c>
      <c r="E3076" s="1">
        <f>IFERROR(__xludf.DUMMYFUNCTION("""COMPUTED_VALUE"""),59.43)</f>
        <v>59.43</v>
      </c>
      <c r="F3076" s="1">
        <f>IFERROR(__xludf.DUMMYFUNCTION("""COMPUTED_VALUE"""),226242.0)</f>
        <v>226242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IFERROR(__xludf.DUMMYFUNCTION("""COMPUTED_VALUE"""),59.55)</f>
        <v>59.55</v>
      </c>
      <c r="C3077" s="1">
        <f>IFERROR(__xludf.DUMMYFUNCTION("""COMPUTED_VALUE"""),59.78)</f>
        <v>59.78</v>
      </c>
      <c r="D3077" s="1">
        <f>IFERROR(__xludf.DUMMYFUNCTION("""COMPUTED_VALUE"""),59.04)</f>
        <v>59.04</v>
      </c>
      <c r="E3077" s="1">
        <f>IFERROR(__xludf.DUMMYFUNCTION("""COMPUTED_VALUE"""),59.19)</f>
        <v>59.19</v>
      </c>
      <c r="F3077" s="1">
        <f>IFERROR(__xludf.DUMMYFUNCTION("""COMPUTED_VALUE"""),216496.0)</f>
        <v>216496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IFERROR(__xludf.DUMMYFUNCTION("""COMPUTED_VALUE"""),59.03)</f>
        <v>59.03</v>
      </c>
      <c r="C3078" s="1">
        <f>IFERROR(__xludf.DUMMYFUNCTION("""COMPUTED_VALUE"""),59.47)</f>
        <v>59.47</v>
      </c>
      <c r="D3078" s="1">
        <f>IFERROR(__xludf.DUMMYFUNCTION("""COMPUTED_VALUE"""),58.27)</f>
        <v>58.27</v>
      </c>
      <c r="E3078" s="1">
        <f>IFERROR(__xludf.DUMMYFUNCTION("""COMPUTED_VALUE"""),58.86)</f>
        <v>58.86</v>
      </c>
      <c r="F3078" s="1">
        <f>IFERROR(__xludf.DUMMYFUNCTION("""COMPUTED_VALUE"""),183049.0)</f>
        <v>183049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IFERROR(__xludf.DUMMYFUNCTION("""COMPUTED_VALUE"""),58.91)</f>
        <v>58.91</v>
      </c>
      <c r="C3079" s="1">
        <f>IFERROR(__xludf.DUMMYFUNCTION("""COMPUTED_VALUE"""),59.0)</f>
        <v>59</v>
      </c>
      <c r="D3079" s="1">
        <f>IFERROR(__xludf.DUMMYFUNCTION("""COMPUTED_VALUE"""),58.38)</f>
        <v>58.38</v>
      </c>
      <c r="E3079" s="1">
        <f>IFERROR(__xludf.DUMMYFUNCTION("""COMPUTED_VALUE"""),58.79)</f>
        <v>58.79</v>
      </c>
      <c r="F3079" s="1">
        <f>IFERROR(__xludf.DUMMYFUNCTION("""COMPUTED_VALUE"""),185181.0)</f>
        <v>185181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IFERROR(__xludf.DUMMYFUNCTION("""COMPUTED_VALUE"""),58.79)</f>
        <v>58.79</v>
      </c>
      <c r="C3080" s="1">
        <f>IFERROR(__xludf.DUMMYFUNCTION("""COMPUTED_VALUE"""),59.02)</f>
        <v>59.02</v>
      </c>
      <c r="D3080" s="1">
        <f>IFERROR(__xludf.DUMMYFUNCTION("""COMPUTED_VALUE"""),58.36)</f>
        <v>58.36</v>
      </c>
      <c r="E3080" s="1">
        <f>IFERROR(__xludf.DUMMYFUNCTION("""COMPUTED_VALUE"""),58.91)</f>
        <v>58.91</v>
      </c>
      <c r="F3080" s="1">
        <f>IFERROR(__xludf.DUMMYFUNCTION("""COMPUTED_VALUE"""),176537.0)</f>
        <v>176537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IFERROR(__xludf.DUMMYFUNCTION("""COMPUTED_VALUE"""),59.21)</f>
        <v>59.21</v>
      </c>
      <c r="C3081" s="1">
        <f>IFERROR(__xludf.DUMMYFUNCTION("""COMPUTED_VALUE"""),59.21)</f>
        <v>59.21</v>
      </c>
      <c r="D3081" s="1">
        <f>IFERROR(__xludf.DUMMYFUNCTION("""COMPUTED_VALUE"""),58.54)</f>
        <v>58.54</v>
      </c>
      <c r="E3081" s="1">
        <f>IFERROR(__xludf.DUMMYFUNCTION("""COMPUTED_VALUE"""),59.13)</f>
        <v>59.13</v>
      </c>
      <c r="F3081" s="1">
        <f>IFERROR(__xludf.DUMMYFUNCTION("""COMPUTED_VALUE"""),221463.0)</f>
        <v>221463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IFERROR(__xludf.DUMMYFUNCTION("""COMPUTED_VALUE"""),59.5)</f>
        <v>59.5</v>
      </c>
      <c r="C3082" s="1">
        <f>IFERROR(__xludf.DUMMYFUNCTION("""COMPUTED_VALUE"""),60.49)</f>
        <v>60.49</v>
      </c>
      <c r="D3082" s="1">
        <f>IFERROR(__xludf.DUMMYFUNCTION("""COMPUTED_VALUE"""),59.48)</f>
        <v>59.48</v>
      </c>
      <c r="E3082" s="1">
        <f>IFERROR(__xludf.DUMMYFUNCTION("""COMPUTED_VALUE"""),60.03)</f>
        <v>60.03</v>
      </c>
      <c r="F3082" s="1">
        <f>IFERROR(__xludf.DUMMYFUNCTION("""COMPUTED_VALUE"""),351311.0)</f>
        <v>351311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IFERROR(__xludf.DUMMYFUNCTION("""COMPUTED_VALUE"""),59.95)</f>
        <v>59.95</v>
      </c>
      <c r="C3083" s="1">
        <f>IFERROR(__xludf.DUMMYFUNCTION("""COMPUTED_VALUE"""),60.0)</f>
        <v>60</v>
      </c>
      <c r="D3083" s="1">
        <f>IFERROR(__xludf.DUMMYFUNCTION("""COMPUTED_VALUE"""),59.25)</f>
        <v>59.25</v>
      </c>
      <c r="E3083" s="1">
        <f>IFERROR(__xludf.DUMMYFUNCTION("""COMPUTED_VALUE"""),59.39)</f>
        <v>59.39</v>
      </c>
      <c r="F3083" s="1">
        <f>IFERROR(__xludf.DUMMYFUNCTION("""COMPUTED_VALUE"""),424870.0)</f>
        <v>424870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IFERROR(__xludf.DUMMYFUNCTION("""COMPUTED_VALUE"""),59.56)</f>
        <v>59.56</v>
      </c>
      <c r="C3084" s="1">
        <f>IFERROR(__xludf.DUMMYFUNCTION("""COMPUTED_VALUE"""),60.26)</f>
        <v>60.26</v>
      </c>
      <c r="D3084" s="1">
        <f>IFERROR(__xludf.DUMMYFUNCTION("""COMPUTED_VALUE"""),59.03)</f>
        <v>59.03</v>
      </c>
      <c r="E3084" s="1">
        <f>IFERROR(__xludf.DUMMYFUNCTION("""COMPUTED_VALUE"""),59.03)</f>
        <v>59.03</v>
      </c>
      <c r="F3084" s="1">
        <f>IFERROR(__xludf.DUMMYFUNCTION("""COMPUTED_VALUE"""),192607.0)</f>
        <v>192607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IFERROR(__xludf.DUMMYFUNCTION("""COMPUTED_VALUE"""),59.11)</f>
        <v>59.11</v>
      </c>
      <c r="C3085" s="1">
        <f>IFERROR(__xludf.DUMMYFUNCTION("""COMPUTED_VALUE"""),59.68)</f>
        <v>59.68</v>
      </c>
      <c r="D3085" s="1">
        <f>IFERROR(__xludf.DUMMYFUNCTION("""COMPUTED_VALUE"""),59.1)</f>
        <v>59.1</v>
      </c>
      <c r="E3085" s="1">
        <f>IFERROR(__xludf.DUMMYFUNCTION("""COMPUTED_VALUE"""),59.22)</f>
        <v>59.22</v>
      </c>
      <c r="F3085" s="1">
        <f>IFERROR(__xludf.DUMMYFUNCTION("""COMPUTED_VALUE"""),193160.0)</f>
        <v>193160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IFERROR(__xludf.DUMMYFUNCTION("""COMPUTED_VALUE"""),59.29)</f>
        <v>59.29</v>
      </c>
      <c r="C3086" s="1">
        <f>IFERROR(__xludf.DUMMYFUNCTION("""COMPUTED_VALUE"""),60.3)</f>
        <v>60.3</v>
      </c>
      <c r="D3086" s="1">
        <f>IFERROR(__xludf.DUMMYFUNCTION("""COMPUTED_VALUE"""),59.23)</f>
        <v>59.23</v>
      </c>
      <c r="E3086" s="1">
        <f>IFERROR(__xludf.DUMMYFUNCTION("""COMPUTED_VALUE"""),60.18)</f>
        <v>60.18</v>
      </c>
      <c r="F3086" s="1">
        <f>IFERROR(__xludf.DUMMYFUNCTION("""COMPUTED_VALUE"""),270138.0)</f>
        <v>270138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IFERROR(__xludf.DUMMYFUNCTION("""COMPUTED_VALUE"""),60.19)</f>
        <v>60.19</v>
      </c>
      <c r="C3087" s="1">
        <f>IFERROR(__xludf.DUMMYFUNCTION("""COMPUTED_VALUE"""),61.03)</f>
        <v>61.03</v>
      </c>
      <c r="D3087" s="1">
        <f>IFERROR(__xludf.DUMMYFUNCTION("""COMPUTED_VALUE"""),59.84)</f>
        <v>59.84</v>
      </c>
      <c r="E3087" s="1">
        <f>IFERROR(__xludf.DUMMYFUNCTION("""COMPUTED_VALUE"""),59.91)</f>
        <v>59.91</v>
      </c>
      <c r="F3087" s="1">
        <f>IFERROR(__xludf.DUMMYFUNCTION("""COMPUTED_VALUE"""),218199.0)</f>
        <v>218199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IFERROR(__xludf.DUMMYFUNCTION("""COMPUTED_VALUE"""),59.39)</f>
        <v>59.39</v>
      </c>
      <c r="C3088" s="1">
        <f>IFERROR(__xludf.DUMMYFUNCTION("""COMPUTED_VALUE"""),59.52)</f>
        <v>59.52</v>
      </c>
      <c r="D3088" s="1">
        <f>IFERROR(__xludf.DUMMYFUNCTION("""COMPUTED_VALUE"""),58.89)</f>
        <v>58.89</v>
      </c>
      <c r="E3088" s="1">
        <f>IFERROR(__xludf.DUMMYFUNCTION("""COMPUTED_VALUE"""),59.0)</f>
        <v>59</v>
      </c>
      <c r="F3088" s="1">
        <f>IFERROR(__xludf.DUMMYFUNCTION("""COMPUTED_VALUE"""),180539.0)</f>
        <v>180539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IFERROR(__xludf.DUMMYFUNCTION("""COMPUTED_VALUE"""),58.96)</f>
        <v>58.96</v>
      </c>
      <c r="C3089" s="1">
        <f>IFERROR(__xludf.DUMMYFUNCTION("""COMPUTED_VALUE"""),58.96)</f>
        <v>58.96</v>
      </c>
      <c r="D3089" s="1">
        <f>IFERROR(__xludf.DUMMYFUNCTION("""COMPUTED_VALUE"""),57.87)</f>
        <v>57.87</v>
      </c>
      <c r="E3089" s="1">
        <f>IFERROR(__xludf.DUMMYFUNCTION("""COMPUTED_VALUE"""),58.44)</f>
        <v>58.44</v>
      </c>
      <c r="F3089" s="1">
        <f>IFERROR(__xludf.DUMMYFUNCTION("""COMPUTED_VALUE"""),254931.0)</f>
        <v>254931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IFERROR(__xludf.DUMMYFUNCTION("""COMPUTED_VALUE"""),58.37)</f>
        <v>58.37</v>
      </c>
      <c r="C3090" s="1">
        <f>IFERROR(__xludf.DUMMYFUNCTION("""COMPUTED_VALUE"""),58.5)</f>
        <v>58.5</v>
      </c>
      <c r="D3090" s="1">
        <f>IFERROR(__xludf.DUMMYFUNCTION("""COMPUTED_VALUE"""),57.94)</f>
        <v>57.94</v>
      </c>
      <c r="E3090" s="1">
        <f>IFERROR(__xludf.DUMMYFUNCTION("""COMPUTED_VALUE"""),58.16)</f>
        <v>58.16</v>
      </c>
      <c r="F3090" s="1">
        <f>IFERROR(__xludf.DUMMYFUNCTION("""COMPUTED_VALUE"""),406921.0)</f>
        <v>406921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IFERROR(__xludf.DUMMYFUNCTION("""COMPUTED_VALUE"""),57.73)</f>
        <v>57.73</v>
      </c>
      <c r="C3091" s="1">
        <f>IFERROR(__xludf.DUMMYFUNCTION("""COMPUTED_VALUE"""),58.3)</f>
        <v>58.3</v>
      </c>
      <c r="D3091" s="1">
        <f>IFERROR(__xludf.DUMMYFUNCTION("""COMPUTED_VALUE"""),57.6)</f>
        <v>57.6</v>
      </c>
      <c r="E3091" s="1">
        <f>IFERROR(__xludf.DUMMYFUNCTION("""COMPUTED_VALUE"""),57.84)</f>
        <v>57.84</v>
      </c>
      <c r="F3091" s="1">
        <f>IFERROR(__xludf.DUMMYFUNCTION("""COMPUTED_VALUE"""),256533.0)</f>
        <v>256533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IFERROR(__xludf.DUMMYFUNCTION("""COMPUTED_VALUE"""),58.21)</f>
        <v>58.21</v>
      </c>
      <c r="C3092" s="1">
        <f>IFERROR(__xludf.DUMMYFUNCTION("""COMPUTED_VALUE"""),58.21)</f>
        <v>58.21</v>
      </c>
      <c r="D3092" s="1">
        <f>IFERROR(__xludf.DUMMYFUNCTION("""COMPUTED_VALUE"""),56.94)</f>
        <v>56.94</v>
      </c>
      <c r="E3092" s="1">
        <f>IFERROR(__xludf.DUMMYFUNCTION("""COMPUTED_VALUE"""),57.05)</f>
        <v>57.05</v>
      </c>
      <c r="F3092" s="1">
        <f>IFERROR(__xludf.DUMMYFUNCTION("""COMPUTED_VALUE"""),364335.0)</f>
        <v>364335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IFERROR(__xludf.DUMMYFUNCTION("""COMPUTED_VALUE"""),57.01)</f>
        <v>57.01</v>
      </c>
      <c r="C3093" s="1">
        <f>IFERROR(__xludf.DUMMYFUNCTION("""COMPUTED_VALUE"""),57.65)</f>
        <v>57.65</v>
      </c>
      <c r="D3093" s="1">
        <f>IFERROR(__xludf.DUMMYFUNCTION("""COMPUTED_VALUE"""),56.79)</f>
        <v>56.79</v>
      </c>
      <c r="E3093" s="1">
        <f>IFERROR(__xludf.DUMMYFUNCTION("""COMPUTED_VALUE"""),57.06)</f>
        <v>57.06</v>
      </c>
      <c r="F3093" s="1">
        <f>IFERROR(__xludf.DUMMYFUNCTION("""COMPUTED_VALUE"""),287379.0)</f>
        <v>287379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IFERROR(__xludf.DUMMYFUNCTION("""COMPUTED_VALUE"""),57.48)</f>
        <v>57.48</v>
      </c>
      <c r="C3094" s="1">
        <f>IFERROR(__xludf.DUMMYFUNCTION("""COMPUTED_VALUE"""),57.54)</f>
        <v>57.54</v>
      </c>
      <c r="D3094" s="1">
        <f>IFERROR(__xludf.DUMMYFUNCTION("""COMPUTED_VALUE"""),55.61)</f>
        <v>55.61</v>
      </c>
      <c r="E3094" s="1">
        <f>IFERROR(__xludf.DUMMYFUNCTION("""COMPUTED_VALUE"""),55.61)</f>
        <v>55.61</v>
      </c>
      <c r="F3094" s="1">
        <f>IFERROR(__xludf.DUMMYFUNCTION("""COMPUTED_VALUE"""),323521.0)</f>
        <v>323521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IFERROR(__xludf.DUMMYFUNCTION("""COMPUTED_VALUE"""),55.41)</f>
        <v>55.41</v>
      </c>
      <c r="C3095" s="1">
        <f>IFERROR(__xludf.DUMMYFUNCTION("""COMPUTED_VALUE"""),55.6)</f>
        <v>55.6</v>
      </c>
      <c r="D3095" s="1">
        <f>IFERROR(__xludf.DUMMYFUNCTION("""COMPUTED_VALUE"""),54.59)</f>
        <v>54.59</v>
      </c>
      <c r="E3095" s="1">
        <f>IFERROR(__xludf.DUMMYFUNCTION("""COMPUTED_VALUE"""),54.87)</f>
        <v>54.87</v>
      </c>
      <c r="F3095" s="1">
        <f>IFERROR(__xludf.DUMMYFUNCTION("""COMPUTED_VALUE"""),305849.0)</f>
        <v>305849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IFERROR(__xludf.DUMMYFUNCTION("""COMPUTED_VALUE"""),55.03)</f>
        <v>55.03</v>
      </c>
      <c r="C3096" s="1">
        <f>IFERROR(__xludf.DUMMYFUNCTION("""COMPUTED_VALUE"""),56.06)</f>
        <v>56.06</v>
      </c>
      <c r="D3096" s="1">
        <f>IFERROR(__xludf.DUMMYFUNCTION("""COMPUTED_VALUE"""),54.67)</f>
        <v>54.67</v>
      </c>
      <c r="E3096" s="1">
        <f>IFERROR(__xludf.DUMMYFUNCTION("""COMPUTED_VALUE"""),55.87)</f>
        <v>55.87</v>
      </c>
      <c r="F3096" s="1">
        <f>IFERROR(__xludf.DUMMYFUNCTION("""COMPUTED_VALUE"""),562939.0)</f>
        <v>562939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IFERROR(__xludf.DUMMYFUNCTION("""COMPUTED_VALUE"""),56.39)</f>
        <v>56.39</v>
      </c>
      <c r="C3097" s="1">
        <f>IFERROR(__xludf.DUMMYFUNCTION("""COMPUTED_VALUE"""),57.41)</f>
        <v>57.41</v>
      </c>
      <c r="D3097" s="1">
        <f>IFERROR(__xludf.DUMMYFUNCTION("""COMPUTED_VALUE"""),54.89)</f>
        <v>54.89</v>
      </c>
      <c r="E3097" s="1">
        <f>IFERROR(__xludf.DUMMYFUNCTION("""COMPUTED_VALUE"""),57.28)</f>
        <v>57.28</v>
      </c>
      <c r="F3097" s="1">
        <f>IFERROR(__xludf.DUMMYFUNCTION("""COMPUTED_VALUE"""),525090.0)</f>
        <v>525090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IFERROR(__xludf.DUMMYFUNCTION("""COMPUTED_VALUE"""),57.67)</f>
        <v>57.67</v>
      </c>
      <c r="C3098" s="1">
        <f>IFERROR(__xludf.DUMMYFUNCTION("""COMPUTED_VALUE"""),57.84)</f>
        <v>57.84</v>
      </c>
      <c r="D3098" s="1">
        <f>IFERROR(__xludf.DUMMYFUNCTION("""COMPUTED_VALUE"""),56.45)</f>
        <v>56.45</v>
      </c>
      <c r="E3098" s="1">
        <f>IFERROR(__xludf.DUMMYFUNCTION("""COMPUTED_VALUE"""),56.67)</f>
        <v>56.67</v>
      </c>
      <c r="F3098" s="1">
        <f>IFERROR(__xludf.DUMMYFUNCTION("""COMPUTED_VALUE"""),511051.0)</f>
        <v>511051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IFERROR(__xludf.DUMMYFUNCTION("""COMPUTED_VALUE"""),56.46)</f>
        <v>56.46</v>
      </c>
      <c r="C3099" s="1">
        <f>IFERROR(__xludf.DUMMYFUNCTION("""COMPUTED_VALUE"""),56.7)</f>
        <v>56.7</v>
      </c>
      <c r="D3099" s="1">
        <f>IFERROR(__xludf.DUMMYFUNCTION("""COMPUTED_VALUE"""),55.27)</f>
        <v>55.27</v>
      </c>
      <c r="E3099" s="1">
        <f>IFERROR(__xludf.DUMMYFUNCTION("""COMPUTED_VALUE"""),55.46)</f>
        <v>55.46</v>
      </c>
      <c r="F3099" s="1">
        <f>IFERROR(__xludf.DUMMYFUNCTION("""COMPUTED_VALUE"""),348463.0)</f>
        <v>348463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IFERROR(__xludf.DUMMYFUNCTION("""COMPUTED_VALUE"""),55.5)</f>
        <v>55.5</v>
      </c>
      <c r="C3100" s="1">
        <f>IFERROR(__xludf.DUMMYFUNCTION("""COMPUTED_VALUE"""),56.59)</f>
        <v>56.59</v>
      </c>
      <c r="D3100" s="1">
        <f>IFERROR(__xludf.DUMMYFUNCTION("""COMPUTED_VALUE"""),54.94)</f>
        <v>54.94</v>
      </c>
      <c r="E3100" s="1">
        <f>IFERROR(__xludf.DUMMYFUNCTION("""COMPUTED_VALUE"""),56.46)</f>
        <v>56.46</v>
      </c>
      <c r="F3100" s="1">
        <f>IFERROR(__xludf.DUMMYFUNCTION("""COMPUTED_VALUE"""),333230.0)</f>
        <v>333230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IFERROR(__xludf.DUMMYFUNCTION("""COMPUTED_VALUE"""),56.23)</f>
        <v>56.23</v>
      </c>
      <c r="C3101" s="1">
        <f>IFERROR(__xludf.DUMMYFUNCTION("""COMPUTED_VALUE"""),56.67)</f>
        <v>56.67</v>
      </c>
      <c r="D3101" s="1">
        <f>IFERROR(__xludf.DUMMYFUNCTION("""COMPUTED_VALUE"""),54.55)</f>
        <v>54.55</v>
      </c>
      <c r="E3101" s="1">
        <f>IFERROR(__xludf.DUMMYFUNCTION("""COMPUTED_VALUE"""),54.72)</f>
        <v>54.72</v>
      </c>
      <c r="F3101" s="1">
        <f>IFERROR(__xludf.DUMMYFUNCTION("""COMPUTED_VALUE"""),304976.0)</f>
        <v>304976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IFERROR(__xludf.DUMMYFUNCTION("""COMPUTED_VALUE"""),54.38)</f>
        <v>54.38</v>
      </c>
      <c r="C3102" s="1">
        <f>IFERROR(__xludf.DUMMYFUNCTION("""COMPUTED_VALUE"""),55.81)</f>
        <v>55.81</v>
      </c>
      <c r="D3102" s="1">
        <f>IFERROR(__xludf.DUMMYFUNCTION("""COMPUTED_VALUE"""),54.38)</f>
        <v>54.38</v>
      </c>
      <c r="E3102" s="1">
        <f>IFERROR(__xludf.DUMMYFUNCTION("""COMPUTED_VALUE"""),55.48)</f>
        <v>55.48</v>
      </c>
      <c r="F3102" s="1">
        <f>IFERROR(__xludf.DUMMYFUNCTION("""COMPUTED_VALUE"""),274978.0)</f>
        <v>274978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IFERROR(__xludf.DUMMYFUNCTION("""COMPUTED_VALUE"""),55.99)</f>
        <v>55.99</v>
      </c>
      <c r="C3103" s="1">
        <f>IFERROR(__xludf.DUMMYFUNCTION("""COMPUTED_VALUE"""),56.68)</f>
        <v>56.68</v>
      </c>
      <c r="D3103" s="1">
        <f>IFERROR(__xludf.DUMMYFUNCTION("""COMPUTED_VALUE"""),55.22)</f>
        <v>55.22</v>
      </c>
      <c r="E3103" s="1">
        <f>IFERROR(__xludf.DUMMYFUNCTION("""COMPUTED_VALUE"""),56.37)</f>
        <v>56.37</v>
      </c>
      <c r="F3103" s="1">
        <f>IFERROR(__xludf.DUMMYFUNCTION("""COMPUTED_VALUE"""),485834.0)</f>
        <v>485834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IFERROR(__xludf.DUMMYFUNCTION("""COMPUTED_VALUE"""),56.28)</f>
        <v>56.28</v>
      </c>
      <c r="C3104" s="1">
        <f>IFERROR(__xludf.DUMMYFUNCTION("""COMPUTED_VALUE"""),57.01)</f>
        <v>57.01</v>
      </c>
      <c r="D3104" s="1">
        <f>IFERROR(__xludf.DUMMYFUNCTION("""COMPUTED_VALUE"""),55.05)</f>
        <v>55.05</v>
      </c>
      <c r="E3104" s="1">
        <f>IFERROR(__xludf.DUMMYFUNCTION("""COMPUTED_VALUE"""),55.09)</f>
        <v>55.09</v>
      </c>
      <c r="F3104" s="1">
        <f>IFERROR(__xludf.DUMMYFUNCTION("""COMPUTED_VALUE"""),273526.0)</f>
        <v>273526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IFERROR(__xludf.DUMMYFUNCTION("""COMPUTED_VALUE"""),54.77)</f>
        <v>54.77</v>
      </c>
      <c r="C3105" s="1">
        <f>IFERROR(__xludf.DUMMYFUNCTION("""COMPUTED_VALUE"""),54.91)</f>
        <v>54.91</v>
      </c>
      <c r="D3105" s="1">
        <f>IFERROR(__xludf.DUMMYFUNCTION("""COMPUTED_VALUE"""),52.63)</f>
        <v>52.63</v>
      </c>
      <c r="E3105" s="1">
        <f>IFERROR(__xludf.DUMMYFUNCTION("""COMPUTED_VALUE"""),53.18)</f>
        <v>53.18</v>
      </c>
      <c r="F3105" s="1">
        <f>IFERROR(__xludf.DUMMYFUNCTION("""COMPUTED_VALUE"""),362890.0)</f>
        <v>362890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IFERROR(__xludf.DUMMYFUNCTION("""COMPUTED_VALUE"""),53.05)</f>
        <v>53.05</v>
      </c>
      <c r="C3106" s="1">
        <f>IFERROR(__xludf.DUMMYFUNCTION("""COMPUTED_VALUE"""),53.8)</f>
        <v>53.8</v>
      </c>
      <c r="D3106" s="1">
        <f>IFERROR(__xludf.DUMMYFUNCTION("""COMPUTED_VALUE"""),52.9)</f>
        <v>52.9</v>
      </c>
      <c r="E3106" s="1">
        <f>IFERROR(__xludf.DUMMYFUNCTION("""COMPUTED_VALUE"""),53.31)</f>
        <v>53.31</v>
      </c>
      <c r="F3106" s="1">
        <f>IFERROR(__xludf.DUMMYFUNCTION("""COMPUTED_VALUE"""),591404.0)</f>
        <v>591404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IFERROR(__xludf.DUMMYFUNCTION("""COMPUTED_VALUE"""),53.31)</f>
        <v>53.31</v>
      </c>
      <c r="C3107" s="1">
        <f>IFERROR(__xludf.DUMMYFUNCTION("""COMPUTED_VALUE"""),54.53)</f>
        <v>54.53</v>
      </c>
      <c r="D3107" s="1">
        <f>IFERROR(__xludf.DUMMYFUNCTION("""COMPUTED_VALUE"""),52.4)</f>
        <v>52.4</v>
      </c>
      <c r="E3107" s="1">
        <f>IFERROR(__xludf.DUMMYFUNCTION("""COMPUTED_VALUE"""),54.21)</f>
        <v>54.21</v>
      </c>
      <c r="F3107" s="1">
        <f>IFERROR(__xludf.DUMMYFUNCTION("""COMPUTED_VALUE"""),1196330.0)</f>
        <v>1196330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IFERROR(__xludf.DUMMYFUNCTION("""COMPUTED_VALUE"""),53.74)</f>
        <v>53.74</v>
      </c>
      <c r="C3108" s="1">
        <f>IFERROR(__xludf.DUMMYFUNCTION("""COMPUTED_VALUE"""),54.42)</f>
        <v>54.42</v>
      </c>
      <c r="D3108" s="1">
        <f>IFERROR(__xludf.DUMMYFUNCTION("""COMPUTED_VALUE"""),52.29)</f>
        <v>52.29</v>
      </c>
      <c r="E3108" s="1">
        <f>IFERROR(__xludf.DUMMYFUNCTION("""COMPUTED_VALUE"""),52.69)</f>
        <v>52.69</v>
      </c>
      <c r="F3108" s="1">
        <f>IFERROR(__xludf.DUMMYFUNCTION("""COMPUTED_VALUE"""),312609.0)</f>
        <v>312609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IFERROR(__xludf.DUMMYFUNCTION("""COMPUTED_VALUE"""),52.35)</f>
        <v>52.35</v>
      </c>
      <c r="C3109" s="1">
        <f>IFERROR(__xludf.DUMMYFUNCTION("""COMPUTED_VALUE"""),52.9)</f>
        <v>52.9</v>
      </c>
      <c r="D3109" s="1">
        <f>IFERROR(__xludf.DUMMYFUNCTION("""COMPUTED_VALUE"""),51.55)</f>
        <v>51.55</v>
      </c>
      <c r="E3109" s="1">
        <f>IFERROR(__xludf.DUMMYFUNCTION("""COMPUTED_VALUE"""),52.32)</f>
        <v>52.32</v>
      </c>
      <c r="F3109" s="1">
        <f>IFERROR(__xludf.DUMMYFUNCTION("""COMPUTED_VALUE"""),280213.0)</f>
        <v>280213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IFERROR(__xludf.DUMMYFUNCTION("""COMPUTED_VALUE"""),51.62)</f>
        <v>51.62</v>
      </c>
      <c r="C3110" s="1">
        <f>IFERROR(__xludf.DUMMYFUNCTION("""COMPUTED_VALUE"""),51.67)</f>
        <v>51.67</v>
      </c>
      <c r="D3110" s="1">
        <f>IFERROR(__xludf.DUMMYFUNCTION("""COMPUTED_VALUE"""),50.69)</f>
        <v>50.69</v>
      </c>
      <c r="E3110" s="1">
        <f>IFERROR(__xludf.DUMMYFUNCTION("""COMPUTED_VALUE"""),50.99)</f>
        <v>50.99</v>
      </c>
      <c r="F3110" s="1">
        <f>IFERROR(__xludf.DUMMYFUNCTION("""COMPUTED_VALUE"""),491646.0)</f>
        <v>491646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IFERROR(__xludf.DUMMYFUNCTION("""COMPUTED_VALUE"""),53.2)</f>
        <v>53.2</v>
      </c>
      <c r="C3111" s="1">
        <f>IFERROR(__xludf.DUMMYFUNCTION("""COMPUTED_VALUE"""),58.24)</f>
        <v>58.24</v>
      </c>
      <c r="D3111" s="1">
        <f>IFERROR(__xludf.DUMMYFUNCTION("""COMPUTED_VALUE"""),53.2)</f>
        <v>53.2</v>
      </c>
      <c r="E3111" s="1">
        <f>IFERROR(__xludf.DUMMYFUNCTION("""COMPUTED_VALUE"""),57.1)</f>
        <v>57.1</v>
      </c>
      <c r="F3111" s="1">
        <f>IFERROR(__xludf.DUMMYFUNCTION("""COMPUTED_VALUE"""),1344154.0)</f>
        <v>1344154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IFERROR(__xludf.DUMMYFUNCTION("""COMPUTED_VALUE"""),57.42)</f>
        <v>57.42</v>
      </c>
      <c r="C3112" s="1">
        <f>IFERROR(__xludf.DUMMYFUNCTION("""COMPUTED_VALUE"""),59.16)</f>
        <v>59.16</v>
      </c>
      <c r="D3112" s="1">
        <f>IFERROR(__xludf.DUMMYFUNCTION("""COMPUTED_VALUE"""),57.22)</f>
        <v>57.22</v>
      </c>
      <c r="E3112" s="1">
        <f>IFERROR(__xludf.DUMMYFUNCTION("""COMPUTED_VALUE"""),58.3)</f>
        <v>58.3</v>
      </c>
      <c r="F3112" s="1">
        <f>IFERROR(__xludf.DUMMYFUNCTION("""COMPUTED_VALUE"""),819262.0)</f>
        <v>819262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IFERROR(__xludf.DUMMYFUNCTION("""COMPUTED_VALUE"""),58.24)</f>
        <v>58.24</v>
      </c>
      <c r="C3113" s="1">
        <f>IFERROR(__xludf.DUMMYFUNCTION("""COMPUTED_VALUE"""),59.46)</f>
        <v>59.46</v>
      </c>
      <c r="D3113" s="1">
        <f>IFERROR(__xludf.DUMMYFUNCTION("""COMPUTED_VALUE"""),57.3)</f>
        <v>57.3</v>
      </c>
      <c r="E3113" s="1">
        <f>IFERROR(__xludf.DUMMYFUNCTION("""COMPUTED_VALUE"""),58.91)</f>
        <v>58.91</v>
      </c>
      <c r="F3113" s="1">
        <f>IFERROR(__xludf.DUMMYFUNCTION("""COMPUTED_VALUE"""),680752.0)</f>
        <v>680752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IFERROR(__xludf.DUMMYFUNCTION("""COMPUTED_VALUE"""),60.2)</f>
        <v>60.2</v>
      </c>
      <c r="C3114" s="1">
        <f>IFERROR(__xludf.DUMMYFUNCTION("""COMPUTED_VALUE"""),62.17)</f>
        <v>62.17</v>
      </c>
      <c r="D3114" s="1">
        <f>IFERROR(__xludf.DUMMYFUNCTION("""COMPUTED_VALUE"""),59.95)</f>
        <v>59.95</v>
      </c>
      <c r="E3114" s="1">
        <f>IFERROR(__xludf.DUMMYFUNCTION("""COMPUTED_VALUE"""),61.86)</f>
        <v>61.86</v>
      </c>
      <c r="F3114" s="1">
        <f>IFERROR(__xludf.DUMMYFUNCTION("""COMPUTED_VALUE"""),793154.0)</f>
        <v>793154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IFERROR(__xludf.DUMMYFUNCTION("""COMPUTED_VALUE"""),61.35)</f>
        <v>61.35</v>
      </c>
      <c r="C3115" s="1">
        <f>IFERROR(__xludf.DUMMYFUNCTION("""COMPUTED_VALUE"""),62.39)</f>
        <v>62.39</v>
      </c>
      <c r="D3115" s="1">
        <f>IFERROR(__xludf.DUMMYFUNCTION("""COMPUTED_VALUE"""),60.81)</f>
        <v>60.81</v>
      </c>
      <c r="E3115" s="1">
        <f>IFERROR(__xludf.DUMMYFUNCTION("""COMPUTED_VALUE"""),62.09)</f>
        <v>62.09</v>
      </c>
      <c r="F3115" s="1">
        <f>IFERROR(__xludf.DUMMYFUNCTION("""COMPUTED_VALUE"""),395792.0)</f>
        <v>395792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IFERROR(__xludf.DUMMYFUNCTION("""COMPUTED_VALUE"""),62.85)</f>
        <v>62.85</v>
      </c>
      <c r="C3116" s="1">
        <f>IFERROR(__xludf.DUMMYFUNCTION("""COMPUTED_VALUE"""),63.09)</f>
        <v>63.09</v>
      </c>
      <c r="D3116" s="1">
        <f>IFERROR(__xludf.DUMMYFUNCTION("""COMPUTED_VALUE"""),61.39)</f>
        <v>61.39</v>
      </c>
      <c r="E3116" s="1">
        <f>IFERROR(__xludf.DUMMYFUNCTION("""COMPUTED_VALUE"""),61.66)</f>
        <v>61.66</v>
      </c>
      <c r="F3116" s="1">
        <f>IFERROR(__xludf.DUMMYFUNCTION("""COMPUTED_VALUE"""),364130.0)</f>
        <v>364130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IFERROR(__xludf.DUMMYFUNCTION("""COMPUTED_VALUE"""),60.88)</f>
        <v>60.88</v>
      </c>
      <c r="C3117" s="1">
        <f>IFERROR(__xludf.DUMMYFUNCTION("""COMPUTED_VALUE"""),61.38)</f>
        <v>61.38</v>
      </c>
      <c r="D3117" s="1">
        <f>IFERROR(__xludf.DUMMYFUNCTION("""COMPUTED_VALUE"""),60.53)</f>
        <v>60.53</v>
      </c>
      <c r="E3117" s="1">
        <f>IFERROR(__xludf.DUMMYFUNCTION("""COMPUTED_VALUE"""),60.69)</f>
        <v>60.69</v>
      </c>
      <c r="F3117" s="1">
        <f>IFERROR(__xludf.DUMMYFUNCTION("""COMPUTED_VALUE"""),262778.0)</f>
        <v>262778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IFERROR(__xludf.DUMMYFUNCTION("""COMPUTED_VALUE"""),60.37)</f>
        <v>60.37</v>
      </c>
      <c r="C3118" s="1">
        <f>IFERROR(__xludf.DUMMYFUNCTION("""COMPUTED_VALUE"""),61.34)</f>
        <v>61.34</v>
      </c>
      <c r="D3118" s="1">
        <f>IFERROR(__xludf.DUMMYFUNCTION("""COMPUTED_VALUE"""),59.95)</f>
        <v>59.95</v>
      </c>
      <c r="E3118" s="1">
        <f>IFERROR(__xludf.DUMMYFUNCTION("""COMPUTED_VALUE"""),60.54)</f>
        <v>60.54</v>
      </c>
      <c r="F3118" s="1">
        <f>IFERROR(__xludf.DUMMYFUNCTION("""COMPUTED_VALUE"""),384822.0)</f>
        <v>384822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IFERROR(__xludf.DUMMYFUNCTION("""COMPUTED_VALUE"""),61.01)</f>
        <v>61.01</v>
      </c>
      <c r="C3119" s="1">
        <f>IFERROR(__xludf.DUMMYFUNCTION("""COMPUTED_VALUE"""),61.13)</f>
        <v>61.13</v>
      </c>
      <c r="D3119" s="1">
        <f>IFERROR(__xludf.DUMMYFUNCTION("""COMPUTED_VALUE"""),58.88)</f>
        <v>58.88</v>
      </c>
      <c r="E3119" s="1">
        <f>IFERROR(__xludf.DUMMYFUNCTION("""COMPUTED_VALUE"""),60.02)</f>
        <v>60.02</v>
      </c>
      <c r="F3119" s="1">
        <f>IFERROR(__xludf.DUMMYFUNCTION("""COMPUTED_VALUE"""),322156.0)</f>
        <v>322156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IFERROR(__xludf.DUMMYFUNCTION("""COMPUTED_VALUE"""),60.46)</f>
        <v>60.46</v>
      </c>
      <c r="C3120" s="1">
        <f>IFERROR(__xludf.DUMMYFUNCTION("""COMPUTED_VALUE"""),60.59)</f>
        <v>60.59</v>
      </c>
      <c r="D3120" s="1">
        <f>IFERROR(__xludf.DUMMYFUNCTION("""COMPUTED_VALUE"""),59.12)</f>
        <v>59.12</v>
      </c>
      <c r="E3120" s="1">
        <f>IFERROR(__xludf.DUMMYFUNCTION("""COMPUTED_VALUE"""),59.46)</f>
        <v>59.46</v>
      </c>
      <c r="F3120" s="1">
        <f>IFERROR(__xludf.DUMMYFUNCTION("""COMPUTED_VALUE"""),295333.0)</f>
        <v>295333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IFERROR(__xludf.DUMMYFUNCTION("""COMPUTED_VALUE"""),59.51)</f>
        <v>59.51</v>
      </c>
      <c r="C3121" s="1">
        <f>IFERROR(__xludf.DUMMYFUNCTION("""COMPUTED_VALUE"""),59.68)</f>
        <v>59.68</v>
      </c>
      <c r="D3121" s="1">
        <f>IFERROR(__xludf.DUMMYFUNCTION("""COMPUTED_VALUE"""),58.43)</f>
        <v>58.43</v>
      </c>
      <c r="E3121" s="1">
        <f>IFERROR(__xludf.DUMMYFUNCTION("""COMPUTED_VALUE"""),59.28)</f>
        <v>59.28</v>
      </c>
      <c r="F3121" s="1">
        <f>IFERROR(__xludf.DUMMYFUNCTION("""COMPUTED_VALUE"""),430150.0)</f>
        <v>430150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IFERROR(__xludf.DUMMYFUNCTION("""COMPUTED_VALUE"""),59.35)</f>
        <v>59.35</v>
      </c>
      <c r="C3122" s="1">
        <f>IFERROR(__xludf.DUMMYFUNCTION("""COMPUTED_VALUE"""),59.66)</f>
        <v>59.66</v>
      </c>
      <c r="D3122" s="1">
        <f>IFERROR(__xludf.DUMMYFUNCTION("""COMPUTED_VALUE"""),58.56)</f>
        <v>58.56</v>
      </c>
      <c r="E3122" s="1">
        <f>IFERROR(__xludf.DUMMYFUNCTION("""COMPUTED_VALUE"""),59.24)</f>
        <v>59.24</v>
      </c>
      <c r="F3122" s="1">
        <f>IFERROR(__xludf.DUMMYFUNCTION("""COMPUTED_VALUE"""),472567.0)</f>
        <v>472567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IFERROR(__xludf.DUMMYFUNCTION("""COMPUTED_VALUE"""),59.21)</f>
        <v>59.21</v>
      </c>
      <c r="C3123" s="1">
        <f>IFERROR(__xludf.DUMMYFUNCTION("""COMPUTED_VALUE"""),60.22)</f>
        <v>60.22</v>
      </c>
      <c r="D3123" s="1">
        <f>IFERROR(__xludf.DUMMYFUNCTION("""COMPUTED_VALUE"""),59.15)</f>
        <v>59.15</v>
      </c>
      <c r="E3123" s="1">
        <f>IFERROR(__xludf.DUMMYFUNCTION("""COMPUTED_VALUE"""),59.49)</f>
        <v>59.49</v>
      </c>
      <c r="F3123" s="1">
        <f>IFERROR(__xludf.DUMMYFUNCTION("""COMPUTED_VALUE"""),413152.0)</f>
        <v>413152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IFERROR(__xludf.DUMMYFUNCTION("""COMPUTED_VALUE"""),59.73)</f>
        <v>59.73</v>
      </c>
      <c r="C3124" s="1">
        <f>IFERROR(__xludf.DUMMYFUNCTION("""COMPUTED_VALUE"""),60.28)</f>
        <v>60.28</v>
      </c>
      <c r="D3124" s="1">
        <f>IFERROR(__xludf.DUMMYFUNCTION("""COMPUTED_VALUE"""),59.66)</f>
        <v>59.66</v>
      </c>
      <c r="E3124" s="1">
        <f>IFERROR(__xludf.DUMMYFUNCTION("""COMPUTED_VALUE"""),59.98)</f>
        <v>59.98</v>
      </c>
      <c r="F3124" s="1">
        <f>IFERROR(__xludf.DUMMYFUNCTION("""COMPUTED_VALUE"""),417318.0)</f>
        <v>417318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IFERROR(__xludf.DUMMYFUNCTION("""COMPUTED_VALUE"""),59.82)</f>
        <v>59.82</v>
      </c>
      <c r="C3125" s="1">
        <f>IFERROR(__xludf.DUMMYFUNCTION("""COMPUTED_VALUE"""),60.5)</f>
        <v>60.5</v>
      </c>
      <c r="D3125" s="1">
        <f>IFERROR(__xludf.DUMMYFUNCTION("""COMPUTED_VALUE"""),59.01)</f>
        <v>59.01</v>
      </c>
      <c r="E3125" s="1">
        <f>IFERROR(__xludf.DUMMYFUNCTION("""COMPUTED_VALUE"""),60.19)</f>
        <v>60.19</v>
      </c>
      <c r="F3125" s="1">
        <f>IFERROR(__xludf.DUMMYFUNCTION("""COMPUTED_VALUE"""),349119.0)</f>
        <v>349119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IFERROR(__xludf.DUMMYFUNCTION("""COMPUTED_VALUE"""),60.56)</f>
        <v>60.56</v>
      </c>
      <c r="C3126" s="1">
        <f>IFERROR(__xludf.DUMMYFUNCTION("""COMPUTED_VALUE"""),60.9)</f>
        <v>60.9</v>
      </c>
      <c r="D3126" s="1">
        <f>IFERROR(__xludf.DUMMYFUNCTION("""COMPUTED_VALUE"""),59.57)</f>
        <v>59.57</v>
      </c>
      <c r="E3126" s="1">
        <f>IFERROR(__xludf.DUMMYFUNCTION("""COMPUTED_VALUE"""),60.14)</f>
        <v>60.14</v>
      </c>
      <c r="F3126" s="1">
        <f>IFERROR(__xludf.DUMMYFUNCTION("""COMPUTED_VALUE"""),345465.0)</f>
        <v>345465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IFERROR(__xludf.DUMMYFUNCTION("""COMPUTED_VALUE"""),60.26)</f>
        <v>60.26</v>
      </c>
      <c r="C3127" s="1">
        <f>IFERROR(__xludf.DUMMYFUNCTION("""COMPUTED_VALUE"""),61.59)</f>
        <v>61.59</v>
      </c>
      <c r="D3127" s="1">
        <f>IFERROR(__xludf.DUMMYFUNCTION("""COMPUTED_VALUE"""),60.26)</f>
        <v>60.26</v>
      </c>
      <c r="E3127" s="1">
        <f>IFERROR(__xludf.DUMMYFUNCTION("""COMPUTED_VALUE"""),61.55)</f>
        <v>61.55</v>
      </c>
      <c r="F3127" s="1">
        <f>IFERROR(__xludf.DUMMYFUNCTION("""COMPUTED_VALUE"""),265284.0)</f>
        <v>265284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IFERROR(__xludf.DUMMYFUNCTION("""COMPUTED_VALUE"""),61.22)</f>
        <v>61.22</v>
      </c>
      <c r="C3128" s="1">
        <f>IFERROR(__xludf.DUMMYFUNCTION("""COMPUTED_VALUE"""),61.42)</f>
        <v>61.42</v>
      </c>
      <c r="D3128" s="1">
        <f>IFERROR(__xludf.DUMMYFUNCTION("""COMPUTED_VALUE"""),60.71)</f>
        <v>60.71</v>
      </c>
      <c r="E3128" s="1">
        <f>IFERROR(__xludf.DUMMYFUNCTION("""COMPUTED_VALUE"""),60.95)</f>
        <v>60.95</v>
      </c>
      <c r="F3128" s="1">
        <f>IFERROR(__xludf.DUMMYFUNCTION("""COMPUTED_VALUE"""),241299.0)</f>
        <v>241299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IFERROR(__xludf.DUMMYFUNCTION("""COMPUTED_VALUE"""),60.84)</f>
        <v>60.84</v>
      </c>
      <c r="C3129" s="1">
        <f>IFERROR(__xludf.DUMMYFUNCTION("""COMPUTED_VALUE"""),61.85)</f>
        <v>61.85</v>
      </c>
      <c r="D3129" s="1">
        <f>IFERROR(__xludf.DUMMYFUNCTION("""COMPUTED_VALUE"""),60.46)</f>
        <v>60.46</v>
      </c>
      <c r="E3129" s="1">
        <f>IFERROR(__xludf.DUMMYFUNCTION("""COMPUTED_VALUE"""),61.38)</f>
        <v>61.38</v>
      </c>
      <c r="F3129" s="1">
        <f>IFERROR(__xludf.DUMMYFUNCTION("""COMPUTED_VALUE"""),301416.0)</f>
        <v>301416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IFERROR(__xludf.DUMMYFUNCTION("""COMPUTED_VALUE"""),61.52)</f>
        <v>61.52</v>
      </c>
      <c r="C3130" s="1">
        <f>IFERROR(__xludf.DUMMYFUNCTION("""COMPUTED_VALUE"""),62.02)</f>
        <v>62.02</v>
      </c>
      <c r="D3130" s="1">
        <f>IFERROR(__xludf.DUMMYFUNCTION("""COMPUTED_VALUE"""),60.93)</f>
        <v>60.93</v>
      </c>
      <c r="E3130" s="1">
        <f>IFERROR(__xludf.DUMMYFUNCTION("""COMPUTED_VALUE"""),61.67)</f>
        <v>61.67</v>
      </c>
      <c r="F3130" s="1">
        <f>IFERROR(__xludf.DUMMYFUNCTION("""COMPUTED_VALUE"""),239680.0)</f>
        <v>239680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IFERROR(__xludf.DUMMYFUNCTION("""COMPUTED_VALUE"""),61.57)</f>
        <v>61.57</v>
      </c>
      <c r="C3131" s="1">
        <f>IFERROR(__xludf.DUMMYFUNCTION("""COMPUTED_VALUE"""),61.57)</f>
        <v>61.57</v>
      </c>
      <c r="D3131" s="1">
        <f>IFERROR(__xludf.DUMMYFUNCTION("""COMPUTED_VALUE"""),60.12)</f>
        <v>60.12</v>
      </c>
      <c r="E3131" s="1">
        <f>IFERROR(__xludf.DUMMYFUNCTION("""COMPUTED_VALUE"""),60.34)</f>
        <v>60.34</v>
      </c>
      <c r="F3131" s="1">
        <f>IFERROR(__xludf.DUMMYFUNCTION("""COMPUTED_VALUE"""),194969.0)</f>
        <v>194969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IFERROR(__xludf.DUMMYFUNCTION("""COMPUTED_VALUE"""),60.29)</f>
        <v>60.29</v>
      </c>
      <c r="C3132" s="1">
        <f>IFERROR(__xludf.DUMMYFUNCTION("""COMPUTED_VALUE"""),61.04)</f>
        <v>61.04</v>
      </c>
      <c r="D3132" s="1">
        <f>IFERROR(__xludf.DUMMYFUNCTION("""COMPUTED_VALUE"""),60.01)</f>
        <v>60.01</v>
      </c>
      <c r="E3132" s="1">
        <f>IFERROR(__xludf.DUMMYFUNCTION("""COMPUTED_VALUE"""),60.57)</f>
        <v>60.57</v>
      </c>
      <c r="F3132" s="1">
        <f>IFERROR(__xludf.DUMMYFUNCTION("""COMPUTED_VALUE"""),201717.0)</f>
        <v>201717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IFERROR(__xludf.DUMMYFUNCTION("""COMPUTED_VALUE"""),59.8)</f>
        <v>59.8</v>
      </c>
      <c r="C3133" s="1">
        <f>IFERROR(__xludf.DUMMYFUNCTION("""COMPUTED_VALUE"""),60.19)</f>
        <v>60.19</v>
      </c>
      <c r="D3133" s="1">
        <f>IFERROR(__xludf.DUMMYFUNCTION("""COMPUTED_VALUE"""),59.34)</f>
        <v>59.34</v>
      </c>
      <c r="E3133" s="1">
        <f>IFERROR(__xludf.DUMMYFUNCTION("""COMPUTED_VALUE"""),59.75)</f>
        <v>59.75</v>
      </c>
      <c r="F3133" s="1">
        <f>IFERROR(__xludf.DUMMYFUNCTION("""COMPUTED_VALUE"""),278950.0)</f>
        <v>278950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IFERROR(__xludf.DUMMYFUNCTION("""COMPUTED_VALUE"""),58.77)</f>
        <v>58.77</v>
      </c>
      <c r="C3134" s="1">
        <f>IFERROR(__xludf.DUMMYFUNCTION("""COMPUTED_VALUE"""),61.25)</f>
        <v>61.25</v>
      </c>
      <c r="D3134" s="1">
        <f>IFERROR(__xludf.DUMMYFUNCTION("""COMPUTED_VALUE"""),58.55)</f>
        <v>58.55</v>
      </c>
      <c r="E3134" s="1">
        <f>IFERROR(__xludf.DUMMYFUNCTION("""COMPUTED_VALUE"""),60.1)</f>
        <v>60.1</v>
      </c>
      <c r="F3134" s="1">
        <f>IFERROR(__xludf.DUMMYFUNCTION("""COMPUTED_VALUE"""),571246.0)</f>
        <v>571246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IFERROR(__xludf.DUMMYFUNCTION("""COMPUTED_VALUE"""),60.16)</f>
        <v>60.16</v>
      </c>
      <c r="C3135" s="1">
        <f>IFERROR(__xludf.DUMMYFUNCTION("""COMPUTED_VALUE"""),61.2)</f>
        <v>61.2</v>
      </c>
      <c r="D3135" s="1">
        <f>IFERROR(__xludf.DUMMYFUNCTION("""COMPUTED_VALUE"""),59.78)</f>
        <v>59.78</v>
      </c>
      <c r="E3135" s="1">
        <f>IFERROR(__xludf.DUMMYFUNCTION("""COMPUTED_VALUE"""),60.61)</f>
        <v>60.61</v>
      </c>
      <c r="F3135" s="1">
        <f>IFERROR(__xludf.DUMMYFUNCTION("""COMPUTED_VALUE"""),459040.0)</f>
        <v>459040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IFERROR(__xludf.DUMMYFUNCTION("""COMPUTED_VALUE"""),60.98)</f>
        <v>60.98</v>
      </c>
      <c r="C3136" s="1">
        <f>IFERROR(__xludf.DUMMYFUNCTION("""COMPUTED_VALUE"""),61.42)</f>
        <v>61.42</v>
      </c>
      <c r="D3136" s="1">
        <f>IFERROR(__xludf.DUMMYFUNCTION("""COMPUTED_VALUE"""),59.87)</f>
        <v>59.87</v>
      </c>
      <c r="E3136" s="1">
        <f>IFERROR(__xludf.DUMMYFUNCTION("""COMPUTED_VALUE"""),61.02)</f>
        <v>61.02</v>
      </c>
      <c r="F3136" s="1">
        <f>IFERROR(__xludf.DUMMYFUNCTION("""COMPUTED_VALUE"""),503349.0)</f>
        <v>503349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IFERROR(__xludf.DUMMYFUNCTION("""COMPUTED_VALUE"""),60.41)</f>
        <v>60.41</v>
      </c>
      <c r="C3137" s="1">
        <f>IFERROR(__xludf.DUMMYFUNCTION("""COMPUTED_VALUE"""),60.47)</f>
        <v>60.47</v>
      </c>
      <c r="D3137" s="1">
        <f>IFERROR(__xludf.DUMMYFUNCTION("""COMPUTED_VALUE"""),58.55)</f>
        <v>58.55</v>
      </c>
      <c r="E3137" s="1">
        <f>IFERROR(__xludf.DUMMYFUNCTION("""COMPUTED_VALUE"""),58.97)</f>
        <v>58.97</v>
      </c>
      <c r="F3137" s="1">
        <f>IFERROR(__xludf.DUMMYFUNCTION("""COMPUTED_VALUE"""),659627.0)</f>
        <v>659627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IFERROR(__xludf.DUMMYFUNCTION("""COMPUTED_VALUE"""),58.95)</f>
        <v>58.95</v>
      </c>
      <c r="C3138" s="1">
        <f>IFERROR(__xludf.DUMMYFUNCTION("""COMPUTED_VALUE"""),60.11)</f>
        <v>60.11</v>
      </c>
      <c r="D3138" s="1">
        <f>IFERROR(__xludf.DUMMYFUNCTION("""COMPUTED_VALUE"""),58.83)</f>
        <v>58.83</v>
      </c>
      <c r="E3138" s="1">
        <f>IFERROR(__xludf.DUMMYFUNCTION("""COMPUTED_VALUE"""),59.5)</f>
        <v>59.5</v>
      </c>
      <c r="F3138" s="1">
        <f>IFERROR(__xludf.DUMMYFUNCTION("""COMPUTED_VALUE"""),848392.0)</f>
        <v>848392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IFERROR(__xludf.DUMMYFUNCTION("""COMPUTED_VALUE"""),60.08)</f>
        <v>60.08</v>
      </c>
      <c r="C3139" s="1">
        <f>IFERROR(__xludf.DUMMYFUNCTION("""COMPUTED_VALUE"""),60.75)</f>
        <v>60.75</v>
      </c>
      <c r="D3139" s="1">
        <f>IFERROR(__xludf.DUMMYFUNCTION("""COMPUTED_VALUE"""),59.85)</f>
        <v>59.85</v>
      </c>
      <c r="E3139" s="1">
        <f>IFERROR(__xludf.DUMMYFUNCTION("""COMPUTED_VALUE"""),60.36)</f>
        <v>60.36</v>
      </c>
      <c r="F3139" s="1">
        <f>IFERROR(__xludf.DUMMYFUNCTION("""COMPUTED_VALUE"""),437083.0)</f>
        <v>437083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IFERROR(__xludf.DUMMYFUNCTION("""COMPUTED_VALUE"""),59.96)</f>
        <v>59.96</v>
      </c>
      <c r="C3140" s="1">
        <f>IFERROR(__xludf.DUMMYFUNCTION("""COMPUTED_VALUE"""),60.34)</f>
        <v>60.34</v>
      </c>
      <c r="D3140" s="1">
        <f>IFERROR(__xludf.DUMMYFUNCTION("""COMPUTED_VALUE"""),59.38)</f>
        <v>59.38</v>
      </c>
      <c r="E3140" s="1">
        <f>IFERROR(__xludf.DUMMYFUNCTION("""COMPUTED_VALUE"""),59.7)</f>
        <v>59.7</v>
      </c>
      <c r="F3140" s="1">
        <f>IFERROR(__xludf.DUMMYFUNCTION("""COMPUTED_VALUE"""),397973.0)</f>
        <v>397973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IFERROR(__xludf.DUMMYFUNCTION("""COMPUTED_VALUE"""),59.86)</f>
        <v>59.86</v>
      </c>
      <c r="C3141" s="1">
        <f>IFERROR(__xludf.DUMMYFUNCTION("""COMPUTED_VALUE"""),60.58)</f>
        <v>60.58</v>
      </c>
      <c r="D3141" s="1">
        <f>IFERROR(__xludf.DUMMYFUNCTION("""COMPUTED_VALUE"""),59.2)</f>
        <v>59.2</v>
      </c>
      <c r="E3141" s="1">
        <f>IFERROR(__xludf.DUMMYFUNCTION("""COMPUTED_VALUE"""),60.49)</f>
        <v>60.49</v>
      </c>
      <c r="F3141" s="1">
        <f>IFERROR(__xludf.DUMMYFUNCTION("""COMPUTED_VALUE"""),468451.0)</f>
        <v>468451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IFERROR(__xludf.DUMMYFUNCTION("""COMPUTED_VALUE"""),60.88)</f>
        <v>60.88</v>
      </c>
      <c r="C3142" s="1">
        <f>IFERROR(__xludf.DUMMYFUNCTION("""COMPUTED_VALUE"""),61.8)</f>
        <v>61.8</v>
      </c>
      <c r="D3142" s="1">
        <f>IFERROR(__xludf.DUMMYFUNCTION("""COMPUTED_VALUE"""),60.77)</f>
        <v>60.77</v>
      </c>
      <c r="E3142" s="1">
        <f>IFERROR(__xludf.DUMMYFUNCTION("""COMPUTED_VALUE"""),61.76)</f>
        <v>61.76</v>
      </c>
      <c r="F3142" s="1">
        <f>IFERROR(__xludf.DUMMYFUNCTION("""COMPUTED_VALUE"""),520569.0)</f>
        <v>520569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IFERROR(__xludf.DUMMYFUNCTION("""COMPUTED_VALUE"""),61.96)</f>
        <v>61.96</v>
      </c>
      <c r="C3143" s="1">
        <f>IFERROR(__xludf.DUMMYFUNCTION("""COMPUTED_VALUE"""),63.51)</f>
        <v>63.51</v>
      </c>
      <c r="D3143" s="1">
        <f>IFERROR(__xludf.DUMMYFUNCTION("""COMPUTED_VALUE"""),61.61)</f>
        <v>61.61</v>
      </c>
      <c r="E3143" s="1">
        <f>IFERROR(__xludf.DUMMYFUNCTION("""COMPUTED_VALUE"""),62.48)</f>
        <v>62.48</v>
      </c>
      <c r="F3143" s="1">
        <f>IFERROR(__xludf.DUMMYFUNCTION("""COMPUTED_VALUE"""),680108.0)</f>
        <v>680108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IFERROR(__xludf.DUMMYFUNCTION("""COMPUTED_VALUE"""),63.0)</f>
        <v>63</v>
      </c>
      <c r="C3144" s="1">
        <f>IFERROR(__xludf.DUMMYFUNCTION("""COMPUTED_VALUE"""),63.92)</f>
        <v>63.92</v>
      </c>
      <c r="D3144" s="1">
        <f>IFERROR(__xludf.DUMMYFUNCTION("""COMPUTED_VALUE"""),62.55)</f>
        <v>62.55</v>
      </c>
      <c r="E3144" s="1">
        <f>IFERROR(__xludf.DUMMYFUNCTION("""COMPUTED_VALUE"""),62.56)</f>
        <v>62.56</v>
      </c>
      <c r="F3144" s="1">
        <f>IFERROR(__xludf.DUMMYFUNCTION("""COMPUTED_VALUE"""),570413.0)</f>
        <v>570413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IFERROR(__xludf.DUMMYFUNCTION("""COMPUTED_VALUE"""),62.89)</f>
        <v>62.89</v>
      </c>
      <c r="C3145" s="1">
        <f>IFERROR(__xludf.DUMMYFUNCTION("""COMPUTED_VALUE"""),63.73)</f>
        <v>63.73</v>
      </c>
      <c r="D3145" s="1">
        <f>IFERROR(__xludf.DUMMYFUNCTION("""COMPUTED_VALUE"""),62.46)</f>
        <v>62.46</v>
      </c>
      <c r="E3145" s="1">
        <f>IFERROR(__xludf.DUMMYFUNCTION("""COMPUTED_VALUE"""),63.61)</f>
        <v>63.61</v>
      </c>
      <c r="F3145" s="1">
        <f>IFERROR(__xludf.DUMMYFUNCTION("""COMPUTED_VALUE"""),377394.0)</f>
        <v>377394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IFERROR(__xludf.DUMMYFUNCTION("""COMPUTED_VALUE"""),63.6)</f>
        <v>63.6</v>
      </c>
      <c r="C3146" s="1">
        <f>IFERROR(__xludf.DUMMYFUNCTION("""COMPUTED_VALUE"""),65.1)</f>
        <v>65.1</v>
      </c>
      <c r="D3146" s="1">
        <f>IFERROR(__xludf.DUMMYFUNCTION("""COMPUTED_VALUE"""),62.89)</f>
        <v>62.89</v>
      </c>
      <c r="E3146" s="1">
        <f>IFERROR(__xludf.DUMMYFUNCTION("""COMPUTED_VALUE"""),65.06)</f>
        <v>65.06</v>
      </c>
      <c r="F3146" s="1">
        <f>IFERROR(__xludf.DUMMYFUNCTION("""COMPUTED_VALUE"""),489137.0)</f>
        <v>489137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IFERROR(__xludf.DUMMYFUNCTION("""COMPUTED_VALUE"""),64.91)</f>
        <v>64.91</v>
      </c>
      <c r="C3147" s="1">
        <f>IFERROR(__xludf.DUMMYFUNCTION("""COMPUTED_VALUE"""),67.92)</f>
        <v>67.92</v>
      </c>
      <c r="D3147" s="1">
        <f>IFERROR(__xludf.DUMMYFUNCTION("""COMPUTED_VALUE"""),64.77)</f>
        <v>64.77</v>
      </c>
      <c r="E3147" s="1">
        <f>IFERROR(__xludf.DUMMYFUNCTION("""COMPUTED_VALUE"""),67.49)</f>
        <v>67.49</v>
      </c>
      <c r="F3147" s="1">
        <f>IFERROR(__xludf.DUMMYFUNCTION("""COMPUTED_VALUE"""),1038971.0)</f>
        <v>1038971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IFERROR(__xludf.DUMMYFUNCTION("""COMPUTED_VALUE"""),66.02)</f>
        <v>66.02</v>
      </c>
      <c r="C3148" s="1">
        <f>IFERROR(__xludf.DUMMYFUNCTION("""COMPUTED_VALUE"""),66.71)</f>
        <v>66.71</v>
      </c>
      <c r="D3148" s="1">
        <f>IFERROR(__xludf.DUMMYFUNCTION("""COMPUTED_VALUE"""),63.51)</f>
        <v>63.51</v>
      </c>
      <c r="E3148" s="1">
        <f>IFERROR(__xludf.DUMMYFUNCTION("""COMPUTED_VALUE"""),64.48)</f>
        <v>64.48</v>
      </c>
      <c r="F3148" s="1">
        <f>IFERROR(__xludf.DUMMYFUNCTION("""COMPUTED_VALUE"""),640835.0)</f>
        <v>640835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IFERROR(__xludf.DUMMYFUNCTION("""COMPUTED_VALUE"""),64.47)</f>
        <v>64.47</v>
      </c>
      <c r="C3149" s="1">
        <f>IFERROR(__xludf.DUMMYFUNCTION("""COMPUTED_VALUE"""),66.03)</f>
        <v>66.03</v>
      </c>
      <c r="D3149" s="1">
        <f>IFERROR(__xludf.DUMMYFUNCTION("""COMPUTED_VALUE"""),64.47)</f>
        <v>64.47</v>
      </c>
      <c r="E3149" s="1">
        <f>IFERROR(__xludf.DUMMYFUNCTION("""COMPUTED_VALUE"""),65.71)</f>
        <v>65.71</v>
      </c>
      <c r="F3149" s="1">
        <f>IFERROR(__xludf.DUMMYFUNCTION("""COMPUTED_VALUE"""),462239.0)</f>
        <v>462239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IFERROR(__xludf.DUMMYFUNCTION("""COMPUTED_VALUE"""),65.65)</f>
        <v>65.65</v>
      </c>
      <c r="C3150" s="1">
        <f>IFERROR(__xludf.DUMMYFUNCTION("""COMPUTED_VALUE"""),65.87)</f>
        <v>65.87</v>
      </c>
      <c r="D3150" s="1">
        <f>IFERROR(__xludf.DUMMYFUNCTION("""COMPUTED_VALUE"""),64.77)</f>
        <v>64.77</v>
      </c>
      <c r="E3150" s="1">
        <f>IFERROR(__xludf.DUMMYFUNCTION("""COMPUTED_VALUE"""),65.31)</f>
        <v>65.31</v>
      </c>
      <c r="F3150" s="1">
        <f>IFERROR(__xludf.DUMMYFUNCTION("""COMPUTED_VALUE"""),557383.0)</f>
        <v>557383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IFERROR(__xludf.DUMMYFUNCTION("""COMPUTED_VALUE"""),64.96)</f>
        <v>64.96</v>
      </c>
      <c r="C3151" s="1">
        <f>IFERROR(__xludf.DUMMYFUNCTION("""COMPUTED_VALUE"""),66.18)</f>
        <v>66.18</v>
      </c>
      <c r="D3151" s="1">
        <f>IFERROR(__xludf.DUMMYFUNCTION("""COMPUTED_VALUE"""),64.96)</f>
        <v>64.96</v>
      </c>
      <c r="E3151" s="1">
        <f>IFERROR(__xludf.DUMMYFUNCTION("""COMPUTED_VALUE"""),65.79)</f>
        <v>65.79</v>
      </c>
      <c r="F3151" s="1">
        <f>IFERROR(__xludf.DUMMYFUNCTION("""COMPUTED_VALUE"""),543667.0)</f>
        <v>543667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IFERROR(__xludf.DUMMYFUNCTION("""COMPUTED_VALUE"""),65.76)</f>
        <v>65.76</v>
      </c>
      <c r="C3152" s="1">
        <f>IFERROR(__xludf.DUMMYFUNCTION("""COMPUTED_VALUE"""),66.12)</f>
        <v>66.12</v>
      </c>
      <c r="D3152" s="1">
        <f>IFERROR(__xludf.DUMMYFUNCTION("""COMPUTED_VALUE"""),64.85)</f>
        <v>64.85</v>
      </c>
      <c r="E3152" s="1">
        <f>IFERROR(__xludf.DUMMYFUNCTION("""COMPUTED_VALUE"""),65.54)</f>
        <v>65.54</v>
      </c>
      <c r="F3152" s="1">
        <f>IFERROR(__xludf.DUMMYFUNCTION("""COMPUTED_VALUE"""),450127.0)</f>
        <v>450127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IFERROR(__xludf.DUMMYFUNCTION("""COMPUTED_VALUE"""),64.94)</f>
        <v>64.94</v>
      </c>
      <c r="C3153" s="1">
        <f>IFERROR(__xludf.DUMMYFUNCTION("""COMPUTED_VALUE"""),66.72)</f>
        <v>66.72</v>
      </c>
      <c r="D3153" s="1">
        <f>IFERROR(__xludf.DUMMYFUNCTION("""COMPUTED_VALUE"""),64.94)</f>
        <v>64.94</v>
      </c>
      <c r="E3153" s="1">
        <f>IFERROR(__xludf.DUMMYFUNCTION("""COMPUTED_VALUE"""),66.32)</f>
        <v>66.32</v>
      </c>
      <c r="F3153" s="1">
        <f>IFERROR(__xludf.DUMMYFUNCTION("""COMPUTED_VALUE"""),590602.0)</f>
        <v>590602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IFERROR(__xludf.DUMMYFUNCTION("""COMPUTED_VALUE"""),64.77)</f>
        <v>64.77</v>
      </c>
      <c r="C3154" s="1">
        <f>IFERROR(__xludf.DUMMYFUNCTION("""COMPUTED_VALUE"""),64.93)</f>
        <v>64.93</v>
      </c>
      <c r="D3154" s="1">
        <f>IFERROR(__xludf.DUMMYFUNCTION("""COMPUTED_VALUE"""),60.34)</f>
        <v>60.34</v>
      </c>
      <c r="E3154" s="1">
        <f>IFERROR(__xludf.DUMMYFUNCTION("""COMPUTED_VALUE"""),60.34)</f>
        <v>60.34</v>
      </c>
      <c r="F3154" s="1">
        <f>IFERROR(__xludf.DUMMYFUNCTION("""COMPUTED_VALUE"""),839519.0)</f>
        <v>839519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IFERROR(__xludf.DUMMYFUNCTION("""COMPUTED_VALUE"""),60.71)</f>
        <v>60.71</v>
      </c>
      <c r="C3155" s="1">
        <f>IFERROR(__xludf.DUMMYFUNCTION("""COMPUTED_VALUE"""),66.97)</f>
        <v>66.97</v>
      </c>
      <c r="D3155" s="1">
        <f>IFERROR(__xludf.DUMMYFUNCTION("""COMPUTED_VALUE"""),60.55)</f>
        <v>60.55</v>
      </c>
      <c r="E3155" s="1">
        <f>IFERROR(__xludf.DUMMYFUNCTION("""COMPUTED_VALUE"""),66.79)</f>
        <v>66.79</v>
      </c>
      <c r="F3155" s="1">
        <f>IFERROR(__xludf.DUMMYFUNCTION("""COMPUTED_VALUE"""),1446924.0)</f>
        <v>1446924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IFERROR(__xludf.DUMMYFUNCTION("""COMPUTED_VALUE"""),67.03)</f>
        <v>67.03</v>
      </c>
      <c r="C3156" s="1">
        <f>IFERROR(__xludf.DUMMYFUNCTION("""COMPUTED_VALUE"""),68.36)</f>
        <v>68.36</v>
      </c>
      <c r="D3156" s="1">
        <f>IFERROR(__xludf.DUMMYFUNCTION("""COMPUTED_VALUE"""),66.35)</f>
        <v>66.35</v>
      </c>
      <c r="E3156" s="1">
        <f>IFERROR(__xludf.DUMMYFUNCTION("""COMPUTED_VALUE"""),67.78)</f>
        <v>67.78</v>
      </c>
      <c r="F3156" s="1">
        <f>IFERROR(__xludf.DUMMYFUNCTION("""COMPUTED_VALUE"""),701064.0)</f>
        <v>701064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IFERROR(__xludf.DUMMYFUNCTION("""COMPUTED_VALUE"""),68.05)</f>
        <v>68.05</v>
      </c>
      <c r="C3157" s="1">
        <f>IFERROR(__xludf.DUMMYFUNCTION("""COMPUTED_VALUE"""),68.25)</f>
        <v>68.25</v>
      </c>
      <c r="D3157" s="1">
        <f>IFERROR(__xludf.DUMMYFUNCTION("""COMPUTED_VALUE"""),67.1)</f>
        <v>67.1</v>
      </c>
      <c r="E3157" s="1">
        <f>IFERROR(__xludf.DUMMYFUNCTION("""COMPUTED_VALUE"""),67.23)</f>
        <v>67.23</v>
      </c>
      <c r="F3157" s="1">
        <f>IFERROR(__xludf.DUMMYFUNCTION("""COMPUTED_VALUE"""),454809.0)</f>
        <v>454809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IFERROR(__xludf.DUMMYFUNCTION("""COMPUTED_VALUE"""),67.4)</f>
        <v>67.4</v>
      </c>
      <c r="C3158" s="1">
        <f>IFERROR(__xludf.DUMMYFUNCTION("""COMPUTED_VALUE"""),69.25)</f>
        <v>69.25</v>
      </c>
      <c r="D3158" s="1">
        <f>IFERROR(__xludf.DUMMYFUNCTION("""COMPUTED_VALUE"""),67.4)</f>
        <v>67.4</v>
      </c>
      <c r="E3158" s="1">
        <f>IFERROR(__xludf.DUMMYFUNCTION("""COMPUTED_VALUE"""),68.76)</f>
        <v>68.76</v>
      </c>
      <c r="F3158" s="1">
        <f>IFERROR(__xludf.DUMMYFUNCTION("""COMPUTED_VALUE"""),647798.0)</f>
        <v>647798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IFERROR(__xludf.DUMMYFUNCTION("""COMPUTED_VALUE"""),69.12)</f>
        <v>69.12</v>
      </c>
      <c r="C3159" s="1">
        <f>IFERROR(__xludf.DUMMYFUNCTION("""COMPUTED_VALUE"""),69.12)</f>
        <v>69.12</v>
      </c>
      <c r="D3159" s="1">
        <f>IFERROR(__xludf.DUMMYFUNCTION("""COMPUTED_VALUE"""),66.71)</f>
        <v>66.71</v>
      </c>
      <c r="E3159" s="1">
        <f>IFERROR(__xludf.DUMMYFUNCTION("""COMPUTED_VALUE"""),67.22)</f>
        <v>67.22</v>
      </c>
      <c r="F3159" s="1">
        <f>IFERROR(__xludf.DUMMYFUNCTION("""COMPUTED_VALUE"""),628333.0)</f>
        <v>628333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IFERROR(__xludf.DUMMYFUNCTION("""COMPUTED_VALUE"""),67.0)</f>
        <v>67</v>
      </c>
      <c r="C3160" s="1">
        <f>IFERROR(__xludf.DUMMYFUNCTION("""COMPUTED_VALUE"""),68.33)</f>
        <v>68.33</v>
      </c>
      <c r="D3160" s="1">
        <f>IFERROR(__xludf.DUMMYFUNCTION("""COMPUTED_VALUE"""),66.92)</f>
        <v>66.92</v>
      </c>
      <c r="E3160" s="1">
        <f>IFERROR(__xludf.DUMMYFUNCTION("""COMPUTED_VALUE"""),68.02)</f>
        <v>68.02</v>
      </c>
      <c r="F3160" s="1">
        <f>IFERROR(__xludf.DUMMYFUNCTION("""COMPUTED_VALUE"""),602648.0)</f>
        <v>602648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IFERROR(__xludf.DUMMYFUNCTION("""COMPUTED_VALUE"""),68.05)</f>
        <v>68.05</v>
      </c>
      <c r="C3161" s="1">
        <f>IFERROR(__xludf.DUMMYFUNCTION("""COMPUTED_VALUE"""),69.24)</f>
        <v>69.24</v>
      </c>
      <c r="D3161" s="1">
        <f>IFERROR(__xludf.DUMMYFUNCTION("""COMPUTED_VALUE"""),67.57)</f>
        <v>67.57</v>
      </c>
      <c r="E3161" s="1">
        <f>IFERROR(__xludf.DUMMYFUNCTION("""COMPUTED_VALUE"""),69.22)</f>
        <v>69.22</v>
      </c>
      <c r="F3161" s="1">
        <f>IFERROR(__xludf.DUMMYFUNCTION("""COMPUTED_VALUE"""),424678.0)</f>
        <v>424678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IFERROR(__xludf.DUMMYFUNCTION("""COMPUTED_VALUE"""),68.91)</f>
        <v>68.91</v>
      </c>
      <c r="C3162" s="1">
        <f>IFERROR(__xludf.DUMMYFUNCTION("""COMPUTED_VALUE"""),69.39)</f>
        <v>69.39</v>
      </c>
      <c r="D3162" s="1">
        <f>IFERROR(__xludf.DUMMYFUNCTION("""COMPUTED_VALUE"""),67.82)</f>
        <v>67.82</v>
      </c>
      <c r="E3162" s="1">
        <f>IFERROR(__xludf.DUMMYFUNCTION("""COMPUTED_VALUE"""),69.18)</f>
        <v>69.18</v>
      </c>
      <c r="F3162" s="1">
        <f>IFERROR(__xludf.DUMMYFUNCTION("""COMPUTED_VALUE"""),305237.0)</f>
        <v>305237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IFERROR(__xludf.DUMMYFUNCTION("""COMPUTED_VALUE"""),68.82)</f>
        <v>68.82</v>
      </c>
      <c r="C3163" s="1">
        <f>IFERROR(__xludf.DUMMYFUNCTION("""COMPUTED_VALUE"""),69.58)</f>
        <v>69.58</v>
      </c>
      <c r="D3163" s="1">
        <f>IFERROR(__xludf.DUMMYFUNCTION("""COMPUTED_VALUE"""),68.58)</f>
        <v>68.58</v>
      </c>
      <c r="E3163" s="1">
        <f>IFERROR(__xludf.DUMMYFUNCTION("""COMPUTED_VALUE"""),69.03)</f>
        <v>69.03</v>
      </c>
      <c r="F3163" s="1">
        <f>IFERROR(__xludf.DUMMYFUNCTION("""COMPUTED_VALUE"""),229178.0)</f>
        <v>229178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IFERROR(__xludf.DUMMYFUNCTION("""COMPUTED_VALUE"""),69.1)</f>
        <v>69.1</v>
      </c>
      <c r="C3164" s="1">
        <f>IFERROR(__xludf.DUMMYFUNCTION("""COMPUTED_VALUE"""),69.93)</f>
        <v>69.93</v>
      </c>
      <c r="D3164" s="1">
        <f>IFERROR(__xludf.DUMMYFUNCTION("""COMPUTED_VALUE"""),68.67)</f>
        <v>68.67</v>
      </c>
      <c r="E3164" s="1">
        <f>IFERROR(__xludf.DUMMYFUNCTION("""COMPUTED_VALUE"""),69.72)</f>
        <v>69.72</v>
      </c>
      <c r="F3164" s="1">
        <f>IFERROR(__xludf.DUMMYFUNCTION("""COMPUTED_VALUE"""),219408.0)</f>
        <v>219408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IFERROR(__xludf.DUMMYFUNCTION("""COMPUTED_VALUE"""),69.58)</f>
        <v>69.58</v>
      </c>
      <c r="C3165" s="1">
        <f>IFERROR(__xludf.DUMMYFUNCTION("""COMPUTED_VALUE"""),71.0)</f>
        <v>71</v>
      </c>
      <c r="D3165" s="1">
        <f>IFERROR(__xludf.DUMMYFUNCTION("""COMPUTED_VALUE"""),69.58)</f>
        <v>69.58</v>
      </c>
      <c r="E3165" s="1">
        <f>IFERROR(__xludf.DUMMYFUNCTION("""COMPUTED_VALUE"""),70.67)</f>
        <v>70.67</v>
      </c>
      <c r="F3165" s="1">
        <f>IFERROR(__xludf.DUMMYFUNCTION("""COMPUTED_VALUE"""),445011.0)</f>
        <v>445011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IFERROR(__xludf.DUMMYFUNCTION("""COMPUTED_VALUE"""),70.63)</f>
        <v>70.63</v>
      </c>
      <c r="C3166" s="1">
        <f>IFERROR(__xludf.DUMMYFUNCTION("""COMPUTED_VALUE"""),72.61)</f>
        <v>72.61</v>
      </c>
      <c r="D3166" s="1">
        <f>IFERROR(__xludf.DUMMYFUNCTION("""COMPUTED_VALUE"""),70.63)</f>
        <v>70.63</v>
      </c>
      <c r="E3166" s="1">
        <f>IFERROR(__xludf.DUMMYFUNCTION("""COMPUTED_VALUE"""),72.07)</f>
        <v>72.07</v>
      </c>
      <c r="F3166" s="1">
        <f>IFERROR(__xludf.DUMMYFUNCTION("""COMPUTED_VALUE"""),486941.0)</f>
        <v>486941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IFERROR(__xludf.DUMMYFUNCTION("""COMPUTED_VALUE"""),71.84)</f>
        <v>71.84</v>
      </c>
      <c r="C3167" s="1">
        <f>IFERROR(__xludf.DUMMYFUNCTION("""COMPUTED_VALUE"""),72.25)</f>
        <v>72.25</v>
      </c>
      <c r="D3167" s="1">
        <f>IFERROR(__xludf.DUMMYFUNCTION("""COMPUTED_VALUE"""),71.25)</f>
        <v>71.25</v>
      </c>
      <c r="E3167" s="1">
        <f>IFERROR(__xludf.DUMMYFUNCTION("""COMPUTED_VALUE"""),72.0)</f>
        <v>72</v>
      </c>
      <c r="F3167" s="1">
        <f>IFERROR(__xludf.DUMMYFUNCTION("""COMPUTED_VALUE"""),580624.0)</f>
        <v>580624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IFERROR(__xludf.DUMMYFUNCTION("""COMPUTED_VALUE"""),71.71)</f>
        <v>71.71</v>
      </c>
      <c r="C3168" s="1">
        <f>IFERROR(__xludf.DUMMYFUNCTION("""COMPUTED_VALUE"""),72.25)</f>
        <v>72.25</v>
      </c>
      <c r="D3168" s="1">
        <f>IFERROR(__xludf.DUMMYFUNCTION("""COMPUTED_VALUE"""),71.17)</f>
        <v>71.17</v>
      </c>
      <c r="E3168" s="1">
        <f>IFERROR(__xludf.DUMMYFUNCTION("""COMPUTED_VALUE"""),71.19)</f>
        <v>71.19</v>
      </c>
      <c r="F3168" s="1">
        <f>IFERROR(__xludf.DUMMYFUNCTION("""COMPUTED_VALUE"""),476572.0)</f>
        <v>476572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IFERROR(__xludf.DUMMYFUNCTION("""COMPUTED_VALUE"""),71.36)</f>
        <v>71.36</v>
      </c>
      <c r="C3169" s="1">
        <f>IFERROR(__xludf.DUMMYFUNCTION("""COMPUTED_VALUE"""),72.12)</f>
        <v>72.12</v>
      </c>
      <c r="D3169" s="1">
        <f>IFERROR(__xludf.DUMMYFUNCTION("""COMPUTED_VALUE"""),71.06)</f>
        <v>71.06</v>
      </c>
      <c r="E3169" s="1">
        <f>IFERROR(__xludf.DUMMYFUNCTION("""COMPUTED_VALUE"""),71.79)</f>
        <v>71.79</v>
      </c>
      <c r="F3169" s="1">
        <f>IFERROR(__xludf.DUMMYFUNCTION("""COMPUTED_VALUE"""),420293.0)</f>
        <v>420293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IFERROR(__xludf.DUMMYFUNCTION("""COMPUTED_VALUE"""),71.78)</f>
        <v>71.78</v>
      </c>
      <c r="C3170" s="1">
        <f>IFERROR(__xludf.DUMMYFUNCTION("""COMPUTED_VALUE"""),72.73)</f>
        <v>72.73</v>
      </c>
      <c r="D3170" s="1">
        <f>IFERROR(__xludf.DUMMYFUNCTION("""COMPUTED_VALUE"""),71.58)</f>
        <v>71.58</v>
      </c>
      <c r="E3170" s="1">
        <f>IFERROR(__xludf.DUMMYFUNCTION("""COMPUTED_VALUE"""),72.66)</f>
        <v>72.66</v>
      </c>
      <c r="F3170" s="1">
        <f>IFERROR(__xludf.DUMMYFUNCTION("""COMPUTED_VALUE"""),704078.0)</f>
        <v>704078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IFERROR(__xludf.DUMMYFUNCTION("""COMPUTED_VALUE"""),72.06)</f>
        <v>72.06</v>
      </c>
      <c r="C3171" s="1">
        <f>IFERROR(__xludf.DUMMYFUNCTION("""COMPUTED_VALUE"""),72.13)</f>
        <v>72.13</v>
      </c>
      <c r="D3171" s="1">
        <f>IFERROR(__xludf.DUMMYFUNCTION("""COMPUTED_VALUE"""),66.3)</f>
        <v>66.3</v>
      </c>
      <c r="E3171" s="1">
        <f>IFERROR(__xludf.DUMMYFUNCTION("""COMPUTED_VALUE"""),67.65)</f>
        <v>67.65</v>
      </c>
      <c r="F3171" s="1">
        <f>IFERROR(__xludf.DUMMYFUNCTION("""COMPUTED_VALUE"""),1468194.0)</f>
        <v>1468194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IFERROR(__xludf.DUMMYFUNCTION("""COMPUTED_VALUE"""),67.84)</f>
        <v>67.84</v>
      </c>
      <c r="C3172" s="1">
        <f>IFERROR(__xludf.DUMMYFUNCTION("""COMPUTED_VALUE"""),70.74)</f>
        <v>70.74</v>
      </c>
      <c r="D3172" s="1">
        <f>IFERROR(__xludf.DUMMYFUNCTION("""COMPUTED_VALUE"""),67.84)</f>
        <v>67.84</v>
      </c>
      <c r="E3172" s="1">
        <f>IFERROR(__xludf.DUMMYFUNCTION("""COMPUTED_VALUE"""),68.87)</f>
        <v>68.87</v>
      </c>
      <c r="F3172" s="1">
        <f>IFERROR(__xludf.DUMMYFUNCTION("""COMPUTED_VALUE"""),630011.0)</f>
        <v>630011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IFERROR(__xludf.DUMMYFUNCTION("""COMPUTED_VALUE"""),68.81)</f>
        <v>68.81</v>
      </c>
      <c r="C3173" s="1">
        <f>IFERROR(__xludf.DUMMYFUNCTION("""COMPUTED_VALUE"""),70.0)</f>
        <v>70</v>
      </c>
      <c r="D3173" s="1">
        <f>IFERROR(__xludf.DUMMYFUNCTION("""COMPUTED_VALUE"""),68.4)</f>
        <v>68.4</v>
      </c>
      <c r="E3173" s="1">
        <f>IFERROR(__xludf.DUMMYFUNCTION("""COMPUTED_VALUE"""),69.88)</f>
        <v>69.88</v>
      </c>
      <c r="F3173" s="1">
        <f>IFERROR(__xludf.DUMMYFUNCTION("""COMPUTED_VALUE"""),627755.0)</f>
        <v>627755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IFERROR(__xludf.DUMMYFUNCTION("""COMPUTED_VALUE"""),71.09)</f>
        <v>71.09</v>
      </c>
      <c r="C3174" s="1">
        <f>IFERROR(__xludf.DUMMYFUNCTION("""COMPUTED_VALUE"""),71.57)</f>
        <v>71.57</v>
      </c>
      <c r="D3174" s="1">
        <f>IFERROR(__xludf.DUMMYFUNCTION("""COMPUTED_VALUE"""),70.11)</f>
        <v>70.11</v>
      </c>
      <c r="E3174" s="1">
        <f>IFERROR(__xludf.DUMMYFUNCTION("""COMPUTED_VALUE"""),70.39)</f>
        <v>70.39</v>
      </c>
      <c r="F3174" s="1">
        <f>IFERROR(__xludf.DUMMYFUNCTION("""COMPUTED_VALUE"""),514489.0)</f>
        <v>514489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IFERROR(__xludf.DUMMYFUNCTION("""COMPUTED_VALUE"""),70.12)</f>
        <v>70.12</v>
      </c>
      <c r="C3175" s="1">
        <f>IFERROR(__xludf.DUMMYFUNCTION("""COMPUTED_VALUE"""),71.44)</f>
        <v>71.44</v>
      </c>
      <c r="D3175" s="1">
        <f>IFERROR(__xludf.DUMMYFUNCTION("""COMPUTED_VALUE"""),69.84)</f>
        <v>69.84</v>
      </c>
      <c r="E3175" s="1">
        <f>IFERROR(__xludf.DUMMYFUNCTION("""COMPUTED_VALUE"""),69.93)</f>
        <v>69.93</v>
      </c>
      <c r="F3175" s="1">
        <f>IFERROR(__xludf.DUMMYFUNCTION("""COMPUTED_VALUE"""),288691.0)</f>
        <v>288691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IFERROR(__xludf.DUMMYFUNCTION("""COMPUTED_VALUE"""),69.81)</f>
        <v>69.81</v>
      </c>
      <c r="C3176" s="1">
        <f>IFERROR(__xludf.DUMMYFUNCTION("""COMPUTED_VALUE"""),71.38)</f>
        <v>71.38</v>
      </c>
      <c r="D3176" s="1">
        <f>IFERROR(__xludf.DUMMYFUNCTION("""COMPUTED_VALUE"""),69.81)</f>
        <v>69.81</v>
      </c>
      <c r="E3176" s="1">
        <f>IFERROR(__xludf.DUMMYFUNCTION("""COMPUTED_VALUE"""),71.33)</f>
        <v>71.33</v>
      </c>
      <c r="F3176" s="1">
        <f>IFERROR(__xludf.DUMMYFUNCTION("""COMPUTED_VALUE"""),252346.0)</f>
        <v>252346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IFERROR(__xludf.DUMMYFUNCTION("""COMPUTED_VALUE"""),71.2)</f>
        <v>71.2</v>
      </c>
      <c r="C3177" s="1">
        <f>IFERROR(__xludf.DUMMYFUNCTION("""COMPUTED_VALUE"""),71.8)</f>
        <v>71.8</v>
      </c>
      <c r="D3177" s="1">
        <f>IFERROR(__xludf.DUMMYFUNCTION("""COMPUTED_VALUE"""),70.73)</f>
        <v>70.73</v>
      </c>
      <c r="E3177" s="1">
        <f>IFERROR(__xludf.DUMMYFUNCTION("""COMPUTED_VALUE"""),71.08)</f>
        <v>71.08</v>
      </c>
      <c r="F3177" s="1">
        <f>IFERROR(__xludf.DUMMYFUNCTION("""COMPUTED_VALUE"""),167999.0)</f>
        <v>167999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IFERROR(__xludf.DUMMYFUNCTION("""COMPUTED_VALUE"""),70.41)</f>
        <v>70.41</v>
      </c>
      <c r="C3178" s="1">
        <f>IFERROR(__xludf.DUMMYFUNCTION("""COMPUTED_VALUE"""),71.2)</f>
        <v>71.2</v>
      </c>
      <c r="D3178" s="1">
        <f>IFERROR(__xludf.DUMMYFUNCTION("""COMPUTED_VALUE"""),70.31)</f>
        <v>70.31</v>
      </c>
      <c r="E3178" s="1">
        <f>IFERROR(__xludf.DUMMYFUNCTION("""COMPUTED_VALUE"""),70.77)</f>
        <v>70.77</v>
      </c>
      <c r="F3178" s="1">
        <f>IFERROR(__xludf.DUMMYFUNCTION("""COMPUTED_VALUE"""),336904.0)</f>
        <v>336904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IFERROR(__xludf.DUMMYFUNCTION("""COMPUTED_VALUE"""),70.67)</f>
        <v>70.67</v>
      </c>
      <c r="C3179" s="1">
        <f>IFERROR(__xludf.DUMMYFUNCTION("""COMPUTED_VALUE"""),70.96)</f>
        <v>70.96</v>
      </c>
      <c r="D3179" s="1">
        <f>IFERROR(__xludf.DUMMYFUNCTION("""COMPUTED_VALUE"""),70.27)</f>
        <v>70.27</v>
      </c>
      <c r="E3179" s="1">
        <f>IFERROR(__xludf.DUMMYFUNCTION("""COMPUTED_VALUE"""),70.74)</f>
        <v>70.74</v>
      </c>
      <c r="F3179" s="1">
        <f>IFERROR(__xludf.DUMMYFUNCTION("""COMPUTED_VALUE"""),241015.0)</f>
        <v>241015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IFERROR(__xludf.DUMMYFUNCTION("""COMPUTED_VALUE"""),71.18)</f>
        <v>71.18</v>
      </c>
      <c r="C3180" s="1">
        <f>IFERROR(__xludf.DUMMYFUNCTION("""COMPUTED_VALUE"""),71.82)</f>
        <v>71.82</v>
      </c>
      <c r="D3180" s="1">
        <f>IFERROR(__xludf.DUMMYFUNCTION("""COMPUTED_VALUE"""),71.0)</f>
        <v>71</v>
      </c>
      <c r="E3180" s="1">
        <f>IFERROR(__xludf.DUMMYFUNCTION("""COMPUTED_VALUE"""),71.09)</f>
        <v>71.09</v>
      </c>
      <c r="F3180" s="1">
        <f>IFERROR(__xludf.DUMMYFUNCTION("""COMPUTED_VALUE"""),273170.0)</f>
        <v>273170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IFERROR(__xludf.DUMMYFUNCTION("""COMPUTED_VALUE"""),70.76)</f>
        <v>70.76</v>
      </c>
      <c r="C3181" s="1">
        <f>IFERROR(__xludf.DUMMYFUNCTION("""COMPUTED_VALUE"""),70.76)</f>
        <v>70.76</v>
      </c>
      <c r="D3181" s="1">
        <f>IFERROR(__xludf.DUMMYFUNCTION("""COMPUTED_VALUE"""),69.6)</f>
        <v>69.6</v>
      </c>
      <c r="E3181" s="1">
        <f>IFERROR(__xludf.DUMMYFUNCTION("""COMPUTED_VALUE"""),70.48)</f>
        <v>70.48</v>
      </c>
      <c r="F3181" s="1">
        <f>IFERROR(__xludf.DUMMYFUNCTION("""COMPUTED_VALUE"""),207765.0)</f>
        <v>207765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IFERROR(__xludf.DUMMYFUNCTION("""COMPUTED_VALUE"""),70.21)</f>
        <v>70.21</v>
      </c>
      <c r="C3182" s="1">
        <f>IFERROR(__xludf.DUMMYFUNCTION("""COMPUTED_VALUE"""),70.92)</f>
        <v>70.92</v>
      </c>
      <c r="D3182" s="1">
        <f>IFERROR(__xludf.DUMMYFUNCTION("""COMPUTED_VALUE"""),69.91)</f>
        <v>69.91</v>
      </c>
      <c r="E3182" s="1">
        <f>IFERROR(__xludf.DUMMYFUNCTION("""COMPUTED_VALUE"""),70.86)</f>
        <v>70.86</v>
      </c>
      <c r="F3182" s="1">
        <f>IFERROR(__xludf.DUMMYFUNCTION("""COMPUTED_VALUE"""),213949.0)</f>
        <v>213949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IFERROR(__xludf.DUMMYFUNCTION("""COMPUTED_VALUE"""),70.78)</f>
        <v>70.78</v>
      </c>
      <c r="C3183" s="1">
        <f>IFERROR(__xludf.DUMMYFUNCTION("""COMPUTED_VALUE"""),70.94)</f>
        <v>70.94</v>
      </c>
      <c r="D3183" s="1">
        <f>IFERROR(__xludf.DUMMYFUNCTION("""COMPUTED_VALUE"""),70.11)</f>
        <v>70.11</v>
      </c>
      <c r="E3183" s="1">
        <f>IFERROR(__xludf.DUMMYFUNCTION("""COMPUTED_VALUE"""),70.87)</f>
        <v>70.87</v>
      </c>
      <c r="F3183" s="1">
        <f>IFERROR(__xludf.DUMMYFUNCTION("""COMPUTED_VALUE"""),184384.0)</f>
        <v>184384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IFERROR(__xludf.DUMMYFUNCTION("""COMPUTED_VALUE"""),71.18)</f>
        <v>71.18</v>
      </c>
      <c r="C3184" s="1">
        <f>IFERROR(__xludf.DUMMYFUNCTION("""COMPUTED_VALUE"""),71.25)</f>
        <v>71.25</v>
      </c>
      <c r="D3184" s="1">
        <f>IFERROR(__xludf.DUMMYFUNCTION("""COMPUTED_VALUE"""),70.26)</f>
        <v>70.26</v>
      </c>
      <c r="E3184" s="1">
        <f>IFERROR(__xludf.DUMMYFUNCTION("""COMPUTED_VALUE"""),70.37)</f>
        <v>70.37</v>
      </c>
      <c r="F3184" s="1">
        <f>IFERROR(__xludf.DUMMYFUNCTION("""COMPUTED_VALUE"""),203434.0)</f>
        <v>203434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IFERROR(__xludf.DUMMYFUNCTION("""COMPUTED_VALUE"""),70.79)</f>
        <v>70.79</v>
      </c>
      <c r="C3185" s="1">
        <f>IFERROR(__xludf.DUMMYFUNCTION("""COMPUTED_VALUE"""),70.87)</f>
        <v>70.87</v>
      </c>
      <c r="D3185" s="1">
        <f>IFERROR(__xludf.DUMMYFUNCTION("""COMPUTED_VALUE"""),69.64)</f>
        <v>69.64</v>
      </c>
      <c r="E3185" s="1">
        <f>IFERROR(__xludf.DUMMYFUNCTION("""COMPUTED_VALUE"""),70.77)</f>
        <v>70.77</v>
      </c>
      <c r="F3185" s="1">
        <f>IFERROR(__xludf.DUMMYFUNCTION("""COMPUTED_VALUE"""),236949.0)</f>
        <v>236949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IFERROR(__xludf.DUMMYFUNCTION("""COMPUTED_VALUE"""),70.66)</f>
        <v>70.66</v>
      </c>
      <c r="C3186" s="1">
        <f>IFERROR(__xludf.DUMMYFUNCTION("""COMPUTED_VALUE"""),70.93)</f>
        <v>70.93</v>
      </c>
      <c r="D3186" s="1">
        <f>IFERROR(__xludf.DUMMYFUNCTION("""COMPUTED_VALUE"""),69.47)</f>
        <v>69.47</v>
      </c>
      <c r="E3186" s="1">
        <f>IFERROR(__xludf.DUMMYFUNCTION("""COMPUTED_VALUE"""),69.5)</f>
        <v>69.5</v>
      </c>
      <c r="F3186" s="1">
        <f>IFERROR(__xludf.DUMMYFUNCTION("""COMPUTED_VALUE"""),240234.0)</f>
        <v>240234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IFERROR(__xludf.DUMMYFUNCTION("""COMPUTED_VALUE"""),69.49)</f>
        <v>69.49</v>
      </c>
      <c r="C3187" s="1">
        <f>IFERROR(__xludf.DUMMYFUNCTION("""COMPUTED_VALUE"""),70.22)</f>
        <v>70.22</v>
      </c>
      <c r="D3187" s="1">
        <f>IFERROR(__xludf.DUMMYFUNCTION("""COMPUTED_VALUE"""),69.03)</f>
        <v>69.03</v>
      </c>
      <c r="E3187" s="1">
        <f>IFERROR(__xludf.DUMMYFUNCTION("""COMPUTED_VALUE"""),69.83)</f>
        <v>69.83</v>
      </c>
      <c r="F3187" s="1">
        <f>IFERROR(__xludf.DUMMYFUNCTION("""COMPUTED_VALUE"""),186720.0)</f>
        <v>186720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IFERROR(__xludf.DUMMYFUNCTION("""COMPUTED_VALUE"""),69.58)</f>
        <v>69.58</v>
      </c>
      <c r="C3188" s="1">
        <f>IFERROR(__xludf.DUMMYFUNCTION("""COMPUTED_VALUE"""),69.91)</f>
        <v>69.91</v>
      </c>
      <c r="D3188" s="1">
        <f>IFERROR(__xludf.DUMMYFUNCTION("""COMPUTED_VALUE"""),69.22)</f>
        <v>69.22</v>
      </c>
      <c r="E3188" s="1">
        <f>IFERROR(__xludf.DUMMYFUNCTION("""COMPUTED_VALUE"""),69.75)</f>
        <v>69.75</v>
      </c>
      <c r="F3188" s="1">
        <f>IFERROR(__xludf.DUMMYFUNCTION("""COMPUTED_VALUE"""),240543.0)</f>
        <v>240543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IFERROR(__xludf.DUMMYFUNCTION("""COMPUTED_VALUE"""),69.71)</f>
        <v>69.71</v>
      </c>
      <c r="C3189" s="1">
        <f>IFERROR(__xludf.DUMMYFUNCTION("""COMPUTED_VALUE"""),69.99)</f>
        <v>69.99</v>
      </c>
      <c r="D3189" s="1">
        <f>IFERROR(__xludf.DUMMYFUNCTION("""COMPUTED_VALUE"""),68.78)</f>
        <v>68.78</v>
      </c>
      <c r="E3189" s="1">
        <f>IFERROR(__xludf.DUMMYFUNCTION("""COMPUTED_VALUE"""),69.34)</f>
        <v>69.34</v>
      </c>
      <c r="F3189" s="1">
        <f>IFERROR(__xludf.DUMMYFUNCTION("""COMPUTED_VALUE"""),354945.0)</f>
        <v>354945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IFERROR(__xludf.DUMMYFUNCTION("""COMPUTED_VALUE"""),69.26)</f>
        <v>69.26</v>
      </c>
      <c r="C3190" s="1">
        <f>IFERROR(__xludf.DUMMYFUNCTION("""COMPUTED_VALUE"""),70.17)</f>
        <v>70.17</v>
      </c>
      <c r="D3190" s="1">
        <f>IFERROR(__xludf.DUMMYFUNCTION("""COMPUTED_VALUE"""),68.69)</f>
        <v>68.69</v>
      </c>
      <c r="E3190" s="1">
        <f>IFERROR(__xludf.DUMMYFUNCTION("""COMPUTED_VALUE"""),70.17)</f>
        <v>70.17</v>
      </c>
      <c r="F3190" s="1">
        <f>IFERROR(__xludf.DUMMYFUNCTION("""COMPUTED_VALUE"""),521614.0)</f>
        <v>521614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IFERROR(__xludf.DUMMYFUNCTION("""COMPUTED_VALUE"""),70.55)</f>
        <v>70.55</v>
      </c>
      <c r="C3191" s="1">
        <f>IFERROR(__xludf.DUMMYFUNCTION("""COMPUTED_VALUE"""),71.96)</f>
        <v>71.96</v>
      </c>
      <c r="D3191" s="1">
        <f>IFERROR(__xludf.DUMMYFUNCTION("""COMPUTED_VALUE"""),69.96)</f>
        <v>69.96</v>
      </c>
      <c r="E3191" s="1">
        <f>IFERROR(__xludf.DUMMYFUNCTION("""COMPUTED_VALUE"""),70.2)</f>
        <v>70.2</v>
      </c>
      <c r="F3191" s="1">
        <f>IFERROR(__xludf.DUMMYFUNCTION("""COMPUTED_VALUE"""),338510.0)</f>
        <v>338510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IFERROR(__xludf.DUMMYFUNCTION("""COMPUTED_VALUE"""),70.25)</f>
        <v>70.25</v>
      </c>
      <c r="C3192" s="1">
        <f>IFERROR(__xludf.DUMMYFUNCTION("""COMPUTED_VALUE"""),70.68)</f>
        <v>70.68</v>
      </c>
      <c r="D3192" s="1">
        <f>IFERROR(__xludf.DUMMYFUNCTION("""COMPUTED_VALUE"""),69.06)</f>
        <v>69.06</v>
      </c>
      <c r="E3192" s="1">
        <f>IFERROR(__xludf.DUMMYFUNCTION("""COMPUTED_VALUE"""),69.22)</f>
        <v>69.22</v>
      </c>
      <c r="F3192" s="1">
        <f>IFERROR(__xludf.DUMMYFUNCTION("""COMPUTED_VALUE"""),261426.0)</f>
        <v>261426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IFERROR(__xludf.DUMMYFUNCTION("""COMPUTED_VALUE"""),69.26)</f>
        <v>69.26</v>
      </c>
      <c r="C3193" s="1">
        <f>IFERROR(__xludf.DUMMYFUNCTION("""COMPUTED_VALUE"""),69.92)</f>
        <v>69.92</v>
      </c>
      <c r="D3193" s="1">
        <f>IFERROR(__xludf.DUMMYFUNCTION("""COMPUTED_VALUE"""),68.52)</f>
        <v>68.52</v>
      </c>
      <c r="E3193" s="1">
        <f>IFERROR(__xludf.DUMMYFUNCTION("""COMPUTED_VALUE"""),69.76)</f>
        <v>69.76</v>
      </c>
      <c r="F3193" s="1">
        <f>IFERROR(__xludf.DUMMYFUNCTION("""COMPUTED_VALUE"""),542426.0)</f>
        <v>542426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IFERROR(__xludf.DUMMYFUNCTION("""COMPUTED_VALUE"""),69.69)</f>
        <v>69.69</v>
      </c>
      <c r="C3194" s="1">
        <f>IFERROR(__xludf.DUMMYFUNCTION("""COMPUTED_VALUE"""),69.69)</f>
        <v>69.69</v>
      </c>
      <c r="D3194" s="1">
        <f>IFERROR(__xludf.DUMMYFUNCTION("""COMPUTED_VALUE"""),67.55)</f>
        <v>67.55</v>
      </c>
      <c r="E3194" s="1">
        <f>IFERROR(__xludf.DUMMYFUNCTION("""COMPUTED_VALUE"""),67.89)</f>
        <v>67.89</v>
      </c>
      <c r="F3194" s="1">
        <f>IFERROR(__xludf.DUMMYFUNCTION("""COMPUTED_VALUE"""),351787.0)</f>
        <v>351787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IFERROR(__xludf.DUMMYFUNCTION("""COMPUTED_VALUE"""),68.03)</f>
        <v>68.03</v>
      </c>
      <c r="C3195" s="1">
        <f>IFERROR(__xludf.DUMMYFUNCTION("""COMPUTED_VALUE"""),68.57)</f>
        <v>68.57</v>
      </c>
      <c r="D3195" s="1">
        <f>IFERROR(__xludf.DUMMYFUNCTION("""COMPUTED_VALUE"""),68.03)</f>
        <v>68.03</v>
      </c>
      <c r="E3195" s="1">
        <f>IFERROR(__xludf.DUMMYFUNCTION("""COMPUTED_VALUE"""),68.46)</f>
        <v>68.46</v>
      </c>
      <c r="F3195" s="1">
        <f>IFERROR(__xludf.DUMMYFUNCTION("""COMPUTED_VALUE"""),392850.0)</f>
        <v>392850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IFERROR(__xludf.DUMMYFUNCTION("""COMPUTED_VALUE"""),68.45)</f>
        <v>68.45</v>
      </c>
      <c r="C3196" s="1">
        <f>IFERROR(__xludf.DUMMYFUNCTION("""COMPUTED_VALUE"""),68.91)</f>
        <v>68.91</v>
      </c>
      <c r="D3196" s="1">
        <f>IFERROR(__xludf.DUMMYFUNCTION("""COMPUTED_VALUE"""),67.88)</f>
        <v>67.88</v>
      </c>
      <c r="E3196" s="1">
        <f>IFERROR(__xludf.DUMMYFUNCTION("""COMPUTED_VALUE"""),68.42)</f>
        <v>68.42</v>
      </c>
      <c r="F3196" s="1">
        <f>IFERROR(__xludf.DUMMYFUNCTION("""COMPUTED_VALUE"""),311762.0)</f>
        <v>311762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IFERROR(__xludf.DUMMYFUNCTION("""COMPUTED_VALUE"""),67.25)</f>
        <v>67.25</v>
      </c>
      <c r="C3197" s="1">
        <f>IFERROR(__xludf.DUMMYFUNCTION("""COMPUTED_VALUE"""),67.94)</f>
        <v>67.94</v>
      </c>
      <c r="D3197" s="1">
        <f>IFERROR(__xludf.DUMMYFUNCTION("""COMPUTED_VALUE"""),66.42)</f>
        <v>66.42</v>
      </c>
      <c r="E3197" s="1">
        <f>IFERROR(__xludf.DUMMYFUNCTION("""COMPUTED_VALUE"""),66.52)</f>
        <v>66.52</v>
      </c>
      <c r="F3197" s="1">
        <f>IFERROR(__xludf.DUMMYFUNCTION("""COMPUTED_VALUE"""),306506.0)</f>
        <v>306506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IFERROR(__xludf.DUMMYFUNCTION("""COMPUTED_VALUE"""),66.8)</f>
        <v>66.8</v>
      </c>
      <c r="C3198" s="1">
        <f>IFERROR(__xludf.DUMMYFUNCTION("""COMPUTED_VALUE"""),66.98)</f>
        <v>66.98</v>
      </c>
      <c r="D3198" s="1">
        <f>IFERROR(__xludf.DUMMYFUNCTION("""COMPUTED_VALUE"""),65.36)</f>
        <v>65.36</v>
      </c>
      <c r="E3198" s="1">
        <f>IFERROR(__xludf.DUMMYFUNCTION("""COMPUTED_VALUE"""),65.83)</f>
        <v>65.83</v>
      </c>
      <c r="F3198" s="1">
        <f>IFERROR(__xludf.DUMMYFUNCTION("""COMPUTED_VALUE"""),273800.0)</f>
        <v>273800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IFERROR(__xludf.DUMMYFUNCTION("""COMPUTED_VALUE"""),65.57)</f>
        <v>65.57</v>
      </c>
      <c r="C3199" s="1">
        <f>IFERROR(__xludf.DUMMYFUNCTION("""COMPUTED_VALUE"""),66.32)</f>
        <v>66.32</v>
      </c>
      <c r="D3199" s="1">
        <f>IFERROR(__xludf.DUMMYFUNCTION("""COMPUTED_VALUE"""),65.26)</f>
        <v>65.26</v>
      </c>
      <c r="E3199" s="1">
        <f>IFERROR(__xludf.DUMMYFUNCTION("""COMPUTED_VALUE"""),65.46)</f>
        <v>65.46</v>
      </c>
      <c r="F3199" s="1">
        <f>IFERROR(__xludf.DUMMYFUNCTION("""COMPUTED_VALUE"""),308362.0)</f>
        <v>308362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IFERROR(__xludf.DUMMYFUNCTION("""COMPUTED_VALUE"""),64.73)</f>
        <v>64.73</v>
      </c>
      <c r="C3200" s="1">
        <f>IFERROR(__xludf.DUMMYFUNCTION("""COMPUTED_VALUE"""),65.99)</f>
        <v>65.99</v>
      </c>
      <c r="D3200" s="1">
        <f>IFERROR(__xludf.DUMMYFUNCTION("""COMPUTED_VALUE"""),64.65)</f>
        <v>64.65</v>
      </c>
      <c r="E3200" s="1">
        <f>IFERROR(__xludf.DUMMYFUNCTION("""COMPUTED_VALUE"""),65.46)</f>
        <v>65.46</v>
      </c>
      <c r="F3200" s="1">
        <f>IFERROR(__xludf.DUMMYFUNCTION("""COMPUTED_VALUE"""),494753.0)</f>
        <v>494753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IFERROR(__xludf.DUMMYFUNCTION("""COMPUTED_VALUE"""),65.3)</f>
        <v>65.3</v>
      </c>
      <c r="C3201" s="1">
        <f>IFERROR(__xludf.DUMMYFUNCTION("""COMPUTED_VALUE"""),65.78)</f>
        <v>65.78</v>
      </c>
      <c r="D3201" s="1">
        <f>IFERROR(__xludf.DUMMYFUNCTION("""COMPUTED_VALUE"""),64.65)</f>
        <v>64.65</v>
      </c>
      <c r="E3201" s="1">
        <f>IFERROR(__xludf.DUMMYFUNCTION("""COMPUTED_VALUE"""),65.67)</f>
        <v>65.67</v>
      </c>
      <c r="F3201" s="1">
        <f>IFERROR(__xludf.DUMMYFUNCTION("""COMPUTED_VALUE"""),685050.0)</f>
        <v>685050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IFERROR(__xludf.DUMMYFUNCTION("""COMPUTED_VALUE"""),65.54)</f>
        <v>65.54</v>
      </c>
      <c r="C3202" s="1">
        <f>IFERROR(__xludf.DUMMYFUNCTION("""COMPUTED_VALUE"""),65.73)</f>
        <v>65.73</v>
      </c>
      <c r="D3202" s="1">
        <f>IFERROR(__xludf.DUMMYFUNCTION("""COMPUTED_VALUE"""),64.48)</f>
        <v>64.48</v>
      </c>
      <c r="E3202" s="1">
        <f>IFERROR(__xludf.DUMMYFUNCTION("""COMPUTED_VALUE"""),64.66)</f>
        <v>64.66</v>
      </c>
      <c r="F3202" s="1">
        <f>IFERROR(__xludf.DUMMYFUNCTION("""COMPUTED_VALUE"""),355104.0)</f>
        <v>355104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IFERROR(__xludf.DUMMYFUNCTION("""COMPUTED_VALUE"""),64.76)</f>
        <v>64.76</v>
      </c>
      <c r="C3203" s="1">
        <f>IFERROR(__xludf.DUMMYFUNCTION("""COMPUTED_VALUE"""),65.54)</f>
        <v>65.54</v>
      </c>
      <c r="D3203" s="1">
        <f>IFERROR(__xludf.DUMMYFUNCTION("""COMPUTED_VALUE"""),64.08)</f>
        <v>64.08</v>
      </c>
      <c r="E3203" s="1">
        <f>IFERROR(__xludf.DUMMYFUNCTION("""COMPUTED_VALUE"""),64.11)</f>
        <v>64.11</v>
      </c>
      <c r="F3203" s="1">
        <f>IFERROR(__xludf.DUMMYFUNCTION("""COMPUTED_VALUE"""),455216.0)</f>
        <v>455216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IFERROR(__xludf.DUMMYFUNCTION("""COMPUTED_VALUE"""),64.18)</f>
        <v>64.18</v>
      </c>
      <c r="C3204" s="1">
        <f>IFERROR(__xludf.DUMMYFUNCTION("""COMPUTED_VALUE"""),64.23)</f>
        <v>64.23</v>
      </c>
      <c r="D3204" s="1">
        <f>IFERROR(__xludf.DUMMYFUNCTION("""COMPUTED_VALUE"""),62.87)</f>
        <v>62.87</v>
      </c>
      <c r="E3204" s="1">
        <f>IFERROR(__xludf.DUMMYFUNCTION("""COMPUTED_VALUE"""),63.2)</f>
        <v>63.2</v>
      </c>
      <c r="F3204" s="1">
        <f>IFERROR(__xludf.DUMMYFUNCTION("""COMPUTED_VALUE"""),326779.0)</f>
        <v>326779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IFERROR(__xludf.DUMMYFUNCTION("""COMPUTED_VALUE"""),62.89)</f>
        <v>62.89</v>
      </c>
      <c r="C3205" s="1">
        <f>IFERROR(__xludf.DUMMYFUNCTION("""COMPUTED_VALUE"""),63.14)</f>
        <v>63.14</v>
      </c>
      <c r="D3205" s="1">
        <f>IFERROR(__xludf.DUMMYFUNCTION("""COMPUTED_VALUE"""),62.24)</f>
        <v>62.24</v>
      </c>
      <c r="E3205" s="1">
        <f>IFERROR(__xludf.DUMMYFUNCTION("""COMPUTED_VALUE"""),62.7)</f>
        <v>62.7</v>
      </c>
      <c r="F3205" s="1">
        <f>IFERROR(__xludf.DUMMYFUNCTION("""COMPUTED_VALUE"""),427026.0)</f>
        <v>427026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IFERROR(__xludf.DUMMYFUNCTION("""COMPUTED_VALUE"""),62.43)</f>
        <v>62.43</v>
      </c>
      <c r="C3206" s="1">
        <f>IFERROR(__xludf.DUMMYFUNCTION("""COMPUTED_VALUE"""),63.85)</f>
        <v>63.85</v>
      </c>
      <c r="D3206" s="1">
        <f>IFERROR(__xludf.DUMMYFUNCTION("""COMPUTED_VALUE"""),62.08)</f>
        <v>62.08</v>
      </c>
      <c r="E3206" s="1">
        <f>IFERROR(__xludf.DUMMYFUNCTION("""COMPUTED_VALUE"""),62.68)</f>
        <v>62.68</v>
      </c>
      <c r="F3206" s="1">
        <f>IFERROR(__xludf.DUMMYFUNCTION("""COMPUTED_VALUE"""),308485.0)</f>
        <v>308485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IFERROR(__xludf.DUMMYFUNCTION("""COMPUTED_VALUE"""),63.15)</f>
        <v>63.15</v>
      </c>
      <c r="C3207" s="1">
        <f>IFERROR(__xludf.DUMMYFUNCTION("""COMPUTED_VALUE"""),63.87)</f>
        <v>63.87</v>
      </c>
      <c r="D3207" s="1">
        <f>IFERROR(__xludf.DUMMYFUNCTION("""COMPUTED_VALUE"""),63.05)</f>
        <v>63.05</v>
      </c>
      <c r="E3207" s="1">
        <f>IFERROR(__xludf.DUMMYFUNCTION("""COMPUTED_VALUE"""),63.45)</f>
        <v>63.45</v>
      </c>
      <c r="F3207" s="1">
        <f>IFERROR(__xludf.DUMMYFUNCTION("""COMPUTED_VALUE"""),544951.0)</f>
        <v>544951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IFERROR(__xludf.DUMMYFUNCTION("""COMPUTED_VALUE"""),63.45)</f>
        <v>63.45</v>
      </c>
      <c r="C3208" s="1">
        <f>IFERROR(__xludf.DUMMYFUNCTION("""COMPUTED_VALUE"""),65.34)</f>
        <v>65.34</v>
      </c>
      <c r="D3208" s="1">
        <f>IFERROR(__xludf.DUMMYFUNCTION("""COMPUTED_VALUE"""),63.12)</f>
        <v>63.12</v>
      </c>
      <c r="E3208" s="1">
        <f>IFERROR(__xludf.DUMMYFUNCTION("""COMPUTED_VALUE"""),65.05)</f>
        <v>65.05</v>
      </c>
      <c r="F3208" s="1">
        <f>IFERROR(__xludf.DUMMYFUNCTION("""COMPUTED_VALUE"""),349474.0)</f>
        <v>349474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IFERROR(__xludf.DUMMYFUNCTION("""COMPUTED_VALUE"""),64.84)</f>
        <v>64.84</v>
      </c>
      <c r="C3209" s="1">
        <f>IFERROR(__xludf.DUMMYFUNCTION("""COMPUTED_VALUE"""),65.19)</f>
        <v>65.19</v>
      </c>
      <c r="D3209" s="1">
        <f>IFERROR(__xludf.DUMMYFUNCTION("""COMPUTED_VALUE"""),63.95)</f>
        <v>63.95</v>
      </c>
      <c r="E3209" s="1">
        <f>IFERROR(__xludf.DUMMYFUNCTION("""COMPUTED_VALUE"""),63.97)</f>
        <v>63.97</v>
      </c>
      <c r="F3209" s="1">
        <f>IFERROR(__xludf.DUMMYFUNCTION("""COMPUTED_VALUE"""),334461.0)</f>
        <v>334461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IFERROR(__xludf.DUMMYFUNCTION("""COMPUTED_VALUE"""),63.98)</f>
        <v>63.98</v>
      </c>
      <c r="C3210" s="1">
        <f>IFERROR(__xludf.DUMMYFUNCTION("""COMPUTED_VALUE"""),64.12)</f>
        <v>64.12</v>
      </c>
      <c r="D3210" s="1">
        <f>IFERROR(__xludf.DUMMYFUNCTION("""COMPUTED_VALUE"""),62.47)</f>
        <v>62.47</v>
      </c>
      <c r="E3210" s="1">
        <f>IFERROR(__xludf.DUMMYFUNCTION("""COMPUTED_VALUE"""),62.48)</f>
        <v>62.48</v>
      </c>
      <c r="F3210" s="1">
        <f>IFERROR(__xludf.DUMMYFUNCTION("""COMPUTED_VALUE"""),364497.0)</f>
        <v>364497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IFERROR(__xludf.DUMMYFUNCTION("""COMPUTED_VALUE"""),62.96)</f>
        <v>62.96</v>
      </c>
      <c r="C3211" s="1">
        <f>IFERROR(__xludf.DUMMYFUNCTION("""COMPUTED_VALUE"""),63.4)</f>
        <v>63.4</v>
      </c>
      <c r="D3211" s="1">
        <f>IFERROR(__xludf.DUMMYFUNCTION("""COMPUTED_VALUE"""),62.27)</f>
        <v>62.27</v>
      </c>
      <c r="E3211" s="1">
        <f>IFERROR(__xludf.DUMMYFUNCTION("""COMPUTED_VALUE"""),63.11)</f>
        <v>63.11</v>
      </c>
      <c r="F3211" s="1">
        <f>IFERROR(__xludf.DUMMYFUNCTION("""COMPUTED_VALUE"""),873521.0)</f>
        <v>873521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IFERROR(__xludf.DUMMYFUNCTION("""COMPUTED_VALUE"""),64.02)</f>
        <v>64.02</v>
      </c>
      <c r="C3212" s="1">
        <f>IFERROR(__xludf.DUMMYFUNCTION("""COMPUTED_VALUE"""),65.51)</f>
        <v>65.51</v>
      </c>
      <c r="D3212" s="1">
        <f>IFERROR(__xludf.DUMMYFUNCTION("""COMPUTED_VALUE"""),63.72)</f>
        <v>63.72</v>
      </c>
      <c r="E3212" s="1">
        <f>IFERROR(__xludf.DUMMYFUNCTION("""COMPUTED_VALUE"""),65.46)</f>
        <v>65.46</v>
      </c>
      <c r="F3212" s="1">
        <f>IFERROR(__xludf.DUMMYFUNCTION("""COMPUTED_VALUE"""),542083.0)</f>
        <v>542083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IFERROR(__xludf.DUMMYFUNCTION("""COMPUTED_VALUE"""),64.22)</f>
        <v>64.22</v>
      </c>
      <c r="C3213" s="1">
        <f>IFERROR(__xludf.DUMMYFUNCTION("""COMPUTED_VALUE"""),64.37)</f>
        <v>64.37</v>
      </c>
      <c r="D3213" s="1">
        <f>IFERROR(__xludf.DUMMYFUNCTION("""COMPUTED_VALUE"""),62.94)</f>
        <v>62.94</v>
      </c>
      <c r="E3213" s="1">
        <f>IFERROR(__xludf.DUMMYFUNCTION("""COMPUTED_VALUE"""),63.47)</f>
        <v>63.47</v>
      </c>
      <c r="F3213" s="1">
        <f>IFERROR(__xludf.DUMMYFUNCTION("""COMPUTED_VALUE"""),492452.0)</f>
        <v>492452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IFERROR(__xludf.DUMMYFUNCTION("""COMPUTED_VALUE"""),63.46)</f>
        <v>63.46</v>
      </c>
      <c r="C3214" s="1">
        <f>IFERROR(__xludf.DUMMYFUNCTION("""COMPUTED_VALUE"""),63.57)</f>
        <v>63.57</v>
      </c>
      <c r="D3214" s="1">
        <f>IFERROR(__xludf.DUMMYFUNCTION("""COMPUTED_VALUE"""),61.59)</f>
        <v>61.59</v>
      </c>
      <c r="E3214" s="1">
        <f>IFERROR(__xludf.DUMMYFUNCTION("""COMPUTED_VALUE"""),61.62)</f>
        <v>61.62</v>
      </c>
      <c r="F3214" s="1">
        <f>IFERROR(__xludf.DUMMYFUNCTION("""COMPUTED_VALUE"""),242682.0)</f>
        <v>242682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IFERROR(__xludf.DUMMYFUNCTION("""COMPUTED_VALUE"""),60.96)</f>
        <v>60.96</v>
      </c>
      <c r="C3215" s="1">
        <f>IFERROR(__xludf.DUMMYFUNCTION("""COMPUTED_VALUE"""),60.99)</f>
        <v>60.99</v>
      </c>
      <c r="D3215" s="1">
        <f>IFERROR(__xludf.DUMMYFUNCTION("""COMPUTED_VALUE"""),59.92)</f>
        <v>59.92</v>
      </c>
      <c r="E3215" s="1">
        <f>IFERROR(__xludf.DUMMYFUNCTION("""COMPUTED_VALUE"""),60.43)</f>
        <v>60.43</v>
      </c>
      <c r="F3215" s="1">
        <f>IFERROR(__xludf.DUMMYFUNCTION("""COMPUTED_VALUE"""),337893.0)</f>
        <v>337893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IFERROR(__xludf.DUMMYFUNCTION("""COMPUTED_VALUE"""),60.49)</f>
        <v>60.49</v>
      </c>
      <c r="C3216" s="1">
        <f>IFERROR(__xludf.DUMMYFUNCTION("""COMPUTED_VALUE"""),60.49)</f>
        <v>60.49</v>
      </c>
      <c r="D3216" s="1">
        <f>IFERROR(__xludf.DUMMYFUNCTION("""COMPUTED_VALUE"""),59.56)</f>
        <v>59.56</v>
      </c>
      <c r="E3216" s="1">
        <f>IFERROR(__xludf.DUMMYFUNCTION("""COMPUTED_VALUE"""),59.95)</f>
        <v>59.95</v>
      </c>
      <c r="F3216" s="1">
        <f>IFERROR(__xludf.DUMMYFUNCTION("""COMPUTED_VALUE"""),186580.0)</f>
        <v>186580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IFERROR(__xludf.DUMMYFUNCTION("""COMPUTED_VALUE"""),60.1)</f>
        <v>60.1</v>
      </c>
      <c r="C3217" s="1">
        <f>IFERROR(__xludf.DUMMYFUNCTION("""COMPUTED_VALUE"""),60.87)</f>
        <v>60.87</v>
      </c>
      <c r="D3217" s="1">
        <f>IFERROR(__xludf.DUMMYFUNCTION("""COMPUTED_VALUE"""),59.9)</f>
        <v>59.9</v>
      </c>
      <c r="E3217" s="1">
        <f>IFERROR(__xludf.DUMMYFUNCTION("""COMPUTED_VALUE"""),60.41)</f>
        <v>60.41</v>
      </c>
      <c r="F3217" s="1">
        <f>IFERROR(__xludf.DUMMYFUNCTION("""COMPUTED_VALUE"""),298830.0)</f>
        <v>298830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IFERROR(__xludf.DUMMYFUNCTION("""COMPUTED_VALUE"""),60.39)</f>
        <v>60.39</v>
      </c>
      <c r="C3218" s="1">
        <f>IFERROR(__xludf.DUMMYFUNCTION("""COMPUTED_VALUE"""),60.47)</f>
        <v>60.47</v>
      </c>
      <c r="D3218" s="1">
        <f>IFERROR(__xludf.DUMMYFUNCTION("""COMPUTED_VALUE"""),59.8)</f>
        <v>59.8</v>
      </c>
      <c r="E3218" s="1">
        <f>IFERROR(__xludf.DUMMYFUNCTION("""COMPUTED_VALUE"""),60.17)</f>
        <v>60.17</v>
      </c>
      <c r="F3218" s="1">
        <f>IFERROR(__xludf.DUMMYFUNCTION("""COMPUTED_VALUE"""),261636.0)</f>
        <v>261636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IFERROR(__xludf.DUMMYFUNCTION("""COMPUTED_VALUE"""),59.31)</f>
        <v>59.31</v>
      </c>
      <c r="C3219" s="1">
        <f>IFERROR(__xludf.DUMMYFUNCTION("""COMPUTED_VALUE"""),61.36)</f>
        <v>61.36</v>
      </c>
      <c r="D3219" s="1">
        <f>IFERROR(__xludf.DUMMYFUNCTION("""COMPUTED_VALUE"""),58.72)</f>
        <v>58.72</v>
      </c>
      <c r="E3219" s="1">
        <f>IFERROR(__xludf.DUMMYFUNCTION("""COMPUTED_VALUE"""),61.14)</f>
        <v>61.14</v>
      </c>
      <c r="F3219" s="1">
        <f>IFERROR(__xludf.DUMMYFUNCTION("""COMPUTED_VALUE"""),289630.0)</f>
        <v>289630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IFERROR(__xludf.DUMMYFUNCTION("""COMPUTED_VALUE"""),61.85)</f>
        <v>61.85</v>
      </c>
      <c r="C3220" s="1">
        <f>IFERROR(__xludf.DUMMYFUNCTION("""COMPUTED_VALUE"""),62.97)</f>
        <v>62.97</v>
      </c>
      <c r="D3220" s="1">
        <f>IFERROR(__xludf.DUMMYFUNCTION("""COMPUTED_VALUE"""),61.35)</f>
        <v>61.35</v>
      </c>
      <c r="E3220" s="1">
        <f>IFERROR(__xludf.DUMMYFUNCTION("""COMPUTED_VALUE"""),61.46)</f>
        <v>61.46</v>
      </c>
      <c r="F3220" s="1">
        <f>IFERROR(__xludf.DUMMYFUNCTION("""COMPUTED_VALUE"""),382960.0)</f>
        <v>382960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IFERROR(__xludf.DUMMYFUNCTION("""COMPUTED_VALUE"""),61.94)</f>
        <v>61.94</v>
      </c>
      <c r="C3221" s="1">
        <f>IFERROR(__xludf.DUMMYFUNCTION("""COMPUTED_VALUE"""),63.92)</f>
        <v>63.92</v>
      </c>
      <c r="D3221" s="1">
        <f>IFERROR(__xludf.DUMMYFUNCTION("""COMPUTED_VALUE"""),61.81)</f>
        <v>61.81</v>
      </c>
      <c r="E3221" s="1">
        <f>IFERROR(__xludf.DUMMYFUNCTION("""COMPUTED_VALUE"""),63.6)</f>
        <v>63.6</v>
      </c>
      <c r="F3221" s="1">
        <f>IFERROR(__xludf.DUMMYFUNCTION("""COMPUTED_VALUE"""),340390.0)</f>
        <v>340390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IFERROR(__xludf.DUMMYFUNCTION("""COMPUTED_VALUE"""),64.17)</f>
        <v>64.17</v>
      </c>
      <c r="C3222" s="1">
        <f>IFERROR(__xludf.DUMMYFUNCTION("""COMPUTED_VALUE"""),64.62)</f>
        <v>64.62</v>
      </c>
      <c r="D3222" s="1">
        <f>IFERROR(__xludf.DUMMYFUNCTION("""COMPUTED_VALUE"""),63.42)</f>
        <v>63.42</v>
      </c>
      <c r="E3222" s="1">
        <f>IFERROR(__xludf.DUMMYFUNCTION("""COMPUTED_VALUE"""),63.96)</f>
        <v>63.96</v>
      </c>
      <c r="F3222" s="1">
        <f>IFERROR(__xludf.DUMMYFUNCTION("""COMPUTED_VALUE"""),283462.0)</f>
        <v>283462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IFERROR(__xludf.DUMMYFUNCTION("""COMPUTED_VALUE"""),63.75)</f>
        <v>63.75</v>
      </c>
      <c r="C3223" s="1">
        <f>IFERROR(__xludf.DUMMYFUNCTION("""COMPUTED_VALUE"""),63.97)</f>
        <v>63.97</v>
      </c>
      <c r="D3223" s="1">
        <f>IFERROR(__xludf.DUMMYFUNCTION("""COMPUTED_VALUE"""),63.13)</f>
        <v>63.13</v>
      </c>
      <c r="E3223" s="1">
        <f>IFERROR(__xludf.DUMMYFUNCTION("""COMPUTED_VALUE"""),63.55)</f>
        <v>63.55</v>
      </c>
      <c r="F3223" s="1">
        <f>IFERROR(__xludf.DUMMYFUNCTION("""COMPUTED_VALUE"""),249867.0)</f>
        <v>249867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IFERROR(__xludf.DUMMYFUNCTION("""COMPUTED_VALUE"""),63.48)</f>
        <v>63.48</v>
      </c>
      <c r="C3224" s="1">
        <f>IFERROR(__xludf.DUMMYFUNCTION("""COMPUTED_VALUE"""),63.78)</f>
        <v>63.78</v>
      </c>
      <c r="D3224" s="1">
        <f>IFERROR(__xludf.DUMMYFUNCTION("""COMPUTED_VALUE"""),61.79)</f>
        <v>61.79</v>
      </c>
      <c r="E3224" s="1">
        <f>IFERROR(__xludf.DUMMYFUNCTION("""COMPUTED_VALUE"""),62.22)</f>
        <v>62.22</v>
      </c>
      <c r="F3224" s="1">
        <f>IFERROR(__xludf.DUMMYFUNCTION("""COMPUTED_VALUE"""),225325.0)</f>
        <v>225325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IFERROR(__xludf.DUMMYFUNCTION("""COMPUTED_VALUE"""),61.91)</f>
        <v>61.91</v>
      </c>
      <c r="C3225" s="1">
        <f>IFERROR(__xludf.DUMMYFUNCTION("""COMPUTED_VALUE"""),63.38)</f>
        <v>63.38</v>
      </c>
      <c r="D3225" s="1">
        <f>IFERROR(__xludf.DUMMYFUNCTION("""COMPUTED_VALUE"""),61.84)</f>
        <v>61.84</v>
      </c>
      <c r="E3225" s="1">
        <f>IFERROR(__xludf.DUMMYFUNCTION("""COMPUTED_VALUE"""),63.04)</f>
        <v>63.04</v>
      </c>
      <c r="F3225" s="1">
        <f>IFERROR(__xludf.DUMMYFUNCTION("""COMPUTED_VALUE"""),231146.0)</f>
        <v>231146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IFERROR(__xludf.DUMMYFUNCTION("""COMPUTED_VALUE"""),63.41)</f>
        <v>63.41</v>
      </c>
      <c r="C3226" s="1">
        <f>IFERROR(__xludf.DUMMYFUNCTION("""COMPUTED_VALUE"""),63.93)</f>
        <v>63.93</v>
      </c>
      <c r="D3226" s="1">
        <f>IFERROR(__xludf.DUMMYFUNCTION("""COMPUTED_VALUE"""),62.74)</f>
        <v>62.74</v>
      </c>
      <c r="E3226" s="1">
        <f>IFERROR(__xludf.DUMMYFUNCTION("""COMPUTED_VALUE"""),63.7)</f>
        <v>63.7</v>
      </c>
      <c r="F3226" s="1">
        <f>IFERROR(__xludf.DUMMYFUNCTION("""COMPUTED_VALUE"""),161568.0)</f>
        <v>161568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IFERROR(__xludf.DUMMYFUNCTION("""COMPUTED_VALUE"""),63.78)</f>
        <v>63.78</v>
      </c>
      <c r="C3227" s="1">
        <f>IFERROR(__xludf.DUMMYFUNCTION("""COMPUTED_VALUE"""),64.2)</f>
        <v>64.2</v>
      </c>
      <c r="D3227" s="1">
        <f>IFERROR(__xludf.DUMMYFUNCTION("""COMPUTED_VALUE"""),63.18)</f>
        <v>63.18</v>
      </c>
      <c r="E3227" s="1">
        <f>IFERROR(__xludf.DUMMYFUNCTION("""COMPUTED_VALUE"""),64.19)</f>
        <v>64.19</v>
      </c>
      <c r="F3227" s="1">
        <f>IFERROR(__xludf.DUMMYFUNCTION("""COMPUTED_VALUE"""),207945.0)</f>
        <v>207945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IFERROR(__xludf.DUMMYFUNCTION("""COMPUTED_VALUE"""),64.65)</f>
        <v>64.65</v>
      </c>
      <c r="C3228" s="1">
        <f>IFERROR(__xludf.DUMMYFUNCTION("""COMPUTED_VALUE"""),64.97)</f>
        <v>64.97</v>
      </c>
      <c r="D3228" s="1">
        <f>IFERROR(__xludf.DUMMYFUNCTION("""COMPUTED_VALUE"""),63.73)</f>
        <v>63.73</v>
      </c>
      <c r="E3228" s="1">
        <f>IFERROR(__xludf.DUMMYFUNCTION("""COMPUTED_VALUE"""),64.01)</f>
        <v>64.01</v>
      </c>
      <c r="F3228" s="1">
        <f>IFERROR(__xludf.DUMMYFUNCTION("""COMPUTED_VALUE"""),167259.0)</f>
        <v>167259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IFERROR(__xludf.DUMMYFUNCTION("""COMPUTED_VALUE"""),63.89)</f>
        <v>63.89</v>
      </c>
      <c r="C3229" s="1">
        <f>IFERROR(__xludf.DUMMYFUNCTION("""COMPUTED_VALUE"""),64.78)</f>
        <v>64.78</v>
      </c>
      <c r="D3229" s="1">
        <f>IFERROR(__xludf.DUMMYFUNCTION("""COMPUTED_VALUE"""),63.7)</f>
        <v>63.7</v>
      </c>
      <c r="E3229" s="1">
        <f>IFERROR(__xludf.DUMMYFUNCTION("""COMPUTED_VALUE"""),63.73)</f>
        <v>63.73</v>
      </c>
      <c r="F3229" s="1">
        <f>IFERROR(__xludf.DUMMYFUNCTION("""COMPUTED_VALUE"""),190547.0)</f>
        <v>190547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IFERROR(__xludf.DUMMYFUNCTION("""COMPUTED_VALUE"""),63.9)</f>
        <v>63.9</v>
      </c>
      <c r="C3230" s="1">
        <f>IFERROR(__xludf.DUMMYFUNCTION("""COMPUTED_VALUE"""),66.03)</f>
        <v>66.03</v>
      </c>
      <c r="D3230" s="1">
        <f>IFERROR(__xludf.DUMMYFUNCTION("""COMPUTED_VALUE"""),63.78)</f>
        <v>63.78</v>
      </c>
      <c r="E3230" s="1">
        <f>IFERROR(__xludf.DUMMYFUNCTION("""COMPUTED_VALUE"""),65.94)</f>
        <v>65.94</v>
      </c>
      <c r="F3230" s="1">
        <f>IFERROR(__xludf.DUMMYFUNCTION("""COMPUTED_VALUE"""),189827.0)</f>
        <v>189827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IFERROR(__xludf.DUMMYFUNCTION("""COMPUTED_VALUE"""),65.71)</f>
        <v>65.71</v>
      </c>
      <c r="C3231" s="1">
        <f>IFERROR(__xludf.DUMMYFUNCTION("""COMPUTED_VALUE"""),65.83)</f>
        <v>65.83</v>
      </c>
      <c r="D3231" s="1">
        <f>IFERROR(__xludf.DUMMYFUNCTION("""COMPUTED_VALUE"""),65.16)</f>
        <v>65.16</v>
      </c>
      <c r="E3231" s="1">
        <f>IFERROR(__xludf.DUMMYFUNCTION("""COMPUTED_VALUE"""),65.33)</f>
        <v>65.33</v>
      </c>
      <c r="F3231" s="1">
        <f>IFERROR(__xludf.DUMMYFUNCTION("""COMPUTED_VALUE"""),183111.0)</f>
        <v>183111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IFERROR(__xludf.DUMMYFUNCTION("""COMPUTED_VALUE"""),66.02)</f>
        <v>66.02</v>
      </c>
      <c r="C3232" s="1">
        <f>IFERROR(__xludf.DUMMYFUNCTION("""COMPUTED_VALUE"""),66.02)</f>
        <v>66.02</v>
      </c>
      <c r="D3232" s="1">
        <f>IFERROR(__xludf.DUMMYFUNCTION("""COMPUTED_VALUE"""),64.85)</f>
        <v>64.85</v>
      </c>
      <c r="E3232" s="1">
        <f>IFERROR(__xludf.DUMMYFUNCTION("""COMPUTED_VALUE"""),65.13)</f>
        <v>65.13</v>
      </c>
      <c r="F3232" s="1">
        <f>IFERROR(__xludf.DUMMYFUNCTION("""COMPUTED_VALUE"""),167205.0)</f>
        <v>167205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IFERROR(__xludf.DUMMYFUNCTION("""COMPUTED_VALUE"""),64.39)</f>
        <v>64.39</v>
      </c>
      <c r="C3233" s="1">
        <f>IFERROR(__xludf.DUMMYFUNCTION("""COMPUTED_VALUE"""),64.41)</f>
        <v>64.41</v>
      </c>
      <c r="D3233" s="1">
        <f>IFERROR(__xludf.DUMMYFUNCTION("""COMPUTED_VALUE"""),61.64)</f>
        <v>61.64</v>
      </c>
      <c r="E3233" s="1">
        <f>IFERROR(__xludf.DUMMYFUNCTION("""COMPUTED_VALUE"""),61.82)</f>
        <v>61.82</v>
      </c>
      <c r="F3233" s="1">
        <f>IFERROR(__xludf.DUMMYFUNCTION("""COMPUTED_VALUE"""),463410.0)</f>
        <v>463410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IFERROR(__xludf.DUMMYFUNCTION("""COMPUTED_VALUE"""),61.22)</f>
        <v>61.22</v>
      </c>
      <c r="C3234" s="1">
        <f>IFERROR(__xludf.DUMMYFUNCTION("""COMPUTED_VALUE"""),62.77)</f>
        <v>62.77</v>
      </c>
      <c r="D3234" s="1">
        <f>IFERROR(__xludf.DUMMYFUNCTION("""COMPUTED_VALUE"""),60.6)</f>
        <v>60.6</v>
      </c>
      <c r="E3234" s="1">
        <f>IFERROR(__xludf.DUMMYFUNCTION("""COMPUTED_VALUE"""),62.16)</f>
        <v>62.16</v>
      </c>
      <c r="F3234" s="1">
        <f>IFERROR(__xludf.DUMMYFUNCTION("""COMPUTED_VALUE"""),276970.0)</f>
        <v>276970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IFERROR(__xludf.DUMMYFUNCTION("""COMPUTED_VALUE"""),62.6)</f>
        <v>62.6</v>
      </c>
      <c r="C3235" s="1">
        <f>IFERROR(__xludf.DUMMYFUNCTION("""COMPUTED_VALUE"""),63.35)</f>
        <v>63.35</v>
      </c>
      <c r="D3235" s="1">
        <f>IFERROR(__xludf.DUMMYFUNCTION("""COMPUTED_VALUE"""),61.55)</f>
        <v>61.55</v>
      </c>
      <c r="E3235" s="1">
        <f>IFERROR(__xludf.DUMMYFUNCTION("""COMPUTED_VALUE"""),62.32)</f>
        <v>62.32</v>
      </c>
      <c r="F3235" s="1">
        <f>IFERROR(__xludf.DUMMYFUNCTION("""COMPUTED_VALUE"""),383856.0)</f>
        <v>383856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IFERROR(__xludf.DUMMYFUNCTION("""COMPUTED_VALUE"""),54.99)</f>
        <v>54.99</v>
      </c>
      <c r="C3236" s="1">
        <f>IFERROR(__xludf.DUMMYFUNCTION("""COMPUTED_VALUE"""),55.05)</f>
        <v>55.05</v>
      </c>
      <c r="D3236" s="1">
        <f>IFERROR(__xludf.DUMMYFUNCTION("""COMPUTED_VALUE"""),48.72)</f>
        <v>48.72</v>
      </c>
      <c r="E3236" s="1">
        <f>IFERROR(__xludf.DUMMYFUNCTION("""COMPUTED_VALUE"""),51.29)</f>
        <v>51.29</v>
      </c>
      <c r="F3236" s="1">
        <f>IFERROR(__xludf.DUMMYFUNCTION("""COMPUTED_VALUE"""),7232693.0)</f>
        <v>7232693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IFERROR(__xludf.DUMMYFUNCTION("""COMPUTED_VALUE"""),50.88)</f>
        <v>50.88</v>
      </c>
      <c r="C3237" s="1">
        <f>IFERROR(__xludf.DUMMYFUNCTION("""COMPUTED_VALUE"""),51.24)</f>
        <v>51.24</v>
      </c>
      <c r="D3237" s="1">
        <f>IFERROR(__xludf.DUMMYFUNCTION("""COMPUTED_VALUE"""),50.1)</f>
        <v>50.1</v>
      </c>
      <c r="E3237" s="1">
        <f>IFERROR(__xludf.DUMMYFUNCTION("""COMPUTED_VALUE"""),50.44)</f>
        <v>50.44</v>
      </c>
      <c r="F3237" s="1">
        <f>IFERROR(__xludf.DUMMYFUNCTION("""COMPUTED_VALUE"""),4493081.0)</f>
        <v>4493081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IFERROR(__xludf.DUMMYFUNCTION("""COMPUTED_VALUE"""),50.01)</f>
        <v>50.01</v>
      </c>
      <c r="C3238" s="1">
        <f>IFERROR(__xludf.DUMMYFUNCTION("""COMPUTED_VALUE"""),52.26)</f>
        <v>52.26</v>
      </c>
      <c r="D3238" s="1">
        <f>IFERROR(__xludf.DUMMYFUNCTION("""COMPUTED_VALUE"""),49.81)</f>
        <v>49.81</v>
      </c>
      <c r="E3238" s="1">
        <f>IFERROR(__xludf.DUMMYFUNCTION("""COMPUTED_VALUE"""),50.88)</f>
        <v>50.88</v>
      </c>
      <c r="F3238" s="1">
        <f>IFERROR(__xludf.DUMMYFUNCTION("""COMPUTED_VALUE"""),3706539.0)</f>
        <v>3706539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IFERROR(__xludf.DUMMYFUNCTION("""COMPUTED_VALUE"""),52.31)</f>
        <v>52.31</v>
      </c>
      <c r="C3239" s="1">
        <f>IFERROR(__xludf.DUMMYFUNCTION("""COMPUTED_VALUE"""),53.39)</f>
        <v>53.39</v>
      </c>
      <c r="D3239" s="1">
        <f>IFERROR(__xludf.DUMMYFUNCTION("""COMPUTED_VALUE"""),51.51)</f>
        <v>51.51</v>
      </c>
      <c r="E3239" s="1">
        <f>IFERROR(__xludf.DUMMYFUNCTION("""COMPUTED_VALUE"""),53.32)</f>
        <v>53.32</v>
      </c>
      <c r="F3239" s="1">
        <f>IFERROR(__xludf.DUMMYFUNCTION("""COMPUTED_VALUE"""),2392717.0)</f>
        <v>2392717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IFERROR(__xludf.DUMMYFUNCTION("""COMPUTED_VALUE"""),53.09)</f>
        <v>53.09</v>
      </c>
      <c r="C3240" s="1">
        <f>IFERROR(__xludf.DUMMYFUNCTION("""COMPUTED_VALUE"""),54.98)</f>
        <v>54.98</v>
      </c>
      <c r="D3240" s="1">
        <f>IFERROR(__xludf.DUMMYFUNCTION("""COMPUTED_VALUE"""),52.95)</f>
        <v>52.95</v>
      </c>
      <c r="E3240" s="1">
        <f>IFERROR(__xludf.DUMMYFUNCTION("""COMPUTED_VALUE"""),54.84)</f>
        <v>54.84</v>
      </c>
      <c r="F3240" s="1">
        <f>IFERROR(__xludf.DUMMYFUNCTION("""COMPUTED_VALUE"""),1915343.0)</f>
        <v>1915343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IFERROR(__xludf.DUMMYFUNCTION("""COMPUTED_VALUE"""),55.25)</f>
        <v>55.25</v>
      </c>
      <c r="C3241" s="1">
        <f>IFERROR(__xludf.DUMMYFUNCTION("""COMPUTED_VALUE"""),56.55)</f>
        <v>56.55</v>
      </c>
      <c r="D3241" s="1">
        <f>IFERROR(__xludf.DUMMYFUNCTION("""COMPUTED_VALUE"""),54.74)</f>
        <v>54.74</v>
      </c>
      <c r="E3241" s="1">
        <f>IFERROR(__xludf.DUMMYFUNCTION("""COMPUTED_VALUE"""),55.99)</f>
        <v>55.99</v>
      </c>
      <c r="F3241" s="1">
        <f>IFERROR(__xludf.DUMMYFUNCTION("""COMPUTED_VALUE"""),3480882.0)</f>
        <v>3480882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IFERROR(__xludf.DUMMYFUNCTION("""COMPUTED_VALUE"""),56.29)</f>
        <v>56.29</v>
      </c>
      <c r="C3242" s="1">
        <f>IFERROR(__xludf.DUMMYFUNCTION("""COMPUTED_VALUE"""),57.21)</f>
        <v>57.21</v>
      </c>
      <c r="D3242" s="1">
        <f>IFERROR(__xludf.DUMMYFUNCTION("""COMPUTED_VALUE"""),55.53)</f>
        <v>55.53</v>
      </c>
      <c r="E3242" s="1">
        <f>IFERROR(__xludf.DUMMYFUNCTION("""COMPUTED_VALUE"""),56.68)</f>
        <v>56.68</v>
      </c>
      <c r="F3242" s="1">
        <f>IFERROR(__xludf.DUMMYFUNCTION("""COMPUTED_VALUE"""),1541640.0)</f>
        <v>1541640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IFERROR(__xludf.DUMMYFUNCTION("""COMPUTED_VALUE"""),56.7)</f>
        <v>56.7</v>
      </c>
      <c r="C3243" s="1">
        <f>IFERROR(__xludf.DUMMYFUNCTION("""COMPUTED_VALUE"""),56.87)</f>
        <v>56.87</v>
      </c>
      <c r="D3243" s="1">
        <f>IFERROR(__xludf.DUMMYFUNCTION("""COMPUTED_VALUE"""),55.28)</f>
        <v>55.28</v>
      </c>
      <c r="E3243" s="1">
        <f>IFERROR(__xludf.DUMMYFUNCTION("""COMPUTED_VALUE"""),55.99)</f>
        <v>55.99</v>
      </c>
      <c r="F3243" s="1">
        <f>IFERROR(__xludf.DUMMYFUNCTION("""COMPUTED_VALUE"""),2653548.0)</f>
        <v>2653548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IFERROR(__xludf.DUMMYFUNCTION("""COMPUTED_VALUE"""),55.47)</f>
        <v>55.47</v>
      </c>
      <c r="C3244" s="1">
        <f>IFERROR(__xludf.DUMMYFUNCTION("""COMPUTED_VALUE"""),55.76)</f>
        <v>55.76</v>
      </c>
      <c r="D3244" s="1">
        <f>IFERROR(__xludf.DUMMYFUNCTION("""COMPUTED_VALUE"""),53.93)</f>
        <v>53.93</v>
      </c>
      <c r="E3244" s="1">
        <f>IFERROR(__xludf.DUMMYFUNCTION("""COMPUTED_VALUE"""),55.13)</f>
        <v>55.13</v>
      </c>
      <c r="F3244" s="1">
        <f>IFERROR(__xludf.DUMMYFUNCTION("""COMPUTED_VALUE"""),1734275.0)</f>
        <v>1734275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IFERROR(__xludf.DUMMYFUNCTION("""COMPUTED_VALUE"""),55.59)</f>
        <v>55.59</v>
      </c>
      <c r="C3245" s="1">
        <f>IFERROR(__xludf.DUMMYFUNCTION("""COMPUTED_VALUE"""),55.9)</f>
        <v>55.9</v>
      </c>
      <c r="D3245" s="1">
        <f>IFERROR(__xludf.DUMMYFUNCTION("""COMPUTED_VALUE"""),54.15)</f>
        <v>54.15</v>
      </c>
      <c r="E3245" s="1">
        <f>IFERROR(__xludf.DUMMYFUNCTION("""COMPUTED_VALUE"""),54.91)</f>
        <v>54.91</v>
      </c>
      <c r="F3245" s="1">
        <f>IFERROR(__xludf.DUMMYFUNCTION("""COMPUTED_VALUE"""),1162358.0)</f>
        <v>1162358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IFERROR(__xludf.DUMMYFUNCTION("""COMPUTED_VALUE"""),54.92)</f>
        <v>54.92</v>
      </c>
      <c r="C3246" s="1">
        <f>IFERROR(__xludf.DUMMYFUNCTION("""COMPUTED_VALUE"""),56.77)</f>
        <v>56.77</v>
      </c>
      <c r="D3246" s="1">
        <f>IFERROR(__xludf.DUMMYFUNCTION("""COMPUTED_VALUE"""),54.74)</f>
        <v>54.74</v>
      </c>
      <c r="E3246" s="1">
        <f>IFERROR(__xludf.DUMMYFUNCTION("""COMPUTED_VALUE"""),56.1)</f>
        <v>56.1</v>
      </c>
      <c r="F3246" s="1">
        <f>IFERROR(__xludf.DUMMYFUNCTION("""COMPUTED_VALUE"""),1728901.0)</f>
        <v>1728901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IFERROR(__xludf.DUMMYFUNCTION("""COMPUTED_VALUE"""),55.36)</f>
        <v>55.36</v>
      </c>
      <c r="C3247" s="1">
        <f>IFERROR(__xludf.DUMMYFUNCTION("""COMPUTED_VALUE"""),55.68)</f>
        <v>55.68</v>
      </c>
      <c r="D3247" s="1">
        <f>IFERROR(__xludf.DUMMYFUNCTION("""COMPUTED_VALUE"""),54.26)</f>
        <v>54.26</v>
      </c>
      <c r="E3247" s="1">
        <f>IFERROR(__xludf.DUMMYFUNCTION("""COMPUTED_VALUE"""),54.48)</f>
        <v>54.48</v>
      </c>
      <c r="F3247" s="1">
        <f>IFERROR(__xludf.DUMMYFUNCTION("""COMPUTED_VALUE"""),1009035.0)</f>
        <v>1009035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IFERROR(__xludf.DUMMYFUNCTION("""COMPUTED_VALUE"""),54.07)</f>
        <v>54.07</v>
      </c>
      <c r="C3248" s="1">
        <f>IFERROR(__xludf.DUMMYFUNCTION("""COMPUTED_VALUE"""),54.6)</f>
        <v>54.6</v>
      </c>
      <c r="D3248" s="1">
        <f>IFERROR(__xludf.DUMMYFUNCTION("""COMPUTED_VALUE"""),53.42)</f>
        <v>53.42</v>
      </c>
      <c r="E3248" s="1">
        <f>IFERROR(__xludf.DUMMYFUNCTION("""COMPUTED_VALUE"""),53.56)</f>
        <v>53.56</v>
      </c>
      <c r="F3248" s="1">
        <f>IFERROR(__xludf.DUMMYFUNCTION("""COMPUTED_VALUE"""),1251775.0)</f>
        <v>1251775</v>
      </c>
    </row>
    <row r="3249">
      <c r="A3249" s="2">
        <f>IFERROR(__xludf.DUMMYFUNCTION("""COMPUTED_VALUE"""),44890.54166666667)</f>
        <v>44890.54167</v>
      </c>
      <c r="B3249" s="1">
        <f>IFERROR(__xludf.DUMMYFUNCTION("""COMPUTED_VALUE"""),53.82)</f>
        <v>53.82</v>
      </c>
      <c r="C3249" s="1">
        <f>IFERROR(__xludf.DUMMYFUNCTION("""COMPUTED_VALUE"""),54.79)</f>
        <v>54.79</v>
      </c>
      <c r="D3249" s="1">
        <f>IFERROR(__xludf.DUMMYFUNCTION("""COMPUTED_VALUE"""),53.37)</f>
        <v>53.37</v>
      </c>
      <c r="E3249" s="1">
        <f>IFERROR(__xludf.DUMMYFUNCTION("""COMPUTED_VALUE"""),54.43)</f>
        <v>54.43</v>
      </c>
      <c r="F3249" s="1">
        <f>IFERROR(__xludf.DUMMYFUNCTION("""COMPUTED_VALUE"""),624554.0)</f>
        <v>624554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IFERROR(__xludf.DUMMYFUNCTION("""COMPUTED_VALUE"""),54.34)</f>
        <v>54.34</v>
      </c>
      <c r="C3250" s="1">
        <f>IFERROR(__xludf.DUMMYFUNCTION("""COMPUTED_VALUE"""),54.94)</f>
        <v>54.94</v>
      </c>
      <c r="D3250" s="1">
        <f>IFERROR(__xludf.DUMMYFUNCTION("""COMPUTED_VALUE"""),54.01)</f>
        <v>54.01</v>
      </c>
      <c r="E3250" s="1">
        <f>IFERROR(__xludf.DUMMYFUNCTION("""COMPUTED_VALUE"""),54.19)</f>
        <v>54.19</v>
      </c>
      <c r="F3250" s="1">
        <f>IFERROR(__xludf.DUMMYFUNCTION("""COMPUTED_VALUE"""),840188.0)</f>
        <v>840188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IFERROR(__xludf.DUMMYFUNCTION("""COMPUTED_VALUE"""),54.13)</f>
        <v>54.13</v>
      </c>
      <c r="C3251" s="1">
        <f>IFERROR(__xludf.DUMMYFUNCTION("""COMPUTED_VALUE"""),54.16)</f>
        <v>54.16</v>
      </c>
      <c r="D3251" s="1">
        <f>IFERROR(__xludf.DUMMYFUNCTION("""COMPUTED_VALUE"""),53.19)</f>
        <v>53.19</v>
      </c>
      <c r="E3251" s="1">
        <f>IFERROR(__xludf.DUMMYFUNCTION("""COMPUTED_VALUE"""),53.28)</f>
        <v>53.28</v>
      </c>
      <c r="F3251" s="1">
        <f>IFERROR(__xludf.DUMMYFUNCTION("""COMPUTED_VALUE"""),1232948.0)</f>
        <v>1232948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IFERROR(__xludf.DUMMYFUNCTION("""COMPUTED_VALUE"""),53.33)</f>
        <v>53.33</v>
      </c>
      <c r="C3252" s="1">
        <f>IFERROR(__xludf.DUMMYFUNCTION("""COMPUTED_VALUE"""),54.91)</f>
        <v>54.91</v>
      </c>
      <c r="D3252" s="1">
        <f>IFERROR(__xludf.DUMMYFUNCTION("""COMPUTED_VALUE"""),53.25)</f>
        <v>53.25</v>
      </c>
      <c r="E3252" s="1">
        <f>IFERROR(__xludf.DUMMYFUNCTION("""COMPUTED_VALUE"""),54.85)</f>
        <v>54.85</v>
      </c>
      <c r="F3252" s="1">
        <f>IFERROR(__xludf.DUMMYFUNCTION("""COMPUTED_VALUE"""),1184994.0)</f>
        <v>1184994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IFERROR(__xludf.DUMMYFUNCTION("""COMPUTED_VALUE"""),55.0)</f>
        <v>55</v>
      </c>
      <c r="C3253" s="1">
        <f>IFERROR(__xludf.DUMMYFUNCTION("""COMPUTED_VALUE"""),55.06)</f>
        <v>55.06</v>
      </c>
      <c r="D3253" s="1">
        <f>IFERROR(__xludf.DUMMYFUNCTION("""COMPUTED_VALUE"""),54.05)</f>
        <v>54.05</v>
      </c>
      <c r="E3253" s="1">
        <f>IFERROR(__xludf.DUMMYFUNCTION("""COMPUTED_VALUE"""),54.26)</f>
        <v>54.26</v>
      </c>
      <c r="F3253" s="1">
        <f>IFERROR(__xludf.DUMMYFUNCTION("""COMPUTED_VALUE"""),836341.0)</f>
        <v>836341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IFERROR(__xludf.DUMMYFUNCTION("""COMPUTED_VALUE"""),53.72)</f>
        <v>53.72</v>
      </c>
      <c r="C3254" s="1">
        <f>IFERROR(__xludf.DUMMYFUNCTION("""COMPUTED_VALUE"""),54.78)</f>
        <v>54.78</v>
      </c>
      <c r="D3254" s="1">
        <f>IFERROR(__xludf.DUMMYFUNCTION("""COMPUTED_VALUE"""),53.56)</f>
        <v>53.56</v>
      </c>
      <c r="E3254" s="1">
        <f>IFERROR(__xludf.DUMMYFUNCTION("""COMPUTED_VALUE"""),54.45)</f>
        <v>54.45</v>
      </c>
      <c r="F3254" s="1">
        <f>IFERROR(__xludf.DUMMYFUNCTION("""COMPUTED_VALUE"""),1043004.0)</f>
        <v>1043004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IFERROR(__xludf.DUMMYFUNCTION("""COMPUTED_VALUE"""),54.98)</f>
        <v>54.98</v>
      </c>
      <c r="C3255" s="1">
        <f>IFERROR(__xludf.DUMMYFUNCTION("""COMPUTED_VALUE"""),56.06)</f>
        <v>56.06</v>
      </c>
      <c r="D3255" s="1">
        <f>IFERROR(__xludf.DUMMYFUNCTION("""COMPUTED_VALUE"""),54.62)</f>
        <v>54.62</v>
      </c>
      <c r="E3255" s="1">
        <f>IFERROR(__xludf.DUMMYFUNCTION("""COMPUTED_VALUE"""),55.12)</f>
        <v>55.12</v>
      </c>
      <c r="F3255" s="1">
        <f>IFERROR(__xludf.DUMMYFUNCTION("""COMPUTED_VALUE"""),1528070.0)</f>
        <v>1528070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IFERROR(__xludf.DUMMYFUNCTION("""COMPUTED_VALUE"""),54.97)</f>
        <v>54.97</v>
      </c>
      <c r="C3256" s="1">
        <f>IFERROR(__xludf.DUMMYFUNCTION("""COMPUTED_VALUE"""),55.1)</f>
        <v>55.1</v>
      </c>
      <c r="D3256" s="1">
        <f>IFERROR(__xludf.DUMMYFUNCTION("""COMPUTED_VALUE"""),53.97)</f>
        <v>53.97</v>
      </c>
      <c r="E3256" s="1">
        <f>IFERROR(__xludf.DUMMYFUNCTION("""COMPUTED_VALUE"""),54.64)</f>
        <v>54.64</v>
      </c>
      <c r="F3256" s="1">
        <f>IFERROR(__xludf.DUMMYFUNCTION("""COMPUTED_VALUE"""),1015099.0)</f>
        <v>1015099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IFERROR(__xludf.DUMMYFUNCTION("""COMPUTED_VALUE"""),54.57)</f>
        <v>54.57</v>
      </c>
      <c r="C3257" s="1">
        <f>IFERROR(__xludf.DUMMYFUNCTION("""COMPUTED_VALUE"""),55.89)</f>
        <v>55.89</v>
      </c>
      <c r="D3257" s="1">
        <f>IFERROR(__xludf.DUMMYFUNCTION("""COMPUTED_VALUE"""),54.35)</f>
        <v>54.35</v>
      </c>
      <c r="E3257" s="1">
        <f>IFERROR(__xludf.DUMMYFUNCTION("""COMPUTED_VALUE"""),55.45)</f>
        <v>55.45</v>
      </c>
      <c r="F3257" s="1">
        <f>IFERROR(__xludf.DUMMYFUNCTION("""COMPUTED_VALUE"""),946729.0)</f>
        <v>946729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IFERROR(__xludf.DUMMYFUNCTION("""COMPUTED_VALUE"""),55.39)</f>
        <v>55.39</v>
      </c>
      <c r="C3258" s="1">
        <f>IFERROR(__xludf.DUMMYFUNCTION("""COMPUTED_VALUE"""),57.24)</f>
        <v>57.24</v>
      </c>
      <c r="D3258" s="1">
        <f>IFERROR(__xludf.DUMMYFUNCTION("""COMPUTED_VALUE"""),55.35)</f>
        <v>55.35</v>
      </c>
      <c r="E3258" s="1">
        <f>IFERROR(__xludf.DUMMYFUNCTION("""COMPUTED_VALUE"""),57.12)</f>
        <v>57.12</v>
      </c>
      <c r="F3258" s="1">
        <f>IFERROR(__xludf.DUMMYFUNCTION("""COMPUTED_VALUE"""),1418114.0)</f>
        <v>1418114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IFERROR(__xludf.DUMMYFUNCTION("""COMPUTED_VALUE"""),57.0)</f>
        <v>57</v>
      </c>
      <c r="C3259" s="1">
        <f>IFERROR(__xludf.DUMMYFUNCTION("""COMPUTED_VALUE"""),57.42)</f>
        <v>57.42</v>
      </c>
      <c r="D3259" s="1">
        <f>IFERROR(__xludf.DUMMYFUNCTION("""COMPUTED_VALUE"""),56.33)</f>
        <v>56.33</v>
      </c>
      <c r="E3259" s="1">
        <f>IFERROR(__xludf.DUMMYFUNCTION("""COMPUTED_VALUE"""),56.56)</f>
        <v>56.56</v>
      </c>
      <c r="F3259" s="1">
        <f>IFERROR(__xludf.DUMMYFUNCTION("""COMPUTED_VALUE"""),759833.0)</f>
        <v>759833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IFERROR(__xludf.DUMMYFUNCTION("""COMPUTED_VALUE"""),56.91)</f>
        <v>56.91</v>
      </c>
      <c r="C3260" s="1">
        <f>IFERROR(__xludf.DUMMYFUNCTION("""COMPUTED_VALUE"""),57.03)</f>
        <v>57.03</v>
      </c>
      <c r="D3260" s="1">
        <f>IFERROR(__xludf.DUMMYFUNCTION("""COMPUTED_VALUE"""),55.79)</f>
        <v>55.79</v>
      </c>
      <c r="E3260" s="1">
        <f>IFERROR(__xludf.DUMMYFUNCTION("""COMPUTED_VALUE"""),56.48)</f>
        <v>56.48</v>
      </c>
      <c r="F3260" s="1">
        <f>IFERROR(__xludf.DUMMYFUNCTION("""COMPUTED_VALUE"""),1072742.0)</f>
        <v>1072742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IFERROR(__xludf.DUMMYFUNCTION("""COMPUTED_VALUE"""),57.57)</f>
        <v>57.57</v>
      </c>
      <c r="C3261" s="1">
        <f>IFERROR(__xludf.DUMMYFUNCTION("""COMPUTED_VALUE"""),57.67)</f>
        <v>57.67</v>
      </c>
      <c r="D3261" s="1">
        <f>IFERROR(__xludf.DUMMYFUNCTION("""COMPUTED_VALUE"""),56.21)</f>
        <v>56.21</v>
      </c>
      <c r="E3261" s="1">
        <f>IFERROR(__xludf.DUMMYFUNCTION("""COMPUTED_VALUE"""),56.86)</f>
        <v>56.86</v>
      </c>
      <c r="F3261" s="1">
        <f>IFERROR(__xludf.DUMMYFUNCTION("""COMPUTED_VALUE"""),831298.0)</f>
        <v>831298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IFERROR(__xludf.DUMMYFUNCTION("""COMPUTED_VALUE"""),56.86)</f>
        <v>56.86</v>
      </c>
      <c r="C3262" s="1">
        <f>IFERROR(__xludf.DUMMYFUNCTION("""COMPUTED_VALUE"""),58.2)</f>
        <v>58.2</v>
      </c>
      <c r="D3262" s="1">
        <f>IFERROR(__xludf.DUMMYFUNCTION("""COMPUTED_VALUE"""),56.82)</f>
        <v>56.82</v>
      </c>
      <c r="E3262" s="1">
        <f>IFERROR(__xludf.DUMMYFUNCTION("""COMPUTED_VALUE"""),57.07)</f>
        <v>57.07</v>
      </c>
      <c r="F3262" s="1">
        <f>IFERROR(__xludf.DUMMYFUNCTION("""COMPUTED_VALUE"""),1512144.0)</f>
        <v>1512144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IFERROR(__xludf.DUMMYFUNCTION("""COMPUTED_VALUE"""),56.54)</f>
        <v>56.54</v>
      </c>
      <c r="C3263" s="1">
        <f>IFERROR(__xludf.DUMMYFUNCTION("""COMPUTED_VALUE"""),56.68)</f>
        <v>56.68</v>
      </c>
      <c r="D3263" s="1">
        <f>IFERROR(__xludf.DUMMYFUNCTION("""COMPUTED_VALUE"""),55.16)</f>
        <v>55.16</v>
      </c>
      <c r="E3263" s="1">
        <f>IFERROR(__xludf.DUMMYFUNCTION("""COMPUTED_VALUE"""),55.34)</f>
        <v>55.34</v>
      </c>
      <c r="F3263" s="1">
        <f>IFERROR(__xludf.DUMMYFUNCTION("""COMPUTED_VALUE"""),1798503.0)</f>
        <v>1798503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IFERROR(__xludf.DUMMYFUNCTION("""COMPUTED_VALUE"""),55.49)</f>
        <v>55.49</v>
      </c>
      <c r="C3264" s="1">
        <f>IFERROR(__xludf.DUMMYFUNCTION("""COMPUTED_VALUE"""),56.2)</f>
        <v>56.2</v>
      </c>
      <c r="D3264" s="1">
        <f>IFERROR(__xludf.DUMMYFUNCTION("""COMPUTED_VALUE"""),54.43)</f>
        <v>54.43</v>
      </c>
      <c r="E3264" s="1">
        <f>IFERROR(__xludf.DUMMYFUNCTION("""COMPUTED_VALUE"""),55.18)</f>
        <v>55.18</v>
      </c>
      <c r="F3264" s="1">
        <f>IFERROR(__xludf.DUMMYFUNCTION("""COMPUTED_VALUE"""),2149317.0)</f>
        <v>2149317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IFERROR(__xludf.DUMMYFUNCTION("""COMPUTED_VALUE"""),55.22)</f>
        <v>55.22</v>
      </c>
      <c r="C3265" s="1">
        <f>IFERROR(__xludf.DUMMYFUNCTION("""COMPUTED_VALUE"""),55.32)</f>
        <v>55.32</v>
      </c>
      <c r="D3265" s="1">
        <f>IFERROR(__xludf.DUMMYFUNCTION("""COMPUTED_VALUE"""),54.21)</f>
        <v>54.21</v>
      </c>
      <c r="E3265" s="1">
        <f>IFERROR(__xludf.DUMMYFUNCTION("""COMPUTED_VALUE"""),54.59)</f>
        <v>54.59</v>
      </c>
      <c r="F3265" s="1">
        <f>IFERROR(__xludf.DUMMYFUNCTION("""COMPUTED_VALUE"""),1013157.0)</f>
        <v>1013157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IFERROR(__xludf.DUMMYFUNCTION("""COMPUTED_VALUE"""),54.28)</f>
        <v>54.28</v>
      </c>
      <c r="C3266" s="1">
        <f>IFERROR(__xludf.DUMMYFUNCTION("""COMPUTED_VALUE"""),54.75)</f>
        <v>54.75</v>
      </c>
      <c r="D3266" s="1">
        <f>IFERROR(__xludf.DUMMYFUNCTION("""COMPUTED_VALUE"""),53.81)</f>
        <v>53.81</v>
      </c>
      <c r="E3266" s="1">
        <f>IFERROR(__xludf.DUMMYFUNCTION("""COMPUTED_VALUE"""),54.33)</f>
        <v>54.33</v>
      </c>
      <c r="F3266" s="1">
        <f>IFERROR(__xludf.DUMMYFUNCTION("""COMPUTED_VALUE"""),716798.0)</f>
        <v>716798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IFERROR(__xludf.DUMMYFUNCTION("""COMPUTED_VALUE"""),54.33)</f>
        <v>54.33</v>
      </c>
      <c r="C3267" s="1">
        <f>IFERROR(__xludf.DUMMYFUNCTION("""COMPUTED_VALUE"""),55.76)</f>
        <v>55.76</v>
      </c>
      <c r="D3267" s="1">
        <f>IFERROR(__xludf.DUMMYFUNCTION("""COMPUTED_VALUE"""),54.02)</f>
        <v>54.02</v>
      </c>
      <c r="E3267" s="1">
        <f>IFERROR(__xludf.DUMMYFUNCTION("""COMPUTED_VALUE"""),55.76)</f>
        <v>55.76</v>
      </c>
      <c r="F3267" s="1">
        <f>IFERROR(__xludf.DUMMYFUNCTION("""COMPUTED_VALUE"""),933706.0)</f>
        <v>933706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IFERROR(__xludf.DUMMYFUNCTION("""COMPUTED_VALUE"""),55.21)</f>
        <v>55.21</v>
      </c>
      <c r="C3268" s="1">
        <f>IFERROR(__xludf.DUMMYFUNCTION("""COMPUTED_VALUE"""),55.94)</f>
        <v>55.94</v>
      </c>
      <c r="D3268" s="1">
        <f>IFERROR(__xludf.DUMMYFUNCTION("""COMPUTED_VALUE"""),54.98)</f>
        <v>54.98</v>
      </c>
      <c r="E3268" s="1">
        <f>IFERROR(__xludf.DUMMYFUNCTION("""COMPUTED_VALUE"""),55.85)</f>
        <v>55.85</v>
      </c>
      <c r="F3268" s="1">
        <f>IFERROR(__xludf.DUMMYFUNCTION("""COMPUTED_VALUE"""),1889136.0)</f>
        <v>1889136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IFERROR(__xludf.DUMMYFUNCTION("""COMPUTED_VALUE"""),55.85)</f>
        <v>55.85</v>
      </c>
      <c r="C3269" s="1">
        <f>IFERROR(__xludf.DUMMYFUNCTION("""COMPUTED_VALUE"""),56.33)</f>
        <v>56.33</v>
      </c>
      <c r="D3269" s="1">
        <f>IFERROR(__xludf.DUMMYFUNCTION("""COMPUTED_VALUE"""),55.5)</f>
        <v>55.5</v>
      </c>
      <c r="E3269" s="1">
        <f>IFERROR(__xludf.DUMMYFUNCTION("""COMPUTED_VALUE"""),56.13)</f>
        <v>56.13</v>
      </c>
      <c r="F3269" s="1">
        <f>IFERROR(__xludf.DUMMYFUNCTION("""COMPUTED_VALUE"""),1209498.0)</f>
        <v>1209498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IFERROR(__xludf.DUMMYFUNCTION("""COMPUTED_VALUE"""),56.29)</f>
        <v>56.29</v>
      </c>
      <c r="C3270" s="1">
        <f>IFERROR(__xludf.DUMMYFUNCTION("""COMPUTED_VALUE"""),57.41)</f>
        <v>57.41</v>
      </c>
      <c r="D3270" s="1">
        <f>IFERROR(__xludf.DUMMYFUNCTION("""COMPUTED_VALUE"""),55.96)</f>
        <v>55.96</v>
      </c>
      <c r="E3270" s="1">
        <f>IFERROR(__xludf.DUMMYFUNCTION("""COMPUTED_VALUE"""),57.4)</f>
        <v>57.4</v>
      </c>
      <c r="F3270" s="1">
        <f>IFERROR(__xludf.DUMMYFUNCTION("""COMPUTED_VALUE"""),1555675.0)</f>
        <v>1555675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IFERROR(__xludf.DUMMYFUNCTION("""COMPUTED_VALUE"""),57.76)</f>
        <v>57.76</v>
      </c>
      <c r="C3271" s="1">
        <f>IFERROR(__xludf.DUMMYFUNCTION("""COMPUTED_VALUE"""),58.33)</f>
        <v>58.33</v>
      </c>
      <c r="D3271" s="1">
        <f>IFERROR(__xludf.DUMMYFUNCTION("""COMPUTED_VALUE"""),57.31)</f>
        <v>57.31</v>
      </c>
      <c r="E3271" s="1">
        <f>IFERROR(__xludf.DUMMYFUNCTION("""COMPUTED_VALUE"""),57.53)</f>
        <v>57.53</v>
      </c>
      <c r="F3271" s="1">
        <f>IFERROR(__xludf.DUMMYFUNCTION("""COMPUTED_VALUE"""),1694022.0)</f>
        <v>1694022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IFERROR(__xludf.DUMMYFUNCTION("""COMPUTED_VALUE"""),57.85)</f>
        <v>57.85</v>
      </c>
      <c r="C3272" s="1">
        <f>IFERROR(__xludf.DUMMYFUNCTION("""COMPUTED_VALUE"""),58.31)</f>
        <v>58.31</v>
      </c>
      <c r="D3272" s="1">
        <f>IFERROR(__xludf.DUMMYFUNCTION("""COMPUTED_VALUE"""),57.41)</f>
        <v>57.41</v>
      </c>
      <c r="E3272" s="1">
        <f>IFERROR(__xludf.DUMMYFUNCTION("""COMPUTED_VALUE"""),58.03)</f>
        <v>58.03</v>
      </c>
      <c r="F3272" s="1">
        <f>IFERROR(__xludf.DUMMYFUNCTION("""COMPUTED_VALUE"""),1292602.0)</f>
        <v>1292602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IFERROR(__xludf.DUMMYFUNCTION("""COMPUTED_VALUE"""),57.61)</f>
        <v>57.61</v>
      </c>
      <c r="C3273" s="1">
        <f>IFERROR(__xludf.DUMMYFUNCTION("""COMPUTED_VALUE"""),57.92)</f>
        <v>57.92</v>
      </c>
      <c r="D3273" s="1">
        <f>IFERROR(__xludf.DUMMYFUNCTION("""COMPUTED_VALUE"""),57.24)</f>
        <v>57.24</v>
      </c>
      <c r="E3273" s="1">
        <f>IFERROR(__xludf.DUMMYFUNCTION("""COMPUTED_VALUE"""),57.83)</f>
        <v>57.83</v>
      </c>
      <c r="F3273" s="1">
        <f>IFERROR(__xludf.DUMMYFUNCTION("""COMPUTED_VALUE"""),500944.0)</f>
        <v>500944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IFERROR(__xludf.DUMMYFUNCTION("""COMPUTED_VALUE"""),58.1)</f>
        <v>58.1</v>
      </c>
      <c r="C3274" s="1">
        <f>IFERROR(__xludf.DUMMYFUNCTION("""COMPUTED_VALUE"""),58.13)</f>
        <v>58.13</v>
      </c>
      <c r="D3274" s="1">
        <f>IFERROR(__xludf.DUMMYFUNCTION("""COMPUTED_VALUE"""),57.33)</f>
        <v>57.33</v>
      </c>
      <c r="E3274" s="1">
        <f>IFERROR(__xludf.DUMMYFUNCTION("""COMPUTED_VALUE"""),57.77)</f>
        <v>57.77</v>
      </c>
      <c r="F3274" s="1">
        <f>IFERROR(__xludf.DUMMYFUNCTION("""COMPUTED_VALUE"""),909745.0)</f>
        <v>909745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IFERROR(__xludf.DUMMYFUNCTION("""COMPUTED_VALUE"""),58.27)</f>
        <v>58.27</v>
      </c>
      <c r="C3275" s="1">
        <f>IFERROR(__xludf.DUMMYFUNCTION("""COMPUTED_VALUE"""),58.41)</f>
        <v>58.41</v>
      </c>
      <c r="D3275" s="1">
        <f>IFERROR(__xludf.DUMMYFUNCTION("""COMPUTED_VALUE"""),57.68)</f>
        <v>57.68</v>
      </c>
      <c r="E3275" s="1">
        <f>IFERROR(__xludf.DUMMYFUNCTION("""COMPUTED_VALUE"""),58.06)</f>
        <v>58.06</v>
      </c>
      <c r="F3275" s="1">
        <f>IFERROR(__xludf.DUMMYFUNCTION("""COMPUTED_VALUE"""),506499.0)</f>
        <v>506499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IFERROR(__xludf.DUMMYFUNCTION("""COMPUTED_VALUE"""),57.5)</f>
        <v>57.5</v>
      </c>
      <c r="C3276" s="1">
        <f>IFERROR(__xludf.DUMMYFUNCTION("""COMPUTED_VALUE"""),57.76)</f>
        <v>57.76</v>
      </c>
      <c r="D3276" s="1">
        <f>IFERROR(__xludf.DUMMYFUNCTION("""COMPUTED_VALUE"""),57.0)</f>
        <v>57</v>
      </c>
      <c r="E3276" s="1">
        <f>IFERROR(__xludf.DUMMYFUNCTION("""COMPUTED_VALUE"""),57.16)</f>
        <v>57.16</v>
      </c>
      <c r="F3276" s="1">
        <f>IFERROR(__xludf.DUMMYFUNCTION("""COMPUTED_VALUE"""),689813.0)</f>
        <v>689813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IFERROR(__xludf.DUMMYFUNCTION("""COMPUTED_VALUE"""),57.55)</f>
        <v>57.55</v>
      </c>
      <c r="C3277" s="1">
        <f>IFERROR(__xludf.DUMMYFUNCTION("""COMPUTED_VALUE"""),58.84)</f>
        <v>58.84</v>
      </c>
      <c r="D3277" s="1">
        <f>IFERROR(__xludf.DUMMYFUNCTION("""COMPUTED_VALUE"""),57.36)</f>
        <v>57.36</v>
      </c>
      <c r="E3277" s="1">
        <f>IFERROR(__xludf.DUMMYFUNCTION("""COMPUTED_VALUE"""),58.65)</f>
        <v>58.65</v>
      </c>
      <c r="F3277" s="1">
        <f>IFERROR(__xludf.DUMMYFUNCTION("""COMPUTED_VALUE"""),720986.0)</f>
        <v>720986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IFERROR(__xludf.DUMMYFUNCTION("""COMPUTED_VALUE"""),58.76)</f>
        <v>58.76</v>
      </c>
      <c r="C3278" s="1">
        <f>IFERROR(__xludf.DUMMYFUNCTION("""COMPUTED_VALUE"""),59.01)</f>
        <v>59.01</v>
      </c>
      <c r="D3278" s="1">
        <f>IFERROR(__xludf.DUMMYFUNCTION("""COMPUTED_VALUE"""),58.36)</f>
        <v>58.36</v>
      </c>
      <c r="E3278" s="1">
        <f>IFERROR(__xludf.DUMMYFUNCTION("""COMPUTED_VALUE"""),58.44)</f>
        <v>58.44</v>
      </c>
      <c r="F3278" s="1">
        <f>IFERROR(__xludf.DUMMYFUNCTION("""COMPUTED_VALUE"""),1122344.0)</f>
        <v>1122344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IFERROR(__xludf.DUMMYFUNCTION("""COMPUTED_VALUE"""),58.58)</f>
        <v>58.58</v>
      </c>
      <c r="C3279" s="1">
        <f>IFERROR(__xludf.DUMMYFUNCTION("""COMPUTED_VALUE"""),59.31)</f>
        <v>59.31</v>
      </c>
      <c r="D3279" s="1">
        <f>IFERROR(__xludf.DUMMYFUNCTION("""COMPUTED_VALUE"""),58.05)</f>
        <v>58.05</v>
      </c>
      <c r="E3279" s="1">
        <f>IFERROR(__xludf.DUMMYFUNCTION("""COMPUTED_VALUE"""),59.25)</f>
        <v>59.25</v>
      </c>
      <c r="F3279" s="1">
        <f>IFERROR(__xludf.DUMMYFUNCTION("""COMPUTED_VALUE"""),954861.0)</f>
        <v>954861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IFERROR(__xludf.DUMMYFUNCTION("""COMPUTED_VALUE"""),59.44)</f>
        <v>59.44</v>
      </c>
      <c r="C3280" s="1">
        <f>IFERROR(__xludf.DUMMYFUNCTION("""COMPUTED_VALUE"""),60.07)</f>
        <v>60.07</v>
      </c>
      <c r="D3280" s="1">
        <f>IFERROR(__xludf.DUMMYFUNCTION("""COMPUTED_VALUE"""),59.21)</f>
        <v>59.21</v>
      </c>
      <c r="E3280" s="1">
        <f>IFERROR(__xludf.DUMMYFUNCTION("""COMPUTED_VALUE"""),59.76)</f>
        <v>59.76</v>
      </c>
      <c r="F3280" s="1">
        <f>IFERROR(__xludf.DUMMYFUNCTION("""COMPUTED_VALUE"""),1236047.0)</f>
        <v>1236047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IFERROR(__xludf.DUMMYFUNCTION("""COMPUTED_VALUE"""),59.81)</f>
        <v>59.81</v>
      </c>
      <c r="C3281" s="1">
        <f>IFERROR(__xludf.DUMMYFUNCTION("""COMPUTED_VALUE"""),59.81)</f>
        <v>59.81</v>
      </c>
      <c r="D3281" s="1">
        <f>IFERROR(__xludf.DUMMYFUNCTION("""COMPUTED_VALUE"""),59.15)</f>
        <v>59.15</v>
      </c>
      <c r="E3281" s="1">
        <f>IFERROR(__xludf.DUMMYFUNCTION("""COMPUTED_VALUE"""),59.36)</f>
        <v>59.36</v>
      </c>
      <c r="F3281" s="1">
        <f>IFERROR(__xludf.DUMMYFUNCTION("""COMPUTED_VALUE"""),855092.0)</f>
        <v>855092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IFERROR(__xludf.DUMMYFUNCTION("""COMPUTED_VALUE"""),59.11)</f>
        <v>59.11</v>
      </c>
      <c r="C3282" s="1">
        <f>IFERROR(__xludf.DUMMYFUNCTION("""COMPUTED_VALUE"""),59.56)</f>
        <v>59.56</v>
      </c>
      <c r="D3282" s="1">
        <f>IFERROR(__xludf.DUMMYFUNCTION("""COMPUTED_VALUE"""),59.02)</f>
        <v>59.02</v>
      </c>
      <c r="E3282" s="1">
        <f>IFERROR(__xludf.DUMMYFUNCTION("""COMPUTED_VALUE"""),59.45)</f>
        <v>59.45</v>
      </c>
      <c r="F3282" s="1">
        <f>IFERROR(__xludf.DUMMYFUNCTION("""COMPUTED_VALUE"""),958694.0)</f>
        <v>958694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IFERROR(__xludf.DUMMYFUNCTION("""COMPUTED_VALUE"""),59.54)</f>
        <v>59.54</v>
      </c>
      <c r="C3283" s="1">
        <f>IFERROR(__xludf.DUMMYFUNCTION("""COMPUTED_VALUE"""),60.44)</f>
        <v>60.44</v>
      </c>
      <c r="D3283" s="1">
        <f>IFERROR(__xludf.DUMMYFUNCTION("""COMPUTED_VALUE"""),59.38)</f>
        <v>59.38</v>
      </c>
      <c r="E3283" s="1">
        <f>IFERROR(__xludf.DUMMYFUNCTION("""COMPUTED_VALUE"""),59.83)</f>
        <v>59.83</v>
      </c>
      <c r="F3283" s="1">
        <f>IFERROR(__xludf.DUMMYFUNCTION("""COMPUTED_VALUE"""),782907.0)</f>
        <v>782907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IFERROR(__xludf.DUMMYFUNCTION("""COMPUTED_VALUE"""),59.86)</f>
        <v>59.86</v>
      </c>
      <c r="C3284" s="1">
        <f>IFERROR(__xludf.DUMMYFUNCTION("""COMPUTED_VALUE"""),59.96)</f>
        <v>59.96</v>
      </c>
      <c r="D3284" s="1">
        <f>IFERROR(__xludf.DUMMYFUNCTION("""COMPUTED_VALUE"""),59.34)</f>
        <v>59.34</v>
      </c>
      <c r="E3284" s="1">
        <f>IFERROR(__xludf.DUMMYFUNCTION("""COMPUTED_VALUE"""),59.48)</f>
        <v>59.48</v>
      </c>
      <c r="F3284" s="1">
        <f>IFERROR(__xludf.DUMMYFUNCTION("""COMPUTED_VALUE"""),1165983.0)</f>
        <v>1165983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IFERROR(__xludf.DUMMYFUNCTION("""COMPUTED_VALUE"""),59.16)</f>
        <v>59.16</v>
      </c>
      <c r="C3285" s="1">
        <f>IFERROR(__xludf.DUMMYFUNCTION("""COMPUTED_VALUE"""),59.97)</f>
        <v>59.97</v>
      </c>
      <c r="D3285" s="1">
        <f>IFERROR(__xludf.DUMMYFUNCTION("""COMPUTED_VALUE"""),59.16)</f>
        <v>59.16</v>
      </c>
      <c r="E3285" s="1">
        <f>IFERROR(__xludf.DUMMYFUNCTION("""COMPUTED_VALUE"""),59.68)</f>
        <v>59.68</v>
      </c>
      <c r="F3285" s="1">
        <f>IFERROR(__xludf.DUMMYFUNCTION("""COMPUTED_VALUE"""),945470.0)</f>
        <v>945470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IFERROR(__xludf.DUMMYFUNCTION("""COMPUTED_VALUE"""),59.88)</f>
        <v>59.88</v>
      </c>
      <c r="C3286" s="1">
        <f>IFERROR(__xludf.DUMMYFUNCTION("""COMPUTED_VALUE"""),60.6)</f>
        <v>60.6</v>
      </c>
      <c r="D3286" s="1">
        <f>IFERROR(__xludf.DUMMYFUNCTION("""COMPUTED_VALUE"""),59.33)</f>
        <v>59.33</v>
      </c>
      <c r="E3286" s="1">
        <f>IFERROR(__xludf.DUMMYFUNCTION("""COMPUTED_VALUE"""),60.17)</f>
        <v>60.17</v>
      </c>
      <c r="F3286" s="1">
        <f>IFERROR(__xludf.DUMMYFUNCTION("""COMPUTED_VALUE"""),1034938.0)</f>
        <v>1034938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IFERROR(__xludf.DUMMYFUNCTION("""COMPUTED_VALUE"""),61.7)</f>
        <v>61.7</v>
      </c>
      <c r="C3287" s="1">
        <f>IFERROR(__xludf.DUMMYFUNCTION("""COMPUTED_VALUE"""),62.25)</f>
        <v>62.25</v>
      </c>
      <c r="D3287" s="1">
        <f>IFERROR(__xludf.DUMMYFUNCTION("""COMPUTED_VALUE"""),61.12)</f>
        <v>61.12</v>
      </c>
      <c r="E3287" s="1">
        <f>IFERROR(__xludf.DUMMYFUNCTION("""COMPUTED_VALUE"""),61.49)</f>
        <v>61.49</v>
      </c>
      <c r="F3287" s="1">
        <f>IFERROR(__xludf.DUMMYFUNCTION("""COMPUTED_VALUE"""),9172184.0)</f>
        <v>9172184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IFERROR(__xludf.DUMMYFUNCTION("""COMPUTED_VALUE"""),61.23)</f>
        <v>61.23</v>
      </c>
      <c r="C3288" s="1">
        <f>IFERROR(__xludf.DUMMYFUNCTION("""COMPUTED_VALUE"""),61.41)</f>
        <v>61.41</v>
      </c>
      <c r="D3288" s="1">
        <f>IFERROR(__xludf.DUMMYFUNCTION("""COMPUTED_VALUE"""),58.66)</f>
        <v>58.66</v>
      </c>
      <c r="E3288" s="1">
        <f>IFERROR(__xludf.DUMMYFUNCTION("""COMPUTED_VALUE"""),58.74)</f>
        <v>58.74</v>
      </c>
      <c r="F3288" s="1">
        <f>IFERROR(__xludf.DUMMYFUNCTION("""COMPUTED_VALUE"""),4428913.0)</f>
        <v>4428913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IFERROR(__xludf.DUMMYFUNCTION("""COMPUTED_VALUE"""),58.72)</f>
        <v>58.72</v>
      </c>
      <c r="C3289" s="1">
        <f>IFERROR(__xludf.DUMMYFUNCTION("""COMPUTED_VALUE"""),58.72)</f>
        <v>58.72</v>
      </c>
      <c r="D3289" s="1">
        <f>IFERROR(__xludf.DUMMYFUNCTION("""COMPUTED_VALUE"""),57.31)</f>
        <v>57.31</v>
      </c>
      <c r="E3289" s="1">
        <f>IFERROR(__xludf.DUMMYFUNCTION("""COMPUTED_VALUE"""),58.23)</f>
        <v>58.23</v>
      </c>
      <c r="F3289" s="1">
        <f>IFERROR(__xludf.DUMMYFUNCTION("""COMPUTED_VALUE"""),4379086.0)</f>
        <v>4379086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IFERROR(__xludf.DUMMYFUNCTION("""COMPUTED_VALUE"""),58.31)</f>
        <v>58.31</v>
      </c>
      <c r="C3290" s="1">
        <f>IFERROR(__xludf.DUMMYFUNCTION("""COMPUTED_VALUE"""),59.14)</f>
        <v>59.14</v>
      </c>
      <c r="D3290" s="1">
        <f>IFERROR(__xludf.DUMMYFUNCTION("""COMPUTED_VALUE"""),57.53)</f>
        <v>57.53</v>
      </c>
      <c r="E3290" s="1">
        <f>IFERROR(__xludf.DUMMYFUNCTION("""COMPUTED_VALUE"""),58.66)</f>
        <v>58.66</v>
      </c>
      <c r="F3290" s="1">
        <f>IFERROR(__xludf.DUMMYFUNCTION("""COMPUTED_VALUE"""),3366048.0)</f>
        <v>3366048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IFERROR(__xludf.DUMMYFUNCTION("""COMPUTED_VALUE"""),58.11)</f>
        <v>58.11</v>
      </c>
      <c r="C3291" s="1">
        <f>IFERROR(__xludf.DUMMYFUNCTION("""COMPUTED_VALUE"""),59.1)</f>
        <v>59.1</v>
      </c>
      <c r="D3291" s="1">
        <f>IFERROR(__xludf.DUMMYFUNCTION("""COMPUTED_VALUE"""),57.95)</f>
        <v>57.95</v>
      </c>
      <c r="E3291" s="1">
        <f>IFERROR(__xludf.DUMMYFUNCTION("""COMPUTED_VALUE"""),58.9)</f>
        <v>58.9</v>
      </c>
      <c r="F3291" s="1">
        <f>IFERROR(__xludf.DUMMYFUNCTION("""COMPUTED_VALUE"""),871723.0)</f>
        <v>871723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IFERROR(__xludf.DUMMYFUNCTION("""COMPUTED_VALUE"""),58.95)</f>
        <v>58.95</v>
      </c>
      <c r="C3292" s="1">
        <f>IFERROR(__xludf.DUMMYFUNCTION("""COMPUTED_VALUE"""),60.44)</f>
        <v>60.44</v>
      </c>
      <c r="D3292" s="1">
        <f>IFERROR(__xludf.DUMMYFUNCTION("""COMPUTED_VALUE"""),58.83)</f>
        <v>58.83</v>
      </c>
      <c r="E3292" s="1">
        <f>IFERROR(__xludf.DUMMYFUNCTION("""COMPUTED_VALUE"""),59.35)</f>
        <v>59.35</v>
      </c>
      <c r="F3292" s="1">
        <f>IFERROR(__xludf.DUMMYFUNCTION("""COMPUTED_VALUE"""),2653281.0)</f>
        <v>2653281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IFERROR(__xludf.DUMMYFUNCTION("""COMPUTED_VALUE"""),59.41)</f>
        <v>59.41</v>
      </c>
      <c r="C3293" s="1">
        <f>IFERROR(__xludf.DUMMYFUNCTION("""COMPUTED_VALUE"""),60.68)</f>
        <v>60.68</v>
      </c>
      <c r="D3293" s="1">
        <f>IFERROR(__xludf.DUMMYFUNCTION("""COMPUTED_VALUE"""),59.3)</f>
        <v>59.3</v>
      </c>
      <c r="E3293" s="1">
        <f>IFERROR(__xludf.DUMMYFUNCTION("""COMPUTED_VALUE"""),60.47)</f>
        <v>60.47</v>
      </c>
      <c r="F3293" s="1">
        <f>IFERROR(__xludf.DUMMYFUNCTION("""COMPUTED_VALUE"""),1414800.0)</f>
        <v>1414800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IFERROR(__xludf.DUMMYFUNCTION("""COMPUTED_VALUE"""),60.46)</f>
        <v>60.46</v>
      </c>
      <c r="C3294" s="1">
        <f>IFERROR(__xludf.DUMMYFUNCTION("""COMPUTED_VALUE"""),62.33)</f>
        <v>62.33</v>
      </c>
      <c r="D3294" s="1">
        <f>IFERROR(__xludf.DUMMYFUNCTION("""COMPUTED_VALUE"""),60.29)</f>
        <v>60.29</v>
      </c>
      <c r="E3294" s="1">
        <f>IFERROR(__xludf.DUMMYFUNCTION("""COMPUTED_VALUE"""),62.05)</f>
        <v>62.05</v>
      </c>
      <c r="F3294" s="1">
        <f>IFERROR(__xludf.DUMMYFUNCTION("""COMPUTED_VALUE"""),1100268.0)</f>
        <v>1100268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IFERROR(__xludf.DUMMYFUNCTION("""COMPUTED_VALUE"""),62.1)</f>
        <v>62.1</v>
      </c>
      <c r="C3295" s="1">
        <f>IFERROR(__xludf.DUMMYFUNCTION("""COMPUTED_VALUE"""),63.23)</f>
        <v>63.23</v>
      </c>
      <c r="D3295" s="1">
        <f>IFERROR(__xludf.DUMMYFUNCTION("""COMPUTED_VALUE"""),61.8)</f>
        <v>61.8</v>
      </c>
      <c r="E3295" s="1">
        <f>IFERROR(__xludf.DUMMYFUNCTION("""COMPUTED_VALUE"""),61.97)</f>
        <v>61.97</v>
      </c>
      <c r="F3295" s="1">
        <f>IFERROR(__xludf.DUMMYFUNCTION("""COMPUTED_VALUE"""),984814.0)</f>
        <v>984814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IFERROR(__xludf.DUMMYFUNCTION("""COMPUTED_VALUE"""),61.3)</f>
        <v>61.3</v>
      </c>
      <c r="C3296" s="1">
        <f>IFERROR(__xludf.DUMMYFUNCTION("""COMPUTED_VALUE"""),62.58)</f>
        <v>62.58</v>
      </c>
      <c r="D3296" s="1">
        <f>IFERROR(__xludf.DUMMYFUNCTION("""COMPUTED_VALUE"""),61.3)</f>
        <v>61.3</v>
      </c>
      <c r="E3296" s="1">
        <f>IFERROR(__xludf.DUMMYFUNCTION("""COMPUTED_VALUE"""),62.35)</f>
        <v>62.35</v>
      </c>
      <c r="F3296" s="1">
        <f>IFERROR(__xludf.DUMMYFUNCTION("""COMPUTED_VALUE"""),875167.0)</f>
        <v>875167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IFERROR(__xludf.DUMMYFUNCTION("""COMPUTED_VALUE"""),62.2)</f>
        <v>62.2</v>
      </c>
      <c r="C3297" s="1">
        <f>IFERROR(__xludf.DUMMYFUNCTION("""COMPUTED_VALUE"""),62.67)</f>
        <v>62.67</v>
      </c>
      <c r="D3297" s="1">
        <f>IFERROR(__xludf.DUMMYFUNCTION("""COMPUTED_VALUE"""),61.81)</f>
        <v>61.81</v>
      </c>
      <c r="E3297" s="1">
        <f>IFERROR(__xludf.DUMMYFUNCTION("""COMPUTED_VALUE"""),61.9)</f>
        <v>61.9</v>
      </c>
      <c r="F3297" s="1">
        <f>IFERROR(__xludf.DUMMYFUNCTION("""COMPUTED_VALUE"""),911678.0)</f>
        <v>911678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IFERROR(__xludf.DUMMYFUNCTION("""COMPUTED_VALUE"""),61.5)</f>
        <v>61.5</v>
      </c>
      <c r="C3298" s="1">
        <f>IFERROR(__xludf.DUMMYFUNCTION("""COMPUTED_VALUE"""),62.12)</f>
        <v>62.12</v>
      </c>
      <c r="D3298" s="1">
        <f>IFERROR(__xludf.DUMMYFUNCTION("""COMPUTED_VALUE"""),61.1)</f>
        <v>61.1</v>
      </c>
      <c r="E3298" s="1">
        <f>IFERROR(__xludf.DUMMYFUNCTION("""COMPUTED_VALUE"""),62.0)</f>
        <v>62</v>
      </c>
      <c r="F3298" s="1">
        <f>IFERROR(__xludf.DUMMYFUNCTION("""COMPUTED_VALUE"""),1591348.0)</f>
        <v>1591348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IFERROR(__xludf.DUMMYFUNCTION("""COMPUTED_VALUE"""),62.01)</f>
        <v>62.01</v>
      </c>
      <c r="C3299" s="1">
        <f>IFERROR(__xludf.DUMMYFUNCTION("""COMPUTED_VALUE"""),63.17)</f>
        <v>63.17</v>
      </c>
      <c r="D3299" s="1">
        <f>IFERROR(__xludf.DUMMYFUNCTION("""COMPUTED_VALUE"""),61.65)</f>
        <v>61.65</v>
      </c>
      <c r="E3299" s="1">
        <f>IFERROR(__xludf.DUMMYFUNCTION("""COMPUTED_VALUE"""),62.66)</f>
        <v>62.66</v>
      </c>
      <c r="F3299" s="1">
        <f>IFERROR(__xludf.DUMMYFUNCTION("""COMPUTED_VALUE"""),1602280.0)</f>
        <v>1602280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IFERROR(__xludf.DUMMYFUNCTION("""COMPUTED_VALUE"""),62.92)</f>
        <v>62.92</v>
      </c>
      <c r="C3300" s="1">
        <f>IFERROR(__xludf.DUMMYFUNCTION("""COMPUTED_VALUE"""),63.68)</f>
        <v>63.68</v>
      </c>
      <c r="D3300" s="1">
        <f>IFERROR(__xludf.DUMMYFUNCTION("""COMPUTED_VALUE"""),62.4)</f>
        <v>62.4</v>
      </c>
      <c r="E3300" s="1">
        <f>IFERROR(__xludf.DUMMYFUNCTION("""COMPUTED_VALUE"""),63.53)</f>
        <v>63.53</v>
      </c>
      <c r="F3300" s="1">
        <f>IFERROR(__xludf.DUMMYFUNCTION("""COMPUTED_VALUE"""),1876245.0)</f>
        <v>1876245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IFERROR(__xludf.DUMMYFUNCTION("""COMPUTED_VALUE"""),63.71)</f>
        <v>63.71</v>
      </c>
      <c r="C3301" s="1">
        <f>IFERROR(__xludf.DUMMYFUNCTION("""COMPUTED_VALUE"""),64.11)</f>
        <v>64.11</v>
      </c>
      <c r="D3301" s="1">
        <f>IFERROR(__xludf.DUMMYFUNCTION("""COMPUTED_VALUE"""),62.92)</f>
        <v>62.92</v>
      </c>
      <c r="E3301" s="1">
        <f>IFERROR(__xludf.DUMMYFUNCTION("""COMPUTED_VALUE"""),63.05)</f>
        <v>63.05</v>
      </c>
      <c r="F3301" s="1">
        <f>IFERROR(__xludf.DUMMYFUNCTION("""COMPUTED_VALUE"""),1680176.0)</f>
        <v>1680176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IFERROR(__xludf.DUMMYFUNCTION("""COMPUTED_VALUE"""),63.16)</f>
        <v>63.16</v>
      </c>
      <c r="C3302" s="1">
        <f>IFERROR(__xludf.DUMMYFUNCTION("""COMPUTED_VALUE"""),64.39)</f>
        <v>64.39</v>
      </c>
      <c r="D3302" s="1">
        <f>IFERROR(__xludf.DUMMYFUNCTION("""COMPUTED_VALUE"""),63.0)</f>
        <v>63</v>
      </c>
      <c r="E3302" s="1">
        <f>IFERROR(__xludf.DUMMYFUNCTION("""COMPUTED_VALUE"""),64.18)</f>
        <v>64.18</v>
      </c>
      <c r="F3302" s="1">
        <f>IFERROR(__xludf.DUMMYFUNCTION("""COMPUTED_VALUE"""),1561228.0)</f>
        <v>1561228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IFERROR(__xludf.DUMMYFUNCTION("""COMPUTED_VALUE"""),64.15)</f>
        <v>64.15</v>
      </c>
      <c r="C3303" s="1">
        <f>IFERROR(__xludf.DUMMYFUNCTION("""COMPUTED_VALUE"""),64.18)</f>
        <v>64.18</v>
      </c>
      <c r="D3303" s="1">
        <f>IFERROR(__xludf.DUMMYFUNCTION("""COMPUTED_VALUE"""),63.54)</f>
        <v>63.54</v>
      </c>
      <c r="E3303" s="1">
        <f>IFERROR(__xludf.DUMMYFUNCTION("""COMPUTED_VALUE"""),64.05)</f>
        <v>64.05</v>
      </c>
      <c r="F3303" s="1">
        <f>IFERROR(__xludf.DUMMYFUNCTION("""COMPUTED_VALUE"""),2354574.0)</f>
        <v>2354574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IFERROR(__xludf.DUMMYFUNCTION("""COMPUTED_VALUE"""),63.89)</f>
        <v>63.89</v>
      </c>
      <c r="C3304" s="1">
        <f>IFERROR(__xludf.DUMMYFUNCTION("""COMPUTED_VALUE"""),64.73)</f>
        <v>64.73</v>
      </c>
      <c r="D3304" s="1">
        <f>IFERROR(__xludf.DUMMYFUNCTION("""COMPUTED_VALUE"""),63.68)</f>
        <v>63.68</v>
      </c>
      <c r="E3304" s="1">
        <f>IFERROR(__xludf.DUMMYFUNCTION("""COMPUTED_VALUE"""),63.96)</f>
        <v>63.96</v>
      </c>
      <c r="F3304" s="1">
        <f>IFERROR(__xludf.DUMMYFUNCTION("""COMPUTED_VALUE"""),2080861.0)</f>
        <v>2080861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IFERROR(__xludf.DUMMYFUNCTION("""COMPUTED_VALUE"""),63.43)</f>
        <v>63.43</v>
      </c>
      <c r="C3305" s="1">
        <f>IFERROR(__xludf.DUMMYFUNCTION("""COMPUTED_VALUE"""),63.62)</f>
        <v>63.62</v>
      </c>
      <c r="D3305" s="1">
        <f>IFERROR(__xludf.DUMMYFUNCTION("""COMPUTED_VALUE"""),62.64)</f>
        <v>62.64</v>
      </c>
      <c r="E3305" s="1">
        <f>IFERROR(__xludf.DUMMYFUNCTION("""COMPUTED_VALUE"""),62.66)</f>
        <v>62.66</v>
      </c>
      <c r="F3305" s="1">
        <f>IFERROR(__xludf.DUMMYFUNCTION("""COMPUTED_VALUE"""),1778196.0)</f>
        <v>1778196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IFERROR(__xludf.DUMMYFUNCTION("""COMPUTED_VALUE"""),62.37)</f>
        <v>62.37</v>
      </c>
      <c r="C3306" s="1">
        <f>IFERROR(__xludf.DUMMYFUNCTION("""COMPUTED_VALUE"""),62.67)</f>
        <v>62.67</v>
      </c>
      <c r="D3306" s="1">
        <f>IFERROR(__xludf.DUMMYFUNCTION("""COMPUTED_VALUE"""),61.95)</f>
        <v>61.95</v>
      </c>
      <c r="E3306" s="1">
        <f>IFERROR(__xludf.DUMMYFUNCTION("""COMPUTED_VALUE"""),62.59)</f>
        <v>62.59</v>
      </c>
      <c r="F3306" s="1">
        <f>IFERROR(__xludf.DUMMYFUNCTION("""COMPUTED_VALUE"""),1424476.0)</f>
        <v>1424476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IFERROR(__xludf.DUMMYFUNCTION("""COMPUTED_VALUE"""),62.15)</f>
        <v>62.15</v>
      </c>
      <c r="C3307" s="1">
        <f>IFERROR(__xludf.DUMMYFUNCTION("""COMPUTED_VALUE"""),62.32)</f>
        <v>62.32</v>
      </c>
      <c r="D3307" s="1">
        <f>IFERROR(__xludf.DUMMYFUNCTION("""COMPUTED_VALUE"""),61.21)</f>
        <v>61.21</v>
      </c>
      <c r="E3307" s="1">
        <f>IFERROR(__xludf.DUMMYFUNCTION("""COMPUTED_VALUE"""),61.44)</f>
        <v>61.44</v>
      </c>
      <c r="F3307" s="1">
        <f>IFERROR(__xludf.DUMMYFUNCTION("""COMPUTED_VALUE"""),1737319.0)</f>
        <v>1737319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IFERROR(__xludf.DUMMYFUNCTION("""COMPUTED_VALUE"""),62.33)</f>
        <v>62.33</v>
      </c>
      <c r="C3308" s="1">
        <f>IFERROR(__xludf.DUMMYFUNCTION("""COMPUTED_VALUE"""),63.75)</f>
        <v>63.75</v>
      </c>
      <c r="D3308" s="1">
        <f>IFERROR(__xludf.DUMMYFUNCTION("""COMPUTED_VALUE"""),60.78)</f>
        <v>60.78</v>
      </c>
      <c r="E3308" s="1">
        <f>IFERROR(__xludf.DUMMYFUNCTION("""COMPUTED_VALUE"""),61.15)</f>
        <v>61.15</v>
      </c>
      <c r="F3308" s="1">
        <f>IFERROR(__xludf.DUMMYFUNCTION("""COMPUTED_VALUE"""),2475289.0)</f>
        <v>2475289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IFERROR(__xludf.DUMMYFUNCTION("""COMPUTED_VALUE"""),61.33)</f>
        <v>61.33</v>
      </c>
      <c r="C3309" s="1">
        <f>IFERROR(__xludf.DUMMYFUNCTION("""COMPUTED_VALUE"""),62.27)</f>
        <v>62.27</v>
      </c>
      <c r="D3309" s="1">
        <f>IFERROR(__xludf.DUMMYFUNCTION("""COMPUTED_VALUE"""),60.5)</f>
        <v>60.5</v>
      </c>
      <c r="E3309" s="1">
        <f>IFERROR(__xludf.DUMMYFUNCTION("""COMPUTED_VALUE"""),61.91)</f>
        <v>61.91</v>
      </c>
      <c r="F3309" s="1">
        <f>IFERROR(__xludf.DUMMYFUNCTION("""COMPUTED_VALUE"""),3313284.0)</f>
        <v>3313284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IFERROR(__xludf.DUMMYFUNCTION("""COMPUTED_VALUE"""),61.35)</f>
        <v>61.35</v>
      </c>
      <c r="C3310" s="1">
        <f>IFERROR(__xludf.DUMMYFUNCTION("""COMPUTED_VALUE"""),61.41)</f>
        <v>61.41</v>
      </c>
      <c r="D3310" s="1">
        <f>IFERROR(__xludf.DUMMYFUNCTION("""COMPUTED_VALUE"""),59.64)</f>
        <v>59.64</v>
      </c>
      <c r="E3310" s="1">
        <f>IFERROR(__xludf.DUMMYFUNCTION("""COMPUTED_VALUE"""),60.52)</f>
        <v>60.52</v>
      </c>
      <c r="F3310" s="1">
        <f>IFERROR(__xludf.DUMMYFUNCTION("""COMPUTED_VALUE"""),1764200.0)</f>
        <v>1764200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IFERROR(__xludf.DUMMYFUNCTION("""COMPUTED_VALUE"""),60.73)</f>
        <v>60.73</v>
      </c>
      <c r="C3311" s="1">
        <f>IFERROR(__xludf.DUMMYFUNCTION("""COMPUTED_VALUE"""),61.4)</f>
        <v>61.4</v>
      </c>
      <c r="D3311" s="1">
        <f>IFERROR(__xludf.DUMMYFUNCTION("""COMPUTED_VALUE"""),60.61)</f>
        <v>60.61</v>
      </c>
      <c r="E3311" s="1">
        <f>IFERROR(__xludf.DUMMYFUNCTION("""COMPUTED_VALUE"""),60.94)</f>
        <v>60.94</v>
      </c>
      <c r="F3311" s="1">
        <f>IFERROR(__xludf.DUMMYFUNCTION("""COMPUTED_VALUE"""),1846645.0)</f>
        <v>1846645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IFERROR(__xludf.DUMMYFUNCTION("""COMPUTED_VALUE"""),60.74)</f>
        <v>60.74</v>
      </c>
      <c r="C3312" s="1">
        <f>IFERROR(__xludf.DUMMYFUNCTION("""COMPUTED_VALUE"""),61.41)</f>
        <v>61.41</v>
      </c>
      <c r="D3312" s="1">
        <f>IFERROR(__xludf.DUMMYFUNCTION("""COMPUTED_VALUE"""),60.45)</f>
        <v>60.45</v>
      </c>
      <c r="E3312" s="1">
        <f>IFERROR(__xludf.DUMMYFUNCTION("""COMPUTED_VALUE"""),61.17)</f>
        <v>61.17</v>
      </c>
      <c r="F3312" s="1">
        <f>IFERROR(__xludf.DUMMYFUNCTION("""COMPUTED_VALUE"""),1597210.0)</f>
        <v>1597210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IFERROR(__xludf.DUMMYFUNCTION("""COMPUTED_VALUE"""),61.42)</f>
        <v>61.42</v>
      </c>
      <c r="C3313" s="1">
        <f>IFERROR(__xludf.DUMMYFUNCTION("""COMPUTED_VALUE"""),61.94)</f>
        <v>61.94</v>
      </c>
      <c r="D3313" s="1">
        <f>IFERROR(__xludf.DUMMYFUNCTION("""COMPUTED_VALUE"""),60.05)</f>
        <v>60.05</v>
      </c>
      <c r="E3313" s="1">
        <f>IFERROR(__xludf.DUMMYFUNCTION("""COMPUTED_VALUE"""),60.15)</f>
        <v>60.15</v>
      </c>
      <c r="F3313" s="1">
        <f>IFERROR(__xludf.DUMMYFUNCTION("""COMPUTED_VALUE"""),1446390.0)</f>
        <v>1446390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IFERROR(__xludf.DUMMYFUNCTION("""COMPUTED_VALUE"""),59.84)</f>
        <v>59.84</v>
      </c>
      <c r="C3314" s="1">
        <f>IFERROR(__xludf.DUMMYFUNCTION("""COMPUTED_VALUE"""),60.3)</f>
        <v>60.3</v>
      </c>
      <c r="D3314" s="1">
        <f>IFERROR(__xludf.DUMMYFUNCTION("""COMPUTED_VALUE"""),59.24)</f>
        <v>59.24</v>
      </c>
      <c r="E3314" s="1">
        <f>IFERROR(__xludf.DUMMYFUNCTION("""COMPUTED_VALUE"""),59.33)</f>
        <v>59.33</v>
      </c>
      <c r="F3314" s="1">
        <f>IFERROR(__xludf.DUMMYFUNCTION("""COMPUTED_VALUE"""),2259076.0)</f>
        <v>2259076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IFERROR(__xludf.DUMMYFUNCTION("""COMPUTED_VALUE"""),58.75)</f>
        <v>58.75</v>
      </c>
      <c r="C3315" s="1">
        <f>IFERROR(__xludf.DUMMYFUNCTION("""COMPUTED_VALUE"""),59.39)</f>
        <v>59.39</v>
      </c>
      <c r="D3315" s="1">
        <f>IFERROR(__xludf.DUMMYFUNCTION("""COMPUTED_VALUE"""),58.49)</f>
        <v>58.49</v>
      </c>
      <c r="E3315" s="1">
        <f>IFERROR(__xludf.DUMMYFUNCTION("""COMPUTED_VALUE"""),59.04)</f>
        <v>59.04</v>
      </c>
      <c r="F3315" s="1">
        <f>IFERROR(__xludf.DUMMYFUNCTION("""COMPUTED_VALUE"""),2708425.0)</f>
        <v>2708425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IFERROR(__xludf.DUMMYFUNCTION("""COMPUTED_VALUE"""),63.0)</f>
        <v>63</v>
      </c>
      <c r="C3316" s="1">
        <f>IFERROR(__xludf.DUMMYFUNCTION("""COMPUTED_VALUE"""),63.87)</f>
        <v>63.87</v>
      </c>
      <c r="D3316" s="1">
        <f>IFERROR(__xludf.DUMMYFUNCTION("""COMPUTED_VALUE"""),59.62)</f>
        <v>59.62</v>
      </c>
      <c r="E3316" s="1">
        <f>IFERROR(__xludf.DUMMYFUNCTION("""COMPUTED_VALUE"""),60.89)</f>
        <v>60.89</v>
      </c>
      <c r="F3316" s="1">
        <f>IFERROR(__xludf.DUMMYFUNCTION("""COMPUTED_VALUE"""),8382952.0)</f>
        <v>8382952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IFERROR(__xludf.DUMMYFUNCTION("""COMPUTED_VALUE"""),61.27)</f>
        <v>61.27</v>
      </c>
      <c r="C3317" s="1">
        <f>IFERROR(__xludf.DUMMYFUNCTION("""COMPUTED_VALUE"""),61.27)</f>
        <v>61.27</v>
      </c>
      <c r="D3317" s="1">
        <f>IFERROR(__xludf.DUMMYFUNCTION("""COMPUTED_VALUE"""),59.82)</f>
        <v>59.82</v>
      </c>
      <c r="E3317" s="1">
        <f>IFERROR(__xludf.DUMMYFUNCTION("""COMPUTED_VALUE"""),60.16)</f>
        <v>60.16</v>
      </c>
      <c r="F3317" s="1">
        <f>IFERROR(__xludf.DUMMYFUNCTION("""COMPUTED_VALUE"""),4604661.0)</f>
        <v>4604661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IFERROR(__xludf.DUMMYFUNCTION("""COMPUTED_VALUE"""),59.93)</f>
        <v>59.93</v>
      </c>
      <c r="C3318" s="1">
        <f>IFERROR(__xludf.DUMMYFUNCTION("""COMPUTED_VALUE"""),60.38)</f>
        <v>60.38</v>
      </c>
      <c r="D3318" s="1">
        <f>IFERROR(__xludf.DUMMYFUNCTION("""COMPUTED_VALUE"""),59.49)</f>
        <v>59.49</v>
      </c>
      <c r="E3318" s="1">
        <f>IFERROR(__xludf.DUMMYFUNCTION("""COMPUTED_VALUE"""),60.09)</f>
        <v>60.09</v>
      </c>
      <c r="F3318" s="1">
        <f>IFERROR(__xludf.DUMMYFUNCTION("""COMPUTED_VALUE"""),3559419.0)</f>
        <v>3559419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IFERROR(__xludf.DUMMYFUNCTION("""COMPUTED_VALUE"""),60.27)</f>
        <v>60.27</v>
      </c>
      <c r="C3319" s="1">
        <f>IFERROR(__xludf.DUMMYFUNCTION("""COMPUTED_VALUE"""),61.09)</f>
        <v>61.09</v>
      </c>
      <c r="D3319" s="1">
        <f>IFERROR(__xludf.DUMMYFUNCTION("""COMPUTED_VALUE"""),57.98)</f>
        <v>57.98</v>
      </c>
      <c r="E3319" s="1">
        <f>IFERROR(__xludf.DUMMYFUNCTION("""COMPUTED_VALUE"""),58.11)</f>
        <v>58.11</v>
      </c>
      <c r="F3319" s="1">
        <f>IFERROR(__xludf.DUMMYFUNCTION("""COMPUTED_VALUE"""),5460855.0)</f>
        <v>5460855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IFERROR(__xludf.DUMMYFUNCTION("""COMPUTED_VALUE"""),57.85)</f>
        <v>57.85</v>
      </c>
      <c r="C3320" s="1">
        <f>IFERROR(__xludf.DUMMYFUNCTION("""COMPUTED_VALUE"""),58.66)</f>
        <v>58.66</v>
      </c>
      <c r="D3320" s="1">
        <f>IFERROR(__xludf.DUMMYFUNCTION("""COMPUTED_VALUE"""),54.18)</f>
        <v>54.18</v>
      </c>
      <c r="E3320" s="1">
        <f>IFERROR(__xludf.DUMMYFUNCTION("""COMPUTED_VALUE"""),56.14)</f>
        <v>56.14</v>
      </c>
      <c r="F3320" s="1">
        <f>IFERROR(__xludf.DUMMYFUNCTION("""COMPUTED_VALUE"""),1.6642294E7)</f>
        <v>16642294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IFERROR(__xludf.DUMMYFUNCTION("""COMPUTED_VALUE"""),56.3)</f>
        <v>56.3</v>
      </c>
      <c r="C3321" s="1">
        <f>IFERROR(__xludf.DUMMYFUNCTION("""COMPUTED_VALUE"""),56.61)</f>
        <v>56.61</v>
      </c>
      <c r="D3321" s="1">
        <f>IFERROR(__xludf.DUMMYFUNCTION("""COMPUTED_VALUE"""),54.0)</f>
        <v>54</v>
      </c>
      <c r="E3321" s="1">
        <f>IFERROR(__xludf.DUMMYFUNCTION("""COMPUTED_VALUE"""),54.47)</f>
        <v>54.47</v>
      </c>
      <c r="F3321" s="1">
        <f>IFERROR(__xludf.DUMMYFUNCTION("""COMPUTED_VALUE"""),8577947.0)</f>
        <v>8577947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IFERROR(__xludf.DUMMYFUNCTION("""COMPUTED_VALUE"""),54.79)</f>
        <v>54.79</v>
      </c>
      <c r="C3322" s="1">
        <f>IFERROR(__xludf.DUMMYFUNCTION("""COMPUTED_VALUE"""),55.45)</f>
        <v>55.45</v>
      </c>
      <c r="D3322" s="1">
        <f>IFERROR(__xludf.DUMMYFUNCTION("""COMPUTED_VALUE"""),52.75)</f>
        <v>52.75</v>
      </c>
      <c r="E3322" s="1">
        <f>IFERROR(__xludf.DUMMYFUNCTION("""COMPUTED_VALUE"""),53.51)</f>
        <v>53.51</v>
      </c>
      <c r="F3322" s="1">
        <f>IFERROR(__xludf.DUMMYFUNCTION("""COMPUTED_VALUE"""),8193655.0)</f>
        <v>8193655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IFERROR(__xludf.DUMMYFUNCTION("""COMPUTED_VALUE"""),53.19)</f>
        <v>53.19</v>
      </c>
      <c r="C3323" s="1">
        <f>IFERROR(__xludf.DUMMYFUNCTION("""COMPUTED_VALUE"""),53.58)</f>
        <v>53.58</v>
      </c>
      <c r="D3323" s="1">
        <f>IFERROR(__xludf.DUMMYFUNCTION("""COMPUTED_VALUE"""),52.57)</f>
        <v>52.57</v>
      </c>
      <c r="E3323" s="1">
        <f>IFERROR(__xludf.DUMMYFUNCTION("""COMPUTED_VALUE"""),52.84)</f>
        <v>52.84</v>
      </c>
      <c r="F3323" s="1">
        <f>IFERROR(__xludf.DUMMYFUNCTION("""COMPUTED_VALUE"""),5608357.0)</f>
        <v>5608357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IFERROR(__xludf.DUMMYFUNCTION("""COMPUTED_VALUE"""),52.34)</f>
        <v>52.34</v>
      </c>
      <c r="C3324" s="1">
        <f>IFERROR(__xludf.DUMMYFUNCTION("""COMPUTED_VALUE"""),54.1)</f>
        <v>54.1</v>
      </c>
      <c r="D3324" s="1">
        <f>IFERROR(__xludf.DUMMYFUNCTION("""COMPUTED_VALUE"""),51.56)</f>
        <v>51.56</v>
      </c>
      <c r="E3324" s="1">
        <f>IFERROR(__xludf.DUMMYFUNCTION("""COMPUTED_VALUE"""),53.6)</f>
        <v>53.6</v>
      </c>
      <c r="F3324" s="1">
        <f>IFERROR(__xludf.DUMMYFUNCTION("""COMPUTED_VALUE"""),5220297.0)</f>
        <v>5220297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IFERROR(__xludf.DUMMYFUNCTION("""COMPUTED_VALUE"""),53.38)</f>
        <v>53.38</v>
      </c>
      <c r="C3325" s="1">
        <f>IFERROR(__xludf.DUMMYFUNCTION("""COMPUTED_VALUE"""),53.42)</f>
        <v>53.42</v>
      </c>
      <c r="D3325" s="1">
        <f>IFERROR(__xludf.DUMMYFUNCTION("""COMPUTED_VALUE"""),52.4)</f>
        <v>52.4</v>
      </c>
      <c r="E3325" s="1">
        <f>IFERROR(__xludf.DUMMYFUNCTION("""COMPUTED_VALUE"""),52.84)</f>
        <v>52.84</v>
      </c>
      <c r="F3325" s="1">
        <f>IFERROR(__xludf.DUMMYFUNCTION("""COMPUTED_VALUE"""),3397067.0)</f>
        <v>3397067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IFERROR(__xludf.DUMMYFUNCTION("""COMPUTED_VALUE"""),52.61)</f>
        <v>52.61</v>
      </c>
      <c r="C3326" s="1">
        <f>IFERROR(__xludf.DUMMYFUNCTION("""COMPUTED_VALUE"""),53.83)</f>
        <v>53.83</v>
      </c>
      <c r="D3326" s="1">
        <f>IFERROR(__xludf.DUMMYFUNCTION("""COMPUTED_VALUE"""),52.33)</f>
        <v>52.33</v>
      </c>
      <c r="E3326" s="1">
        <f>IFERROR(__xludf.DUMMYFUNCTION("""COMPUTED_VALUE"""),52.79)</f>
        <v>52.79</v>
      </c>
      <c r="F3326" s="1">
        <f>IFERROR(__xludf.DUMMYFUNCTION("""COMPUTED_VALUE"""),6621256.0)</f>
        <v>6621256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IFERROR(__xludf.DUMMYFUNCTION("""COMPUTED_VALUE"""),52.51)</f>
        <v>52.51</v>
      </c>
      <c r="C3327" s="1">
        <f>IFERROR(__xludf.DUMMYFUNCTION("""COMPUTED_VALUE"""),54.05)</f>
        <v>54.05</v>
      </c>
      <c r="D3327" s="1">
        <f>IFERROR(__xludf.DUMMYFUNCTION("""COMPUTED_VALUE"""),52.5)</f>
        <v>52.5</v>
      </c>
      <c r="E3327" s="1">
        <f>IFERROR(__xludf.DUMMYFUNCTION("""COMPUTED_VALUE"""),53.22)</f>
        <v>53.22</v>
      </c>
      <c r="F3327" s="1">
        <f>IFERROR(__xludf.DUMMYFUNCTION("""COMPUTED_VALUE"""),1.5606755E7)</f>
        <v>15606755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IFERROR(__xludf.DUMMYFUNCTION("""COMPUTED_VALUE"""),53.32)</f>
        <v>53.32</v>
      </c>
      <c r="C3328" s="1">
        <f>IFERROR(__xludf.DUMMYFUNCTION("""COMPUTED_VALUE"""),55.17)</f>
        <v>55.17</v>
      </c>
      <c r="D3328" s="1">
        <f>IFERROR(__xludf.DUMMYFUNCTION("""COMPUTED_VALUE"""),53.32)</f>
        <v>53.32</v>
      </c>
      <c r="E3328" s="1">
        <f>IFERROR(__xludf.DUMMYFUNCTION("""COMPUTED_VALUE"""),54.22)</f>
        <v>54.22</v>
      </c>
      <c r="F3328" s="1">
        <f>IFERROR(__xludf.DUMMYFUNCTION("""COMPUTED_VALUE"""),3725936.0)</f>
        <v>3725936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IFERROR(__xludf.DUMMYFUNCTION("""COMPUTED_VALUE"""),54.31)</f>
        <v>54.31</v>
      </c>
      <c r="C3329" s="1">
        <f>IFERROR(__xludf.DUMMYFUNCTION("""COMPUTED_VALUE"""),55.51)</f>
        <v>55.51</v>
      </c>
      <c r="D3329" s="1">
        <f>IFERROR(__xludf.DUMMYFUNCTION("""COMPUTED_VALUE"""),54.16)</f>
        <v>54.16</v>
      </c>
      <c r="E3329" s="1">
        <f>IFERROR(__xludf.DUMMYFUNCTION("""COMPUTED_VALUE"""),54.21)</f>
        <v>54.21</v>
      </c>
      <c r="F3329" s="1">
        <f>IFERROR(__xludf.DUMMYFUNCTION("""COMPUTED_VALUE"""),3538275.0)</f>
        <v>3538275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IFERROR(__xludf.DUMMYFUNCTION("""COMPUTED_VALUE"""),53.8)</f>
        <v>53.8</v>
      </c>
      <c r="C3330" s="1">
        <f>IFERROR(__xludf.DUMMYFUNCTION("""COMPUTED_VALUE"""),54.53)</f>
        <v>54.53</v>
      </c>
      <c r="D3330" s="1">
        <f>IFERROR(__xludf.DUMMYFUNCTION("""COMPUTED_VALUE"""),53.36)</f>
        <v>53.36</v>
      </c>
      <c r="E3330" s="1">
        <f>IFERROR(__xludf.DUMMYFUNCTION("""COMPUTED_VALUE"""),54.43)</f>
        <v>54.43</v>
      </c>
      <c r="F3330" s="1">
        <f>IFERROR(__xludf.DUMMYFUNCTION("""COMPUTED_VALUE"""),3763513.0)</f>
        <v>3763513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IFERROR(__xludf.DUMMYFUNCTION("""COMPUTED_VALUE"""),54.9)</f>
        <v>54.9</v>
      </c>
      <c r="C3331" s="1">
        <f>IFERROR(__xludf.DUMMYFUNCTION("""COMPUTED_VALUE"""),55.65)</f>
        <v>55.65</v>
      </c>
      <c r="D3331" s="1">
        <f>IFERROR(__xludf.DUMMYFUNCTION("""COMPUTED_VALUE"""),54.77)</f>
        <v>54.77</v>
      </c>
      <c r="E3331" s="1">
        <f>IFERROR(__xludf.DUMMYFUNCTION("""COMPUTED_VALUE"""),55.42)</f>
        <v>55.42</v>
      </c>
      <c r="F3331" s="1">
        <f>IFERROR(__xludf.DUMMYFUNCTION("""COMPUTED_VALUE"""),2553064.0)</f>
        <v>2553064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IFERROR(__xludf.DUMMYFUNCTION("""COMPUTED_VALUE"""),55.3)</f>
        <v>55.3</v>
      </c>
      <c r="C3332" s="1">
        <f>IFERROR(__xludf.DUMMYFUNCTION("""COMPUTED_VALUE"""),56.26)</f>
        <v>56.26</v>
      </c>
      <c r="D3332" s="1">
        <f>IFERROR(__xludf.DUMMYFUNCTION("""COMPUTED_VALUE"""),55.17)</f>
        <v>55.17</v>
      </c>
      <c r="E3332" s="1">
        <f>IFERROR(__xludf.DUMMYFUNCTION("""COMPUTED_VALUE"""),55.52)</f>
        <v>55.52</v>
      </c>
      <c r="F3332" s="1">
        <f>IFERROR(__xludf.DUMMYFUNCTION("""COMPUTED_VALUE"""),3818964.0)</f>
        <v>3818964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IFERROR(__xludf.DUMMYFUNCTION("""COMPUTED_VALUE"""),55.92)</f>
        <v>55.92</v>
      </c>
      <c r="C3333" s="1">
        <f>IFERROR(__xludf.DUMMYFUNCTION("""COMPUTED_VALUE"""),55.97)</f>
        <v>55.97</v>
      </c>
      <c r="D3333" s="1">
        <f>IFERROR(__xludf.DUMMYFUNCTION("""COMPUTED_VALUE"""),55.32)</f>
        <v>55.32</v>
      </c>
      <c r="E3333" s="1">
        <f>IFERROR(__xludf.DUMMYFUNCTION("""COMPUTED_VALUE"""),55.42)</f>
        <v>55.42</v>
      </c>
      <c r="F3333" s="1">
        <f>IFERROR(__xludf.DUMMYFUNCTION("""COMPUTED_VALUE"""),1786826.0)</f>
        <v>1786826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IFERROR(__xludf.DUMMYFUNCTION("""COMPUTED_VALUE"""),56.35)</f>
        <v>56.35</v>
      </c>
      <c r="C3334" s="1">
        <f>IFERROR(__xludf.DUMMYFUNCTION("""COMPUTED_VALUE"""),56.81)</f>
        <v>56.81</v>
      </c>
      <c r="D3334" s="1">
        <f>IFERROR(__xludf.DUMMYFUNCTION("""COMPUTED_VALUE"""),55.32)</f>
        <v>55.32</v>
      </c>
      <c r="E3334" s="1">
        <f>IFERROR(__xludf.DUMMYFUNCTION("""COMPUTED_VALUE"""),55.37)</f>
        <v>55.37</v>
      </c>
      <c r="F3334" s="1">
        <f>IFERROR(__xludf.DUMMYFUNCTION("""COMPUTED_VALUE"""),1393863.0)</f>
        <v>1393863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IFERROR(__xludf.DUMMYFUNCTION("""COMPUTED_VALUE"""),55.46)</f>
        <v>55.46</v>
      </c>
      <c r="C3335" s="1">
        <f>IFERROR(__xludf.DUMMYFUNCTION("""COMPUTED_VALUE"""),56.31)</f>
        <v>56.31</v>
      </c>
      <c r="D3335" s="1">
        <f>IFERROR(__xludf.DUMMYFUNCTION("""COMPUTED_VALUE"""),55.41)</f>
        <v>55.41</v>
      </c>
      <c r="E3335" s="1">
        <f>IFERROR(__xludf.DUMMYFUNCTION("""COMPUTED_VALUE"""),56.29)</f>
        <v>56.29</v>
      </c>
      <c r="F3335" s="1">
        <f>IFERROR(__xludf.DUMMYFUNCTION("""COMPUTED_VALUE"""),2126292.0)</f>
        <v>2126292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IFERROR(__xludf.DUMMYFUNCTION("""COMPUTED_VALUE"""),56.29)</f>
        <v>56.29</v>
      </c>
      <c r="C3336" s="1">
        <f>IFERROR(__xludf.DUMMYFUNCTION("""COMPUTED_VALUE"""),56.45)</f>
        <v>56.45</v>
      </c>
      <c r="D3336" s="1">
        <f>IFERROR(__xludf.DUMMYFUNCTION("""COMPUTED_VALUE"""),55.96)</f>
        <v>55.96</v>
      </c>
      <c r="E3336" s="1">
        <f>IFERROR(__xludf.DUMMYFUNCTION("""COMPUTED_VALUE"""),56.32)</f>
        <v>56.32</v>
      </c>
      <c r="F3336" s="1">
        <f>IFERROR(__xludf.DUMMYFUNCTION("""COMPUTED_VALUE"""),1684420.0)</f>
        <v>1684420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IFERROR(__xludf.DUMMYFUNCTION("""COMPUTED_VALUE"""),56.49)</f>
        <v>56.49</v>
      </c>
      <c r="C3337" s="1">
        <f>IFERROR(__xludf.DUMMYFUNCTION("""COMPUTED_VALUE"""),56.75)</f>
        <v>56.75</v>
      </c>
      <c r="D3337" s="1">
        <f>IFERROR(__xludf.DUMMYFUNCTION("""COMPUTED_VALUE"""),55.68)</f>
        <v>55.68</v>
      </c>
      <c r="E3337" s="1">
        <f>IFERROR(__xludf.DUMMYFUNCTION("""COMPUTED_VALUE"""),56.0)</f>
        <v>56</v>
      </c>
      <c r="F3337" s="1">
        <f>IFERROR(__xludf.DUMMYFUNCTION("""COMPUTED_VALUE"""),2022243.0)</f>
        <v>2022243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IFERROR(__xludf.DUMMYFUNCTION("""COMPUTED_VALUE"""),55.8)</f>
        <v>55.8</v>
      </c>
      <c r="C3338" s="1">
        <f>IFERROR(__xludf.DUMMYFUNCTION("""COMPUTED_VALUE"""),56.25)</f>
        <v>56.25</v>
      </c>
      <c r="D3338" s="1">
        <f>IFERROR(__xludf.DUMMYFUNCTION("""COMPUTED_VALUE"""),55.64)</f>
        <v>55.64</v>
      </c>
      <c r="E3338" s="1">
        <f>IFERROR(__xludf.DUMMYFUNCTION("""COMPUTED_VALUE"""),56.07)</f>
        <v>56.07</v>
      </c>
      <c r="F3338" s="1">
        <f>IFERROR(__xludf.DUMMYFUNCTION("""COMPUTED_VALUE"""),1839318.0)</f>
        <v>1839318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IFERROR(__xludf.DUMMYFUNCTION("""COMPUTED_VALUE"""),56.03)</f>
        <v>56.03</v>
      </c>
      <c r="C3339" s="1">
        <f>IFERROR(__xludf.DUMMYFUNCTION("""COMPUTED_VALUE"""),56.43)</f>
        <v>56.43</v>
      </c>
      <c r="D3339" s="1">
        <f>IFERROR(__xludf.DUMMYFUNCTION("""COMPUTED_VALUE"""),55.65)</f>
        <v>55.65</v>
      </c>
      <c r="E3339" s="1">
        <f>IFERROR(__xludf.DUMMYFUNCTION("""COMPUTED_VALUE"""),56.36)</f>
        <v>56.36</v>
      </c>
      <c r="F3339" s="1">
        <f>IFERROR(__xludf.DUMMYFUNCTION("""COMPUTED_VALUE"""),1361415.0)</f>
        <v>1361415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IFERROR(__xludf.DUMMYFUNCTION("""COMPUTED_VALUE"""),56.1)</f>
        <v>56.1</v>
      </c>
      <c r="C3340" s="1">
        <f>IFERROR(__xludf.DUMMYFUNCTION("""COMPUTED_VALUE"""),57.3)</f>
        <v>57.3</v>
      </c>
      <c r="D3340" s="1">
        <f>IFERROR(__xludf.DUMMYFUNCTION("""COMPUTED_VALUE"""),56.09)</f>
        <v>56.09</v>
      </c>
      <c r="E3340" s="1">
        <f>IFERROR(__xludf.DUMMYFUNCTION("""COMPUTED_VALUE"""),57.22)</f>
        <v>57.22</v>
      </c>
      <c r="F3340" s="1">
        <f>IFERROR(__xludf.DUMMYFUNCTION("""COMPUTED_VALUE"""),1344129.0)</f>
        <v>1344129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IFERROR(__xludf.DUMMYFUNCTION("""COMPUTED_VALUE"""),57.55)</f>
        <v>57.55</v>
      </c>
      <c r="C3341" s="1">
        <f>IFERROR(__xludf.DUMMYFUNCTION("""COMPUTED_VALUE"""),58.99)</f>
        <v>58.99</v>
      </c>
      <c r="D3341" s="1">
        <f>IFERROR(__xludf.DUMMYFUNCTION("""COMPUTED_VALUE"""),57.18)</f>
        <v>57.18</v>
      </c>
      <c r="E3341" s="1">
        <f>IFERROR(__xludf.DUMMYFUNCTION("""COMPUTED_VALUE"""),58.53)</f>
        <v>58.53</v>
      </c>
      <c r="F3341" s="1">
        <f>IFERROR(__xludf.DUMMYFUNCTION("""COMPUTED_VALUE"""),3274886.0)</f>
        <v>3274886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IFERROR(__xludf.DUMMYFUNCTION("""COMPUTED_VALUE"""),58.78)</f>
        <v>58.78</v>
      </c>
      <c r="C3342" s="1">
        <f>IFERROR(__xludf.DUMMYFUNCTION("""COMPUTED_VALUE"""),59.22)</f>
        <v>59.22</v>
      </c>
      <c r="D3342" s="1">
        <f>IFERROR(__xludf.DUMMYFUNCTION("""COMPUTED_VALUE"""),58.63)</f>
        <v>58.63</v>
      </c>
      <c r="E3342" s="1">
        <f>IFERROR(__xludf.DUMMYFUNCTION("""COMPUTED_VALUE"""),58.66)</f>
        <v>58.66</v>
      </c>
      <c r="F3342" s="1">
        <f>IFERROR(__xludf.DUMMYFUNCTION("""COMPUTED_VALUE"""),1959922.0)</f>
        <v>1959922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IFERROR(__xludf.DUMMYFUNCTION("""COMPUTED_VALUE"""),58.8)</f>
        <v>58.8</v>
      </c>
      <c r="C3343" s="1">
        <f>IFERROR(__xludf.DUMMYFUNCTION("""COMPUTED_VALUE"""),59.43)</f>
        <v>59.43</v>
      </c>
      <c r="D3343" s="1">
        <f>IFERROR(__xludf.DUMMYFUNCTION("""COMPUTED_VALUE"""),58.53)</f>
        <v>58.53</v>
      </c>
      <c r="E3343" s="1">
        <f>IFERROR(__xludf.DUMMYFUNCTION("""COMPUTED_VALUE"""),58.91)</f>
        <v>58.91</v>
      </c>
      <c r="F3343" s="1">
        <f>IFERROR(__xludf.DUMMYFUNCTION("""COMPUTED_VALUE"""),2145038.0)</f>
        <v>2145038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IFERROR(__xludf.DUMMYFUNCTION("""COMPUTED_VALUE"""),58.58)</f>
        <v>58.58</v>
      </c>
      <c r="C3344" s="1">
        <f>IFERROR(__xludf.DUMMYFUNCTION("""COMPUTED_VALUE"""),59.33)</f>
        <v>59.33</v>
      </c>
      <c r="D3344" s="1">
        <f>IFERROR(__xludf.DUMMYFUNCTION("""COMPUTED_VALUE"""),58.28)</f>
        <v>58.28</v>
      </c>
      <c r="E3344" s="1">
        <f>IFERROR(__xludf.DUMMYFUNCTION("""COMPUTED_VALUE"""),58.82)</f>
        <v>58.82</v>
      </c>
      <c r="F3344" s="1">
        <f>IFERROR(__xludf.DUMMYFUNCTION("""COMPUTED_VALUE"""),1027020.0)</f>
        <v>1027020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IFERROR(__xludf.DUMMYFUNCTION("""COMPUTED_VALUE"""),58.97)</f>
        <v>58.97</v>
      </c>
      <c r="C3345" s="1">
        <f>IFERROR(__xludf.DUMMYFUNCTION("""COMPUTED_VALUE"""),59.52)</f>
        <v>59.52</v>
      </c>
      <c r="D3345" s="1">
        <f>IFERROR(__xludf.DUMMYFUNCTION("""COMPUTED_VALUE"""),58.67)</f>
        <v>58.67</v>
      </c>
      <c r="E3345" s="1">
        <f>IFERROR(__xludf.DUMMYFUNCTION("""COMPUTED_VALUE"""),58.82)</f>
        <v>58.82</v>
      </c>
      <c r="F3345" s="1">
        <f>IFERROR(__xludf.DUMMYFUNCTION("""COMPUTED_VALUE"""),2764067.0)</f>
        <v>2764067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IFERROR(__xludf.DUMMYFUNCTION("""COMPUTED_VALUE"""),58.92)</f>
        <v>58.92</v>
      </c>
      <c r="C3346" s="1">
        <f>IFERROR(__xludf.DUMMYFUNCTION("""COMPUTED_VALUE"""),59.35)</f>
        <v>59.35</v>
      </c>
      <c r="D3346" s="1">
        <f>IFERROR(__xludf.DUMMYFUNCTION("""COMPUTED_VALUE"""),58.82)</f>
        <v>58.82</v>
      </c>
      <c r="E3346" s="1">
        <f>IFERROR(__xludf.DUMMYFUNCTION("""COMPUTED_VALUE"""),59.09)</f>
        <v>59.09</v>
      </c>
      <c r="F3346" s="1">
        <f>IFERROR(__xludf.DUMMYFUNCTION("""COMPUTED_VALUE"""),1089350.0)</f>
        <v>1089350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IFERROR(__xludf.DUMMYFUNCTION("""COMPUTED_VALUE"""),58.9)</f>
        <v>58.9</v>
      </c>
      <c r="C3347" s="1">
        <f>IFERROR(__xludf.DUMMYFUNCTION("""COMPUTED_VALUE"""),59.0)</f>
        <v>59</v>
      </c>
      <c r="D3347" s="1">
        <f>IFERROR(__xludf.DUMMYFUNCTION("""COMPUTED_VALUE"""),58.23)</f>
        <v>58.23</v>
      </c>
      <c r="E3347" s="1">
        <f>IFERROR(__xludf.DUMMYFUNCTION("""COMPUTED_VALUE"""),58.47)</f>
        <v>58.47</v>
      </c>
      <c r="F3347" s="1">
        <f>IFERROR(__xludf.DUMMYFUNCTION("""COMPUTED_VALUE"""),902287.0)</f>
        <v>902287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IFERROR(__xludf.DUMMYFUNCTION("""COMPUTED_VALUE"""),58.31)</f>
        <v>58.31</v>
      </c>
      <c r="C3348" s="1">
        <f>IFERROR(__xludf.DUMMYFUNCTION("""COMPUTED_VALUE"""),58.53)</f>
        <v>58.53</v>
      </c>
      <c r="D3348" s="1">
        <f>IFERROR(__xludf.DUMMYFUNCTION("""COMPUTED_VALUE"""),58.0)</f>
        <v>58</v>
      </c>
      <c r="E3348" s="1">
        <f>IFERROR(__xludf.DUMMYFUNCTION("""COMPUTED_VALUE"""),58.27)</f>
        <v>58.27</v>
      </c>
      <c r="F3348" s="1">
        <f>IFERROR(__xludf.DUMMYFUNCTION("""COMPUTED_VALUE"""),782854.0)</f>
        <v>782854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IFERROR(__xludf.DUMMYFUNCTION("""COMPUTED_VALUE"""),58.29)</f>
        <v>58.29</v>
      </c>
      <c r="C3349" s="1">
        <f>IFERROR(__xludf.DUMMYFUNCTION("""COMPUTED_VALUE"""),58.92)</f>
        <v>58.92</v>
      </c>
      <c r="D3349" s="1">
        <f>IFERROR(__xludf.DUMMYFUNCTION("""COMPUTED_VALUE"""),58.24)</f>
        <v>58.24</v>
      </c>
      <c r="E3349" s="1">
        <f>IFERROR(__xludf.DUMMYFUNCTION("""COMPUTED_VALUE"""),58.7)</f>
        <v>58.7</v>
      </c>
      <c r="F3349" s="1">
        <f>IFERROR(__xludf.DUMMYFUNCTION("""COMPUTED_VALUE"""),733678.0)</f>
        <v>733678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IFERROR(__xludf.DUMMYFUNCTION("""COMPUTED_VALUE"""),58.54)</f>
        <v>58.54</v>
      </c>
      <c r="C3350" s="1">
        <f>IFERROR(__xludf.DUMMYFUNCTION("""COMPUTED_VALUE"""),58.77)</f>
        <v>58.77</v>
      </c>
      <c r="D3350" s="1">
        <f>IFERROR(__xludf.DUMMYFUNCTION("""COMPUTED_VALUE"""),57.97)</f>
        <v>57.97</v>
      </c>
      <c r="E3350" s="1">
        <f>IFERROR(__xludf.DUMMYFUNCTION("""COMPUTED_VALUE"""),58.01)</f>
        <v>58.01</v>
      </c>
      <c r="F3350" s="1">
        <f>IFERROR(__xludf.DUMMYFUNCTION("""COMPUTED_VALUE"""),674007.0)</f>
        <v>674007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IFERROR(__xludf.DUMMYFUNCTION("""COMPUTED_VALUE"""),57.9)</f>
        <v>57.9</v>
      </c>
      <c r="C3351" s="1">
        <f>IFERROR(__xludf.DUMMYFUNCTION("""COMPUTED_VALUE"""),57.94)</f>
        <v>57.94</v>
      </c>
      <c r="D3351" s="1">
        <f>IFERROR(__xludf.DUMMYFUNCTION("""COMPUTED_VALUE"""),56.44)</f>
        <v>56.44</v>
      </c>
      <c r="E3351" s="1">
        <f>IFERROR(__xludf.DUMMYFUNCTION("""COMPUTED_VALUE"""),56.63)</f>
        <v>56.63</v>
      </c>
      <c r="F3351" s="1">
        <f>IFERROR(__xludf.DUMMYFUNCTION("""COMPUTED_VALUE"""),1108159.0)</f>
        <v>1108159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IFERROR(__xludf.DUMMYFUNCTION("""COMPUTED_VALUE"""),56.63)</f>
        <v>56.63</v>
      </c>
      <c r="C3352" s="1">
        <f>IFERROR(__xludf.DUMMYFUNCTION("""COMPUTED_VALUE"""),56.9)</f>
        <v>56.9</v>
      </c>
      <c r="D3352" s="1">
        <f>IFERROR(__xludf.DUMMYFUNCTION("""COMPUTED_VALUE"""),55.66)</f>
        <v>55.66</v>
      </c>
      <c r="E3352" s="1">
        <f>IFERROR(__xludf.DUMMYFUNCTION("""COMPUTED_VALUE"""),55.79)</f>
        <v>55.79</v>
      </c>
      <c r="F3352" s="1">
        <f>IFERROR(__xludf.DUMMYFUNCTION("""COMPUTED_VALUE"""),695128.0)</f>
        <v>695128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IFERROR(__xludf.DUMMYFUNCTION("""COMPUTED_VALUE"""),55.86)</f>
        <v>55.86</v>
      </c>
      <c r="C3353" s="1">
        <f>IFERROR(__xludf.DUMMYFUNCTION("""COMPUTED_VALUE"""),56.79)</f>
        <v>56.79</v>
      </c>
      <c r="D3353" s="1">
        <f>IFERROR(__xludf.DUMMYFUNCTION("""COMPUTED_VALUE"""),55.58)</f>
        <v>55.58</v>
      </c>
      <c r="E3353" s="1">
        <f>IFERROR(__xludf.DUMMYFUNCTION("""COMPUTED_VALUE"""),56.71)</f>
        <v>56.71</v>
      </c>
      <c r="F3353" s="1">
        <f>IFERROR(__xludf.DUMMYFUNCTION("""COMPUTED_VALUE"""),954924.0)</f>
        <v>954924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IFERROR(__xludf.DUMMYFUNCTION("""COMPUTED_VALUE"""),56.71)</f>
        <v>56.71</v>
      </c>
      <c r="C3354" s="1">
        <f>IFERROR(__xludf.DUMMYFUNCTION("""COMPUTED_VALUE"""),57.41)</f>
        <v>57.41</v>
      </c>
      <c r="D3354" s="1">
        <f>IFERROR(__xludf.DUMMYFUNCTION("""COMPUTED_VALUE"""),56.7)</f>
        <v>56.7</v>
      </c>
      <c r="E3354" s="1">
        <f>IFERROR(__xludf.DUMMYFUNCTION("""COMPUTED_VALUE"""),57.19)</f>
        <v>57.19</v>
      </c>
      <c r="F3354" s="1">
        <f>IFERROR(__xludf.DUMMYFUNCTION("""COMPUTED_VALUE"""),834984.0)</f>
        <v>834984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IFERROR(__xludf.DUMMYFUNCTION("""COMPUTED_VALUE"""),57.03)</f>
        <v>57.03</v>
      </c>
      <c r="C3355" s="1">
        <f>IFERROR(__xludf.DUMMYFUNCTION("""COMPUTED_VALUE"""),57.54)</f>
        <v>57.54</v>
      </c>
      <c r="D3355" s="1">
        <f>IFERROR(__xludf.DUMMYFUNCTION("""COMPUTED_VALUE"""),56.97)</f>
        <v>56.97</v>
      </c>
      <c r="E3355" s="1">
        <f>IFERROR(__xludf.DUMMYFUNCTION("""COMPUTED_VALUE"""),57.21)</f>
        <v>57.21</v>
      </c>
      <c r="F3355" s="1">
        <f>IFERROR(__xludf.DUMMYFUNCTION("""COMPUTED_VALUE"""),852386.0)</f>
        <v>852386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IFERROR(__xludf.DUMMYFUNCTION("""COMPUTED_VALUE"""),56.93)</f>
        <v>56.93</v>
      </c>
      <c r="C3356" s="1">
        <f>IFERROR(__xludf.DUMMYFUNCTION("""COMPUTED_VALUE"""),57.03)</f>
        <v>57.03</v>
      </c>
      <c r="D3356" s="1">
        <f>IFERROR(__xludf.DUMMYFUNCTION("""COMPUTED_VALUE"""),55.73)</f>
        <v>55.73</v>
      </c>
      <c r="E3356" s="1">
        <f>IFERROR(__xludf.DUMMYFUNCTION("""COMPUTED_VALUE"""),56.05)</f>
        <v>56.05</v>
      </c>
      <c r="F3356" s="1">
        <f>IFERROR(__xludf.DUMMYFUNCTION("""COMPUTED_VALUE"""),1396906.0)</f>
        <v>1396906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IFERROR(__xludf.DUMMYFUNCTION("""COMPUTED_VALUE"""),56.28)</f>
        <v>56.28</v>
      </c>
      <c r="C3357" s="1">
        <f>IFERROR(__xludf.DUMMYFUNCTION("""COMPUTED_VALUE"""),56.7)</f>
        <v>56.7</v>
      </c>
      <c r="D3357" s="1">
        <f>IFERROR(__xludf.DUMMYFUNCTION("""COMPUTED_VALUE"""),55.97)</f>
        <v>55.97</v>
      </c>
      <c r="E3357" s="1">
        <f>IFERROR(__xludf.DUMMYFUNCTION("""COMPUTED_VALUE"""),56.27)</f>
        <v>56.27</v>
      </c>
      <c r="F3357" s="1">
        <f>IFERROR(__xludf.DUMMYFUNCTION("""COMPUTED_VALUE"""),1124635.0)</f>
        <v>1124635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IFERROR(__xludf.DUMMYFUNCTION("""COMPUTED_VALUE"""),56.47)</f>
        <v>56.47</v>
      </c>
      <c r="C3358" s="1">
        <f>IFERROR(__xludf.DUMMYFUNCTION("""COMPUTED_VALUE"""),56.54)</f>
        <v>56.54</v>
      </c>
      <c r="D3358" s="1">
        <f>IFERROR(__xludf.DUMMYFUNCTION("""COMPUTED_VALUE"""),55.25)</f>
        <v>55.25</v>
      </c>
      <c r="E3358" s="1">
        <f>IFERROR(__xludf.DUMMYFUNCTION("""COMPUTED_VALUE"""),55.76)</f>
        <v>55.76</v>
      </c>
      <c r="F3358" s="1">
        <f>IFERROR(__xludf.DUMMYFUNCTION("""COMPUTED_VALUE"""),1543405.0)</f>
        <v>1543405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IFERROR(__xludf.DUMMYFUNCTION("""COMPUTED_VALUE"""),55.93)</f>
        <v>55.93</v>
      </c>
      <c r="C3359" s="1">
        <f>IFERROR(__xludf.DUMMYFUNCTION("""COMPUTED_VALUE"""),57.23)</f>
        <v>57.23</v>
      </c>
      <c r="D3359" s="1">
        <f>IFERROR(__xludf.DUMMYFUNCTION("""COMPUTED_VALUE"""),55.93)</f>
        <v>55.93</v>
      </c>
      <c r="E3359" s="1">
        <f>IFERROR(__xludf.DUMMYFUNCTION("""COMPUTED_VALUE"""),56.91)</f>
        <v>56.91</v>
      </c>
      <c r="F3359" s="1">
        <f>IFERROR(__xludf.DUMMYFUNCTION("""COMPUTED_VALUE"""),910689.0)</f>
        <v>910689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IFERROR(__xludf.DUMMYFUNCTION("""COMPUTED_VALUE"""),57.14)</f>
        <v>57.14</v>
      </c>
      <c r="C3360" s="1">
        <f>IFERROR(__xludf.DUMMYFUNCTION("""COMPUTED_VALUE"""),57.31)</f>
        <v>57.31</v>
      </c>
      <c r="D3360" s="1">
        <f>IFERROR(__xludf.DUMMYFUNCTION("""COMPUTED_VALUE"""),56.51)</f>
        <v>56.51</v>
      </c>
      <c r="E3360" s="1">
        <f>IFERROR(__xludf.DUMMYFUNCTION("""COMPUTED_VALUE"""),57.18)</f>
        <v>57.18</v>
      </c>
      <c r="F3360" s="1">
        <f>IFERROR(__xludf.DUMMYFUNCTION("""COMPUTED_VALUE"""),879042.0)</f>
        <v>879042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IFERROR(__xludf.DUMMYFUNCTION("""COMPUTED_VALUE"""),56.85)</f>
        <v>56.85</v>
      </c>
      <c r="C3361" s="1">
        <f>IFERROR(__xludf.DUMMYFUNCTION("""COMPUTED_VALUE"""),57.86)</f>
        <v>57.86</v>
      </c>
      <c r="D3361" s="1">
        <f>IFERROR(__xludf.DUMMYFUNCTION("""COMPUTED_VALUE"""),56.59)</f>
        <v>56.59</v>
      </c>
      <c r="E3361" s="1">
        <f>IFERROR(__xludf.DUMMYFUNCTION("""COMPUTED_VALUE"""),57.74)</f>
        <v>57.74</v>
      </c>
      <c r="F3361" s="1">
        <f>IFERROR(__xludf.DUMMYFUNCTION("""COMPUTED_VALUE"""),1165944.0)</f>
        <v>1165944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IFERROR(__xludf.DUMMYFUNCTION("""COMPUTED_VALUE"""),58.0)</f>
        <v>58</v>
      </c>
      <c r="C3362" s="1">
        <f>IFERROR(__xludf.DUMMYFUNCTION("""COMPUTED_VALUE"""),58.35)</f>
        <v>58.35</v>
      </c>
      <c r="D3362" s="1">
        <f>IFERROR(__xludf.DUMMYFUNCTION("""COMPUTED_VALUE"""),57.24)</f>
        <v>57.24</v>
      </c>
      <c r="E3362" s="1">
        <f>IFERROR(__xludf.DUMMYFUNCTION("""COMPUTED_VALUE"""),57.99)</f>
        <v>57.99</v>
      </c>
      <c r="F3362" s="1">
        <f>IFERROR(__xludf.DUMMYFUNCTION("""COMPUTED_VALUE"""),1427773.0)</f>
        <v>1427773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IFERROR(__xludf.DUMMYFUNCTION("""COMPUTED_VALUE"""),56.99)</f>
        <v>56.99</v>
      </c>
      <c r="C3363" s="1">
        <f>IFERROR(__xludf.DUMMYFUNCTION("""COMPUTED_VALUE"""),57.6)</f>
        <v>57.6</v>
      </c>
      <c r="D3363" s="1">
        <f>IFERROR(__xludf.DUMMYFUNCTION("""COMPUTED_VALUE"""),53.0)</f>
        <v>53</v>
      </c>
      <c r="E3363" s="1">
        <f>IFERROR(__xludf.DUMMYFUNCTION("""COMPUTED_VALUE"""),54.53)</f>
        <v>54.53</v>
      </c>
      <c r="F3363" s="1">
        <f>IFERROR(__xludf.DUMMYFUNCTION("""COMPUTED_VALUE"""),5561375.0)</f>
        <v>5561375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IFERROR(__xludf.DUMMYFUNCTION("""COMPUTED_VALUE"""),54.25)</f>
        <v>54.25</v>
      </c>
      <c r="C3364" s="1">
        <f>IFERROR(__xludf.DUMMYFUNCTION("""COMPUTED_VALUE"""),55.14)</f>
        <v>55.14</v>
      </c>
      <c r="D3364" s="1">
        <f>IFERROR(__xludf.DUMMYFUNCTION("""COMPUTED_VALUE"""),53.19)</f>
        <v>53.19</v>
      </c>
      <c r="E3364" s="1">
        <f>IFERROR(__xludf.DUMMYFUNCTION("""COMPUTED_VALUE"""),53.29)</f>
        <v>53.29</v>
      </c>
      <c r="F3364" s="1">
        <f>IFERROR(__xludf.DUMMYFUNCTION("""COMPUTED_VALUE"""),2218383.0)</f>
        <v>2218383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IFERROR(__xludf.DUMMYFUNCTION("""COMPUTED_VALUE"""),53.11)</f>
        <v>53.11</v>
      </c>
      <c r="C3365" s="1">
        <f>IFERROR(__xludf.DUMMYFUNCTION("""COMPUTED_VALUE"""),54.15)</f>
        <v>54.15</v>
      </c>
      <c r="D3365" s="1">
        <f>IFERROR(__xludf.DUMMYFUNCTION("""COMPUTED_VALUE"""),52.67)</f>
        <v>52.67</v>
      </c>
      <c r="E3365" s="1">
        <f>IFERROR(__xludf.DUMMYFUNCTION("""COMPUTED_VALUE"""),53.28)</f>
        <v>53.28</v>
      </c>
      <c r="F3365" s="1">
        <f>IFERROR(__xludf.DUMMYFUNCTION("""COMPUTED_VALUE"""),1559007.0)</f>
        <v>1559007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IFERROR(__xludf.DUMMYFUNCTION("""COMPUTED_VALUE"""),53.1)</f>
        <v>53.1</v>
      </c>
      <c r="C3366" s="1">
        <f>IFERROR(__xludf.DUMMYFUNCTION("""COMPUTED_VALUE"""),53.42)</f>
        <v>53.42</v>
      </c>
      <c r="D3366" s="1">
        <f>IFERROR(__xludf.DUMMYFUNCTION("""COMPUTED_VALUE"""),51.99)</f>
        <v>51.99</v>
      </c>
      <c r="E3366" s="1">
        <f>IFERROR(__xludf.DUMMYFUNCTION("""COMPUTED_VALUE"""),52.12)</f>
        <v>52.12</v>
      </c>
      <c r="F3366" s="1">
        <f>IFERROR(__xludf.DUMMYFUNCTION("""COMPUTED_VALUE"""),2027833.0)</f>
        <v>2027833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IFERROR(__xludf.DUMMYFUNCTION("""COMPUTED_VALUE"""),52.3)</f>
        <v>52.3</v>
      </c>
      <c r="C3367" s="1">
        <f>IFERROR(__xludf.DUMMYFUNCTION("""COMPUTED_VALUE"""),52.54)</f>
        <v>52.54</v>
      </c>
      <c r="D3367" s="1">
        <f>IFERROR(__xludf.DUMMYFUNCTION("""COMPUTED_VALUE"""),51.07)</f>
        <v>51.07</v>
      </c>
      <c r="E3367" s="1">
        <f>IFERROR(__xludf.DUMMYFUNCTION("""COMPUTED_VALUE"""),51.85)</f>
        <v>51.85</v>
      </c>
      <c r="F3367" s="1">
        <f>IFERROR(__xludf.DUMMYFUNCTION("""COMPUTED_VALUE"""),1822722.0)</f>
        <v>1822722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IFERROR(__xludf.DUMMYFUNCTION("""COMPUTED_VALUE"""),53.18)</f>
        <v>53.18</v>
      </c>
      <c r="C3368" s="1">
        <f>IFERROR(__xludf.DUMMYFUNCTION("""COMPUTED_VALUE"""),54.45)</f>
        <v>54.45</v>
      </c>
      <c r="D3368" s="1">
        <f>IFERROR(__xludf.DUMMYFUNCTION("""COMPUTED_VALUE"""),52.6)</f>
        <v>52.6</v>
      </c>
      <c r="E3368" s="1">
        <f>IFERROR(__xludf.DUMMYFUNCTION("""COMPUTED_VALUE"""),54.25)</f>
        <v>54.25</v>
      </c>
      <c r="F3368" s="1">
        <f>IFERROR(__xludf.DUMMYFUNCTION("""COMPUTED_VALUE"""),2205533.0)</f>
        <v>2205533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IFERROR(__xludf.DUMMYFUNCTION("""COMPUTED_VALUE"""),55.35)</f>
        <v>55.35</v>
      </c>
      <c r="C3369" s="1">
        <f>IFERROR(__xludf.DUMMYFUNCTION("""COMPUTED_VALUE"""),58.06)</f>
        <v>58.06</v>
      </c>
      <c r="D3369" s="1">
        <f>IFERROR(__xludf.DUMMYFUNCTION("""COMPUTED_VALUE"""),55.27)</f>
        <v>55.27</v>
      </c>
      <c r="E3369" s="1">
        <f>IFERROR(__xludf.DUMMYFUNCTION("""COMPUTED_VALUE"""),55.97)</f>
        <v>55.97</v>
      </c>
      <c r="F3369" s="1">
        <f>IFERROR(__xludf.DUMMYFUNCTION("""COMPUTED_VALUE"""),2393985.0)</f>
        <v>2393985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IFERROR(__xludf.DUMMYFUNCTION("""COMPUTED_VALUE"""),55.85)</f>
        <v>55.85</v>
      </c>
      <c r="C3370" s="1">
        <f>IFERROR(__xludf.DUMMYFUNCTION("""COMPUTED_VALUE"""),56.76)</f>
        <v>56.76</v>
      </c>
      <c r="D3370" s="1">
        <f>IFERROR(__xludf.DUMMYFUNCTION("""COMPUTED_VALUE"""),55.85)</f>
        <v>55.85</v>
      </c>
      <c r="E3370" s="1">
        <f>IFERROR(__xludf.DUMMYFUNCTION("""COMPUTED_VALUE"""),56.35)</f>
        <v>56.35</v>
      </c>
      <c r="F3370" s="1">
        <f>IFERROR(__xludf.DUMMYFUNCTION("""COMPUTED_VALUE"""),1240737.0)</f>
        <v>1240737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IFERROR(__xludf.DUMMYFUNCTION("""COMPUTED_VALUE"""),56.51)</f>
        <v>56.51</v>
      </c>
      <c r="C3371" s="1">
        <f>IFERROR(__xludf.DUMMYFUNCTION("""COMPUTED_VALUE"""),57.07)</f>
        <v>57.07</v>
      </c>
      <c r="D3371" s="1">
        <f>IFERROR(__xludf.DUMMYFUNCTION("""COMPUTED_VALUE"""),56.04)</f>
        <v>56.04</v>
      </c>
      <c r="E3371" s="1">
        <f>IFERROR(__xludf.DUMMYFUNCTION("""COMPUTED_VALUE"""),56.97)</f>
        <v>56.97</v>
      </c>
      <c r="F3371" s="1">
        <f>IFERROR(__xludf.DUMMYFUNCTION("""COMPUTED_VALUE"""),1343951.0)</f>
        <v>1343951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IFERROR(__xludf.DUMMYFUNCTION("""COMPUTED_VALUE"""),57.1)</f>
        <v>57.1</v>
      </c>
      <c r="C3372" s="1">
        <f>IFERROR(__xludf.DUMMYFUNCTION("""COMPUTED_VALUE"""),57.17)</f>
        <v>57.17</v>
      </c>
      <c r="D3372" s="1">
        <f>IFERROR(__xludf.DUMMYFUNCTION("""COMPUTED_VALUE"""),56.11)</f>
        <v>56.11</v>
      </c>
      <c r="E3372" s="1">
        <f>IFERROR(__xludf.DUMMYFUNCTION("""COMPUTED_VALUE"""),56.27)</f>
        <v>56.27</v>
      </c>
      <c r="F3372" s="1">
        <f>IFERROR(__xludf.DUMMYFUNCTION("""COMPUTED_VALUE"""),1230795.0)</f>
        <v>1230795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IFERROR(__xludf.DUMMYFUNCTION("""COMPUTED_VALUE"""),55.68)</f>
        <v>55.68</v>
      </c>
      <c r="C3373" s="1">
        <f>IFERROR(__xludf.DUMMYFUNCTION("""COMPUTED_VALUE"""),56.24)</f>
        <v>56.24</v>
      </c>
      <c r="D3373" s="1">
        <f>IFERROR(__xludf.DUMMYFUNCTION("""COMPUTED_VALUE"""),54.4)</f>
        <v>54.4</v>
      </c>
      <c r="E3373" s="1">
        <f>IFERROR(__xludf.DUMMYFUNCTION("""COMPUTED_VALUE"""),54.46)</f>
        <v>54.46</v>
      </c>
      <c r="F3373" s="1">
        <f>IFERROR(__xludf.DUMMYFUNCTION("""COMPUTED_VALUE"""),1516664.0)</f>
        <v>1516664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IFERROR(__xludf.DUMMYFUNCTION("""COMPUTED_VALUE"""),54.12)</f>
        <v>54.12</v>
      </c>
      <c r="C3374" s="1">
        <f>IFERROR(__xludf.DUMMYFUNCTION("""COMPUTED_VALUE"""),54.44)</f>
        <v>54.44</v>
      </c>
      <c r="D3374" s="1">
        <f>IFERROR(__xludf.DUMMYFUNCTION("""COMPUTED_VALUE"""),52.98)</f>
        <v>52.98</v>
      </c>
      <c r="E3374" s="1">
        <f>IFERROR(__xludf.DUMMYFUNCTION("""COMPUTED_VALUE"""),53.38)</f>
        <v>53.38</v>
      </c>
      <c r="F3374" s="1">
        <f>IFERROR(__xludf.DUMMYFUNCTION("""COMPUTED_VALUE"""),1852752.0)</f>
        <v>1852752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IFERROR(__xludf.DUMMYFUNCTION("""COMPUTED_VALUE"""),53.72)</f>
        <v>53.72</v>
      </c>
      <c r="C3375" s="1">
        <f>IFERROR(__xludf.DUMMYFUNCTION("""COMPUTED_VALUE"""),53.88)</f>
        <v>53.88</v>
      </c>
      <c r="D3375" s="1">
        <f>IFERROR(__xludf.DUMMYFUNCTION("""COMPUTED_VALUE"""),52.72)</f>
        <v>52.72</v>
      </c>
      <c r="E3375" s="1">
        <f>IFERROR(__xludf.DUMMYFUNCTION("""COMPUTED_VALUE"""),53.07)</f>
        <v>53.07</v>
      </c>
      <c r="F3375" s="1">
        <f>IFERROR(__xludf.DUMMYFUNCTION("""COMPUTED_VALUE"""),1151879.0)</f>
        <v>1151879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IFERROR(__xludf.DUMMYFUNCTION("""COMPUTED_VALUE"""),52.9)</f>
        <v>52.9</v>
      </c>
      <c r="C3376" s="1">
        <f>IFERROR(__xludf.DUMMYFUNCTION("""COMPUTED_VALUE"""),53.26)</f>
        <v>53.26</v>
      </c>
      <c r="D3376" s="1">
        <f>IFERROR(__xludf.DUMMYFUNCTION("""COMPUTED_VALUE"""),51.91)</f>
        <v>51.91</v>
      </c>
      <c r="E3376" s="1">
        <f>IFERROR(__xludf.DUMMYFUNCTION("""COMPUTED_VALUE"""),52.08)</f>
        <v>52.08</v>
      </c>
      <c r="F3376" s="1">
        <f>IFERROR(__xludf.DUMMYFUNCTION("""COMPUTED_VALUE"""),1269052.0)</f>
        <v>1269052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IFERROR(__xludf.DUMMYFUNCTION("""COMPUTED_VALUE"""),52.08)</f>
        <v>52.08</v>
      </c>
      <c r="C3377" s="1">
        <f>IFERROR(__xludf.DUMMYFUNCTION("""COMPUTED_VALUE"""),52.96)</f>
        <v>52.96</v>
      </c>
      <c r="D3377" s="1">
        <f>IFERROR(__xludf.DUMMYFUNCTION("""COMPUTED_VALUE"""),51.41)</f>
        <v>51.41</v>
      </c>
      <c r="E3377" s="1">
        <f>IFERROR(__xludf.DUMMYFUNCTION("""COMPUTED_VALUE"""),52.84)</f>
        <v>52.84</v>
      </c>
      <c r="F3377" s="1">
        <f>IFERROR(__xludf.DUMMYFUNCTION("""COMPUTED_VALUE"""),1468100.0)</f>
        <v>1468100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IFERROR(__xludf.DUMMYFUNCTION("""COMPUTED_VALUE"""),53.17)</f>
        <v>53.17</v>
      </c>
      <c r="C3378" s="1">
        <f>IFERROR(__xludf.DUMMYFUNCTION("""COMPUTED_VALUE"""),55.11)</f>
        <v>55.11</v>
      </c>
      <c r="D3378" s="1">
        <f>IFERROR(__xludf.DUMMYFUNCTION("""COMPUTED_VALUE"""),53.04)</f>
        <v>53.04</v>
      </c>
      <c r="E3378" s="1">
        <f>IFERROR(__xludf.DUMMYFUNCTION("""COMPUTED_VALUE"""),55.04)</f>
        <v>55.04</v>
      </c>
      <c r="F3378" s="1">
        <f>IFERROR(__xludf.DUMMYFUNCTION("""COMPUTED_VALUE"""),1504171.0)</f>
        <v>1504171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IFERROR(__xludf.DUMMYFUNCTION("""COMPUTED_VALUE"""),54.4)</f>
        <v>54.4</v>
      </c>
      <c r="C3379" s="1">
        <f>IFERROR(__xludf.DUMMYFUNCTION("""COMPUTED_VALUE"""),54.49)</f>
        <v>54.49</v>
      </c>
      <c r="D3379" s="1">
        <f>IFERROR(__xludf.DUMMYFUNCTION("""COMPUTED_VALUE"""),53.24)</f>
        <v>53.24</v>
      </c>
      <c r="E3379" s="1">
        <f>IFERROR(__xludf.DUMMYFUNCTION("""COMPUTED_VALUE"""),54.29)</f>
        <v>54.29</v>
      </c>
      <c r="F3379" s="1">
        <f>IFERROR(__xludf.DUMMYFUNCTION("""COMPUTED_VALUE"""),2321962.0)</f>
        <v>2321962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IFERROR(__xludf.DUMMYFUNCTION("""COMPUTED_VALUE"""),53.88)</f>
        <v>53.88</v>
      </c>
      <c r="C3380" s="1">
        <f>IFERROR(__xludf.DUMMYFUNCTION("""COMPUTED_VALUE"""),55.4)</f>
        <v>55.4</v>
      </c>
      <c r="D3380" s="1">
        <f>IFERROR(__xludf.DUMMYFUNCTION("""COMPUTED_VALUE"""),53.84)</f>
        <v>53.84</v>
      </c>
      <c r="E3380" s="1">
        <f>IFERROR(__xludf.DUMMYFUNCTION("""COMPUTED_VALUE"""),55.35)</f>
        <v>55.35</v>
      </c>
      <c r="F3380" s="1">
        <f>IFERROR(__xludf.DUMMYFUNCTION("""COMPUTED_VALUE"""),1966403.0)</f>
        <v>1966403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IFERROR(__xludf.DUMMYFUNCTION("""COMPUTED_VALUE"""),55.68)</f>
        <v>55.68</v>
      </c>
      <c r="C3381" s="1">
        <f>IFERROR(__xludf.DUMMYFUNCTION("""COMPUTED_VALUE"""),56.06)</f>
        <v>56.06</v>
      </c>
      <c r="D3381" s="1">
        <f>IFERROR(__xludf.DUMMYFUNCTION("""COMPUTED_VALUE"""),55.25)</f>
        <v>55.25</v>
      </c>
      <c r="E3381" s="1">
        <f>IFERROR(__xludf.DUMMYFUNCTION("""COMPUTED_VALUE"""),55.53)</f>
        <v>55.53</v>
      </c>
      <c r="F3381" s="1">
        <f>IFERROR(__xludf.DUMMYFUNCTION("""COMPUTED_VALUE"""),1417137.0)</f>
        <v>1417137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IFERROR(__xludf.DUMMYFUNCTION("""COMPUTED_VALUE"""),55.45)</f>
        <v>55.45</v>
      </c>
      <c r="C3382" s="1">
        <f>IFERROR(__xludf.DUMMYFUNCTION("""COMPUTED_VALUE"""),55.51)</f>
        <v>55.51</v>
      </c>
      <c r="D3382" s="1">
        <f>IFERROR(__xludf.DUMMYFUNCTION("""COMPUTED_VALUE"""),54.81)</f>
        <v>54.81</v>
      </c>
      <c r="E3382" s="1">
        <f>IFERROR(__xludf.DUMMYFUNCTION("""COMPUTED_VALUE"""),55.45)</f>
        <v>55.45</v>
      </c>
      <c r="F3382" s="1">
        <f>IFERROR(__xludf.DUMMYFUNCTION("""COMPUTED_VALUE"""),1250250.0)</f>
        <v>1250250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IFERROR(__xludf.DUMMYFUNCTION("""COMPUTED_VALUE"""),55.32)</f>
        <v>55.32</v>
      </c>
      <c r="C3383" s="1">
        <f>IFERROR(__xludf.DUMMYFUNCTION("""COMPUTED_VALUE"""),55.7)</f>
        <v>55.7</v>
      </c>
      <c r="D3383" s="1">
        <f>IFERROR(__xludf.DUMMYFUNCTION("""COMPUTED_VALUE"""),54.79)</f>
        <v>54.79</v>
      </c>
      <c r="E3383" s="1">
        <f>IFERROR(__xludf.DUMMYFUNCTION("""COMPUTED_VALUE"""),55.27)</f>
        <v>55.27</v>
      </c>
      <c r="F3383" s="1">
        <f>IFERROR(__xludf.DUMMYFUNCTION("""COMPUTED_VALUE"""),970785.0)</f>
        <v>970785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IFERROR(__xludf.DUMMYFUNCTION("""COMPUTED_VALUE"""),55.25)</f>
        <v>55.25</v>
      </c>
      <c r="C3384" s="1">
        <f>IFERROR(__xludf.DUMMYFUNCTION("""COMPUTED_VALUE"""),56.22)</f>
        <v>56.22</v>
      </c>
      <c r="D3384" s="1">
        <f>IFERROR(__xludf.DUMMYFUNCTION("""COMPUTED_VALUE"""),55.17)</f>
        <v>55.17</v>
      </c>
      <c r="E3384" s="1">
        <f>IFERROR(__xludf.DUMMYFUNCTION("""COMPUTED_VALUE"""),56.18)</f>
        <v>56.18</v>
      </c>
      <c r="F3384" s="1">
        <f>IFERROR(__xludf.DUMMYFUNCTION("""COMPUTED_VALUE"""),1301258.0)</f>
        <v>1301258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IFERROR(__xludf.DUMMYFUNCTION("""COMPUTED_VALUE"""),56.42)</f>
        <v>56.42</v>
      </c>
      <c r="C3385" s="1">
        <f>IFERROR(__xludf.DUMMYFUNCTION("""COMPUTED_VALUE"""),57.02)</f>
        <v>57.02</v>
      </c>
      <c r="D3385" s="1">
        <f>IFERROR(__xludf.DUMMYFUNCTION("""COMPUTED_VALUE"""),56.19)</f>
        <v>56.19</v>
      </c>
      <c r="E3385" s="1">
        <f>IFERROR(__xludf.DUMMYFUNCTION("""COMPUTED_VALUE"""),56.8)</f>
        <v>56.8</v>
      </c>
      <c r="F3385" s="1">
        <f>IFERROR(__xludf.DUMMYFUNCTION("""COMPUTED_VALUE"""),2870102.0)</f>
        <v>2870102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IFERROR(__xludf.DUMMYFUNCTION("""COMPUTED_VALUE"""),57.06)</f>
        <v>57.06</v>
      </c>
      <c r="C3386" s="1">
        <f>IFERROR(__xludf.DUMMYFUNCTION("""COMPUTED_VALUE"""),57.37)</f>
        <v>57.37</v>
      </c>
      <c r="D3386" s="1">
        <f>IFERROR(__xludf.DUMMYFUNCTION("""COMPUTED_VALUE"""),56.67)</f>
        <v>56.67</v>
      </c>
      <c r="E3386" s="1">
        <f>IFERROR(__xludf.DUMMYFUNCTION("""COMPUTED_VALUE"""),56.9)</f>
        <v>56.9</v>
      </c>
      <c r="F3386" s="1">
        <f>IFERROR(__xludf.DUMMYFUNCTION("""COMPUTED_VALUE"""),1473995.0)</f>
        <v>1473995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IFERROR(__xludf.DUMMYFUNCTION("""COMPUTED_VALUE"""),57.01)</f>
        <v>57.01</v>
      </c>
      <c r="C3387" s="1">
        <f>IFERROR(__xludf.DUMMYFUNCTION("""COMPUTED_VALUE"""),57.21)</f>
        <v>57.21</v>
      </c>
      <c r="D3387" s="1">
        <f>IFERROR(__xludf.DUMMYFUNCTION("""COMPUTED_VALUE"""),56.5)</f>
        <v>56.5</v>
      </c>
      <c r="E3387" s="1">
        <f>IFERROR(__xludf.DUMMYFUNCTION("""COMPUTED_VALUE"""),57.05)</f>
        <v>57.05</v>
      </c>
      <c r="F3387" s="1">
        <f>IFERROR(__xludf.DUMMYFUNCTION("""COMPUTED_VALUE"""),2514480.0)</f>
        <v>2514480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IFERROR(__xludf.DUMMYFUNCTION("""COMPUTED_VALUE"""),57.24)</f>
        <v>57.24</v>
      </c>
      <c r="C3388" s="1">
        <f>IFERROR(__xludf.DUMMYFUNCTION("""COMPUTED_VALUE"""),57.62)</f>
        <v>57.62</v>
      </c>
      <c r="D3388" s="1">
        <f>IFERROR(__xludf.DUMMYFUNCTION("""COMPUTED_VALUE"""),56.55)</f>
        <v>56.55</v>
      </c>
      <c r="E3388" s="1">
        <f>IFERROR(__xludf.DUMMYFUNCTION("""COMPUTED_VALUE"""),57.09)</f>
        <v>57.09</v>
      </c>
      <c r="F3388" s="1">
        <f>IFERROR(__xludf.DUMMYFUNCTION("""COMPUTED_VALUE"""),1.2523631E7)</f>
        <v>12523631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IFERROR(__xludf.DUMMYFUNCTION("""COMPUTED_VALUE"""),56.61)</f>
        <v>56.61</v>
      </c>
      <c r="C3389" s="1">
        <f>IFERROR(__xludf.DUMMYFUNCTION("""COMPUTED_VALUE"""),57.38)</f>
        <v>57.38</v>
      </c>
      <c r="D3389" s="1">
        <f>IFERROR(__xludf.DUMMYFUNCTION("""COMPUTED_VALUE"""),56.47)</f>
        <v>56.47</v>
      </c>
      <c r="E3389" s="1">
        <f>IFERROR(__xludf.DUMMYFUNCTION("""COMPUTED_VALUE"""),57.15)</f>
        <v>57.15</v>
      </c>
      <c r="F3389" s="1">
        <f>IFERROR(__xludf.DUMMYFUNCTION("""COMPUTED_VALUE"""),1974963.0)</f>
        <v>1974963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IFERROR(__xludf.DUMMYFUNCTION("""COMPUTED_VALUE"""),57.18)</f>
        <v>57.18</v>
      </c>
      <c r="C3390" s="1">
        <f>IFERROR(__xludf.DUMMYFUNCTION("""COMPUTED_VALUE"""),57.97)</f>
        <v>57.97</v>
      </c>
      <c r="D3390" s="1">
        <f>IFERROR(__xludf.DUMMYFUNCTION("""COMPUTED_VALUE"""),56.74)</f>
        <v>56.74</v>
      </c>
      <c r="E3390" s="1">
        <f>IFERROR(__xludf.DUMMYFUNCTION("""COMPUTED_VALUE"""),57.89)</f>
        <v>57.89</v>
      </c>
      <c r="F3390" s="1">
        <f>IFERROR(__xludf.DUMMYFUNCTION("""COMPUTED_VALUE"""),1543136.0)</f>
        <v>1543136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IFERROR(__xludf.DUMMYFUNCTION("""COMPUTED_VALUE"""),57.82)</f>
        <v>57.82</v>
      </c>
      <c r="C3391" s="1">
        <f>IFERROR(__xludf.DUMMYFUNCTION("""COMPUTED_VALUE"""),57.95)</f>
        <v>57.95</v>
      </c>
      <c r="D3391" s="1">
        <f>IFERROR(__xludf.DUMMYFUNCTION("""COMPUTED_VALUE"""),56.79)</f>
        <v>56.79</v>
      </c>
      <c r="E3391" s="1">
        <f>IFERROR(__xludf.DUMMYFUNCTION("""COMPUTED_VALUE"""),56.82)</f>
        <v>56.82</v>
      </c>
      <c r="F3391" s="1">
        <f>IFERROR(__xludf.DUMMYFUNCTION("""COMPUTED_VALUE"""),907063.0)</f>
        <v>907063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IFERROR(__xludf.DUMMYFUNCTION("""COMPUTED_VALUE"""),56.44)</f>
        <v>56.44</v>
      </c>
      <c r="C3392" s="1">
        <f>IFERROR(__xludf.DUMMYFUNCTION("""COMPUTED_VALUE"""),56.74)</f>
        <v>56.74</v>
      </c>
      <c r="D3392" s="1">
        <f>IFERROR(__xludf.DUMMYFUNCTION("""COMPUTED_VALUE"""),55.25)</f>
        <v>55.25</v>
      </c>
      <c r="E3392" s="1">
        <f>IFERROR(__xludf.DUMMYFUNCTION("""COMPUTED_VALUE"""),55.4)</f>
        <v>55.4</v>
      </c>
      <c r="F3392" s="1">
        <f>IFERROR(__xludf.DUMMYFUNCTION("""COMPUTED_VALUE"""),7724160.0)</f>
        <v>7724160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IFERROR(__xludf.DUMMYFUNCTION("""COMPUTED_VALUE"""),55.23)</f>
        <v>55.23</v>
      </c>
      <c r="C3393" s="1">
        <f>IFERROR(__xludf.DUMMYFUNCTION("""COMPUTED_VALUE"""),57.33)</f>
        <v>57.33</v>
      </c>
      <c r="D3393" s="1">
        <f>IFERROR(__xludf.DUMMYFUNCTION("""COMPUTED_VALUE"""),55.09)</f>
        <v>55.09</v>
      </c>
      <c r="E3393" s="1">
        <f>IFERROR(__xludf.DUMMYFUNCTION("""COMPUTED_VALUE"""),57.23)</f>
        <v>57.23</v>
      </c>
      <c r="F3393" s="1">
        <f>IFERROR(__xludf.DUMMYFUNCTION("""COMPUTED_VALUE"""),869700.0)</f>
        <v>869700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IFERROR(__xludf.DUMMYFUNCTION("""COMPUTED_VALUE"""),57.14)</f>
        <v>57.14</v>
      </c>
      <c r="C3394" s="1">
        <f>IFERROR(__xludf.DUMMYFUNCTION("""COMPUTED_VALUE"""),58.48)</f>
        <v>58.48</v>
      </c>
      <c r="D3394" s="1">
        <f>IFERROR(__xludf.DUMMYFUNCTION("""COMPUTED_VALUE"""),57.08)</f>
        <v>57.08</v>
      </c>
      <c r="E3394" s="1">
        <f>IFERROR(__xludf.DUMMYFUNCTION("""COMPUTED_VALUE"""),58.26)</f>
        <v>58.26</v>
      </c>
      <c r="F3394" s="1">
        <f>IFERROR(__xludf.DUMMYFUNCTION("""COMPUTED_VALUE"""),917124.0)</f>
        <v>917124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IFERROR(__xludf.DUMMYFUNCTION("""COMPUTED_VALUE"""),58.27)</f>
        <v>58.27</v>
      </c>
      <c r="C3395" s="1">
        <f>IFERROR(__xludf.DUMMYFUNCTION("""COMPUTED_VALUE"""),58.7)</f>
        <v>58.7</v>
      </c>
      <c r="D3395" s="1">
        <f>IFERROR(__xludf.DUMMYFUNCTION("""COMPUTED_VALUE"""),57.79)</f>
        <v>57.79</v>
      </c>
      <c r="E3395" s="1">
        <f>IFERROR(__xludf.DUMMYFUNCTION("""COMPUTED_VALUE"""),58.54)</f>
        <v>58.54</v>
      </c>
      <c r="F3395" s="1">
        <f>IFERROR(__xludf.DUMMYFUNCTION("""COMPUTED_VALUE"""),863049.0)</f>
        <v>863049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IFERROR(__xludf.DUMMYFUNCTION("""COMPUTED_VALUE"""),58.55)</f>
        <v>58.55</v>
      </c>
      <c r="C3396" s="1">
        <f>IFERROR(__xludf.DUMMYFUNCTION("""COMPUTED_VALUE"""),59.27)</f>
        <v>59.27</v>
      </c>
      <c r="D3396" s="1">
        <f>IFERROR(__xludf.DUMMYFUNCTION("""COMPUTED_VALUE"""),58.32)</f>
        <v>58.32</v>
      </c>
      <c r="E3396" s="1">
        <f>IFERROR(__xludf.DUMMYFUNCTION("""COMPUTED_VALUE"""),59.23)</f>
        <v>59.23</v>
      </c>
      <c r="F3396" s="1">
        <f>IFERROR(__xludf.DUMMYFUNCTION("""COMPUTED_VALUE"""),929743.0)</f>
        <v>929743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IFERROR(__xludf.DUMMYFUNCTION("""COMPUTED_VALUE"""),59.24)</f>
        <v>59.24</v>
      </c>
      <c r="C3397" s="1">
        <f>IFERROR(__xludf.DUMMYFUNCTION("""COMPUTED_VALUE"""),60.33)</f>
        <v>60.33</v>
      </c>
      <c r="D3397" s="1">
        <f>IFERROR(__xludf.DUMMYFUNCTION("""COMPUTED_VALUE"""),59.18)</f>
        <v>59.18</v>
      </c>
      <c r="E3397" s="1">
        <f>IFERROR(__xludf.DUMMYFUNCTION("""COMPUTED_VALUE"""),60.0)</f>
        <v>60</v>
      </c>
      <c r="F3397" s="1">
        <f>IFERROR(__xludf.DUMMYFUNCTION("""COMPUTED_VALUE"""),1119291.0)</f>
        <v>1119291</v>
      </c>
    </row>
    <row r="3398">
      <c r="A3398" s="2">
        <f>IFERROR(__xludf.DUMMYFUNCTION("""COMPUTED_VALUE"""),45110.54166666667)</f>
        <v>45110.54167</v>
      </c>
      <c r="B3398" s="1">
        <f>IFERROR(__xludf.DUMMYFUNCTION("""COMPUTED_VALUE"""),59.84)</f>
        <v>59.84</v>
      </c>
      <c r="C3398" s="1">
        <f>IFERROR(__xludf.DUMMYFUNCTION("""COMPUTED_VALUE"""),60.71)</f>
        <v>60.71</v>
      </c>
      <c r="D3398" s="1">
        <f>IFERROR(__xludf.DUMMYFUNCTION("""COMPUTED_VALUE"""),59.41)</f>
        <v>59.41</v>
      </c>
      <c r="E3398" s="1">
        <f>IFERROR(__xludf.DUMMYFUNCTION("""COMPUTED_VALUE"""),60.22)</f>
        <v>60.22</v>
      </c>
      <c r="F3398" s="1">
        <f>IFERROR(__xludf.DUMMYFUNCTION("""COMPUTED_VALUE"""),441456.0)</f>
        <v>441456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IFERROR(__xludf.DUMMYFUNCTION("""COMPUTED_VALUE"""),60.42)</f>
        <v>60.42</v>
      </c>
      <c r="C3399" s="1">
        <f>IFERROR(__xludf.DUMMYFUNCTION("""COMPUTED_VALUE"""),60.61)</f>
        <v>60.61</v>
      </c>
      <c r="D3399" s="1">
        <f>IFERROR(__xludf.DUMMYFUNCTION("""COMPUTED_VALUE"""),59.26)</f>
        <v>59.26</v>
      </c>
      <c r="E3399" s="1">
        <f>IFERROR(__xludf.DUMMYFUNCTION("""COMPUTED_VALUE"""),59.73)</f>
        <v>59.73</v>
      </c>
      <c r="F3399" s="1">
        <f>IFERROR(__xludf.DUMMYFUNCTION("""COMPUTED_VALUE"""),1039876.0)</f>
        <v>1039876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IFERROR(__xludf.DUMMYFUNCTION("""COMPUTED_VALUE"""),59.22)</f>
        <v>59.22</v>
      </c>
      <c r="C3400" s="1">
        <f>IFERROR(__xludf.DUMMYFUNCTION("""COMPUTED_VALUE"""),59.42)</f>
        <v>59.42</v>
      </c>
      <c r="D3400" s="1">
        <f>IFERROR(__xludf.DUMMYFUNCTION("""COMPUTED_VALUE"""),58.2)</f>
        <v>58.2</v>
      </c>
      <c r="E3400" s="1">
        <f>IFERROR(__xludf.DUMMYFUNCTION("""COMPUTED_VALUE"""),58.51)</f>
        <v>58.51</v>
      </c>
      <c r="F3400" s="1">
        <f>IFERROR(__xludf.DUMMYFUNCTION("""COMPUTED_VALUE"""),864091.0)</f>
        <v>864091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IFERROR(__xludf.DUMMYFUNCTION("""COMPUTED_VALUE"""),58.14)</f>
        <v>58.14</v>
      </c>
      <c r="C3401" s="1">
        <f>IFERROR(__xludf.DUMMYFUNCTION("""COMPUTED_VALUE"""),59.16)</f>
        <v>59.16</v>
      </c>
      <c r="D3401" s="1">
        <f>IFERROR(__xludf.DUMMYFUNCTION("""COMPUTED_VALUE"""),57.79)</f>
        <v>57.79</v>
      </c>
      <c r="E3401" s="1">
        <f>IFERROR(__xludf.DUMMYFUNCTION("""COMPUTED_VALUE"""),58.96)</f>
        <v>58.96</v>
      </c>
      <c r="F3401" s="1">
        <f>IFERROR(__xludf.DUMMYFUNCTION("""COMPUTED_VALUE"""),1059347.0)</f>
        <v>1059347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IFERROR(__xludf.DUMMYFUNCTION("""COMPUTED_VALUE"""),59.0)</f>
        <v>59</v>
      </c>
      <c r="C3402" s="1">
        <f>IFERROR(__xludf.DUMMYFUNCTION("""COMPUTED_VALUE"""),59.92)</f>
        <v>59.92</v>
      </c>
      <c r="D3402" s="1">
        <f>IFERROR(__xludf.DUMMYFUNCTION("""COMPUTED_VALUE"""),58.92)</f>
        <v>58.92</v>
      </c>
      <c r="E3402" s="1">
        <f>IFERROR(__xludf.DUMMYFUNCTION("""COMPUTED_VALUE"""),59.8)</f>
        <v>59.8</v>
      </c>
      <c r="F3402" s="1">
        <f>IFERROR(__xludf.DUMMYFUNCTION("""COMPUTED_VALUE"""),743746.0)</f>
        <v>743746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IFERROR(__xludf.DUMMYFUNCTION("""COMPUTED_VALUE"""),60.23)</f>
        <v>60.23</v>
      </c>
      <c r="C3403" s="1">
        <f>IFERROR(__xludf.DUMMYFUNCTION("""COMPUTED_VALUE"""),61.01)</f>
        <v>61.01</v>
      </c>
      <c r="D3403" s="1">
        <f>IFERROR(__xludf.DUMMYFUNCTION("""COMPUTED_VALUE"""),59.81)</f>
        <v>59.81</v>
      </c>
      <c r="E3403" s="1">
        <f>IFERROR(__xludf.DUMMYFUNCTION("""COMPUTED_VALUE"""),60.92)</f>
        <v>60.92</v>
      </c>
      <c r="F3403" s="1">
        <f>IFERROR(__xludf.DUMMYFUNCTION("""COMPUTED_VALUE"""),1215538.0)</f>
        <v>1215538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IFERROR(__xludf.DUMMYFUNCTION("""COMPUTED_VALUE"""),61.34)</f>
        <v>61.34</v>
      </c>
      <c r="C3404" s="1">
        <f>IFERROR(__xludf.DUMMYFUNCTION("""COMPUTED_VALUE"""),61.43)</f>
        <v>61.43</v>
      </c>
      <c r="D3404" s="1">
        <f>IFERROR(__xludf.DUMMYFUNCTION("""COMPUTED_VALUE"""),60.3)</f>
        <v>60.3</v>
      </c>
      <c r="E3404" s="1">
        <f>IFERROR(__xludf.DUMMYFUNCTION("""COMPUTED_VALUE"""),60.35)</f>
        <v>60.35</v>
      </c>
      <c r="F3404" s="1">
        <f>IFERROR(__xludf.DUMMYFUNCTION("""COMPUTED_VALUE"""),742208.0)</f>
        <v>742208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IFERROR(__xludf.DUMMYFUNCTION("""COMPUTED_VALUE"""),60.68)</f>
        <v>60.68</v>
      </c>
      <c r="C3405" s="1">
        <f>IFERROR(__xludf.DUMMYFUNCTION("""COMPUTED_VALUE"""),61.54)</f>
        <v>61.54</v>
      </c>
      <c r="D3405" s="1">
        <f>IFERROR(__xludf.DUMMYFUNCTION("""COMPUTED_VALUE"""),60.4)</f>
        <v>60.4</v>
      </c>
      <c r="E3405" s="1">
        <f>IFERROR(__xludf.DUMMYFUNCTION("""COMPUTED_VALUE"""),61.48)</f>
        <v>61.48</v>
      </c>
      <c r="F3405" s="1">
        <f>IFERROR(__xludf.DUMMYFUNCTION("""COMPUTED_VALUE"""),786588.0)</f>
        <v>786588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IFERROR(__xludf.DUMMYFUNCTION("""COMPUTED_VALUE"""),61.29)</f>
        <v>61.29</v>
      </c>
      <c r="C3406" s="1">
        <f>IFERROR(__xludf.DUMMYFUNCTION("""COMPUTED_VALUE"""),61.71)</f>
        <v>61.71</v>
      </c>
      <c r="D3406" s="1">
        <f>IFERROR(__xludf.DUMMYFUNCTION("""COMPUTED_VALUE"""),60.89)</f>
        <v>60.89</v>
      </c>
      <c r="E3406" s="1">
        <f>IFERROR(__xludf.DUMMYFUNCTION("""COMPUTED_VALUE"""),61.17)</f>
        <v>61.17</v>
      </c>
      <c r="F3406" s="1">
        <f>IFERROR(__xludf.DUMMYFUNCTION("""COMPUTED_VALUE"""),817281.0)</f>
        <v>817281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IFERROR(__xludf.DUMMYFUNCTION("""COMPUTED_VALUE"""),61.29)</f>
        <v>61.29</v>
      </c>
      <c r="C3407" s="1">
        <f>IFERROR(__xludf.DUMMYFUNCTION("""COMPUTED_VALUE"""),61.98)</f>
        <v>61.98</v>
      </c>
      <c r="D3407" s="1">
        <f>IFERROR(__xludf.DUMMYFUNCTION("""COMPUTED_VALUE"""),61.01)</f>
        <v>61.01</v>
      </c>
      <c r="E3407" s="1">
        <f>IFERROR(__xludf.DUMMYFUNCTION("""COMPUTED_VALUE"""),61.82)</f>
        <v>61.82</v>
      </c>
      <c r="F3407" s="1">
        <f>IFERROR(__xludf.DUMMYFUNCTION("""COMPUTED_VALUE"""),1060459.0)</f>
        <v>1060459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IFERROR(__xludf.DUMMYFUNCTION("""COMPUTED_VALUE"""),61.9)</f>
        <v>61.9</v>
      </c>
      <c r="C3408" s="1">
        <f>IFERROR(__xludf.DUMMYFUNCTION("""COMPUTED_VALUE"""),62.9)</f>
        <v>62.9</v>
      </c>
      <c r="D3408" s="1">
        <f>IFERROR(__xludf.DUMMYFUNCTION("""COMPUTED_VALUE"""),61.75)</f>
        <v>61.75</v>
      </c>
      <c r="E3408" s="1">
        <f>IFERROR(__xludf.DUMMYFUNCTION("""COMPUTED_VALUE"""),62.7)</f>
        <v>62.7</v>
      </c>
      <c r="F3408" s="1">
        <f>IFERROR(__xludf.DUMMYFUNCTION("""COMPUTED_VALUE"""),1047294.0)</f>
        <v>1047294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IFERROR(__xludf.DUMMYFUNCTION("""COMPUTED_VALUE"""),63.0)</f>
        <v>63</v>
      </c>
      <c r="C3409" s="1">
        <f>IFERROR(__xludf.DUMMYFUNCTION("""COMPUTED_VALUE"""),63.1)</f>
        <v>63.1</v>
      </c>
      <c r="D3409" s="1">
        <f>IFERROR(__xludf.DUMMYFUNCTION("""COMPUTED_VALUE"""),62.01)</f>
        <v>62.01</v>
      </c>
      <c r="E3409" s="1">
        <f>IFERROR(__xludf.DUMMYFUNCTION("""COMPUTED_VALUE"""),62.18)</f>
        <v>62.18</v>
      </c>
      <c r="F3409" s="1">
        <f>IFERROR(__xludf.DUMMYFUNCTION("""COMPUTED_VALUE"""),573117.0)</f>
        <v>573117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IFERROR(__xludf.DUMMYFUNCTION("""COMPUTED_VALUE"""),63.6)</f>
        <v>63.6</v>
      </c>
      <c r="C3410" s="1">
        <f>IFERROR(__xludf.DUMMYFUNCTION("""COMPUTED_VALUE"""),63.6)</f>
        <v>63.6</v>
      </c>
      <c r="D3410" s="1">
        <f>IFERROR(__xludf.DUMMYFUNCTION("""COMPUTED_VALUE"""),62.42)</f>
        <v>62.42</v>
      </c>
      <c r="E3410" s="1">
        <f>IFERROR(__xludf.DUMMYFUNCTION("""COMPUTED_VALUE"""),63.49)</f>
        <v>63.49</v>
      </c>
      <c r="F3410" s="1">
        <f>IFERROR(__xludf.DUMMYFUNCTION("""COMPUTED_VALUE"""),880883.0)</f>
        <v>880883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IFERROR(__xludf.DUMMYFUNCTION("""COMPUTED_VALUE"""),63.71)</f>
        <v>63.71</v>
      </c>
      <c r="C3411" s="1">
        <f>IFERROR(__xludf.DUMMYFUNCTION("""COMPUTED_VALUE"""),63.74)</f>
        <v>63.74</v>
      </c>
      <c r="D3411" s="1">
        <f>IFERROR(__xludf.DUMMYFUNCTION("""COMPUTED_VALUE"""),63.0)</f>
        <v>63</v>
      </c>
      <c r="E3411" s="1">
        <f>IFERROR(__xludf.DUMMYFUNCTION("""COMPUTED_VALUE"""),63.68)</f>
        <v>63.68</v>
      </c>
      <c r="F3411" s="1">
        <f>IFERROR(__xludf.DUMMYFUNCTION("""COMPUTED_VALUE"""),770803.0)</f>
        <v>770803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IFERROR(__xludf.DUMMYFUNCTION("""COMPUTED_VALUE"""),63.71)</f>
        <v>63.71</v>
      </c>
      <c r="C3412" s="1">
        <f>IFERROR(__xludf.DUMMYFUNCTION("""COMPUTED_VALUE"""),64.02)</f>
        <v>64.02</v>
      </c>
      <c r="D3412" s="1">
        <f>IFERROR(__xludf.DUMMYFUNCTION("""COMPUTED_VALUE"""),63.43)</f>
        <v>63.43</v>
      </c>
      <c r="E3412" s="1">
        <f>IFERROR(__xludf.DUMMYFUNCTION("""COMPUTED_VALUE"""),63.84)</f>
        <v>63.84</v>
      </c>
      <c r="F3412" s="1">
        <f>IFERROR(__xludf.DUMMYFUNCTION("""COMPUTED_VALUE"""),602262.0)</f>
        <v>602262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IFERROR(__xludf.DUMMYFUNCTION("""COMPUTED_VALUE"""),63.87)</f>
        <v>63.87</v>
      </c>
      <c r="C3413" s="1">
        <f>IFERROR(__xludf.DUMMYFUNCTION("""COMPUTED_VALUE"""),64.26)</f>
        <v>64.26</v>
      </c>
      <c r="D3413" s="1">
        <f>IFERROR(__xludf.DUMMYFUNCTION("""COMPUTED_VALUE"""),63.55)</f>
        <v>63.55</v>
      </c>
      <c r="E3413" s="1">
        <f>IFERROR(__xludf.DUMMYFUNCTION("""COMPUTED_VALUE"""),64.13)</f>
        <v>64.13</v>
      </c>
      <c r="F3413" s="1">
        <f>IFERROR(__xludf.DUMMYFUNCTION("""COMPUTED_VALUE"""),810299.0)</f>
        <v>810299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IFERROR(__xludf.DUMMYFUNCTION("""COMPUTED_VALUE"""),64.06)</f>
        <v>64.06</v>
      </c>
      <c r="C3414" s="1">
        <f>IFERROR(__xludf.DUMMYFUNCTION("""COMPUTED_VALUE"""),64.4)</f>
        <v>64.4</v>
      </c>
      <c r="D3414" s="1">
        <f>IFERROR(__xludf.DUMMYFUNCTION("""COMPUTED_VALUE"""),63.88)</f>
        <v>63.88</v>
      </c>
      <c r="E3414" s="1">
        <f>IFERROR(__xludf.DUMMYFUNCTION("""COMPUTED_VALUE"""),64.28)</f>
        <v>64.28</v>
      </c>
      <c r="F3414" s="1">
        <f>IFERROR(__xludf.DUMMYFUNCTION("""COMPUTED_VALUE"""),612712.0)</f>
        <v>612712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IFERROR(__xludf.DUMMYFUNCTION("""COMPUTED_VALUE"""),64.56)</f>
        <v>64.56</v>
      </c>
      <c r="C3415" s="1">
        <f>IFERROR(__xludf.DUMMYFUNCTION("""COMPUTED_VALUE"""),64.56)</f>
        <v>64.56</v>
      </c>
      <c r="D3415" s="1">
        <f>IFERROR(__xludf.DUMMYFUNCTION("""COMPUTED_VALUE"""),63.36)</f>
        <v>63.36</v>
      </c>
      <c r="E3415" s="1">
        <f>IFERROR(__xludf.DUMMYFUNCTION("""COMPUTED_VALUE"""),63.87)</f>
        <v>63.87</v>
      </c>
      <c r="F3415" s="1">
        <f>IFERROR(__xludf.DUMMYFUNCTION("""COMPUTED_VALUE"""),833350.0)</f>
        <v>833350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IFERROR(__xludf.DUMMYFUNCTION("""COMPUTED_VALUE"""),64.33)</f>
        <v>64.33</v>
      </c>
      <c r="C3416" s="1">
        <f>IFERROR(__xludf.DUMMYFUNCTION("""COMPUTED_VALUE"""),64.59)</f>
        <v>64.59</v>
      </c>
      <c r="D3416" s="1">
        <f>IFERROR(__xludf.DUMMYFUNCTION("""COMPUTED_VALUE"""),63.89)</f>
        <v>63.89</v>
      </c>
      <c r="E3416" s="1">
        <f>IFERROR(__xludf.DUMMYFUNCTION("""COMPUTED_VALUE"""),64.37)</f>
        <v>64.37</v>
      </c>
      <c r="F3416" s="1">
        <f>IFERROR(__xludf.DUMMYFUNCTION("""COMPUTED_VALUE"""),1487164.0)</f>
        <v>1487164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IFERROR(__xludf.DUMMYFUNCTION("""COMPUTED_VALUE"""),64.64)</f>
        <v>64.64</v>
      </c>
      <c r="C3417" s="1">
        <f>IFERROR(__xludf.DUMMYFUNCTION("""COMPUTED_VALUE"""),65.03)</f>
        <v>65.03</v>
      </c>
      <c r="D3417" s="1">
        <f>IFERROR(__xludf.DUMMYFUNCTION("""COMPUTED_VALUE"""),64.19)</f>
        <v>64.19</v>
      </c>
      <c r="E3417" s="1">
        <f>IFERROR(__xludf.DUMMYFUNCTION("""COMPUTED_VALUE"""),64.48)</f>
        <v>64.48</v>
      </c>
      <c r="F3417" s="1">
        <f>IFERROR(__xludf.DUMMYFUNCTION("""COMPUTED_VALUE"""),810943.0)</f>
        <v>810943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IFERROR(__xludf.DUMMYFUNCTION("""COMPUTED_VALUE"""),64.14)</f>
        <v>64.14</v>
      </c>
      <c r="C3418" s="1">
        <f>IFERROR(__xludf.DUMMYFUNCTION("""COMPUTED_VALUE"""),65.13)</f>
        <v>65.13</v>
      </c>
      <c r="D3418" s="1">
        <f>IFERROR(__xludf.DUMMYFUNCTION("""COMPUTED_VALUE"""),63.91)</f>
        <v>63.91</v>
      </c>
      <c r="E3418" s="1">
        <f>IFERROR(__xludf.DUMMYFUNCTION("""COMPUTED_VALUE"""),64.96)</f>
        <v>64.96</v>
      </c>
      <c r="F3418" s="1">
        <f>IFERROR(__xludf.DUMMYFUNCTION("""COMPUTED_VALUE"""),640745.0)</f>
        <v>640745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IFERROR(__xludf.DUMMYFUNCTION("""COMPUTED_VALUE"""),64.05)</f>
        <v>64.05</v>
      </c>
      <c r="C3419" s="1">
        <f>IFERROR(__xludf.DUMMYFUNCTION("""COMPUTED_VALUE"""),64.28)</f>
        <v>64.28</v>
      </c>
      <c r="D3419" s="1">
        <f>IFERROR(__xludf.DUMMYFUNCTION("""COMPUTED_VALUE"""),55.54)</f>
        <v>55.54</v>
      </c>
      <c r="E3419" s="1">
        <f>IFERROR(__xludf.DUMMYFUNCTION("""COMPUTED_VALUE"""),61.51)</f>
        <v>61.51</v>
      </c>
      <c r="F3419" s="1">
        <f>IFERROR(__xludf.DUMMYFUNCTION("""COMPUTED_VALUE"""),5990752.0)</f>
        <v>5990752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IFERROR(__xludf.DUMMYFUNCTION("""COMPUTED_VALUE"""),61.38)</f>
        <v>61.38</v>
      </c>
      <c r="C3420" s="1">
        <f>IFERROR(__xludf.DUMMYFUNCTION("""COMPUTED_VALUE"""),62.83)</f>
        <v>62.83</v>
      </c>
      <c r="D3420" s="1">
        <f>IFERROR(__xludf.DUMMYFUNCTION("""COMPUTED_VALUE"""),60.2)</f>
        <v>60.2</v>
      </c>
      <c r="E3420" s="1">
        <f>IFERROR(__xludf.DUMMYFUNCTION("""COMPUTED_VALUE"""),62.2)</f>
        <v>62.2</v>
      </c>
      <c r="F3420" s="1">
        <f>IFERROR(__xludf.DUMMYFUNCTION("""COMPUTED_VALUE"""),2503248.0)</f>
        <v>2503248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IFERROR(__xludf.DUMMYFUNCTION("""COMPUTED_VALUE"""),62.01)</f>
        <v>62.01</v>
      </c>
      <c r="C3421" s="1">
        <f>IFERROR(__xludf.DUMMYFUNCTION("""COMPUTED_VALUE"""),62.3)</f>
        <v>62.3</v>
      </c>
      <c r="D3421" s="1">
        <f>IFERROR(__xludf.DUMMYFUNCTION("""COMPUTED_VALUE"""),57.8)</f>
        <v>57.8</v>
      </c>
      <c r="E3421" s="1">
        <f>IFERROR(__xludf.DUMMYFUNCTION("""COMPUTED_VALUE"""),58.51)</f>
        <v>58.51</v>
      </c>
      <c r="F3421" s="1">
        <f>IFERROR(__xludf.DUMMYFUNCTION("""COMPUTED_VALUE"""),2976212.0)</f>
        <v>2976212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IFERROR(__xludf.DUMMYFUNCTION("""COMPUTED_VALUE"""),58.67)</f>
        <v>58.67</v>
      </c>
      <c r="C3422" s="1">
        <f>IFERROR(__xludf.DUMMYFUNCTION("""COMPUTED_VALUE"""),59.37)</f>
        <v>59.37</v>
      </c>
      <c r="D3422" s="1">
        <f>IFERROR(__xludf.DUMMYFUNCTION("""COMPUTED_VALUE"""),58.27)</f>
        <v>58.27</v>
      </c>
      <c r="E3422" s="1">
        <f>IFERROR(__xludf.DUMMYFUNCTION("""COMPUTED_VALUE"""),58.54)</f>
        <v>58.54</v>
      </c>
      <c r="F3422" s="1">
        <f>IFERROR(__xludf.DUMMYFUNCTION("""COMPUTED_VALUE"""),851450.0)</f>
        <v>851450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IFERROR(__xludf.DUMMYFUNCTION("""COMPUTED_VALUE"""),58.2)</f>
        <v>58.2</v>
      </c>
      <c r="C3423" s="1">
        <f>IFERROR(__xludf.DUMMYFUNCTION("""COMPUTED_VALUE"""),58.96)</f>
        <v>58.96</v>
      </c>
      <c r="D3423" s="1">
        <f>IFERROR(__xludf.DUMMYFUNCTION("""COMPUTED_VALUE"""),57.52)</f>
        <v>57.52</v>
      </c>
      <c r="E3423" s="1">
        <f>IFERROR(__xludf.DUMMYFUNCTION("""COMPUTED_VALUE"""),58.09)</f>
        <v>58.09</v>
      </c>
      <c r="F3423" s="1">
        <f>IFERROR(__xludf.DUMMYFUNCTION("""COMPUTED_VALUE"""),1109239.0)</f>
        <v>1109239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IFERROR(__xludf.DUMMYFUNCTION("""COMPUTED_VALUE"""),58.62)</f>
        <v>58.62</v>
      </c>
      <c r="C3424" s="1">
        <f>IFERROR(__xludf.DUMMYFUNCTION("""COMPUTED_VALUE"""),58.71)</f>
        <v>58.71</v>
      </c>
      <c r="D3424" s="1">
        <f>IFERROR(__xludf.DUMMYFUNCTION("""COMPUTED_VALUE"""),57.67)</f>
        <v>57.67</v>
      </c>
      <c r="E3424" s="1">
        <f>IFERROR(__xludf.DUMMYFUNCTION("""COMPUTED_VALUE"""),58.15)</f>
        <v>58.15</v>
      </c>
      <c r="F3424" s="1">
        <f>IFERROR(__xludf.DUMMYFUNCTION("""COMPUTED_VALUE"""),863433.0)</f>
        <v>863433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IFERROR(__xludf.DUMMYFUNCTION("""COMPUTED_VALUE"""),58.08)</f>
        <v>58.08</v>
      </c>
      <c r="C3425" s="1">
        <f>IFERROR(__xludf.DUMMYFUNCTION("""COMPUTED_VALUE"""),58.65)</f>
        <v>58.65</v>
      </c>
      <c r="D3425" s="1">
        <f>IFERROR(__xludf.DUMMYFUNCTION("""COMPUTED_VALUE"""),57.65)</f>
        <v>57.65</v>
      </c>
      <c r="E3425" s="1">
        <f>IFERROR(__xludf.DUMMYFUNCTION("""COMPUTED_VALUE"""),57.95)</f>
        <v>57.95</v>
      </c>
      <c r="F3425" s="1">
        <f>IFERROR(__xludf.DUMMYFUNCTION("""COMPUTED_VALUE"""),770271.0)</f>
        <v>770271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IFERROR(__xludf.DUMMYFUNCTION("""COMPUTED_VALUE"""),57.52)</f>
        <v>57.52</v>
      </c>
      <c r="C3426" s="1">
        <f>IFERROR(__xludf.DUMMYFUNCTION("""COMPUTED_VALUE"""),58.34)</f>
        <v>58.34</v>
      </c>
      <c r="D3426" s="1">
        <f>IFERROR(__xludf.DUMMYFUNCTION("""COMPUTED_VALUE"""),57.35)</f>
        <v>57.35</v>
      </c>
      <c r="E3426" s="1">
        <f>IFERROR(__xludf.DUMMYFUNCTION("""COMPUTED_VALUE"""),58.0)</f>
        <v>58</v>
      </c>
      <c r="F3426" s="1">
        <f>IFERROR(__xludf.DUMMYFUNCTION("""COMPUTED_VALUE"""),615644.0)</f>
        <v>615644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IFERROR(__xludf.DUMMYFUNCTION("""COMPUTED_VALUE"""),57.5)</f>
        <v>57.5</v>
      </c>
      <c r="C3427" s="1">
        <f>IFERROR(__xludf.DUMMYFUNCTION("""COMPUTED_VALUE"""),58.5)</f>
        <v>58.5</v>
      </c>
      <c r="D3427" s="1">
        <f>IFERROR(__xludf.DUMMYFUNCTION("""COMPUTED_VALUE"""),57.41)</f>
        <v>57.41</v>
      </c>
      <c r="E3427" s="1">
        <f>IFERROR(__xludf.DUMMYFUNCTION("""COMPUTED_VALUE"""),58.14)</f>
        <v>58.14</v>
      </c>
      <c r="F3427" s="1">
        <f>IFERROR(__xludf.DUMMYFUNCTION("""COMPUTED_VALUE"""),1122214.0)</f>
        <v>1122214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IFERROR(__xludf.DUMMYFUNCTION("""COMPUTED_VALUE"""),57.59)</f>
        <v>57.59</v>
      </c>
      <c r="C3428" s="1">
        <f>IFERROR(__xludf.DUMMYFUNCTION("""COMPUTED_VALUE"""),58.23)</f>
        <v>58.23</v>
      </c>
      <c r="D3428" s="1">
        <f>IFERROR(__xludf.DUMMYFUNCTION("""COMPUTED_VALUE"""),56.71)</f>
        <v>56.71</v>
      </c>
      <c r="E3428" s="1">
        <f>IFERROR(__xludf.DUMMYFUNCTION("""COMPUTED_VALUE"""),56.78)</f>
        <v>56.78</v>
      </c>
      <c r="F3428" s="1">
        <f>IFERROR(__xludf.DUMMYFUNCTION("""COMPUTED_VALUE"""),747732.0)</f>
        <v>747732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IFERROR(__xludf.DUMMYFUNCTION("""COMPUTED_VALUE"""),56.49)</f>
        <v>56.49</v>
      </c>
      <c r="C3429" s="1">
        <f>IFERROR(__xludf.DUMMYFUNCTION("""COMPUTED_VALUE"""),57.05)</f>
        <v>57.05</v>
      </c>
      <c r="D3429" s="1">
        <f>IFERROR(__xludf.DUMMYFUNCTION("""COMPUTED_VALUE"""),56.12)</f>
        <v>56.12</v>
      </c>
      <c r="E3429" s="1">
        <f>IFERROR(__xludf.DUMMYFUNCTION("""COMPUTED_VALUE"""),56.13)</f>
        <v>56.13</v>
      </c>
      <c r="F3429" s="1">
        <f>IFERROR(__xludf.DUMMYFUNCTION("""COMPUTED_VALUE"""),544996.0)</f>
        <v>544996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IFERROR(__xludf.DUMMYFUNCTION("""COMPUTED_VALUE"""),56.55)</f>
        <v>56.55</v>
      </c>
      <c r="C3430" s="1">
        <f>IFERROR(__xludf.DUMMYFUNCTION("""COMPUTED_VALUE"""),56.71)</f>
        <v>56.71</v>
      </c>
      <c r="D3430" s="1">
        <f>IFERROR(__xludf.DUMMYFUNCTION("""COMPUTED_VALUE"""),55.89)</f>
        <v>55.89</v>
      </c>
      <c r="E3430" s="1">
        <f>IFERROR(__xludf.DUMMYFUNCTION("""COMPUTED_VALUE"""),56.25)</f>
        <v>56.25</v>
      </c>
      <c r="F3430" s="1">
        <f>IFERROR(__xludf.DUMMYFUNCTION("""COMPUTED_VALUE"""),515248.0)</f>
        <v>515248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IFERROR(__xludf.DUMMYFUNCTION("""COMPUTED_VALUE"""),55.93)</f>
        <v>55.93</v>
      </c>
      <c r="C3431" s="1">
        <f>IFERROR(__xludf.DUMMYFUNCTION("""COMPUTED_VALUE"""),56.89)</f>
        <v>56.89</v>
      </c>
      <c r="D3431" s="1">
        <f>IFERROR(__xludf.DUMMYFUNCTION("""COMPUTED_VALUE"""),55.92)</f>
        <v>55.92</v>
      </c>
      <c r="E3431" s="1">
        <f>IFERROR(__xludf.DUMMYFUNCTION("""COMPUTED_VALUE"""),56.64)</f>
        <v>56.64</v>
      </c>
      <c r="F3431" s="1">
        <f>IFERROR(__xludf.DUMMYFUNCTION("""COMPUTED_VALUE"""),769651.0)</f>
        <v>769651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IFERROR(__xludf.DUMMYFUNCTION("""COMPUTED_VALUE"""),56.33)</f>
        <v>56.33</v>
      </c>
      <c r="C3432" s="1">
        <f>IFERROR(__xludf.DUMMYFUNCTION("""COMPUTED_VALUE"""),57.25)</f>
        <v>57.25</v>
      </c>
      <c r="D3432" s="1">
        <f>IFERROR(__xludf.DUMMYFUNCTION("""COMPUTED_VALUE"""),55.67)</f>
        <v>55.67</v>
      </c>
      <c r="E3432" s="1">
        <f>IFERROR(__xludf.DUMMYFUNCTION("""COMPUTED_VALUE"""),57.2)</f>
        <v>57.2</v>
      </c>
      <c r="F3432" s="1">
        <f>IFERROR(__xludf.DUMMYFUNCTION("""COMPUTED_VALUE"""),2379668.0)</f>
        <v>2379668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IFERROR(__xludf.DUMMYFUNCTION("""COMPUTED_VALUE"""),57.11)</f>
        <v>57.11</v>
      </c>
      <c r="C3433" s="1">
        <f>IFERROR(__xludf.DUMMYFUNCTION("""COMPUTED_VALUE"""),58.0)</f>
        <v>58</v>
      </c>
      <c r="D3433" s="1">
        <f>IFERROR(__xludf.DUMMYFUNCTION("""COMPUTED_VALUE"""),56.69)</f>
        <v>56.69</v>
      </c>
      <c r="E3433" s="1">
        <f>IFERROR(__xludf.DUMMYFUNCTION("""COMPUTED_VALUE"""),57.98)</f>
        <v>57.98</v>
      </c>
      <c r="F3433" s="1">
        <f>IFERROR(__xludf.DUMMYFUNCTION("""COMPUTED_VALUE"""),3919851.0)</f>
        <v>3919851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IFERROR(__xludf.DUMMYFUNCTION("""COMPUTED_VALUE"""),57.9)</f>
        <v>57.9</v>
      </c>
      <c r="C3434" s="1">
        <f>IFERROR(__xludf.DUMMYFUNCTION("""COMPUTED_VALUE"""),58.73)</f>
        <v>58.73</v>
      </c>
      <c r="D3434" s="1">
        <f>IFERROR(__xludf.DUMMYFUNCTION("""COMPUTED_VALUE"""),57.54)</f>
        <v>57.54</v>
      </c>
      <c r="E3434" s="1">
        <f>IFERROR(__xludf.DUMMYFUNCTION("""COMPUTED_VALUE"""),58.47)</f>
        <v>58.47</v>
      </c>
      <c r="F3434" s="1">
        <f>IFERROR(__xludf.DUMMYFUNCTION("""COMPUTED_VALUE"""),1074531.0)</f>
        <v>1074531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IFERROR(__xludf.DUMMYFUNCTION("""COMPUTED_VALUE"""),58.44)</f>
        <v>58.44</v>
      </c>
      <c r="C3435" s="1">
        <f>IFERROR(__xludf.DUMMYFUNCTION("""COMPUTED_VALUE"""),58.64)</f>
        <v>58.64</v>
      </c>
      <c r="D3435" s="1">
        <f>IFERROR(__xludf.DUMMYFUNCTION("""COMPUTED_VALUE"""),57.43)</f>
        <v>57.43</v>
      </c>
      <c r="E3435" s="1">
        <f>IFERROR(__xludf.DUMMYFUNCTION("""COMPUTED_VALUE"""),58.5)</f>
        <v>58.5</v>
      </c>
      <c r="F3435" s="1">
        <f>IFERROR(__xludf.DUMMYFUNCTION("""COMPUTED_VALUE"""),1031904.0)</f>
        <v>1031904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IFERROR(__xludf.DUMMYFUNCTION("""COMPUTED_VALUE"""),58.66)</f>
        <v>58.66</v>
      </c>
      <c r="C3436" s="1">
        <f>IFERROR(__xludf.DUMMYFUNCTION("""COMPUTED_VALUE"""),59.6)</f>
        <v>59.6</v>
      </c>
      <c r="D3436" s="1">
        <f>IFERROR(__xludf.DUMMYFUNCTION("""COMPUTED_VALUE"""),58.46)</f>
        <v>58.46</v>
      </c>
      <c r="E3436" s="1">
        <f>IFERROR(__xludf.DUMMYFUNCTION("""COMPUTED_VALUE"""),59.35)</f>
        <v>59.35</v>
      </c>
      <c r="F3436" s="1">
        <f>IFERROR(__xludf.DUMMYFUNCTION("""COMPUTED_VALUE"""),777709.0)</f>
        <v>777709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IFERROR(__xludf.DUMMYFUNCTION("""COMPUTED_VALUE"""),59.38)</f>
        <v>59.38</v>
      </c>
      <c r="C3437" s="1">
        <f>IFERROR(__xludf.DUMMYFUNCTION("""COMPUTED_VALUE"""),60.4)</f>
        <v>60.4</v>
      </c>
      <c r="D3437" s="1">
        <f>IFERROR(__xludf.DUMMYFUNCTION("""COMPUTED_VALUE"""),59.32)</f>
        <v>59.32</v>
      </c>
      <c r="E3437" s="1">
        <f>IFERROR(__xludf.DUMMYFUNCTION("""COMPUTED_VALUE"""),60.34)</f>
        <v>60.34</v>
      </c>
      <c r="F3437" s="1">
        <f>IFERROR(__xludf.DUMMYFUNCTION("""COMPUTED_VALUE"""),645041.0)</f>
        <v>645041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IFERROR(__xludf.DUMMYFUNCTION("""COMPUTED_VALUE"""),60.22)</f>
        <v>60.22</v>
      </c>
      <c r="C3438" s="1">
        <f>IFERROR(__xludf.DUMMYFUNCTION("""COMPUTED_VALUE"""),61.17)</f>
        <v>61.17</v>
      </c>
      <c r="D3438" s="1">
        <f>IFERROR(__xludf.DUMMYFUNCTION("""COMPUTED_VALUE"""),59.97)</f>
        <v>59.97</v>
      </c>
      <c r="E3438" s="1">
        <f>IFERROR(__xludf.DUMMYFUNCTION("""COMPUTED_VALUE"""),60.88)</f>
        <v>60.88</v>
      </c>
      <c r="F3438" s="1">
        <f>IFERROR(__xludf.DUMMYFUNCTION("""COMPUTED_VALUE"""),846069.0)</f>
        <v>846069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IFERROR(__xludf.DUMMYFUNCTION("""COMPUTED_VALUE"""),61.19)</f>
        <v>61.19</v>
      </c>
      <c r="C3439" s="1">
        <f>IFERROR(__xludf.DUMMYFUNCTION("""COMPUTED_VALUE"""),61.88)</f>
        <v>61.88</v>
      </c>
      <c r="D3439" s="1">
        <f>IFERROR(__xludf.DUMMYFUNCTION("""COMPUTED_VALUE"""),61.08)</f>
        <v>61.08</v>
      </c>
      <c r="E3439" s="1">
        <f>IFERROR(__xludf.DUMMYFUNCTION("""COMPUTED_VALUE"""),61.18)</f>
        <v>61.18</v>
      </c>
      <c r="F3439" s="1">
        <f>IFERROR(__xludf.DUMMYFUNCTION("""COMPUTED_VALUE"""),957236.0)</f>
        <v>957236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IFERROR(__xludf.DUMMYFUNCTION("""COMPUTED_VALUE"""),61.33)</f>
        <v>61.33</v>
      </c>
      <c r="C3440" s="1">
        <f>IFERROR(__xludf.DUMMYFUNCTION("""COMPUTED_VALUE"""),62.31)</f>
        <v>62.31</v>
      </c>
      <c r="D3440" s="1">
        <f>IFERROR(__xludf.DUMMYFUNCTION("""COMPUTED_VALUE"""),61.19)</f>
        <v>61.19</v>
      </c>
      <c r="E3440" s="1">
        <f>IFERROR(__xludf.DUMMYFUNCTION("""COMPUTED_VALUE"""),61.72)</f>
        <v>61.72</v>
      </c>
      <c r="F3440" s="1">
        <f>IFERROR(__xludf.DUMMYFUNCTION("""COMPUTED_VALUE"""),1045918.0)</f>
        <v>1045918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IFERROR(__xludf.DUMMYFUNCTION("""COMPUTED_VALUE"""),61.75)</f>
        <v>61.75</v>
      </c>
      <c r="C3441" s="1">
        <f>IFERROR(__xludf.DUMMYFUNCTION("""COMPUTED_VALUE"""),62.54)</f>
        <v>62.54</v>
      </c>
      <c r="D3441" s="1">
        <f>IFERROR(__xludf.DUMMYFUNCTION("""COMPUTED_VALUE"""),61.37)</f>
        <v>61.37</v>
      </c>
      <c r="E3441" s="1">
        <f>IFERROR(__xludf.DUMMYFUNCTION("""COMPUTED_VALUE"""),62.4)</f>
        <v>62.4</v>
      </c>
      <c r="F3441" s="1">
        <f>IFERROR(__xludf.DUMMYFUNCTION("""COMPUTED_VALUE"""),694638.0)</f>
        <v>694638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IFERROR(__xludf.DUMMYFUNCTION("""COMPUTED_VALUE"""),62.92)</f>
        <v>62.92</v>
      </c>
      <c r="C3442" s="1">
        <f>IFERROR(__xludf.DUMMYFUNCTION("""COMPUTED_VALUE"""),65.07)</f>
        <v>65.07</v>
      </c>
      <c r="D3442" s="1">
        <f>IFERROR(__xludf.DUMMYFUNCTION("""COMPUTED_VALUE"""),62.56)</f>
        <v>62.56</v>
      </c>
      <c r="E3442" s="1">
        <f>IFERROR(__xludf.DUMMYFUNCTION("""COMPUTED_VALUE"""),64.44)</f>
        <v>64.44</v>
      </c>
      <c r="F3442" s="1">
        <f>IFERROR(__xludf.DUMMYFUNCTION("""COMPUTED_VALUE"""),3281706.0)</f>
        <v>3281706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IFERROR(__xludf.DUMMYFUNCTION("""COMPUTED_VALUE"""),64.19)</f>
        <v>64.19</v>
      </c>
      <c r="C3443" s="1">
        <f>IFERROR(__xludf.DUMMYFUNCTION("""COMPUTED_VALUE"""),65.2)</f>
        <v>65.2</v>
      </c>
      <c r="D3443" s="1">
        <f>IFERROR(__xludf.DUMMYFUNCTION("""COMPUTED_VALUE"""),64.14)</f>
        <v>64.14</v>
      </c>
      <c r="E3443" s="1">
        <f>IFERROR(__xludf.DUMMYFUNCTION("""COMPUTED_VALUE"""),65.0)</f>
        <v>65</v>
      </c>
      <c r="F3443" s="1">
        <f>IFERROR(__xludf.DUMMYFUNCTION("""COMPUTED_VALUE"""),1996058.0)</f>
        <v>1996058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IFERROR(__xludf.DUMMYFUNCTION("""COMPUTED_VALUE"""),64.81)</f>
        <v>64.81</v>
      </c>
      <c r="C3444" s="1">
        <f>IFERROR(__xludf.DUMMYFUNCTION("""COMPUTED_VALUE"""),65.9)</f>
        <v>65.9</v>
      </c>
      <c r="D3444" s="1">
        <f>IFERROR(__xludf.DUMMYFUNCTION("""COMPUTED_VALUE"""),64.57)</f>
        <v>64.57</v>
      </c>
      <c r="E3444" s="1">
        <f>IFERROR(__xludf.DUMMYFUNCTION("""COMPUTED_VALUE"""),65.51)</f>
        <v>65.51</v>
      </c>
      <c r="F3444" s="1">
        <f>IFERROR(__xludf.DUMMYFUNCTION("""COMPUTED_VALUE"""),2002353.0)</f>
        <v>2002353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IFERROR(__xludf.DUMMYFUNCTION("""COMPUTED_VALUE"""),65.43)</f>
        <v>65.43</v>
      </c>
      <c r="C3445" s="1">
        <f>IFERROR(__xludf.DUMMYFUNCTION("""COMPUTED_VALUE"""),66.53)</f>
        <v>66.53</v>
      </c>
      <c r="D3445" s="1">
        <f>IFERROR(__xludf.DUMMYFUNCTION("""COMPUTED_VALUE"""),65.39)</f>
        <v>65.39</v>
      </c>
      <c r="E3445" s="1">
        <f>IFERROR(__xludf.DUMMYFUNCTION("""COMPUTED_VALUE"""),66.28)</f>
        <v>66.28</v>
      </c>
      <c r="F3445" s="1">
        <f>IFERROR(__xludf.DUMMYFUNCTION("""COMPUTED_VALUE"""),1904587.0)</f>
        <v>1904587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IFERROR(__xludf.DUMMYFUNCTION("""COMPUTED_VALUE"""),66.43)</f>
        <v>66.43</v>
      </c>
      <c r="C3446" s="1">
        <f>IFERROR(__xludf.DUMMYFUNCTION("""COMPUTED_VALUE"""),66.72)</f>
        <v>66.72</v>
      </c>
      <c r="D3446" s="1">
        <f>IFERROR(__xludf.DUMMYFUNCTION("""COMPUTED_VALUE"""),65.92)</f>
        <v>65.92</v>
      </c>
      <c r="E3446" s="1">
        <f>IFERROR(__xludf.DUMMYFUNCTION("""COMPUTED_VALUE"""),66.56)</f>
        <v>66.56</v>
      </c>
      <c r="F3446" s="1">
        <f>IFERROR(__xludf.DUMMYFUNCTION("""COMPUTED_VALUE"""),2071224.0)</f>
        <v>2071224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IFERROR(__xludf.DUMMYFUNCTION("""COMPUTED_VALUE"""),66.5)</f>
        <v>66.5</v>
      </c>
      <c r="C3447" s="1">
        <f>IFERROR(__xludf.DUMMYFUNCTION("""COMPUTED_VALUE"""),66.99)</f>
        <v>66.99</v>
      </c>
      <c r="D3447" s="1">
        <f>IFERROR(__xludf.DUMMYFUNCTION("""COMPUTED_VALUE"""),65.41)</f>
        <v>65.41</v>
      </c>
      <c r="E3447" s="1">
        <f>IFERROR(__xludf.DUMMYFUNCTION("""COMPUTED_VALUE"""),65.42)</f>
        <v>65.42</v>
      </c>
      <c r="F3447" s="1">
        <f>IFERROR(__xludf.DUMMYFUNCTION("""COMPUTED_VALUE"""),2558448.0)</f>
        <v>2558448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IFERROR(__xludf.DUMMYFUNCTION("""COMPUTED_VALUE"""),65.14)</f>
        <v>65.14</v>
      </c>
      <c r="C3448" s="1">
        <f>IFERROR(__xludf.DUMMYFUNCTION("""COMPUTED_VALUE"""),65.64)</f>
        <v>65.64</v>
      </c>
      <c r="D3448" s="1">
        <f>IFERROR(__xludf.DUMMYFUNCTION("""COMPUTED_VALUE"""),64.32)</f>
        <v>64.32</v>
      </c>
      <c r="E3448" s="1">
        <f>IFERROR(__xludf.DUMMYFUNCTION("""COMPUTED_VALUE"""),64.76)</f>
        <v>64.76</v>
      </c>
      <c r="F3448" s="1">
        <f>IFERROR(__xludf.DUMMYFUNCTION("""COMPUTED_VALUE"""),4452601.0)</f>
        <v>4452601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IFERROR(__xludf.DUMMYFUNCTION("""COMPUTED_VALUE"""),64.79)</f>
        <v>64.79</v>
      </c>
      <c r="C3449" s="1">
        <f>IFERROR(__xludf.DUMMYFUNCTION("""COMPUTED_VALUE"""),65.79)</f>
        <v>65.79</v>
      </c>
      <c r="D3449" s="1">
        <f>IFERROR(__xludf.DUMMYFUNCTION("""COMPUTED_VALUE"""),64.6)</f>
        <v>64.6</v>
      </c>
      <c r="E3449" s="1">
        <f>IFERROR(__xludf.DUMMYFUNCTION("""COMPUTED_VALUE"""),65.1)</f>
        <v>65.1</v>
      </c>
      <c r="F3449" s="1">
        <f>IFERROR(__xludf.DUMMYFUNCTION("""COMPUTED_VALUE"""),4432576.0)</f>
        <v>4432576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IFERROR(__xludf.DUMMYFUNCTION("""COMPUTED_VALUE"""),64.9)</f>
        <v>64.9</v>
      </c>
      <c r="C3450" s="1">
        <f>IFERROR(__xludf.DUMMYFUNCTION("""COMPUTED_VALUE"""),66.06)</f>
        <v>66.06</v>
      </c>
      <c r="D3450" s="1">
        <f>IFERROR(__xludf.DUMMYFUNCTION("""COMPUTED_VALUE"""),63.88)</f>
        <v>63.88</v>
      </c>
      <c r="E3450" s="1">
        <f>IFERROR(__xludf.DUMMYFUNCTION("""COMPUTED_VALUE"""),65.18)</f>
        <v>65.18</v>
      </c>
      <c r="F3450" s="1">
        <f>IFERROR(__xludf.DUMMYFUNCTION("""COMPUTED_VALUE"""),6769421.0)</f>
        <v>6769421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IFERROR(__xludf.DUMMYFUNCTION("""COMPUTED_VALUE"""),65.05)</f>
        <v>65.05</v>
      </c>
      <c r="C3451" s="1">
        <f>IFERROR(__xludf.DUMMYFUNCTION("""COMPUTED_VALUE"""),66.04)</f>
        <v>66.04</v>
      </c>
      <c r="D3451" s="1">
        <f>IFERROR(__xludf.DUMMYFUNCTION("""COMPUTED_VALUE"""),64.49)</f>
        <v>64.49</v>
      </c>
      <c r="E3451" s="1">
        <f>IFERROR(__xludf.DUMMYFUNCTION("""COMPUTED_VALUE"""),65.75)</f>
        <v>65.75</v>
      </c>
      <c r="F3451" s="1">
        <f>IFERROR(__xludf.DUMMYFUNCTION("""COMPUTED_VALUE"""),5404455.0)</f>
        <v>5404455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IFERROR(__xludf.DUMMYFUNCTION("""COMPUTED_VALUE"""),65.7)</f>
        <v>65.7</v>
      </c>
      <c r="C3452" s="1">
        <f>IFERROR(__xludf.DUMMYFUNCTION("""COMPUTED_VALUE"""),65.84)</f>
        <v>65.84</v>
      </c>
      <c r="D3452" s="1">
        <f>IFERROR(__xludf.DUMMYFUNCTION("""COMPUTED_VALUE"""),63.91)</f>
        <v>63.91</v>
      </c>
      <c r="E3452" s="1">
        <f>IFERROR(__xludf.DUMMYFUNCTION("""COMPUTED_VALUE"""),64.4)</f>
        <v>64.4</v>
      </c>
      <c r="F3452" s="1">
        <f>IFERROR(__xludf.DUMMYFUNCTION("""COMPUTED_VALUE"""),5039588.0)</f>
        <v>5039588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IFERROR(__xludf.DUMMYFUNCTION("""COMPUTED_VALUE"""),64.4)</f>
        <v>64.4</v>
      </c>
      <c r="C3453" s="1">
        <f>IFERROR(__xludf.DUMMYFUNCTION("""COMPUTED_VALUE"""),65.01)</f>
        <v>65.01</v>
      </c>
      <c r="D3453" s="1">
        <f>IFERROR(__xludf.DUMMYFUNCTION("""COMPUTED_VALUE"""),64.06)</f>
        <v>64.06</v>
      </c>
      <c r="E3453" s="1">
        <f>IFERROR(__xludf.DUMMYFUNCTION("""COMPUTED_VALUE"""),64.51)</f>
        <v>64.51</v>
      </c>
      <c r="F3453" s="1">
        <f>IFERROR(__xludf.DUMMYFUNCTION("""COMPUTED_VALUE"""),1245776.0)</f>
        <v>1245776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IFERROR(__xludf.DUMMYFUNCTION("""COMPUTED_VALUE"""),64.25)</f>
        <v>64.25</v>
      </c>
      <c r="C3454" s="1">
        <f>IFERROR(__xludf.DUMMYFUNCTION("""COMPUTED_VALUE"""),64.63)</f>
        <v>64.63</v>
      </c>
      <c r="D3454" s="1">
        <f>IFERROR(__xludf.DUMMYFUNCTION("""COMPUTED_VALUE"""),62.99)</f>
        <v>62.99</v>
      </c>
      <c r="E3454" s="1">
        <f>IFERROR(__xludf.DUMMYFUNCTION("""COMPUTED_VALUE"""),63.02)</f>
        <v>63.02</v>
      </c>
      <c r="F3454" s="1">
        <f>IFERROR(__xludf.DUMMYFUNCTION("""COMPUTED_VALUE"""),1039815.0)</f>
        <v>1039815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IFERROR(__xludf.DUMMYFUNCTION("""COMPUTED_VALUE"""),63.12)</f>
        <v>63.12</v>
      </c>
      <c r="C3455" s="1">
        <f>IFERROR(__xludf.DUMMYFUNCTION("""COMPUTED_VALUE"""),63.52)</f>
        <v>63.52</v>
      </c>
      <c r="D3455" s="1">
        <f>IFERROR(__xludf.DUMMYFUNCTION("""COMPUTED_VALUE"""),62.48)</f>
        <v>62.48</v>
      </c>
      <c r="E3455" s="1">
        <f>IFERROR(__xludf.DUMMYFUNCTION("""COMPUTED_VALUE"""),62.87)</f>
        <v>62.87</v>
      </c>
      <c r="F3455" s="1">
        <f>IFERROR(__xludf.DUMMYFUNCTION("""COMPUTED_VALUE"""),1057023.0)</f>
        <v>1057023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IFERROR(__xludf.DUMMYFUNCTION("""COMPUTED_VALUE"""),62.6)</f>
        <v>62.6</v>
      </c>
      <c r="C3456" s="1">
        <f>IFERROR(__xludf.DUMMYFUNCTION("""COMPUTED_VALUE"""),63.5)</f>
        <v>63.5</v>
      </c>
      <c r="D3456" s="1">
        <f>IFERROR(__xludf.DUMMYFUNCTION("""COMPUTED_VALUE"""),62.6)</f>
        <v>62.6</v>
      </c>
      <c r="E3456" s="1">
        <f>IFERROR(__xludf.DUMMYFUNCTION("""COMPUTED_VALUE"""),63.34)</f>
        <v>63.34</v>
      </c>
      <c r="F3456" s="1">
        <f>IFERROR(__xludf.DUMMYFUNCTION("""COMPUTED_VALUE"""),1159385.0)</f>
        <v>1159385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IFERROR(__xludf.DUMMYFUNCTION("""COMPUTED_VALUE"""),63.02)</f>
        <v>63.02</v>
      </c>
      <c r="C3457" s="1">
        <f>IFERROR(__xludf.DUMMYFUNCTION("""COMPUTED_VALUE"""),63.06)</f>
        <v>63.06</v>
      </c>
      <c r="D3457" s="1">
        <f>IFERROR(__xludf.DUMMYFUNCTION("""COMPUTED_VALUE"""),61.65)</f>
        <v>61.65</v>
      </c>
      <c r="E3457" s="1">
        <f>IFERROR(__xludf.DUMMYFUNCTION("""COMPUTED_VALUE"""),62.55)</f>
        <v>62.55</v>
      </c>
      <c r="F3457" s="1">
        <f>IFERROR(__xludf.DUMMYFUNCTION("""COMPUTED_VALUE"""),1086420.0)</f>
        <v>1086420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IFERROR(__xludf.DUMMYFUNCTION("""COMPUTED_VALUE"""),62.48)</f>
        <v>62.48</v>
      </c>
      <c r="C3458" s="1">
        <f>IFERROR(__xludf.DUMMYFUNCTION("""COMPUTED_VALUE"""),62.89)</f>
        <v>62.89</v>
      </c>
      <c r="D3458" s="1">
        <f>IFERROR(__xludf.DUMMYFUNCTION("""COMPUTED_VALUE"""),61.58)</f>
        <v>61.58</v>
      </c>
      <c r="E3458" s="1">
        <f>IFERROR(__xludf.DUMMYFUNCTION("""COMPUTED_VALUE"""),61.97)</f>
        <v>61.97</v>
      </c>
      <c r="F3458" s="1">
        <f>IFERROR(__xludf.DUMMYFUNCTION("""COMPUTED_VALUE"""),1588190.0)</f>
        <v>1588190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IFERROR(__xludf.DUMMYFUNCTION("""COMPUTED_VALUE"""),61.97)</f>
        <v>61.97</v>
      </c>
      <c r="C3459" s="1">
        <f>IFERROR(__xludf.DUMMYFUNCTION("""COMPUTED_VALUE"""),63.06)</f>
        <v>63.06</v>
      </c>
      <c r="D3459" s="1">
        <f>IFERROR(__xludf.DUMMYFUNCTION("""COMPUTED_VALUE"""),61.35)</f>
        <v>61.35</v>
      </c>
      <c r="E3459" s="1">
        <f>IFERROR(__xludf.DUMMYFUNCTION("""COMPUTED_VALUE"""),62.69)</f>
        <v>62.69</v>
      </c>
      <c r="F3459" s="1">
        <f>IFERROR(__xludf.DUMMYFUNCTION("""COMPUTED_VALUE"""),980199.0)</f>
        <v>980199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IFERROR(__xludf.DUMMYFUNCTION("""COMPUTED_VALUE"""),63.32)</f>
        <v>63.32</v>
      </c>
      <c r="C3460" s="1">
        <f>IFERROR(__xludf.DUMMYFUNCTION("""COMPUTED_VALUE"""),63.52)</f>
        <v>63.52</v>
      </c>
      <c r="D3460" s="1">
        <f>IFERROR(__xludf.DUMMYFUNCTION("""COMPUTED_VALUE"""),62.16)</f>
        <v>62.16</v>
      </c>
      <c r="E3460" s="1">
        <f>IFERROR(__xludf.DUMMYFUNCTION("""COMPUTED_VALUE"""),62.5)</f>
        <v>62.5</v>
      </c>
      <c r="F3460" s="1">
        <f>IFERROR(__xludf.DUMMYFUNCTION("""COMPUTED_VALUE"""),899109.0)</f>
        <v>899109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IFERROR(__xludf.DUMMYFUNCTION("""COMPUTED_VALUE"""),62.29)</f>
        <v>62.29</v>
      </c>
      <c r="C3461" s="1">
        <f>IFERROR(__xludf.DUMMYFUNCTION("""COMPUTED_VALUE"""),63.04)</f>
        <v>63.04</v>
      </c>
      <c r="D3461" s="1">
        <f>IFERROR(__xludf.DUMMYFUNCTION("""COMPUTED_VALUE"""),62.29)</f>
        <v>62.29</v>
      </c>
      <c r="E3461" s="1">
        <f>IFERROR(__xludf.DUMMYFUNCTION("""COMPUTED_VALUE"""),62.51)</f>
        <v>62.51</v>
      </c>
      <c r="F3461" s="1">
        <f>IFERROR(__xludf.DUMMYFUNCTION("""COMPUTED_VALUE"""),1515030.0)</f>
        <v>1515030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IFERROR(__xludf.DUMMYFUNCTION("""COMPUTED_VALUE"""),62.35)</f>
        <v>62.35</v>
      </c>
      <c r="C3462" s="1">
        <f>IFERROR(__xludf.DUMMYFUNCTION("""COMPUTED_VALUE"""),62.58)</f>
        <v>62.58</v>
      </c>
      <c r="D3462" s="1">
        <f>IFERROR(__xludf.DUMMYFUNCTION("""COMPUTED_VALUE"""),61.26)</f>
        <v>61.26</v>
      </c>
      <c r="E3462" s="1">
        <f>IFERROR(__xludf.DUMMYFUNCTION("""COMPUTED_VALUE"""),61.61)</f>
        <v>61.61</v>
      </c>
      <c r="F3462" s="1">
        <f>IFERROR(__xludf.DUMMYFUNCTION("""COMPUTED_VALUE"""),1028666.0)</f>
        <v>1028666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IFERROR(__xludf.DUMMYFUNCTION("""COMPUTED_VALUE"""),61.72)</f>
        <v>61.72</v>
      </c>
      <c r="C3463" s="1">
        <f>IFERROR(__xludf.DUMMYFUNCTION("""COMPUTED_VALUE"""),62.32)</f>
        <v>62.32</v>
      </c>
      <c r="D3463" s="1">
        <f>IFERROR(__xludf.DUMMYFUNCTION("""COMPUTED_VALUE"""),61.15)</f>
        <v>61.15</v>
      </c>
      <c r="E3463" s="1">
        <f>IFERROR(__xludf.DUMMYFUNCTION("""COMPUTED_VALUE"""),62.3)</f>
        <v>62.3</v>
      </c>
      <c r="F3463" s="1">
        <f>IFERROR(__xludf.DUMMYFUNCTION("""COMPUTED_VALUE"""),1176601.0)</f>
        <v>1176601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IFERROR(__xludf.DUMMYFUNCTION("""COMPUTED_VALUE"""),62.36)</f>
        <v>62.36</v>
      </c>
      <c r="C3464" s="1">
        <f>IFERROR(__xludf.DUMMYFUNCTION("""COMPUTED_VALUE"""),63.82)</f>
        <v>63.82</v>
      </c>
      <c r="D3464" s="1">
        <f>IFERROR(__xludf.DUMMYFUNCTION("""COMPUTED_VALUE"""),62.36)</f>
        <v>62.36</v>
      </c>
      <c r="E3464" s="1">
        <f>IFERROR(__xludf.DUMMYFUNCTION("""COMPUTED_VALUE"""),63.76)</f>
        <v>63.76</v>
      </c>
      <c r="F3464" s="1">
        <f>IFERROR(__xludf.DUMMYFUNCTION("""COMPUTED_VALUE"""),1064804.0)</f>
        <v>1064804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IFERROR(__xludf.DUMMYFUNCTION("""COMPUTED_VALUE"""),63.46)</f>
        <v>63.46</v>
      </c>
      <c r="C3465" s="1">
        <f>IFERROR(__xludf.DUMMYFUNCTION("""COMPUTED_VALUE"""),65.49)</f>
        <v>65.49</v>
      </c>
      <c r="D3465" s="1">
        <f>IFERROR(__xludf.DUMMYFUNCTION("""COMPUTED_VALUE"""),63.46)</f>
        <v>63.46</v>
      </c>
      <c r="E3465" s="1">
        <f>IFERROR(__xludf.DUMMYFUNCTION("""COMPUTED_VALUE"""),65.34)</f>
        <v>65.34</v>
      </c>
      <c r="F3465" s="1">
        <f>IFERROR(__xludf.DUMMYFUNCTION("""COMPUTED_VALUE"""),1146608.0)</f>
        <v>1146608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IFERROR(__xludf.DUMMYFUNCTION("""COMPUTED_VALUE"""),65.27)</f>
        <v>65.27</v>
      </c>
      <c r="C3466" s="1">
        <f>IFERROR(__xludf.DUMMYFUNCTION("""COMPUTED_VALUE"""),67.05)</f>
        <v>67.05</v>
      </c>
      <c r="D3466" s="1">
        <f>IFERROR(__xludf.DUMMYFUNCTION("""COMPUTED_VALUE"""),64.89)</f>
        <v>64.89</v>
      </c>
      <c r="E3466" s="1">
        <f>IFERROR(__xludf.DUMMYFUNCTION("""COMPUTED_VALUE"""),66.51)</f>
        <v>66.51</v>
      </c>
      <c r="F3466" s="1">
        <f>IFERROR(__xludf.DUMMYFUNCTION("""COMPUTED_VALUE"""),1125587.0)</f>
        <v>1125587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IFERROR(__xludf.DUMMYFUNCTION("""COMPUTED_VALUE"""),66.24)</f>
        <v>66.24</v>
      </c>
      <c r="C3467" s="1">
        <f>IFERROR(__xludf.DUMMYFUNCTION("""COMPUTED_VALUE"""),67.27)</f>
        <v>67.27</v>
      </c>
      <c r="D3467" s="1">
        <f>IFERROR(__xludf.DUMMYFUNCTION("""COMPUTED_VALUE"""),65.55)</f>
        <v>65.55</v>
      </c>
      <c r="E3467" s="1">
        <f>IFERROR(__xludf.DUMMYFUNCTION("""COMPUTED_VALUE"""),67.21)</f>
        <v>67.21</v>
      </c>
      <c r="F3467" s="1">
        <f>IFERROR(__xludf.DUMMYFUNCTION("""COMPUTED_VALUE"""),1466935.0)</f>
        <v>1466935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IFERROR(__xludf.DUMMYFUNCTION("""COMPUTED_VALUE"""),67.22)</f>
        <v>67.22</v>
      </c>
      <c r="C3468" s="1">
        <f>IFERROR(__xludf.DUMMYFUNCTION("""COMPUTED_VALUE"""),67.75)</f>
        <v>67.75</v>
      </c>
      <c r="D3468" s="1">
        <f>IFERROR(__xludf.DUMMYFUNCTION("""COMPUTED_VALUE"""),66.67)</f>
        <v>66.67</v>
      </c>
      <c r="E3468" s="1">
        <f>IFERROR(__xludf.DUMMYFUNCTION("""COMPUTED_VALUE"""),67.3)</f>
        <v>67.3</v>
      </c>
      <c r="F3468" s="1">
        <f>IFERROR(__xludf.DUMMYFUNCTION("""COMPUTED_VALUE"""),833085.0)</f>
        <v>833085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IFERROR(__xludf.DUMMYFUNCTION("""COMPUTED_VALUE"""),67.41)</f>
        <v>67.41</v>
      </c>
      <c r="C3469" s="1">
        <f>IFERROR(__xludf.DUMMYFUNCTION("""COMPUTED_VALUE"""),67.47)</f>
        <v>67.47</v>
      </c>
      <c r="D3469" s="1">
        <f>IFERROR(__xludf.DUMMYFUNCTION("""COMPUTED_VALUE"""),66.41)</f>
        <v>66.41</v>
      </c>
      <c r="E3469" s="1">
        <f>IFERROR(__xludf.DUMMYFUNCTION("""COMPUTED_VALUE"""),67.13)</f>
        <v>67.13</v>
      </c>
      <c r="F3469" s="1">
        <f>IFERROR(__xludf.DUMMYFUNCTION("""COMPUTED_VALUE"""),800515.0)</f>
        <v>800515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IFERROR(__xludf.DUMMYFUNCTION("""COMPUTED_VALUE"""),67.4)</f>
        <v>67.4</v>
      </c>
      <c r="C3470" s="1">
        <f>IFERROR(__xludf.DUMMYFUNCTION("""COMPUTED_VALUE"""),67.77)</f>
        <v>67.77</v>
      </c>
      <c r="D3470" s="1">
        <f>IFERROR(__xludf.DUMMYFUNCTION("""COMPUTED_VALUE"""),66.39)</f>
        <v>66.39</v>
      </c>
      <c r="E3470" s="1">
        <f>IFERROR(__xludf.DUMMYFUNCTION("""COMPUTED_VALUE"""),66.52)</f>
        <v>66.52</v>
      </c>
      <c r="F3470" s="1">
        <f>IFERROR(__xludf.DUMMYFUNCTION("""COMPUTED_VALUE"""),1266785.0)</f>
        <v>1266785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IFERROR(__xludf.DUMMYFUNCTION("""COMPUTED_VALUE"""),66.85)</f>
        <v>66.85</v>
      </c>
      <c r="C3471" s="1">
        <f>IFERROR(__xludf.DUMMYFUNCTION("""COMPUTED_VALUE"""),67.0)</f>
        <v>67</v>
      </c>
      <c r="D3471" s="1">
        <f>IFERROR(__xludf.DUMMYFUNCTION("""COMPUTED_VALUE"""),66.12)</f>
        <v>66.12</v>
      </c>
      <c r="E3471" s="1">
        <f>IFERROR(__xludf.DUMMYFUNCTION("""COMPUTED_VALUE"""),66.76)</f>
        <v>66.76</v>
      </c>
      <c r="F3471" s="1">
        <f>IFERROR(__xludf.DUMMYFUNCTION("""COMPUTED_VALUE"""),1177261.0)</f>
        <v>1177261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IFERROR(__xludf.DUMMYFUNCTION("""COMPUTED_VALUE"""),66.55)</f>
        <v>66.55</v>
      </c>
      <c r="C3472" s="1">
        <f>IFERROR(__xludf.DUMMYFUNCTION("""COMPUTED_VALUE"""),67.29)</f>
        <v>67.29</v>
      </c>
      <c r="D3472" s="1">
        <f>IFERROR(__xludf.DUMMYFUNCTION("""COMPUTED_VALUE"""),66.32)</f>
        <v>66.32</v>
      </c>
      <c r="E3472" s="1">
        <f>IFERROR(__xludf.DUMMYFUNCTION("""COMPUTED_VALUE"""),67.08)</f>
        <v>67.08</v>
      </c>
      <c r="F3472" s="1">
        <f>IFERROR(__xludf.DUMMYFUNCTION("""COMPUTED_VALUE"""),1139953.0)</f>
        <v>1139953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IFERROR(__xludf.DUMMYFUNCTION("""COMPUTED_VALUE"""),66.94)</f>
        <v>66.94</v>
      </c>
      <c r="C3473" s="1">
        <f>IFERROR(__xludf.DUMMYFUNCTION("""COMPUTED_VALUE"""),66.94)</f>
        <v>66.94</v>
      </c>
      <c r="D3473" s="1">
        <f>IFERROR(__xludf.DUMMYFUNCTION("""COMPUTED_VALUE"""),64.76)</f>
        <v>64.76</v>
      </c>
      <c r="E3473" s="1">
        <f>IFERROR(__xludf.DUMMYFUNCTION("""COMPUTED_VALUE"""),64.77)</f>
        <v>64.77</v>
      </c>
      <c r="F3473" s="1">
        <f>IFERROR(__xludf.DUMMYFUNCTION("""COMPUTED_VALUE"""),693790.0)</f>
        <v>693790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IFERROR(__xludf.DUMMYFUNCTION("""COMPUTED_VALUE"""),64.09)</f>
        <v>64.09</v>
      </c>
      <c r="C3474" s="1">
        <f>IFERROR(__xludf.DUMMYFUNCTION("""COMPUTED_VALUE"""),65.03)</f>
        <v>65.03</v>
      </c>
      <c r="D3474" s="1">
        <f>IFERROR(__xludf.DUMMYFUNCTION("""COMPUTED_VALUE"""),63.87)</f>
        <v>63.87</v>
      </c>
      <c r="E3474" s="1">
        <f>IFERROR(__xludf.DUMMYFUNCTION("""COMPUTED_VALUE"""),63.97)</f>
        <v>63.97</v>
      </c>
      <c r="F3474" s="1">
        <f>IFERROR(__xludf.DUMMYFUNCTION("""COMPUTED_VALUE"""),773923.0)</f>
        <v>773923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IFERROR(__xludf.DUMMYFUNCTION("""COMPUTED_VALUE"""),63.74)</f>
        <v>63.74</v>
      </c>
      <c r="C3475" s="1">
        <f>IFERROR(__xludf.DUMMYFUNCTION("""COMPUTED_VALUE"""),64.26)</f>
        <v>64.26</v>
      </c>
      <c r="D3475" s="1">
        <f>IFERROR(__xludf.DUMMYFUNCTION("""COMPUTED_VALUE"""),63.25)</f>
        <v>63.25</v>
      </c>
      <c r="E3475" s="1">
        <f>IFERROR(__xludf.DUMMYFUNCTION("""COMPUTED_VALUE"""),63.46)</f>
        <v>63.46</v>
      </c>
      <c r="F3475" s="1">
        <f>IFERROR(__xludf.DUMMYFUNCTION("""COMPUTED_VALUE"""),660828.0)</f>
        <v>660828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IFERROR(__xludf.DUMMYFUNCTION("""COMPUTED_VALUE"""),63.29)</f>
        <v>63.29</v>
      </c>
      <c r="C3476" s="1">
        <f>IFERROR(__xludf.DUMMYFUNCTION("""COMPUTED_VALUE"""),63.3)</f>
        <v>63.3</v>
      </c>
      <c r="D3476" s="1">
        <f>IFERROR(__xludf.DUMMYFUNCTION("""COMPUTED_VALUE"""),62.4)</f>
        <v>62.4</v>
      </c>
      <c r="E3476" s="1">
        <f>IFERROR(__xludf.DUMMYFUNCTION("""COMPUTED_VALUE"""),62.6)</f>
        <v>62.6</v>
      </c>
      <c r="F3476" s="1">
        <f>IFERROR(__xludf.DUMMYFUNCTION("""COMPUTED_VALUE"""),836091.0)</f>
        <v>836091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IFERROR(__xludf.DUMMYFUNCTION("""COMPUTED_VALUE"""),62.51)</f>
        <v>62.51</v>
      </c>
      <c r="C3477" s="1">
        <f>IFERROR(__xludf.DUMMYFUNCTION("""COMPUTED_VALUE"""),63.5)</f>
        <v>63.5</v>
      </c>
      <c r="D3477" s="1">
        <f>IFERROR(__xludf.DUMMYFUNCTION("""COMPUTED_VALUE"""),62.49)</f>
        <v>62.49</v>
      </c>
      <c r="E3477" s="1">
        <f>IFERROR(__xludf.DUMMYFUNCTION("""COMPUTED_VALUE"""),63.34)</f>
        <v>63.34</v>
      </c>
      <c r="F3477" s="1">
        <f>IFERROR(__xludf.DUMMYFUNCTION("""COMPUTED_VALUE"""),516786.0)</f>
        <v>516786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IFERROR(__xludf.DUMMYFUNCTION("""COMPUTED_VALUE"""),62.95)</f>
        <v>62.95</v>
      </c>
      <c r="C3478" s="1">
        <f>IFERROR(__xludf.DUMMYFUNCTION("""COMPUTED_VALUE"""),63.17)</f>
        <v>63.17</v>
      </c>
      <c r="D3478" s="1">
        <f>IFERROR(__xludf.DUMMYFUNCTION("""COMPUTED_VALUE"""),62.3)</f>
        <v>62.3</v>
      </c>
      <c r="E3478" s="1">
        <f>IFERROR(__xludf.DUMMYFUNCTION("""COMPUTED_VALUE"""),62.85)</f>
        <v>62.85</v>
      </c>
      <c r="F3478" s="1">
        <f>IFERROR(__xludf.DUMMYFUNCTION("""COMPUTED_VALUE"""),487333.0)</f>
        <v>487333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IFERROR(__xludf.DUMMYFUNCTION("""COMPUTED_VALUE"""),62.67)</f>
        <v>62.67</v>
      </c>
      <c r="C3479" s="1">
        <f>IFERROR(__xludf.DUMMYFUNCTION("""COMPUTED_VALUE"""),63.37)</f>
        <v>63.37</v>
      </c>
      <c r="D3479" s="1">
        <f>IFERROR(__xludf.DUMMYFUNCTION("""COMPUTED_VALUE"""),62.35)</f>
        <v>62.35</v>
      </c>
      <c r="E3479" s="1">
        <f>IFERROR(__xludf.DUMMYFUNCTION("""COMPUTED_VALUE"""),62.71)</f>
        <v>62.71</v>
      </c>
      <c r="F3479" s="1">
        <f>IFERROR(__xludf.DUMMYFUNCTION("""COMPUTED_VALUE"""),789618.0)</f>
        <v>789618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IFERROR(__xludf.DUMMYFUNCTION("""COMPUTED_VALUE"""),62.98)</f>
        <v>62.98</v>
      </c>
      <c r="C3480" s="1">
        <f>IFERROR(__xludf.DUMMYFUNCTION("""COMPUTED_VALUE"""),62.98)</f>
        <v>62.98</v>
      </c>
      <c r="D3480" s="1">
        <f>IFERROR(__xludf.DUMMYFUNCTION("""COMPUTED_VALUE"""),62.01)</f>
        <v>62.01</v>
      </c>
      <c r="E3480" s="1">
        <f>IFERROR(__xludf.DUMMYFUNCTION("""COMPUTED_VALUE"""),62.24)</f>
        <v>62.24</v>
      </c>
      <c r="F3480" s="1">
        <f>IFERROR(__xludf.DUMMYFUNCTION("""COMPUTED_VALUE"""),696338.0)</f>
        <v>696338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IFERROR(__xludf.DUMMYFUNCTION("""COMPUTED_VALUE"""),62.5)</f>
        <v>62.5</v>
      </c>
      <c r="C3481" s="1">
        <f>IFERROR(__xludf.DUMMYFUNCTION("""COMPUTED_VALUE"""),63.68)</f>
        <v>63.68</v>
      </c>
      <c r="D3481" s="1">
        <f>IFERROR(__xludf.DUMMYFUNCTION("""COMPUTED_VALUE"""),62.23)</f>
        <v>62.23</v>
      </c>
      <c r="E3481" s="1">
        <f>IFERROR(__xludf.DUMMYFUNCTION("""COMPUTED_VALUE"""),63.67)</f>
        <v>63.67</v>
      </c>
      <c r="F3481" s="1">
        <f>IFERROR(__xludf.DUMMYFUNCTION("""COMPUTED_VALUE"""),904433.0)</f>
        <v>904433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IFERROR(__xludf.DUMMYFUNCTION("""COMPUTED_VALUE"""),63.88)</f>
        <v>63.88</v>
      </c>
      <c r="C3482" s="1">
        <f>IFERROR(__xludf.DUMMYFUNCTION("""COMPUTED_VALUE"""),65.53)</f>
        <v>65.53</v>
      </c>
      <c r="D3482" s="1">
        <f>IFERROR(__xludf.DUMMYFUNCTION("""COMPUTED_VALUE"""),63.64)</f>
        <v>63.64</v>
      </c>
      <c r="E3482" s="1">
        <f>IFERROR(__xludf.DUMMYFUNCTION("""COMPUTED_VALUE"""),65.4)</f>
        <v>65.4</v>
      </c>
      <c r="F3482" s="1">
        <f>IFERROR(__xludf.DUMMYFUNCTION("""COMPUTED_VALUE"""),1545203.0)</f>
        <v>1545203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IFERROR(__xludf.DUMMYFUNCTION("""COMPUTED_VALUE"""),65.38)</f>
        <v>65.38</v>
      </c>
      <c r="C3483" s="1">
        <f>IFERROR(__xludf.DUMMYFUNCTION("""COMPUTED_VALUE"""),65.99)</f>
        <v>65.99</v>
      </c>
      <c r="D3483" s="1">
        <f>IFERROR(__xludf.DUMMYFUNCTION("""COMPUTED_VALUE"""),64.78)</f>
        <v>64.78</v>
      </c>
      <c r="E3483" s="1">
        <f>IFERROR(__xludf.DUMMYFUNCTION("""COMPUTED_VALUE"""),65.74)</f>
        <v>65.74</v>
      </c>
      <c r="F3483" s="1">
        <f>IFERROR(__xludf.DUMMYFUNCTION("""COMPUTED_VALUE"""),829106.0)</f>
        <v>829106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IFERROR(__xludf.DUMMYFUNCTION("""COMPUTED_VALUE"""),66.5)</f>
        <v>66.5</v>
      </c>
      <c r="C3484" s="1">
        <f>IFERROR(__xludf.DUMMYFUNCTION("""COMPUTED_VALUE"""),67.93)</f>
        <v>67.93</v>
      </c>
      <c r="D3484" s="1">
        <f>IFERROR(__xludf.DUMMYFUNCTION("""COMPUTED_VALUE"""),66.26)</f>
        <v>66.26</v>
      </c>
      <c r="E3484" s="1">
        <f>IFERROR(__xludf.DUMMYFUNCTION("""COMPUTED_VALUE"""),67.69)</f>
        <v>67.69</v>
      </c>
      <c r="F3484" s="1">
        <f>IFERROR(__xludf.DUMMYFUNCTION("""COMPUTED_VALUE"""),1251152.0)</f>
        <v>1251152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IFERROR(__xludf.DUMMYFUNCTION("""COMPUTED_VALUE"""),68.0)</f>
        <v>68</v>
      </c>
      <c r="C3485" s="1">
        <f>IFERROR(__xludf.DUMMYFUNCTION("""COMPUTED_VALUE"""),68.25)</f>
        <v>68.25</v>
      </c>
      <c r="D3485" s="1">
        <f>IFERROR(__xludf.DUMMYFUNCTION("""COMPUTED_VALUE"""),67.12)</f>
        <v>67.12</v>
      </c>
      <c r="E3485" s="1">
        <f>IFERROR(__xludf.DUMMYFUNCTION("""COMPUTED_VALUE"""),68.01)</f>
        <v>68.01</v>
      </c>
      <c r="F3485" s="1">
        <f>IFERROR(__xludf.DUMMYFUNCTION("""COMPUTED_VALUE"""),1397387.0)</f>
        <v>1397387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IFERROR(__xludf.DUMMYFUNCTION("""COMPUTED_VALUE"""),67.78)</f>
        <v>67.78</v>
      </c>
      <c r="C3486" s="1">
        <f>IFERROR(__xludf.DUMMYFUNCTION("""COMPUTED_VALUE"""),67.89)</f>
        <v>67.89</v>
      </c>
      <c r="D3486" s="1">
        <f>IFERROR(__xludf.DUMMYFUNCTION("""COMPUTED_VALUE"""),66.4)</f>
        <v>66.4</v>
      </c>
      <c r="E3486" s="1">
        <f>IFERROR(__xludf.DUMMYFUNCTION("""COMPUTED_VALUE"""),66.72)</f>
        <v>66.72</v>
      </c>
      <c r="F3486" s="1">
        <f>IFERROR(__xludf.DUMMYFUNCTION("""COMPUTED_VALUE"""),1037837.0)</f>
        <v>1037837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IFERROR(__xludf.DUMMYFUNCTION("""COMPUTED_VALUE"""),66.76)</f>
        <v>66.76</v>
      </c>
      <c r="C3487" s="1">
        <f>IFERROR(__xludf.DUMMYFUNCTION("""COMPUTED_VALUE"""),66.79)</f>
        <v>66.79</v>
      </c>
      <c r="D3487" s="1">
        <f>IFERROR(__xludf.DUMMYFUNCTION("""COMPUTED_VALUE"""),65.84)</f>
        <v>65.84</v>
      </c>
      <c r="E3487" s="1">
        <f>IFERROR(__xludf.DUMMYFUNCTION("""COMPUTED_VALUE"""),66.75)</f>
        <v>66.75</v>
      </c>
      <c r="F3487" s="1">
        <f>IFERROR(__xludf.DUMMYFUNCTION("""COMPUTED_VALUE"""),915823.0)</f>
        <v>915823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IFERROR(__xludf.DUMMYFUNCTION("""COMPUTED_VALUE"""),66.69)</f>
        <v>66.69</v>
      </c>
      <c r="C3488" s="1">
        <f>IFERROR(__xludf.DUMMYFUNCTION("""COMPUTED_VALUE"""),66.88)</f>
        <v>66.88</v>
      </c>
      <c r="D3488" s="1">
        <f>IFERROR(__xludf.DUMMYFUNCTION("""COMPUTED_VALUE"""),66.08)</f>
        <v>66.08</v>
      </c>
      <c r="E3488" s="1">
        <f>IFERROR(__xludf.DUMMYFUNCTION("""COMPUTED_VALUE"""),66.38)</f>
        <v>66.38</v>
      </c>
      <c r="F3488" s="1">
        <f>IFERROR(__xludf.DUMMYFUNCTION("""COMPUTED_VALUE"""),892485.0)</f>
        <v>892485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IFERROR(__xludf.DUMMYFUNCTION("""COMPUTED_VALUE"""),66.69)</f>
        <v>66.69</v>
      </c>
      <c r="C3489" s="1">
        <f>IFERROR(__xludf.DUMMYFUNCTION("""COMPUTED_VALUE"""),67.4)</f>
        <v>67.4</v>
      </c>
      <c r="D3489" s="1">
        <f>IFERROR(__xludf.DUMMYFUNCTION("""COMPUTED_VALUE"""),66.4)</f>
        <v>66.4</v>
      </c>
      <c r="E3489" s="1">
        <f>IFERROR(__xludf.DUMMYFUNCTION("""COMPUTED_VALUE"""),67.07)</f>
        <v>67.07</v>
      </c>
      <c r="F3489" s="1">
        <f>IFERROR(__xludf.DUMMYFUNCTION("""COMPUTED_VALUE"""),2288418.0)</f>
        <v>2288418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IFERROR(__xludf.DUMMYFUNCTION("""COMPUTED_VALUE"""),65.3)</f>
        <v>65.3</v>
      </c>
      <c r="C3490" s="1">
        <f>IFERROR(__xludf.DUMMYFUNCTION("""COMPUTED_VALUE"""),65.51)</f>
        <v>65.51</v>
      </c>
      <c r="D3490" s="1">
        <f>IFERROR(__xludf.DUMMYFUNCTION("""COMPUTED_VALUE"""),59.91)</f>
        <v>59.91</v>
      </c>
      <c r="E3490" s="1">
        <f>IFERROR(__xludf.DUMMYFUNCTION("""COMPUTED_VALUE"""),60.14)</f>
        <v>60.14</v>
      </c>
      <c r="F3490" s="1">
        <f>IFERROR(__xludf.DUMMYFUNCTION("""COMPUTED_VALUE"""),5549122.0)</f>
        <v>5549122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IFERROR(__xludf.DUMMYFUNCTION("""COMPUTED_VALUE"""),60.16)</f>
        <v>60.16</v>
      </c>
      <c r="C3491" s="1">
        <f>IFERROR(__xludf.DUMMYFUNCTION("""COMPUTED_VALUE"""),60.16)</f>
        <v>60.16</v>
      </c>
      <c r="D3491" s="1">
        <f>IFERROR(__xludf.DUMMYFUNCTION("""COMPUTED_VALUE"""),58.85)</f>
        <v>58.85</v>
      </c>
      <c r="E3491" s="1">
        <f>IFERROR(__xludf.DUMMYFUNCTION("""COMPUTED_VALUE"""),59.67)</f>
        <v>59.67</v>
      </c>
      <c r="F3491" s="1">
        <f>IFERROR(__xludf.DUMMYFUNCTION("""COMPUTED_VALUE"""),2097618.0)</f>
        <v>2097618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IFERROR(__xludf.DUMMYFUNCTION("""COMPUTED_VALUE"""),60.38)</f>
        <v>60.38</v>
      </c>
      <c r="C3492" s="1">
        <f>IFERROR(__xludf.DUMMYFUNCTION("""COMPUTED_VALUE"""),61.23)</f>
        <v>61.23</v>
      </c>
      <c r="D3492" s="1">
        <f>IFERROR(__xludf.DUMMYFUNCTION("""COMPUTED_VALUE"""),59.75)</f>
        <v>59.75</v>
      </c>
      <c r="E3492" s="1">
        <f>IFERROR(__xludf.DUMMYFUNCTION("""COMPUTED_VALUE"""),60.14)</f>
        <v>60.14</v>
      </c>
      <c r="F3492" s="1">
        <f>IFERROR(__xludf.DUMMYFUNCTION("""COMPUTED_VALUE"""),2466500.0)</f>
        <v>2466500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IFERROR(__xludf.DUMMYFUNCTION("""COMPUTED_VALUE"""),60.42)</f>
        <v>60.42</v>
      </c>
      <c r="C3493" s="1">
        <f>IFERROR(__xludf.DUMMYFUNCTION("""COMPUTED_VALUE"""),61.35)</f>
        <v>61.35</v>
      </c>
      <c r="D3493" s="1">
        <f>IFERROR(__xludf.DUMMYFUNCTION("""COMPUTED_VALUE"""),59.11)</f>
        <v>59.11</v>
      </c>
      <c r="E3493" s="1">
        <f>IFERROR(__xludf.DUMMYFUNCTION("""COMPUTED_VALUE"""),59.65)</f>
        <v>59.65</v>
      </c>
      <c r="F3493" s="1">
        <f>IFERROR(__xludf.DUMMYFUNCTION("""COMPUTED_VALUE"""),1775741.0)</f>
        <v>1775741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IFERROR(__xludf.DUMMYFUNCTION("""COMPUTED_VALUE"""),59.38)</f>
        <v>59.38</v>
      </c>
      <c r="C3494" s="1">
        <f>IFERROR(__xludf.DUMMYFUNCTION("""COMPUTED_VALUE"""),61.47)</f>
        <v>61.47</v>
      </c>
      <c r="D3494" s="1">
        <f>IFERROR(__xludf.DUMMYFUNCTION("""COMPUTED_VALUE"""),59.38)</f>
        <v>59.38</v>
      </c>
      <c r="E3494" s="1">
        <f>IFERROR(__xludf.DUMMYFUNCTION("""COMPUTED_VALUE"""),61.46)</f>
        <v>61.46</v>
      </c>
      <c r="F3494" s="1">
        <f>IFERROR(__xludf.DUMMYFUNCTION("""COMPUTED_VALUE"""),1632730.0)</f>
        <v>1632730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IFERROR(__xludf.DUMMYFUNCTION("""COMPUTED_VALUE"""),61.77)</f>
        <v>61.77</v>
      </c>
      <c r="C3495" s="1">
        <f>IFERROR(__xludf.DUMMYFUNCTION("""COMPUTED_VALUE"""),62.25)</f>
        <v>62.25</v>
      </c>
      <c r="D3495" s="1">
        <f>IFERROR(__xludf.DUMMYFUNCTION("""COMPUTED_VALUE"""),60.54)</f>
        <v>60.54</v>
      </c>
      <c r="E3495" s="1">
        <f>IFERROR(__xludf.DUMMYFUNCTION("""COMPUTED_VALUE"""),61.62)</f>
        <v>61.62</v>
      </c>
      <c r="F3495" s="1">
        <f>IFERROR(__xludf.DUMMYFUNCTION("""COMPUTED_VALUE"""),1293035.0)</f>
        <v>1293035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IFERROR(__xludf.DUMMYFUNCTION("""COMPUTED_VALUE"""),61.5)</f>
        <v>61.5</v>
      </c>
      <c r="C3496" s="1">
        <f>IFERROR(__xludf.DUMMYFUNCTION("""COMPUTED_VALUE"""),62.25)</f>
        <v>62.25</v>
      </c>
      <c r="D3496" s="1">
        <f>IFERROR(__xludf.DUMMYFUNCTION("""COMPUTED_VALUE"""),61.22)</f>
        <v>61.22</v>
      </c>
      <c r="E3496" s="1">
        <f>IFERROR(__xludf.DUMMYFUNCTION("""COMPUTED_VALUE"""),61.92)</f>
        <v>61.92</v>
      </c>
      <c r="F3496" s="1">
        <f>IFERROR(__xludf.DUMMYFUNCTION("""COMPUTED_VALUE"""),746111.0)</f>
        <v>746111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IFERROR(__xludf.DUMMYFUNCTION("""COMPUTED_VALUE"""),61.72)</f>
        <v>61.72</v>
      </c>
      <c r="C3497" s="1">
        <f>IFERROR(__xludf.DUMMYFUNCTION("""COMPUTED_VALUE"""),62.36)</f>
        <v>62.36</v>
      </c>
      <c r="D3497" s="1">
        <f>IFERROR(__xludf.DUMMYFUNCTION("""COMPUTED_VALUE"""),61.29)</f>
        <v>61.29</v>
      </c>
      <c r="E3497" s="1">
        <f>IFERROR(__xludf.DUMMYFUNCTION("""COMPUTED_VALUE"""),61.63)</f>
        <v>61.63</v>
      </c>
      <c r="F3497" s="1">
        <f>IFERROR(__xludf.DUMMYFUNCTION("""COMPUTED_VALUE"""),623347.0)</f>
        <v>623347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IFERROR(__xludf.DUMMYFUNCTION("""COMPUTED_VALUE"""),61.84)</f>
        <v>61.84</v>
      </c>
      <c r="C3498" s="1">
        <f>IFERROR(__xludf.DUMMYFUNCTION("""COMPUTED_VALUE"""),62.56)</f>
        <v>62.56</v>
      </c>
      <c r="D3498" s="1">
        <f>IFERROR(__xludf.DUMMYFUNCTION("""COMPUTED_VALUE"""),61.62)</f>
        <v>61.62</v>
      </c>
      <c r="E3498" s="1">
        <f>IFERROR(__xludf.DUMMYFUNCTION("""COMPUTED_VALUE"""),62.15)</f>
        <v>62.15</v>
      </c>
      <c r="F3498" s="1">
        <f>IFERROR(__xludf.DUMMYFUNCTION("""COMPUTED_VALUE"""),823011.0)</f>
        <v>823011</v>
      </c>
    </row>
    <row r="3499">
      <c r="A3499" s="2">
        <f>IFERROR(__xludf.DUMMYFUNCTION("""COMPUTED_VALUE"""),45254.54166666667)</f>
        <v>45254.54167</v>
      </c>
      <c r="B3499" s="1">
        <f>IFERROR(__xludf.DUMMYFUNCTION("""COMPUTED_VALUE"""),61.9)</f>
        <v>61.9</v>
      </c>
      <c r="C3499" s="1">
        <f>IFERROR(__xludf.DUMMYFUNCTION("""COMPUTED_VALUE"""),63.03)</f>
        <v>63.03</v>
      </c>
      <c r="D3499" s="1">
        <f>IFERROR(__xludf.DUMMYFUNCTION("""COMPUTED_VALUE"""),61.78)</f>
        <v>61.78</v>
      </c>
      <c r="E3499" s="1">
        <f>IFERROR(__xludf.DUMMYFUNCTION("""COMPUTED_VALUE"""),62.86)</f>
        <v>62.86</v>
      </c>
      <c r="F3499" s="1">
        <f>IFERROR(__xludf.DUMMYFUNCTION("""COMPUTED_VALUE"""),329453.0)</f>
        <v>329453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IFERROR(__xludf.DUMMYFUNCTION("""COMPUTED_VALUE"""),62.44)</f>
        <v>62.44</v>
      </c>
      <c r="C3500" s="1">
        <f>IFERROR(__xludf.DUMMYFUNCTION("""COMPUTED_VALUE"""),63.83)</f>
        <v>63.83</v>
      </c>
      <c r="D3500" s="1">
        <f>IFERROR(__xludf.DUMMYFUNCTION("""COMPUTED_VALUE"""),62.08)</f>
        <v>62.08</v>
      </c>
      <c r="E3500" s="1">
        <f>IFERROR(__xludf.DUMMYFUNCTION("""COMPUTED_VALUE"""),63.53)</f>
        <v>63.53</v>
      </c>
      <c r="F3500" s="1">
        <f>IFERROR(__xludf.DUMMYFUNCTION("""COMPUTED_VALUE"""),1171991.0)</f>
        <v>1171991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IFERROR(__xludf.DUMMYFUNCTION("""COMPUTED_VALUE"""),63.36)</f>
        <v>63.36</v>
      </c>
      <c r="C3501" s="1">
        <f>IFERROR(__xludf.DUMMYFUNCTION("""COMPUTED_VALUE"""),63.91)</f>
        <v>63.91</v>
      </c>
      <c r="D3501" s="1">
        <f>IFERROR(__xludf.DUMMYFUNCTION("""COMPUTED_VALUE"""),63.04)</f>
        <v>63.04</v>
      </c>
      <c r="E3501" s="1">
        <f>IFERROR(__xludf.DUMMYFUNCTION("""COMPUTED_VALUE"""),63.24)</f>
        <v>63.24</v>
      </c>
      <c r="F3501" s="1">
        <f>IFERROR(__xludf.DUMMYFUNCTION("""COMPUTED_VALUE"""),747525.0)</f>
        <v>747525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IFERROR(__xludf.DUMMYFUNCTION("""COMPUTED_VALUE"""),63.21)</f>
        <v>63.21</v>
      </c>
      <c r="C3502" s="1">
        <f>IFERROR(__xludf.DUMMYFUNCTION("""COMPUTED_VALUE"""),63.44)</f>
        <v>63.44</v>
      </c>
      <c r="D3502" s="1">
        <f>IFERROR(__xludf.DUMMYFUNCTION("""COMPUTED_VALUE"""),62.53)</f>
        <v>62.53</v>
      </c>
      <c r="E3502" s="1">
        <f>IFERROR(__xludf.DUMMYFUNCTION("""COMPUTED_VALUE"""),63.17)</f>
        <v>63.17</v>
      </c>
      <c r="F3502" s="1">
        <f>IFERROR(__xludf.DUMMYFUNCTION("""COMPUTED_VALUE"""),1165147.0)</f>
        <v>1165147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IFERROR(__xludf.DUMMYFUNCTION("""COMPUTED_VALUE"""),63.05)</f>
        <v>63.05</v>
      </c>
      <c r="C3503" s="1">
        <f>IFERROR(__xludf.DUMMYFUNCTION("""COMPUTED_VALUE"""),63.92)</f>
        <v>63.92</v>
      </c>
      <c r="D3503" s="1">
        <f>IFERROR(__xludf.DUMMYFUNCTION("""COMPUTED_VALUE"""),62.78)</f>
        <v>62.78</v>
      </c>
      <c r="E3503" s="1">
        <f>IFERROR(__xludf.DUMMYFUNCTION("""COMPUTED_VALUE"""),63.68)</f>
        <v>63.68</v>
      </c>
      <c r="F3503" s="1">
        <f>IFERROR(__xludf.DUMMYFUNCTION("""COMPUTED_VALUE"""),1447591.0)</f>
        <v>1447591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IFERROR(__xludf.DUMMYFUNCTION("""COMPUTED_VALUE"""),63.61)</f>
        <v>63.61</v>
      </c>
      <c r="C3504" s="1">
        <f>IFERROR(__xludf.DUMMYFUNCTION("""COMPUTED_VALUE"""),66.61)</f>
        <v>66.61</v>
      </c>
      <c r="D3504" s="1">
        <f>IFERROR(__xludf.DUMMYFUNCTION("""COMPUTED_VALUE"""),63.51)</f>
        <v>63.51</v>
      </c>
      <c r="E3504" s="1">
        <f>IFERROR(__xludf.DUMMYFUNCTION("""COMPUTED_VALUE"""),66.5)</f>
        <v>66.5</v>
      </c>
      <c r="F3504" s="1">
        <f>IFERROR(__xludf.DUMMYFUNCTION("""COMPUTED_VALUE"""),1914766.0)</f>
        <v>1914766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IFERROR(__xludf.DUMMYFUNCTION("""COMPUTED_VALUE"""),66.16)</f>
        <v>66.16</v>
      </c>
      <c r="C3505" s="1">
        <f>IFERROR(__xludf.DUMMYFUNCTION("""COMPUTED_VALUE"""),66.57)</f>
        <v>66.57</v>
      </c>
      <c r="D3505" s="1">
        <f>IFERROR(__xludf.DUMMYFUNCTION("""COMPUTED_VALUE"""),64.5)</f>
        <v>64.5</v>
      </c>
      <c r="E3505" s="1">
        <f>IFERROR(__xludf.DUMMYFUNCTION("""COMPUTED_VALUE"""),64.75)</f>
        <v>64.75</v>
      </c>
      <c r="F3505" s="1">
        <f>IFERROR(__xludf.DUMMYFUNCTION("""COMPUTED_VALUE"""),1117526.0)</f>
        <v>1117526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IFERROR(__xludf.DUMMYFUNCTION("""COMPUTED_VALUE"""),64.53)</f>
        <v>64.53</v>
      </c>
      <c r="C3506" s="1">
        <f>IFERROR(__xludf.DUMMYFUNCTION("""COMPUTED_VALUE"""),64.92)</f>
        <v>64.92</v>
      </c>
      <c r="D3506" s="1">
        <f>IFERROR(__xludf.DUMMYFUNCTION("""COMPUTED_VALUE"""),63.19)</f>
        <v>63.19</v>
      </c>
      <c r="E3506" s="1">
        <f>IFERROR(__xludf.DUMMYFUNCTION("""COMPUTED_VALUE"""),63.35)</f>
        <v>63.35</v>
      </c>
      <c r="F3506" s="1">
        <f>IFERROR(__xludf.DUMMYFUNCTION("""COMPUTED_VALUE"""),892350.0)</f>
        <v>892350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IFERROR(__xludf.DUMMYFUNCTION("""COMPUTED_VALUE"""),63.94)</f>
        <v>63.94</v>
      </c>
      <c r="C3507" s="1">
        <f>IFERROR(__xludf.DUMMYFUNCTION("""COMPUTED_VALUE"""),64.21)</f>
        <v>64.21</v>
      </c>
      <c r="D3507" s="1">
        <f>IFERROR(__xludf.DUMMYFUNCTION("""COMPUTED_VALUE"""),63.41)</f>
        <v>63.41</v>
      </c>
      <c r="E3507" s="1">
        <f>IFERROR(__xludf.DUMMYFUNCTION("""COMPUTED_VALUE"""),63.64)</f>
        <v>63.64</v>
      </c>
      <c r="F3507" s="1">
        <f>IFERROR(__xludf.DUMMYFUNCTION("""COMPUTED_VALUE"""),452920.0)</f>
        <v>452920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IFERROR(__xludf.DUMMYFUNCTION("""COMPUTED_VALUE"""),63.45)</f>
        <v>63.45</v>
      </c>
      <c r="C3508" s="1">
        <f>IFERROR(__xludf.DUMMYFUNCTION("""COMPUTED_VALUE"""),63.55)</f>
        <v>63.55</v>
      </c>
      <c r="D3508" s="1">
        <f>IFERROR(__xludf.DUMMYFUNCTION("""COMPUTED_VALUE"""),62.7)</f>
        <v>62.7</v>
      </c>
      <c r="E3508" s="1">
        <f>IFERROR(__xludf.DUMMYFUNCTION("""COMPUTED_VALUE"""),63.1)</f>
        <v>63.1</v>
      </c>
      <c r="F3508" s="1">
        <f>IFERROR(__xludf.DUMMYFUNCTION("""COMPUTED_VALUE"""),815479.0)</f>
        <v>815479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IFERROR(__xludf.DUMMYFUNCTION("""COMPUTED_VALUE"""),63.18)</f>
        <v>63.18</v>
      </c>
      <c r="C3509" s="1">
        <f>IFERROR(__xludf.DUMMYFUNCTION("""COMPUTED_VALUE"""),63.57)</f>
        <v>63.57</v>
      </c>
      <c r="D3509" s="1">
        <f>IFERROR(__xludf.DUMMYFUNCTION("""COMPUTED_VALUE"""),62.25)</f>
        <v>62.25</v>
      </c>
      <c r="E3509" s="1">
        <f>IFERROR(__xludf.DUMMYFUNCTION("""COMPUTED_VALUE"""),62.83)</f>
        <v>62.83</v>
      </c>
      <c r="F3509" s="1">
        <f>IFERROR(__xludf.DUMMYFUNCTION("""COMPUTED_VALUE"""),947855.0)</f>
        <v>947855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IFERROR(__xludf.DUMMYFUNCTION("""COMPUTED_VALUE"""),62.9)</f>
        <v>62.9</v>
      </c>
      <c r="C3510" s="1">
        <f>IFERROR(__xludf.DUMMYFUNCTION("""COMPUTED_VALUE"""),63.42)</f>
        <v>63.42</v>
      </c>
      <c r="D3510" s="1">
        <f>IFERROR(__xludf.DUMMYFUNCTION("""COMPUTED_VALUE"""),62.64)</f>
        <v>62.64</v>
      </c>
      <c r="E3510" s="1">
        <f>IFERROR(__xludf.DUMMYFUNCTION("""COMPUTED_VALUE"""),63.18)</f>
        <v>63.18</v>
      </c>
      <c r="F3510" s="1">
        <f>IFERROR(__xludf.DUMMYFUNCTION("""COMPUTED_VALUE"""),652579.0)</f>
        <v>652579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IFERROR(__xludf.DUMMYFUNCTION("""COMPUTED_VALUE"""),63.04)</f>
        <v>63.04</v>
      </c>
      <c r="C3511" s="1">
        <f>IFERROR(__xludf.DUMMYFUNCTION("""COMPUTED_VALUE"""),63.76)</f>
        <v>63.76</v>
      </c>
      <c r="D3511" s="1">
        <f>IFERROR(__xludf.DUMMYFUNCTION("""COMPUTED_VALUE"""),62.67)</f>
        <v>62.67</v>
      </c>
      <c r="E3511" s="1">
        <f>IFERROR(__xludf.DUMMYFUNCTION("""COMPUTED_VALUE"""),63.67)</f>
        <v>63.67</v>
      </c>
      <c r="F3511" s="1">
        <f>IFERROR(__xludf.DUMMYFUNCTION("""COMPUTED_VALUE"""),589989.0)</f>
        <v>589989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IFERROR(__xludf.DUMMYFUNCTION("""COMPUTED_VALUE"""),63.76)</f>
        <v>63.76</v>
      </c>
      <c r="C3512" s="1">
        <f>IFERROR(__xludf.DUMMYFUNCTION("""COMPUTED_VALUE"""),64.76)</f>
        <v>64.76</v>
      </c>
      <c r="D3512" s="1">
        <f>IFERROR(__xludf.DUMMYFUNCTION("""COMPUTED_VALUE"""),63.4)</f>
        <v>63.4</v>
      </c>
      <c r="E3512" s="1">
        <f>IFERROR(__xludf.DUMMYFUNCTION("""COMPUTED_VALUE"""),64.55)</f>
        <v>64.55</v>
      </c>
      <c r="F3512" s="1">
        <f>IFERROR(__xludf.DUMMYFUNCTION("""COMPUTED_VALUE"""),937836.0)</f>
        <v>937836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IFERROR(__xludf.DUMMYFUNCTION("""COMPUTED_VALUE"""),65.12)</f>
        <v>65.12</v>
      </c>
      <c r="C3513" s="1">
        <f>IFERROR(__xludf.DUMMYFUNCTION("""COMPUTED_VALUE"""),66.02)</f>
        <v>66.02</v>
      </c>
      <c r="D3513" s="1">
        <f>IFERROR(__xludf.DUMMYFUNCTION("""COMPUTED_VALUE"""),64.73)</f>
        <v>64.73</v>
      </c>
      <c r="E3513" s="1">
        <f>IFERROR(__xludf.DUMMYFUNCTION("""COMPUTED_VALUE"""),65.2)</f>
        <v>65.2</v>
      </c>
      <c r="F3513" s="1">
        <f>IFERROR(__xludf.DUMMYFUNCTION("""COMPUTED_VALUE"""),1628924.0)</f>
        <v>1628924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IFERROR(__xludf.DUMMYFUNCTION("""COMPUTED_VALUE"""),64.95)</f>
        <v>64.95</v>
      </c>
      <c r="C3514" s="1">
        <f>IFERROR(__xludf.DUMMYFUNCTION("""COMPUTED_VALUE"""),65.04)</f>
        <v>65.04</v>
      </c>
      <c r="D3514" s="1">
        <f>IFERROR(__xludf.DUMMYFUNCTION("""COMPUTED_VALUE"""),63.18)</f>
        <v>63.18</v>
      </c>
      <c r="E3514" s="1">
        <f>IFERROR(__xludf.DUMMYFUNCTION("""COMPUTED_VALUE"""),63.79)</f>
        <v>63.79</v>
      </c>
      <c r="F3514" s="1">
        <f>IFERROR(__xludf.DUMMYFUNCTION("""COMPUTED_VALUE"""),1929489.0)</f>
        <v>1929489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IFERROR(__xludf.DUMMYFUNCTION("""COMPUTED_VALUE"""),64.19)</f>
        <v>64.19</v>
      </c>
      <c r="C3515" s="1">
        <f>IFERROR(__xludf.DUMMYFUNCTION("""COMPUTED_VALUE"""),64.27)</f>
        <v>64.27</v>
      </c>
      <c r="D3515" s="1">
        <f>IFERROR(__xludf.DUMMYFUNCTION("""COMPUTED_VALUE"""),63.25)</f>
        <v>63.25</v>
      </c>
      <c r="E3515" s="1">
        <f>IFERROR(__xludf.DUMMYFUNCTION("""COMPUTED_VALUE"""),63.81)</f>
        <v>63.81</v>
      </c>
      <c r="F3515" s="1">
        <f>IFERROR(__xludf.DUMMYFUNCTION("""COMPUTED_VALUE"""),838537.0)</f>
        <v>838537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IFERROR(__xludf.DUMMYFUNCTION("""COMPUTED_VALUE"""),64.19)</f>
        <v>64.19</v>
      </c>
      <c r="C3516" s="1">
        <f>IFERROR(__xludf.DUMMYFUNCTION("""COMPUTED_VALUE"""),65.01)</f>
        <v>65.01</v>
      </c>
      <c r="D3516" s="1">
        <f>IFERROR(__xludf.DUMMYFUNCTION("""COMPUTED_VALUE"""),63.88)</f>
        <v>63.88</v>
      </c>
      <c r="E3516" s="1">
        <f>IFERROR(__xludf.DUMMYFUNCTION("""COMPUTED_VALUE"""),64.82)</f>
        <v>64.82</v>
      </c>
      <c r="F3516" s="1">
        <f>IFERROR(__xludf.DUMMYFUNCTION("""COMPUTED_VALUE"""),848026.0)</f>
        <v>848026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IFERROR(__xludf.DUMMYFUNCTION("""COMPUTED_VALUE"""),64.5)</f>
        <v>64.5</v>
      </c>
      <c r="C3517" s="1">
        <f>IFERROR(__xludf.DUMMYFUNCTION("""COMPUTED_VALUE"""),65.45)</f>
        <v>65.45</v>
      </c>
      <c r="D3517" s="1">
        <f>IFERROR(__xludf.DUMMYFUNCTION("""COMPUTED_VALUE"""),64.03)</f>
        <v>64.03</v>
      </c>
      <c r="E3517" s="1">
        <f>IFERROR(__xludf.DUMMYFUNCTION("""COMPUTED_VALUE"""),64.12)</f>
        <v>64.12</v>
      </c>
      <c r="F3517" s="1">
        <f>IFERROR(__xludf.DUMMYFUNCTION("""COMPUTED_VALUE"""),662070.0)</f>
        <v>662070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IFERROR(__xludf.DUMMYFUNCTION("""COMPUTED_VALUE"""),64.92)</f>
        <v>64.92</v>
      </c>
      <c r="C3518" s="1">
        <f>IFERROR(__xludf.DUMMYFUNCTION("""COMPUTED_VALUE"""),66.02)</f>
        <v>66.02</v>
      </c>
      <c r="D3518" s="1">
        <f>IFERROR(__xludf.DUMMYFUNCTION("""COMPUTED_VALUE"""),64.73)</f>
        <v>64.73</v>
      </c>
      <c r="E3518" s="1">
        <f>IFERROR(__xludf.DUMMYFUNCTION("""COMPUTED_VALUE"""),65.98)</f>
        <v>65.98</v>
      </c>
      <c r="F3518" s="1">
        <f>IFERROR(__xludf.DUMMYFUNCTION("""COMPUTED_VALUE"""),929591.0)</f>
        <v>929591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IFERROR(__xludf.DUMMYFUNCTION("""COMPUTED_VALUE"""),65.97)</f>
        <v>65.97</v>
      </c>
      <c r="C3519" s="1">
        <f>IFERROR(__xludf.DUMMYFUNCTION("""COMPUTED_VALUE"""),66.39)</f>
        <v>66.39</v>
      </c>
      <c r="D3519" s="1">
        <f>IFERROR(__xludf.DUMMYFUNCTION("""COMPUTED_VALUE"""),65.39)</f>
        <v>65.39</v>
      </c>
      <c r="E3519" s="1">
        <f>IFERROR(__xludf.DUMMYFUNCTION("""COMPUTED_VALUE"""),65.97)</f>
        <v>65.97</v>
      </c>
      <c r="F3519" s="1">
        <f>IFERROR(__xludf.DUMMYFUNCTION("""COMPUTED_VALUE"""),614013.0)</f>
        <v>614013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IFERROR(__xludf.DUMMYFUNCTION("""COMPUTED_VALUE"""),65.8)</f>
        <v>65.8</v>
      </c>
      <c r="C3520" s="1">
        <f>IFERROR(__xludf.DUMMYFUNCTION("""COMPUTED_VALUE"""),66.46)</f>
        <v>66.46</v>
      </c>
      <c r="D3520" s="1">
        <f>IFERROR(__xludf.DUMMYFUNCTION("""COMPUTED_VALUE"""),65.8)</f>
        <v>65.8</v>
      </c>
      <c r="E3520" s="1">
        <f>IFERROR(__xludf.DUMMYFUNCTION("""COMPUTED_VALUE"""),66.34)</f>
        <v>66.34</v>
      </c>
      <c r="F3520" s="1">
        <f>IFERROR(__xludf.DUMMYFUNCTION("""COMPUTED_VALUE"""),490796.0)</f>
        <v>490796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IFERROR(__xludf.DUMMYFUNCTION("""COMPUTED_VALUE"""),66.46)</f>
        <v>66.46</v>
      </c>
      <c r="C3521" s="1">
        <f>IFERROR(__xludf.DUMMYFUNCTION("""COMPUTED_VALUE"""),66.96)</f>
        <v>66.96</v>
      </c>
      <c r="D3521" s="1">
        <f>IFERROR(__xludf.DUMMYFUNCTION("""COMPUTED_VALUE"""),66.16)</f>
        <v>66.16</v>
      </c>
      <c r="E3521" s="1">
        <f>IFERROR(__xludf.DUMMYFUNCTION("""COMPUTED_VALUE"""),66.64)</f>
        <v>66.64</v>
      </c>
      <c r="F3521" s="1">
        <f>IFERROR(__xludf.DUMMYFUNCTION("""COMPUTED_VALUE"""),546295.0)</f>
        <v>546295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IFERROR(__xludf.DUMMYFUNCTION("""COMPUTED_VALUE"""),66.56)</f>
        <v>66.56</v>
      </c>
      <c r="C3522" s="1">
        <f>IFERROR(__xludf.DUMMYFUNCTION("""COMPUTED_VALUE"""),67.0)</f>
        <v>67</v>
      </c>
      <c r="D3522" s="1">
        <f>IFERROR(__xludf.DUMMYFUNCTION("""COMPUTED_VALUE"""),66.37)</f>
        <v>66.37</v>
      </c>
      <c r="E3522" s="1">
        <f>IFERROR(__xludf.DUMMYFUNCTION("""COMPUTED_VALUE"""),66.68)</f>
        <v>66.68</v>
      </c>
      <c r="F3522" s="1">
        <f>IFERROR(__xludf.DUMMYFUNCTION("""COMPUTED_VALUE"""),417587.0)</f>
        <v>417587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IFERROR(__xludf.DUMMYFUNCTION("""COMPUTED_VALUE"""),66.57)</f>
        <v>66.57</v>
      </c>
      <c r="C3523" s="1">
        <f>IFERROR(__xludf.DUMMYFUNCTION("""COMPUTED_VALUE"""),67.19)</f>
        <v>67.19</v>
      </c>
      <c r="D3523" s="1">
        <f>IFERROR(__xludf.DUMMYFUNCTION("""COMPUTED_VALUE"""),66.39)</f>
        <v>66.39</v>
      </c>
      <c r="E3523" s="1">
        <f>IFERROR(__xludf.DUMMYFUNCTION("""COMPUTED_VALUE"""),66.89)</f>
        <v>66.89</v>
      </c>
      <c r="F3523" s="1">
        <f>IFERROR(__xludf.DUMMYFUNCTION("""COMPUTED_VALUE"""),554125.0)</f>
        <v>554125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IFERROR(__xludf.DUMMYFUNCTION("GOOGLEFINANCE(""NYSE:kmx"",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IFERROR(__xludf.DUMMYFUNCTION("""COMPUTED_VALUE"""),24.48)</f>
        <v>24.48</v>
      </c>
      <c r="C2" s="1">
        <f>IFERROR(__xludf.DUMMYFUNCTION("""COMPUTED_VALUE"""),24.48)</f>
        <v>24.48</v>
      </c>
      <c r="D2" s="1">
        <f>IFERROR(__xludf.DUMMYFUNCTION("""COMPUTED_VALUE"""),23.87)</f>
        <v>23.87</v>
      </c>
      <c r="E2" s="1">
        <f>IFERROR(__xludf.DUMMYFUNCTION("""COMPUTED_VALUE"""),23.98)</f>
        <v>23.98</v>
      </c>
      <c r="F2" s="1">
        <f>IFERROR(__xludf.DUMMYFUNCTION("""COMPUTED_VALUE"""),2122873.0)</f>
        <v>2122873</v>
      </c>
    </row>
    <row r="3">
      <c r="A3" s="2">
        <f>IFERROR(__xludf.DUMMYFUNCTION("""COMPUTED_VALUE"""),40183.666666666664)</f>
        <v>40183.66667</v>
      </c>
      <c r="B3" s="1">
        <f>IFERROR(__xludf.DUMMYFUNCTION("""COMPUTED_VALUE"""),24.03)</f>
        <v>24.03</v>
      </c>
      <c r="C3" s="1">
        <f>IFERROR(__xludf.DUMMYFUNCTION("""COMPUTED_VALUE"""),24.12)</f>
        <v>24.12</v>
      </c>
      <c r="D3" s="1">
        <f>IFERROR(__xludf.DUMMYFUNCTION("""COMPUTED_VALUE"""),23.6)</f>
        <v>23.6</v>
      </c>
      <c r="E3" s="1">
        <f>IFERROR(__xludf.DUMMYFUNCTION("""COMPUTED_VALUE"""),24.12)</f>
        <v>24.12</v>
      </c>
      <c r="F3" s="1">
        <f>IFERROR(__xludf.DUMMYFUNCTION("""COMPUTED_VALUE"""),1689207.0)</f>
        <v>1689207</v>
      </c>
    </row>
    <row r="4">
      <c r="A4" s="2">
        <f>IFERROR(__xludf.DUMMYFUNCTION("""COMPUTED_VALUE"""),40184.666666666664)</f>
        <v>40184.66667</v>
      </c>
      <c r="B4" s="1">
        <f>IFERROR(__xludf.DUMMYFUNCTION("""COMPUTED_VALUE"""),24.18)</f>
        <v>24.18</v>
      </c>
      <c r="C4" s="1">
        <f>IFERROR(__xludf.DUMMYFUNCTION("""COMPUTED_VALUE"""),24.5)</f>
        <v>24.5</v>
      </c>
      <c r="D4" s="1">
        <f>IFERROR(__xludf.DUMMYFUNCTION("""COMPUTED_VALUE"""),24.01)</f>
        <v>24.01</v>
      </c>
      <c r="E4" s="1">
        <f>IFERROR(__xludf.DUMMYFUNCTION("""COMPUTED_VALUE"""),24.43)</f>
        <v>24.43</v>
      </c>
      <c r="F4" s="1">
        <f>IFERROR(__xludf.DUMMYFUNCTION("""COMPUTED_VALUE"""),1566888.0)</f>
        <v>1566888</v>
      </c>
    </row>
    <row r="5">
      <c r="A5" s="2">
        <f>IFERROR(__xludf.DUMMYFUNCTION("""COMPUTED_VALUE"""),40185.666666666664)</f>
        <v>40185.66667</v>
      </c>
      <c r="B5" s="1">
        <f>IFERROR(__xludf.DUMMYFUNCTION("""COMPUTED_VALUE"""),24.36)</f>
        <v>24.36</v>
      </c>
      <c r="C5" s="1">
        <f>IFERROR(__xludf.DUMMYFUNCTION("""COMPUTED_VALUE"""),24.68)</f>
        <v>24.68</v>
      </c>
      <c r="D5" s="1">
        <f>IFERROR(__xludf.DUMMYFUNCTION("""COMPUTED_VALUE"""),24.11)</f>
        <v>24.11</v>
      </c>
      <c r="E5" s="1">
        <f>IFERROR(__xludf.DUMMYFUNCTION("""COMPUTED_VALUE"""),24.2)</f>
        <v>24.2</v>
      </c>
      <c r="F5" s="1">
        <f>IFERROR(__xludf.DUMMYFUNCTION("""COMPUTED_VALUE"""),1550712.0)</f>
        <v>1550712</v>
      </c>
    </row>
    <row r="6">
      <c r="A6" s="2">
        <f>IFERROR(__xludf.DUMMYFUNCTION("""COMPUTED_VALUE"""),40186.666666666664)</f>
        <v>40186.66667</v>
      </c>
      <c r="B6" s="1">
        <f>IFERROR(__xludf.DUMMYFUNCTION("""COMPUTED_VALUE"""),24.1)</f>
        <v>24.1</v>
      </c>
      <c r="C6" s="1">
        <f>IFERROR(__xludf.DUMMYFUNCTION("""COMPUTED_VALUE"""),24.33)</f>
        <v>24.33</v>
      </c>
      <c r="D6" s="1">
        <f>IFERROR(__xludf.DUMMYFUNCTION("""COMPUTED_VALUE"""),23.85)</f>
        <v>23.85</v>
      </c>
      <c r="E6" s="1">
        <f>IFERROR(__xludf.DUMMYFUNCTION("""COMPUTED_VALUE"""),24.31)</f>
        <v>24.31</v>
      </c>
      <c r="F6" s="1">
        <f>IFERROR(__xludf.DUMMYFUNCTION("""COMPUTED_VALUE"""),894992.0)</f>
        <v>894992</v>
      </c>
    </row>
    <row r="7">
      <c r="A7" s="2">
        <f>IFERROR(__xludf.DUMMYFUNCTION("""COMPUTED_VALUE"""),40189.666666666664)</f>
        <v>40189.66667</v>
      </c>
      <c r="B7" s="1">
        <f>IFERROR(__xludf.DUMMYFUNCTION("""COMPUTED_VALUE"""),24.34)</f>
        <v>24.34</v>
      </c>
      <c r="C7" s="1">
        <f>IFERROR(__xludf.DUMMYFUNCTION("""COMPUTED_VALUE"""),24.35)</f>
        <v>24.35</v>
      </c>
      <c r="D7" s="1">
        <f>IFERROR(__xludf.DUMMYFUNCTION("""COMPUTED_VALUE"""),23.8)</f>
        <v>23.8</v>
      </c>
      <c r="E7" s="1">
        <f>IFERROR(__xludf.DUMMYFUNCTION("""COMPUTED_VALUE"""),23.95)</f>
        <v>23.95</v>
      </c>
      <c r="F7" s="1">
        <f>IFERROR(__xludf.DUMMYFUNCTION("""COMPUTED_VALUE"""),900837.0)</f>
        <v>900837</v>
      </c>
    </row>
    <row r="8">
      <c r="A8" s="2">
        <f>IFERROR(__xludf.DUMMYFUNCTION("""COMPUTED_VALUE"""),40190.666666666664)</f>
        <v>40190.66667</v>
      </c>
      <c r="B8" s="1">
        <f>IFERROR(__xludf.DUMMYFUNCTION("""COMPUTED_VALUE"""),23.75)</f>
        <v>23.75</v>
      </c>
      <c r="C8" s="1">
        <f>IFERROR(__xludf.DUMMYFUNCTION("""COMPUTED_VALUE"""),23.75)</f>
        <v>23.75</v>
      </c>
      <c r="D8" s="1">
        <f>IFERROR(__xludf.DUMMYFUNCTION("""COMPUTED_VALUE"""),23.18)</f>
        <v>23.18</v>
      </c>
      <c r="E8" s="1">
        <f>IFERROR(__xludf.DUMMYFUNCTION("""COMPUTED_VALUE"""),23.37)</f>
        <v>23.37</v>
      </c>
      <c r="F8" s="1">
        <f>IFERROR(__xludf.DUMMYFUNCTION("""COMPUTED_VALUE"""),2092057.0)</f>
        <v>2092057</v>
      </c>
    </row>
    <row r="9">
      <c r="A9" s="2">
        <f>IFERROR(__xludf.DUMMYFUNCTION("""COMPUTED_VALUE"""),40191.666666666664)</f>
        <v>40191.66667</v>
      </c>
      <c r="B9" s="1">
        <f>IFERROR(__xludf.DUMMYFUNCTION("""COMPUTED_VALUE"""),23.41)</f>
        <v>23.41</v>
      </c>
      <c r="C9" s="1">
        <f>IFERROR(__xludf.DUMMYFUNCTION("""COMPUTED_VALUE"""),23.54)</f>
        <v>23.54</v>
      </c>
      <c r="D9" s="1">
        <f>IFERROR(__xludf.DUMMYFUNCTION("""COMPUTED_VALUE"""),23.03)</f>
        <v>23.03</v>
      </c>
      <c r="E9" s="1">
        <f>IFERROR(__xludf.DUMMYFUNCTION("""COMPUTED_VALUE"""),23.49)</f>
        <v>23.49</v>
      </c>
      <c r="F9" s="1">
        <f>IFERROR(__xludf.DUMMYFUNCTION("""COMPUTED_VALUE"""),1280295.0)</f>
        <v>1280295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IFERROR(__xludf.DUMMYFUNCTION("""COMPUTED_VALUE"""),23.4)</f>
        <v>23.4</v>
      </c>
      <c r="C10" s="1">
        <f>IFERROR(__xludf.DUMMYFUNCTION("""COMPUTED_VALUE"""),23.43)</f>
        <v>23.43</v>
      </c>
      <c r="D10" s="1">
        <f>IFERROR(__xludf.DUMMYFUNCTION("""COMPUTED_VALUE"""),22.7)</f>
        <v>22.7</v>
      </c>
      <c r="E10" s="1">
        <f>IFERROR(__xludf.DUMMYFUNCTION("""COMPUTED_VALUE"""),22.91)</f>
        <v>22.91</v>
      </c>
      <c r="F10" s="1">
        <f>IFERROR(__xludf.DUMMYFUNCTION("""COMPUTED_VALUE"""),1164627.0)</f>
        <v>1164627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IFERROR(__xludf.DUMMYFUNCTION("""COMPUTED_VALUE"""),22.74)</f>
        <v>22.74</v>
      </c>
      <c r="C11" s="1">
        <f>IFERROR(__xludf.DUMMYFUNCTION("""COMPUTED_VALUE"""),23.09)</f>
        <v>23.09</v>
      </c>
      <c r="D11" s="1">
        <f>IFERROR(__xludf.DUMMYFUNCTION("""COMPUTED_VALUE"""),22.41)</f>
        <v>22.41</v>
      </c>
      <c r="E11" s="1">
        <f>IFERROR(__xludf.DUMMYFUNCTION("""COMPUTED_VALUE"""),22.56)</f>
        <v>22.56</v>
      </c>
      <c r="F11" s="1">
        <f>IFERROR(__xludf.DUMMYFUNCTION("""COMPUTED_VALUE"""),1091861.0)</f>
        <v>1091861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IFERROR(__xludf.DUMMYFUNCTION("""COMPUTED_VALUE"""),22.56)</f>
        <v>22.56</v>
      </c>
      <c r="C12" s="1">
        <f>IFERROR(__xludf.DUMMYFUNCTION("""COMPUTED_VALUE"""),22.94)</f>
        <v>22.94</v>
      </c>
      <c r="D12" s="1">
        <f>IFERROR(__xludf.DUMMYFUNCTION("""COMPUTED_VALUE"""),22.41)</f>
        <v>22.41</v>
      </c>
      <c r="E12" s="1">
        <f>IFERROR(__xludf.DUMMYFUNCTION("""COMPUTED_VALUE"""),22.85)</f>
        <v>22.85</v>
      </c>
      <c r="F12" s="1">
        <f>IFERROR(__xludf.DUMMYFUNCTION("""COMPUTED_VALUE"""),1791978.0)</f>
        <v>1791978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IFERROR(__xludf.DUMMYFUNCTION("""COMPUTED_VALUE"""),22.59)</f>
        <v>22.59</v>
      </c>
      <c r="C13" s="1">
        <f>IFERROR(__xludf.DUMMYFUNCTION("""COMPUTED_VALUE"""),22.66)</f>
        <v>22.66</v>
      </c>
      <c r="D13" s="1">
        <f>IFERROR(__xludf.DUMMYFUNCTION("""COMPUTED_VALUE"""),22.32)</f>
        <v>22.32</v>
      </c>
      <c r="E13" s="1">
        <f>IFERROR(__xludf.DUMMYFUNCTION("""COMPUTED_VALUE"""),22.4)</f>
        <v>22.4</v>
      </c>
      <c r="F13" s="1">
        <f>IFERROR(__xludf.DUMMYFUNCTION("""COMPUTED_VALUE"""),1694974.0)</f>
        <v>1694974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IFERROR(__xludf.DUMMYFUNCTION("""COMPUTED_VALUE"""),21.65)</f>
        <v>21.65</v>
      </c>
      <c r="C14" s="1">
        <f>IFERROR(__xludf.DUMMYFUNCTION("""COMPUTED_VALUE"""),22.1)</f>
        <v>22.1</v>
      </c>
      <c r="D14" s="1">
        <f>IFERROR(__xludf.DUMMYFUNCTION("""COMPUTED_VALUE"""),21.14)</f>
        <v>21.14</v>
      </c>
      <c r="E14" s="1">
        <f>IFERROR(__xludf.DUMMYFUNCTION("""COMPUTED_VALUE"""),21.65)</f>
        <v>21.65</v>
      </c>
      <c r="F14" s="1">
        <f>IFERROR(__xludf.DUMMYFUNCTION("""COMPUTED_VALUE"""),3750320.0)</f>
        <v>3750320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IFERROR(__xludf.DUMMYFUNCTION("""COMPUTED_VALUE"""),21.59)</f>
        <v>21.59</v>
      </c>
      <c r="C15" s="1">
        <f>IFERROR(__xludf.DUMMYFUNCTION("""COMPUTED_VALUE"""),21.94)</f>
        <v>21.94</v>
      </c>
      <c r="D15" s="1">
        <f>IFERROR(__xludf.DUMMYFUNCTION("""COMPUTED_VALUE"""),21.2)</f>
        <v>21.2</v>
      </c>
      <c r="E15" s="1">
        <f>IFERROR(__xludf.DUMMYFUNCTION("""COMPUTED_VALUE"""),21.29)</f>
        <v>21.29</v>
      </c>
      <c r="F15" s="1">
        <f>IFERROR(__xludf.DUMMYFUNCTION("""COMPUTED_VALUE"""),1954417.0)</f>
        <v>1954417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IFERROR(__xludf.DUMMYFUNCTION("""COMPUTED_VALUE"""),21.47)</f>
        <v>21.47</v>
      </c>
      <c r="C16" s="1">
        <f>IFERROR(__xludf.DUMMYFUNCTION("""COMPUTED_VALUE"""),21.73)</f>
        <v>21.73</v>
      </c>
      <c r="D16" s="1">
        <f>IFERROR(__xludf.DUMMYFUNCTION("""COMPUTED_VALUE"""),21.37)</f>
        <v>21.37</v>
      </c>
      <c r="E16" s="1">
        <f>IFERROR(__xludf.DUMMYFUNCTION("""COMPUTED_VALUE"""),21.58)</f>
        <v>21.58</v>
      </c>
      <c r="F16" s="1">
        <f>IFERROR(__xludf.DUMMYFUNCTION("""COMPUTED_VALUE"""),1065922.0)</f>
        <v>1065922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IFERROR(__xludf.DUMMYFUNCTION("""COMPUTED_VALUE"""),21.51)</f>
        <v>21.51</v>
      </c>
      <c r="C17" s="1">
        <f>IFERROR(__xludf.DUMMYFUNCTION("""COMPUTED_VALUE"""),21.82)</f>
        <v>21.82</v>
      </c>
      <c r="D17" s="1">
        <f>IFERROR(__xludf.DUMMYFUNCTION("""COMPUTED_VALUE"""),21.36)</f>
        <v>21.36</v>
      </c>
      <c r="E17" s="1">
        <f>IFERROR(__xludf.DUMMYFUNCTION("""COMPUTED_VALUE"""),21.41)</f>
        <v>21.41</v>
      </c>
      <c r="F17" s="1">
        <f>IFERROR(__xludf.DUMMYFUNCTION("""COMPUTED_VALUE"""),677209.0)</f>
        <v>677209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IFERROR(__xludf.DUMMYFUNCTION("""COMPUTED_VALUE"""),21.32)</f>
        <v>21.32</v>
      </c>
      <c r="C18" s="1">
        <f>IFERROR(__xludf.DUMMYFUNCTION("""COMPUTED_VALUE"""),21.51)</f>
        <v>21.51</v>
      </c>
      <c r="D18" s="1">
        <f>IFERROR(__xludf.DUMMYFUNCTION("""COMPUTED_VALUE"""),20.85)</f>
        <v>20.85</v>
      </c>
      <c r="E18" s="1">
        <f>IFERROR(__xludf.DUMMYFUNCTION("""COMPUTED_VALUE"""),21.34)</f>
        <v>21.34</v>
      </c>
      <c r="F18" s="1">
        <f>IFERROR(__xludf.DUMMYFUNCTION("""COMPUTED_VALUE"""),1990184.0)</f>
        <v>1990184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IFERROR(__xludf.DUMMYFUNCTION("""COMPUTED_VALUE"""),21.35)</f>
        <v>21.35</v>
      </c>
      <c r="C19" s="1">
        <f>IFERROR(__xludf.DUMMYFUNCTION("""COMPUTED_VALUE"""),21.4)</f>
        <v>21.4</v>
      </c>
      <c r="D19" s="1">
        <f>IFERROR(__xludf.DUMMYFUNCTION("""COMPUTED_VALUE"""),20.98)</f>
        <v>20.98</v>
      </c>
      <c r="E19" s="1">
        <f>IFERROR(__xludf.DUMMYFUNCTION("""COMPUTED_VALUE"""),21.1)</f>
        <v>21.1</v>
      </c>
      <c r="F19" s="1">
        <f>IFERROR(__xludf.DUMMYFUNCTION("""COMPUTED_VALUE"""),1585291.0)</f>
        <v>1585291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IFERROR(__xludf.DUMMYFUNCTION("""COMPUTED_VALUE"""),21.19)</f>
        <v>21.19</v>
      </c>
      <c r="C20" s="1">
        <f>IFERROR(__xludf.DUMMYFUNCTION("""COMPUTED_VALUE"""),21.43)</f>
        <v>21.43</v>
      </c>
      <c r="D20" s="1">
        <f>IFERROR(__xludf.DUMMYFUNCTION("""COMPUTED_VALUE"""),20.61)</f>
        <v>20.61</v>
      </c>
      <c r="E20" s="1">
        <f>IFERROR(__xludf.DUMMYFUNCTION("""COMPUTED_VALUE"""),20.63)</f>
        <v>20.63</v>
      </c>
      <c r="F20" s="1">
        <f>IFERROR(__xludf.DUMMYFUNCTION("""COMPUTED_VALUE"""),2025626.0)</f>
        <v>2025626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IFERROR(__xludf.DUMMYFUNCTION("""COMPUTED_VALUE"""),20.7)</f>
        <v>20.7</v>
      </c>
      <c r="C21" s="1">
        <f>IFERROR(__xludf.DUMMYFUNCTION("""COMPUTED_VALUE"""),21.16)</f>
        <v>21.16</v>
      </c>
      <c r="D21" s="1">
        <f>IFERROR(__xludf.DUMMYFUNCTION("""COMPUTED_VALUE"""),20.7)</f>
        <v>20.7</v>
      </c>
      <c r="E21" s="1">
        <f>IFERROR(__xludf.DUMMYFUNCTION("""COMPUTED_VALUE"""),21.1)</f>
        <v>21.1</v>
      </c>
      <c r="F21" s="1">
        <f>IFERROR(__xludf.DUMMYFUNCTION("""COMPUTED_VALUE"""),1044694.0)</f>
        <v>1044694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IFERROR(__xludf.DUMMYFUNCTION("""COMPUTED_VALUE"""),21.18)</f>
        <v>21.18</v>
      </c>
      <c r="C22" s="1">
        <f>IFERROR(__xludf.DUMMYFUNCTION("""COMPUTED_VALUE"""),21.69)</f>
        <v>21.69</v>
      </c>
      <c r="D22" s="1">
        <f>IFERROR(__xludf.DUMMYFUNCTION("""COMPUTED_VALUE"""),20.99)</f>
        <v>20.99</v>
      </c>
      <c r="E22" s="1">
        <f>IFERROR(__xludf.DUMMYFUNCTION("""COMPUTED_VALUE"""),21.64)</f>
        <v>21.64</v>
      </c>
      <c r="F22" s="1">
        <f>IFERROR(__xludf.DUMMYFUNCTION("""COMPUTED_VALUE"""),984812.0)</f>
        <v>984812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IFERROR(__xludf.DUMMYFUNCTION("""COMPUTED_VALUE"""),21.44)</f>
        <v>21.44</v>
      </c>
      <c r="C23" s="1">
        <f>IFERROR(__xludf.DUMMYFUNCTION("""COMPUTED_VALUE"""),21.67)</f>
        <v>21.67</v>
      </c>
      <c r="D23" s="1">
        <f>IFERROR(__xludf.DUMMYFUNCTION("""COMPUTED_VALUE"""),21.24)</f>
        <v>21.24</v>
      </c>
      <c r="E23" s="1">
        <f>IFERROR(__xludf.DUMMYFUNCTION("""COMPUTED_VALUE"""),21.49)</f>
        <v>21.49</v>
      </c>
      <c r="F23" s="1">
        <f>IFERROR(__xludf.DUMMYFUNCTION("""COMPUTED_VALUE"""),1210408.0)</f>
        <v>1210408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IFERROR(__xludf.DUMMYFUNCTION("""COMPUTED_VALUE"""),21.22)</f>
        <v>21.22</v>
      </c>
      <c r="C24" s="1">
        <f>IFERROR(__xludf.DUMMYFUNCTION("""COMPUTED_VALUE"""),21.39)</f>
        <v>21.39</v>
      </c>
      <c r="D24" s="1">
        <f>IFERROR(__xludf.DUMMYFUNCTION("""COMPUTED_VALUE"""),20.67)</f>
        <v>20.67</v>
      </c>
      <c r="E24" s="1">
        <f>IFERROR(__xludf.DUMMYFUNCTION("""COMPUTED_VALUE"""),20.73)</f>
        <v>20.73</v>
      </c>
      <c r="F24" s="1">
        <f>IFERROR(__xludf.DUMMYFUNCTION("""COMPUTED_VALUE"""),2022374.0)</f>
        <v>2022374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IFERROR(__xludf.DUMMYFUNCTION("""COMPUTED_VALUE"""),20.74)</f>
        <v>20.74</v>
      </c>
      <c r="C25" s="1">
        <f>IFERROR(__xludf.DUMMYFUNCTION("""COMPUTED_VALUE"""),20.82)</f>
        <v>20.82</v>
      </c>
      <c r="D25" s="1">
        <f>IFERROR(__xludf.DUMMYFUNCTION("""COMPUTED_VALUE"""),19.73)</f>
        <v>19.73</v>
      </c>
      <c r="E25" s="1">
        <f>IFERROR(__xludf.DUMMYFUNCTION("""COMPUTED_VALUE"""),20.24)</f>
        <v>20.24</v>
      </c>
      <c r="F25" s="1">
        <f>IFERROR(__xludf.DUMMYFUNCTION("""COMPUTED_VALUE"""),2623270.0)</f>
        <v>2623270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IFERROR(__xludf.DUMMYFUNCTION("""COMPUTED_VALUE"""),20.7)</f>
        <v>20.7</v>
      </c>
      <c r="C26" s="1">
        <f>IFERROR(__xludf.DUMMYFUNCTION("""COMPUTED_VALUE"""),20.76)</f>
        <v>20.76</v>
      </c>
      <c r="D26" s="1">
        <f>IFERROR(__xludf.DUMMYFUNCTION("""COMPUTED_VALUE"""),20.25)</f>
        <v>20.25</v>
      </c>
      <c r="E26" s="1">
        <f>IFERROR(__xludf.DUMMYFUNCTION("""COMPUTED_VALUE"""),20.33)</f>
        <v>20.33</v>
      </c>
      <c r="F26" s="1">
        <f>IFERROR(__xludf.DUMMYFUNCTION("""COMPUTED_VALUE"""),1292763.0)</f>
        <v>1292763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IFERROR(__xludf.DUMMYFUNCTION("""COMPUTED_VALUE"""),20.89)</f>
        <v>20.89</v>
      </c>
      <c r="C27" s="1">
        <f>IFERROR(__xludf.DUMMYFUNCTION("""COMPUTED_VALUE"""),20.95)</f>
        <v>20.95</v>
      </c>
      <c r="D27" s="1">
        <f>IFERROR(__xludf.DUMMYFUNCTION("""COMPUTED_VALUE"""),20.4)</f>
        <v>20.4</v>
      </c>
      <c r="E27" s="1">
        <f>IFERROR(__xludf.DUMMYFUNCTION("""COMPUTED_VALUE"""),20.75)</f>
        <v>20.75</v>
      </c>
      <c r="F27" s="1">
        <f>IFERROR(__xludf.DUMMYFUNCTION("""COMPUTED_VALUE"""),2045021.0)</f>
        <v>2045021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IFERROR(__xludf.DUMMYFUNCTION("""COMPUTED_VALUE"""),20.73)</f>
        <v>20.73</v>
      </c>
      <c r="C28" s="1">
        <f>IFERROR(__xludf.DUMMYFUNCTION("""COMPUTED_VALUE"""),21.05)</f>
        <v>21.05</v>
      </c>
      <c r="D28" s="1">
        <f>IFERROR(__xludf.DUMMYFUNCTION("""COMPUTED_VALUE"""),20.52)</f>
        <v>20.52</v>
      </c>
      <c r="E28" s="1">
        <f>IFERROR(__xludf.DUMMYFUNCTION("""COMPUTED_VALUE"""),20.8)</f>
        <v>20.8</v>
      </c>
      <c r="F28" s="1">
        <f>IFERROR(__xludf.DUMMYFUNCTION("""COMPUTED_VALUE"""),1259192.0)</f>
        <v>1259192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IFERROR(__xludf.DUMMYFUNCTION("""COMPUTED_VALUE"""),20.85)</f>
        <v>20.85</v>
      </c>
      <c r="C29" s="1">
        <f>IFERROR(__xludf.DUMMYFUNCTION("""COMPUTED_VALUE"""),21.23)</f>
        <v>21.23</v>
      </c>
      <c r="D29" s="1">
        <f>IFERROR(__xludf.DUMMYFUNCTION("""COMPUTED_VALUE"""),20.56)</f>
        <v>20.56</v>
      </c>
      <c r="E29" s="1">
        <f>IFERROR(__xludf.DUMMYFUNCTION("""COMPUTED_VALUE"""),21.21)</f>
        <v>21.21</v>
      </c>
      <c r="F29" s="1">
        <f>IFERROR(__xludf.DUMMYFUNCTION("""COMPUTED_VALUE"""),1662026.0)</f>
        <v>1662026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IFERROR(__xludf.DUMMYFUNCTION("""COMPUTED_VALUE"""),20.97)</f>
        <v>20.97</v>
      </c>
      <c r="C30" s="1">
        <f>IFERROR(__xludf.DUMMYFUNCTION("""COMPUTED_VALUE"""),21.05)</f>
        <v>21.05</v>
      </c>
      <c r="D30" s="1">
        <f>IFERROR(__xludf.DUMMYFUNCTION("""COMPUTED_VALUE"""),20.76)</f>
        <v>20.76</v>
      </c>
      <c r="E30" s="1">
        <f>IFERROR(__xludf.DUMMYFUNCTION("""COMPUTED_VALUE"""),21.0)</f>
        <v>21</v>
      </c>
      <c r="F30" s="1">
        <f>IFERROR(__xludf.DUMMYFUNCTION("""COMPUTED_VALUE"""),1716288.0)</f>
        <v>1716288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IFERROR(__xludf.DUMMYFUNCTION("""COMPUTED_VALUE"""),21.15)</f>
        <v>21.15</v>
      </c>
      <c r="C31" s="1">
        <f>IFERROR(__xludf.DUMMYFUNCTION("""COMPUTED_VALUE"""),21.29)</f>
        <v>21.29</v>
      </c>
      <c r="D31" s="1">
        <f>IFERROR(__xludf.DUMMYFUNCTION("""COMPUTED_VALUE"""),20.99)</f>
        <v>20.99</v>
      </c>
      <c r="E31" s="1">
        <f>IFERROR(__xludf.DUMMYFUNCTION("""COMPUTED_VALUE"""),21.18)</f>
        <v>21.18</v>
      </c>
      <c r="F31" s="1">
        <f>IFERROR(__xludf.DUMMYFUNCTION("""COMPUTED_VALUE"""),990772.0)</f>
        <v>990772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IFERROR(__xludf.DUMMYFUNCTION("""COMPUTED_VALUE"""),21.29)</f>
        <v>21.29</v>
      </c>
      <c r="C32" s="1">
        <f>IFERROR(__xludf.DUMMYFUNCTION("""COMPUTED_VALUE"""),21.42)</f>
        <v>21.42</v>
      </c>
      <c r="D32" s="1">
        <f>IFERROR(__xludf.DUMMYFUNCTION("""COMPUTED_VALUE"""),21.01)</f>
        <v>21.01</v>
      </c>
      <c r="E32" s="1">
        <f>IFERROR(__xludf.DUMMYFUNCTION("""COMPUTED_VALUE"""),21.19)</f>
        <v>21.19</v>
      </c>
      <c r="F32" s="1">
        <f>IFERROR(__xludf.DUMMYFUNCTION("""COMPUTED_VALUE"""),1116988.0)</f>
        <v>1116988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IFERROR(__xludf.DUMMYFUNCTION("""COMPUTED_VALUE"""),21.22)</f>
        <v>21.22</v>
      </c>
      <c r="C33" s="1">
        <f>IFERROR(__xludf.DUMMYFUNCTION("""COMPUTED_VALUE"""),21.29)</f>
        <v>21.29</v>
      </c>
      <c r="D33" s="1">
        <f>IFERROR(__xludf.DUMMYFUNCTION("""COMPUTED_VALUE"""),21.03)</f>
        <v>21.03</v>
      </c>
      <c r="E33" s="1">
        <f>IFERROR(__xludf.DUMMYFUNCTION("""COMPUTED_VALUE"""),21.1)</f>
        <v>21.1</v>
      </c>
      <c r="F33" s="1">
        <f>IFERROR(__xludf.DUMMYFUNCTION("""COMPUTED_VALUE"""),797799.0)</f>
        <v>797799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IFERROR(__xludf.DUMMYFUNCTION("""COMPUTED_VALUE"""),21.09)</f>
        <v>21.09</v>
      </c>
      <c r="C34" s="1">
        <f>IFERROR(__xludf.DUMMYFUNCTION("""COMPUTED_VALUE"""),21.16)</f>
        <v>21.16</v>
      </c>
      <c r="D34" s="1">
        <f>IFERROR(__xludf.DUMMYFUNCTION("""COMPUTED_VALUE"""),20.63)</f>
        <v>20.63</v>
      </c>
      <c r="E34" s="1">
        <f>IFERROR(__xludf.DUMMYFUNCTION("""COMPUTED_VALUE"""),20.78)</f>
        <v>20.78</v>
      </c>
      <c r="F34" s="1">
        <f>IFERROR(__xludf.DUMMYFUNCTION("""COMPUTED_VALUE"""),1741535.0)</f>
        <v>1741535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IFERROR(__xludf.DUMMYFUNCTION("""COMPUTED_VALUE"""),20.91)</f>
        <v>20.91</v>
      </c>
      <c r="C35" s="1">
        <f>IFERROR(__xludf.DUMMYFUNCTION("""COMPUTED_VALUE"""),20.91)</f>
        <v>20.91</v>
      </c>
      <c r="D35" s="1">
        <f>IFERROR(__xludf.DUMMYFUNCTION("""COMPUTED_VALUE"""),20.49)</f>
        <v>20.49</v>
      </c>
      <c r="E35" s="1">
        <f>IFERROR(__xludf.DUMMYFUNCTION("""COMPUTED_VALUE"""),20.56)</f>
        <v>20.56</v>
      </c>
      <c r="F35" s="1">
        <f>IFERROR(__xludf.DUMMYFUNCTION("""COMPUTED_VALUE"""),1286911.0)</f>
        <v>1286911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IFERROR(__xludf.DUMMYFUNCTION("""COMPUTED_VALUE"""),20.56)</f>
        <v>20.56</v>
      </c>
      <c r="C36" s="1">
        <f>IFERROR(__xludf.DUMMYFUNCTION("""COMPUTED_VALUE"""),20.56)</f>
        <v>20.56</v>
      </c>
      <c r="D36" s="1">
        <f>IFERROR(__xludf.DUMMYFUNCTION("""COMPUTED_VALUE"""),19.98)</f>
        <v>19.98</v>
      </c>
      <c r="E36" s="1">
        <f>IFERROR(__xludf.DUMMYFUNCTION("""COMPUTED_VALUE"""),20.17)</f>
        <v>20.17</v>
      </c>
      <c r="F36" s="1">
        <f>IFERROR(__xludf.DUMMYFUNCTION("""COMPUTED_VALUE"""),2383625.0)</f>
        <v>2383625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IFERROR(__xludf.DUMMYFUNCTION("""COMPUTED_VALUE"""),20.38)</f>
        <v>20.38</v>
      </c>
      <c r="C37" s="1">
        <f>IFERROR(__xludf.DUMMYFUNCTION("""COMPUTED_VALUE"""),20.5)</f>
        <v>20.5</v>
      </c>
      <c r="D37" s="1">
        <f>IFERROR(__xludf.DUMMYFUNCTION("""COMPUTED_VALUE"""),20.2)</f>
        <v>20.2</v>
      </c>
      <c r="E37" s="1">
        <f>IFERROR(__xludf.DUMMYFUNCTION("""COMPUTED_VALUE"""),20.42)</f>
        <v>20.42</v>
      </c>
      <c r="F37" s="1">
        <f>IFERROR(__xludf.DUMMYFUNCTION("""COMPUTED_VALUE"""),2014755.0)</f>
        <v>2014755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IFERROR(__xludf.DUMMYFUNCTION("""COMPUTED_VALUE"""),20.11)</f>
        <v>20.11</v>
      </c>
      <c r="C38" s="1">
        <f>IFERROR(__xludf.DUMMYFUNCTION("""COMPUTED_VALUE"""),20.41)</f>
        <v>20.41</v>
      </c>
      <c r="D38" s="1">
        <f>IFERROR(__xludf.DUMMYFUNCTION("""COMPUTED_VALUE"""),19.94)</f>
        <v>19.94</v>
      </c>
      <c r="E38" s="1">
        <f>IFERROR(__xludf.DUMMYFUNCTION("""COMPUTED_VALUE"""),20.33)</f>
        <v>20.33</v>
      </c>
      <c r="F38" s="1">
        <f>IFERROR(__xludf.DUMMYFUNCTION("""COMPUTED_VALUE"""),1358305.0)</f>
        <v>1358305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IFERROR(__xludf.DUMMYFUNCTION("""COMPUTED_VALUE"""),20.37)</f>
        <v>20.37</v>
      </c>
      <c r="C39" s="1">
        <f>IFERROR(__xludf.DUMMYFUNCTION("""COMPUTED_VALUE"""),20.37)</f>
        <v>20.37</v>
      </c>
      <c r="D39" s="1">
        <f>IFERROR(__xludf.DUMMYFUNCTION("""COMPUTED_VALUE"""),20.01)</f>
        <v>20.01</v>
      </c>
      <c r="E39" s="1">
        <f>IFERROR(__xludf.DUMMYFUNCTION("""COMPUTED_VALUE"""),20.19)</f>
        <v>20.19</v>
      </c>
      <c r="F39" s="1">
        <f>IFERROR(__xludf.DUMMYFUNCTION("""COMPUTED_VALUE"""),1465026.0)</f>
        <v>1465026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IFERROR(__xludf.DUMMYFUNCTION("""COMPUTED_VALUE"""),20.33)</f>
        <v>20.33</v>
      </c>
      <c r="C40" s="1">
        <f>IFERROR(__xludf.DUMMYFUNCTION("""COMPUTED_VALUE"""),21.48)</f>
        <v>21.48</v>
      </c>
      <c r="D40" s="1">
        <f>IFERROR(__xludf.DUMMYFUNCTION("""COMPUTED_VALUE"""),20.3)</f>
        <v>20.3</v>
      </c>
      <c r="E40" s="1">
        <f>IFERROR(__xludf.DUMMYFUNCTION("""COMPUTED_VALUE"""),21.47)</f>
        <v>21.47</v>
      </c>
      <c r="F40" s="1">
        <f>IFERROR(__xludf.DUMMYFUNCTION("""COMPUTED_VALUE"""),2767977.0)</f>
        <v>2767977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IFERROR(__xludf.DUMMYFUNCTION("""COMPUTED_VALUE"""),21.5)</f>
        <v>21.5</v>
      </c>
      <c r="C41" s="1">
        <f>IFERROR(__xludf.DUMMYFUNCTION("""COMPUTED_VALUE"""),22.0)</f>
        <v>22</v>
      </c>
      <c r="D41" s="1">
        <f>IFERROR(__xludf.DUMMYFUNCTION("""COMPUTED_VALUE"""),21.5)</f>
        <v>21.5</v>
      </c>
      <c r="E41" s="1">
        <f>IFERROR(__xludf.DUMMYFUNCTION("""COMPUTED_VALUE"""),21.7)</f>
        <v>21.7</v>
      </c>
      <c r="F41" s="1">
        <f>IFERROR(__xludf.DUMMYFUNCTION("""COMPUTED_VALUE"""),2225460.0)</f>
        <v>2225460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IFERROR(__xludf.DUMMYFUNCTION("""COMPUTED_VALUE"""),21.69)</f>
        <v>21.69</v>
      </c>
      <c r="C42" s="1">
        <f>IFERROR(__xludf.DUMMYFUNCTION("""COMPUTED_VALUE"""),22.62)</f>
        <v>22.62</v>
      </c>
      <c r="D42" s="1">
        <f>IFERROR(__xludf.DUMMYFUNCTION("""COMPUTED_VALUE"""),21.69)</f>
        <v>21.69</v>
      </c>
      <c r="E42" s="1">
        <f>IFERROR(__xludf.DUMMYFUNCTION("""COMPUTED_VALUE"""),22.2)</f>
        <v>22.2</v>
      </c>
      <c r="F42" s="1">
        <f>IFERROR(__xludf.DUMMYFUNCTION("""COMPUTED_VALUE"""),2153875.0)</f>
        <v>2153875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IFERROR(__xludf.DUMMYFUNCTION("""COMPUTED_VALUE"""),22.19)</f>
        <v>22.19</v>
      </c>
      <c r="C43" s="1">
        <f>IFERROR(__xludf.DUMMYFUNCTION("""COMPUTED_VALUE"""),22.55)</f>
        <v>22.55</v>
      </c>
      <c r="D43" s="1">
        <f>IFERROR(__xludf.DUMMYFUNCTION("""COMPUTED_VALUE"""),22.18)</f>
        <v>22.18</v>
      </c>
      <c r="E43" s="1">
        <f>IFERROR(__xludf.DUMMYFUNCTION("""COMPUTED_VALUE"""),22.52)</f>
        <v>22.52</v>
      </c>
      <c r="F43" s="1">
        <f>IFERROR(__xludf.DUMMYFUNCTION("""COMPUTED_VALUE"""),1541328.0)</f>
        <v>1541328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IFERROR(__xludf.DUMMYFUNCTION("""COMPUTED_VALUE"""),22.71)</f>
        <v>22.71</v>
      </c>
      <c r="C44" s="1">
        <f>IFERROR(__xludf.DUMMYFUNCTION("""COMPUTED_VALUE"""),23.33)</f>
        <v>23.33</v>
      </c>
      <c r="D44" s="1">
        <f>IFERROR(__xludf.DUMMYFUNCTION("""COMPUTED_VALUE"""),22.56)</f>
        <v>22.56</v>
      </c>
      <c r="E44" s="1">
        <f>IFERROR(__xludf.DUMMYFUNCTION("""COMPUTED_VALUE"""),23.3)</f>
        <v>23.3</v>
      </c>
      <c r="F44" s="1">
        <f>IFERROR(__xludf.DUMMYFUNCTION("""COMPUTED_VALUE"""),1951284.0)</f>
        <v>1951284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IFERROR(__xludf.DUMMYFUNCTION("""COMPUTED_VALUE"""),23.33)</f>
        <v>23.33</v>
      </c>
      <c r="C45" s="1">
        <f>IFERROR(__xludf.DUMMYFUNCTION("""COMPUTED_VALUE"""),23.73)</f>
        <v>23.73</v>
      </c>
      <c r="D45" s="1">
        <f>IFERROR(__xludf.DUMMYFUNCTION("""COMPUTED_VALUE"""),23.19)</f>
        <v>23.19</v>
      </c>
      <c r="E45" s="1">
        <f>IFERROR(__xludf.DUMMYFUNCTION("""COMPUTED_VALUE"""),23.23)</f>
        <v>23.23</v>
      </c>
      <c r="F45" s="1">
        <f>IFERROR(__xludf.DUMMYFUNCTION("""COMPUTED_VALUE"""),1579123.0)</f>
        <v>1579123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IFERROR(__xludf.DUMMYFUNCTION("""COMPUTED_VALUE"""),23.11)</f>
        <v>23.11</v>
      </c>
      <c r="C46" s="1">
        <f>IFERROR(__xludf.DUMMYFUNCTION("""COMPUTED_VALUE"""),23.35)</f>
        <v>23.35</v>
      </c>
      <c r="D46" s="1">
        <f>IFERROR(__xludf.DUMMYFUNCTION("""COMPUTED_VALUE"""),22.9)</f>
        <v>22.9</v>
      </c>
      <c r="E46" s="1">
        <f>IFERROR(__xludf.DUMMYFUNCTION("""COMPUTED_VALUE"""),22.98)</f>
        <v>22.98</v>
      </c>
      <c r="F46" s="1">
        <f>IFERROR(__xludf.DUMMYFUNCTION("""COMPUTED_VALUE"""),1146054.0)</f>
        <v>1146054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IFERROR(__xludf.DUMMYFUNCTION("""COMPUTED_VALUE"""),22.92)</f>
        <v>22.92</v>
      </c>
      <c r="C47" s="1">
        <f>IFERROR(__xludf.DUMMYFUNCTION("""COMPUTED_VALUE"""),23.35)</f>
        <v>23.35</v>
      </c>
      <c r="D47" s="1">
        <f>IFERROR(__xludf.DUMMYFUNCTION("""COMPUTED_VALUE"""),22.9)</f>
        <v>22.9</v>
      </c>
      <c r="E47" s="1">
        <f>IFERROR(__xludf.DUMMYFUNCTION("""COMPUTED_VALUE"""),23.29)</f>
        <v>23.29</v>
      </c>
      <c r="F47" s="1">
        <f>IFERROR(__xludf.DUMMYFUNCTION("""COMPUTED_VALUE"""),1105100.0)</f>
        <v>1105100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IFERROR(__xludf.DUMMYFUNCTION("""COMPUTED_VALUE"""),23.09)</f>
        <v>23.09</v>
      </c>
      <c r="C48" s="1">
        <f>IFERROR(__xludf.DUMMYFUNCTION("""COMPUTED_VALUE"""),23.3)</f>
        <v>23.3</v>
      </c>
      <c r="D48" s="1">
        <f>IFERROR(__xludf.DUMMYFUNCTION("""COMPUTED_VALUE"""),22.85)</f>
        <v>22.85</v>
      </c>
      <c r="E48" s="1">
        <f>IFERROR(__xludf.DUMMYFUNCTION("""COMPUTED_VALUE"""),23.29)</f>
        <v>23.29</v>
      </c>
      <c r="F48" s="1">
        <f>IFERROR(__xludf.DUMMYFUNCTION("""COMPUTED_VALUE"""),821668.0)</f>
        <v>821668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IFERROR(__xludf.DUMMYFUNCTION("""COMPUTED_VALUE"""),23.37)</f>
        <v>23.37</v>
      </c>
      <c r="C49" s="1">
        <f>IFERROR(__xludf.DUMMYFUNCTION("""COMPUTED_VALUE"""),23.4)</f>
        <v>23.4</v>
      </c>
      <c r="D49" s="1">
        <f>IFERROR(__xludf.DUMMYFUNCTION("""COMPUTED_VALUE"""),23.0)</f>
        <v>23</v>
      </c>
      <c r="E49" s="1">
        <f>IFERROR(__xludf.DUMMYFUNCTION("""COMPUTED_VALUE"""),23.4)</f>
        <v>23.4</v>
      </c>
      <c r="F49" s="1">
        <f>IFERROR(__xludf.DUMMYFUNCTION("""COMPUTED_VALUE"""),874192.0)</f>
        <v>874192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IFERROR(__xludf.DUMMYFUNCTION("""COMPUTED_VALUE"""),23.34)</f>
        <v>23.34</v>
      </c>
      <c r="C50" s="1">
        <f>IFERROR(__xludf.DUMMYFUNCTION("""COMPUTED_VALUE"""),23.47)</f>
        <v>23.47</v>
      </c>
      <c r="D50" s="1">
        <f>IFERROR(__xludf.DUMMYFUNCTION("""COMPUTED_VALUE"""),22.95)</f>
        <v>22.95</v>
      </c>
      <c r="E50" s="1">
        <f>IFERROR(__xludf.DUMMYFUNCTION("""COMPUTED_VALUE"""),23.27)</f>
        <v>23.27</v>
      </c>
      <c r="F50" s="1">
        <f>IFERROR(__xludf.DUMMYFUNCTION("""COMPUTED_VALUE"""),602247.0)</f>
        <v>602247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IFERROR(__xludf.DUMMYFUNCTION("""COMPUTED_VALUE"""),23.26)</f>
        <v>23.26</v>
      </c>
      <c r="C51" s="1">
        <f>IFERROR(__xludf.DUMMYFUNCTION("""COMPUTED_VALUE"""),23.51)</f>
        <v>23.51</v>
      </c>
      <c r="D51" s="1">
        <f>IFERROR(__xludf.DUMMYFUNCTION("""COMPUTED_VALUE"""),23.12)</f>
        <v>23.12</v>
      </c>
      <c r="E51" s="1">
        <f>IFERROR(__xludf.DUMMYFUNCTION("""COMPUTED_VALUE"""),23.37)</f>
        <v>23.37</v>
      </c>
      <c r="F51" s="1">
        <f>IFERROR(__xludf.DUMMYFUNCTION("""COMPUTED_VALUE"""),591905.0)</f>
        <v>591905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IFERROR(__xludf.DUMMYFUNCTION("""COMPUTED_VALUE"""),23.5)</f>
        <v>23.5</v>
      </c>
      <c r="C52" s="1">
        <f>IFERROR(__xludf.DUMMYFUNCTION("""COMPUTED_VALUE"""),24.37)</f>
        <v>24.37</v>
      </c>
      <c r="D52" s="1">
        <f>IFERROR(__xludf.DUMMYFUNCTION("""COMPUTED_VALUE"""),23.39)</f>
        <v>23.39</v>
      </c>
      <c r="E52" s="1">
        <f>IFERROR(__xludf.DUMMYFUNCTION("""COMPUTED_VALUE"""),24.21)</f>
        <v>24.21</v>
      </c>
      <c r="F52" s="1">
        <f>IFERROR(__xludf.DUMMYFUNCTION("""COMPUTED_VALUE"""),2105452.0)</f>
        <v>2105452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IFERROR(__xludf.DUMMYFUNCTION("""COMPUTED_VALUE"""),24.09)</f>
        <v>24.09</v>
      </c>
      <c r="C53" s="1">
        <f>IFERROR(__xludf.DUMMYFUNCTION("""COMPUTED_VALUE"""),24.24)</f>
        <v>24.24</v>
      </c>
      <c r="D53" s="1">
        <f>IFERROR(__xludf.DUMMYFUNCTION("""COMPUTED_VALUE"""),23.67)</f>
        <v>23.67</v>
      </c>
      <c r="E53" s="1">
        <f>IFERROR(__xludf.DUMMYFUNCTION("""COMPUTED_VALUE"""),23.88)</f>
        <v>23.88</v>
      </c>
      <c r="F53" s="1">
        <f>IFERROR(__xludf.DUMMYFUNCTION("""COMPUTED_VALUE"""),1117897.0)</f>
        <v>1117897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IFERROR(__xludf.DUMMYFUNCTION("""COMPUTED_VALUE"""),23.9)</f>
        <v>23.9</v>
      </c>
      <c r="C54" s="1">
        <f>IFERROR(__xludf.DUMMYFUNCTION("""COMPUTED_VALUE"""),24.08)</f>
        <v>24.08</v>
      </c>
      <c r="D54" s="1">
        <f>IFERROR(__xludf.DUMMYFUNCTION("""COMPUTED_VALUE"""),23.41)</f>
        <v>23.41</v>
      </c>
      <c r="E54" s="1">
        <f>IFERROR(__xludf.DUMMYFUNCTION("""COMPUTED_VALUE"""),23.64)</f>
        <v>23.64</v>
      </c>
      <c r="F54" s="1">
        <f>IFERROR(__xludf.DUMMYFUNCTION("""COMPUTED_VALUE"""),1355800.0)</f>
        <v>1355800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IFERROR(__xludf.DUMMYFUNCTION("""COMPUTED_VALUE"""),23.4)</f>
        <v>23.4</v>
      </c>
      <c r="C55" s="1">
        <f>IFERROR(__xludf.DUMMYFUNCTION("""COMPUTED_VALUE"""),24.2)</f>
        <v>24.2</v>
      </c>
      <c r="D55" s="1">
        <f>IFERROR(__xludf.DUMMYFUNCTION("""COMPUTED_VALUE"""),23.27)</f>
        <v>23.27</v>
      </c>
      <c r="E55" s="1">
        <f>IFERROR(__xludf.DUMMYFUNCTION("""COMPUTED_VALUE"""),24.01)</f>
        <v>24.01</v>
      </c>
      <c r="F55" s="1">
        <f>IFERROR(__xludf.DUMMYFUNCTION("""COMPUTED_VALUE"""),1425337.0)</f>
        <v>1425337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IFERROR(__xludf.DUMMYFUNCTION("""COMPUTED_VALUE"""),24.02)</f>
        <v>24.02</v>
      </c>
      <c r="C56" s="1">
        <f>IFERROR(__xludf.DUMMYFUNCTION("""COMPUTED_VALUE"""),24.74)</f>
        <v>24.74</v>
      </c>
      <c r="D56" s="1">
        <f>IFERROR(__xludf.DUMMYFUNCTION("""COMPUTED_VALUE"""),23.88)</f>
        <v>23.88</v>
      </c>
      <c r="E56" s="1">
        <f>IFERROR(__xludf.DUMMYFUNCTION("""COMPUTED_VALUE"""),24.73)</f>
        <v>24.73</v>
      </c>
      <c r="F56" s="1">
        <f>IFERROR(__xludf.DUMMYFUNCTION("""COMPUTED_VALUE"""),1572338.0)</f>
        <v>1572338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IFERROR(__xludf.DUMMYFUNCTION("""COMPUTED_VALUE"""),24.61)</f>
        <v>24.61</v>
      </c>
      <c r="C57" s="1">
        <f>IFERROR(__xludf.DUMMYFUNCTION("""COMPUTED_VALUE"""),24.91)</f>
        <v>24.91</v>
      </c>
      <c r="D57" s="1">
        <f>IFERROR(__xludf.DUMMYFUNCTION("""COMPUTED_VALUE"""),24.36)</f>
        <v>24.36</v>
      </c>
      <c r="E57" s="1">
        <f>IFERROR(__xludf.DUMMYFUNCTION("""COMPUTED_VALUE"""),24.45)</f>
        <v>24.45</v>
      </c>
      <c r="F57" s="1">
        <f>IFERROR(__xludf.DUMMYFUNCTION("""COMPUTED_VALUE"""),1571975.0)</f>
        <v>1571975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IFERROR(__xludf.DUMMYFUNCTION("""COMPUTED_VALUE"""),24.59)</f>
        <v>24.59</v>
      </c>
      <c r="C58" s="1">
        <f>IFERROR(__xludf.DUMMYFUNCTION("""COMPUTED_VALUE"""),24.95)</f>
        <v>24.95</v>
      </c>
      <c r="D58" s="1">
        <f>IFERROR(__xludf.DUMMYFUNCTION("""COMPUTED_VALUE"""),24.45)</f>
        <v>24.45</v>
      </c>
      <c r="E58" s="1">
        <f>IFERROR(__xludf.DUMMYFUNCTION("""COMPUTED_VALUE"""),24.51)</f>
        <v>24.51</v>
      </c>
      <c r="F58" s="1">
        <f>IFERROR(__xludf.DUMMYFUNCTION("""COMPUTED_VALUE"""),1288210.0)</f>
        <v>1288210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IFERROR(__xludf.DUMMYFUNCTION("""COMPUTED_VALUE"""),24.69)</f>
        <v>24.69</v>
      </c>
      <c r="C59" s="1">
        <f>IFERROR(__xludf.DUMMYFUNCTION("""COMPUTED_VALUE"""),25.15)</f>
        <v>25.15</v>
      </c>
      <c r="D59" s="1">
        <f>IFERROR(__xludf.DUMMYFUNCTION("""COMPUTED_VALUE"""),24.62)</f>
        <v>24.62</v>
      </c>
      <c r="E59" s="1">
        <f>IFERROR(__xludf.DUMMYFUNCTION("""COMPUTED_VALUE"""),25.01)</f>
        <v>25.01</v>
      </c>
      <c r="F59" s="1">
        <f>IFERROR(__xludf.DUMMYFUNCTION("""COMPUTED_VALUE"""),1667846.0)</f>
        <v>1667846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IFERROR(__xludf.DUMMYFUNCTION("""COMPUTED_VALUE"""),25.04)</f>
        <v>25.04</v>
      </c>
      <c r="C60" s="1">
        <f>IFERROR(__xludf.DUMMYFUNCTION("""COMPUTED_VALUE"""),25.91)</f>
        <v>25.91</v>
      </c>
      <c r="D60" s="1">
        <f>IFERROR(__xludf.DUMMYFUNCTION("""COMPUTED_VALUE"""),25.01)</f>
        <v>25.01</v>
      </c>
      <c r="E60" s="1">
        <f>IFERROR(__xludf.DUMMYFUNCTION("""COMPUTED_VALUE"""),25.78)</f>
        <v>25.78</v>
      </c>
      <c r="F60" s="1">
        <f>IFERROR(__xludf.DUMMYFUNCTION("""COMPUTED_VALUE"""),3629997.0)</f>
        <v>3629997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IFERROR(__xludf.DUMMYFUNCTION("""COMPUTED_VALUE"""),25.75)</f>
        <v>25.75</v>
      </c>
      <c r="C61" s="1">
        <f>IFERROR(__xludf.DUMMYFUNCTION("""COMPUTED_VALUE"""),26.09)</f>
        <v>26.09</v>
      </c>
      <c r="D61" s="1">
        <f>IFERROR(__xludf.DUMMYFUNCTION("""COMPUTED_VALUE"""),25.65)</f>
        <v>25.65</v>
      </c>
      <c r="E61" s="1">
        <f>IFERROR(__xludf.DUMMYFUNCTION("""COMPUTED_VALUE"""),25.91)</f>
        <v>25.91</v>
      </c>
      <c r="F61" s="1">
        <f>IFERROR(__xludf.DUMMYFUNCTION("""COMPUTED_VALUE"""),2104901.0)</f>
        <v>2104901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IFERROR(__xludf.DUMMYFUNCTION("""COMPUTED_VALUE"""),25.89)</f>
        <v>25.89</v>
      </c>
      <c r="C62" s="1">
        <f>IFERROR(__xludf.DUMMYFUNCTION("""COMPUTED_VALUE"""),26.0)</f>
        <v>26</v>
      </c>
      <c r="D62" s="1">
        <f>IFERROR(__xludf.DUMMYFUNCTION("""COMPUTED_VALUE"""),25.08)</f>
        <v>25.08</v>
      </c>
      <c r="E62" s="1">
        <f>IFERROR(__xludf.DUMMYFUNCTION("""COMPUTED_VALUE"""),25.12)</f>
        <v>25.12</v>
      </c>
      <c r="F62" s="1">
        <f>IFERROR(__xludf.DUMMYFUNCTION("""COMPUTED_VALUE"""),3187542.0)</f>
        <v>3187542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IFERROR(__xludf.DUMMYFUNCTION("""COMPUTED_VALUE"""),26.12)</f>
        <v>26.12</v>
      </c>
      <c r="C63" s="1">
        <f>IFERROR(__xludf.DUMMYFUNCTION("""COMPUTED_VALUE"""),26.35)</f>
        <v>26.35</v>
      </c>
      <c r="D63" s="1">
        <f>IFERROR(__xludf.DUMMYFUNCTION("""COMPUTED_VALUE"""),25.4)</f>
        <v>25.4</v>
      </c>
      <c r="E63" s="1">
        <f>IFERROR(__xludf.DUMMYFUNCTION("""COMPUTED_VALUE"""),26.08)</f>
        <v>26.08</v>
      </c>
      <c r="F63" s="1">
        <f>IFERROR(__xludf.DUMMYFUNCTION("""COMPUTED_VALUE"""),5459262.0)</f>
        <v>5459262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IFERROR(__xludf.DUMMYFUNCTION("""COMPUTED_VALUE"""),26.25)</f>
        <v>26.25</v>
      </c>
      <c r="C64" s="1">
        <f>IFERROR(__xludf.DUMMYFUNCTION("""COMPUTED_VALUE"""),26.25)</f>
        <v>26.25</v>
      </c>
      <c r="D64" s="1">
        <f>IFERROR(__xludf.DUMMYFUNCTION("""COMPUTED_VALUE"""),25.53)</f>
        <v>25.53</v>
      </c>
      <c r="E64" s="1">
        <f>IFERROR(__xludf.DUMMYFUNCTION("""COMPUTED_VALUE"""),25.71)</f>
        <v>25.71</v>
      </c>
      <c r="F64" s="1">
        <f>IFERROR(__xludf.DUMMYFUNCTION("""COMPUTED_VALUE"""),2559630.0)</f>
        <v>2559630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IFERROR(__xludf.DUMMYFUNCTION("""COMPUTED_VALUE"""),25.5)</f>
        <v>25.5</v>
      </c>
      <c r="C65" s="1">
        <f>IFERROR(__xludf.DUMMYFUNCTION("""COMPUTED_VALUE"""),25.6)</f>
        <v>25.6</v>
      </c>
      <c r="D65" s="1">
        <f>IFERROR(__xludf.DUMMYFUNCTION("""COMPUTED_VALUE"""),25.09)</f>
        <v>25.09</v>
      </c>
      <c r="E65" s="1">
        <f>IFERROR(__xludf.DUMMYFUNCTION("""COMPUTED_VALUE"""),25.46)</f>
        <v>25.46</v>
      </c>
      <c r="F65" s="1">
        <f>IFERROR(__xludf.DUMMYFUNCTION("""COMPUTED_VALUE"""),2966742.0)</f>
        <v>2966742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IFERROR(__xludf.DUMMYFUNCTION("""COMPUTED_VALUE"""),25.31)</f>
        <v>25.31</v>
      </c>
      <c r="C66" s="1">
        <f>IFERROR(__xludf.DUMMYFUNCTION("""COMPUTED_VALUE"""),25.53)</f>
        <v>25.53</v>
      </c>
      <c r="D66" s="1">
        <f>IFERROR(__xludf.DUMMYFUNCTION("""COMPUTED_VALUE"""),24.74)</f>
        <v>24.74</v>
      </c>
      <c r="E66" s="1">
        <f>IFERROR(__xludf.DUMMYFUNCTION("""COMPUTED_VALUE"""),24.97)</f>
        <v>24.97</v>
      </c>
      <c r="F66" s="1">
        <f>IFERROR(__xludf.DUMMYFUNCTION("""COMPUTED_VALUE"""),3520808.0)</f>
        <v>3520808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IFERROR(__xludf.DUMMYFUNCTION("""COMPUTED_VALUE"""),24.89)</f>
        <v>24.89</v>
      </c>
      <c r="C67" s="1">
        <f>IFERROR(__xludf.DUMMYFUNCTION("""COMPUTED_VALUE"""),24.92)</f>
        <v>24.92</v>
      </c>
      <c r="D67" s="1">
        <f>IFERROR(__xludf.DUMMYFUNCTION("""COMPUTED_VALUE"""),24.52)</f>
        <v>24.52</v>
      </c>
      <c r="E67" s="1">
        <f>IFERROR(__xludf.DUMMYFUNCTION("""COMPUTED_VALUE"""),24.68)</f>
        <v>24.68</v>
      </c>
      <c r="F67" s="1">
        <f>IFERROR(__xludf.DUMMYFUNCTION("""COMPUTED_VALUE"""),2719706.0)</f>
        <v>2719706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IFERROR(__xludf.DUMMYFUNCTION("""COMPUTED_VALUE"""),24.75)</f>
        <v>24.75</v>
      </c>
      <c r="C68" s="1">
        <f>IFERROR(__xludf.DUMMYFUNCTION("""COMPUTED_VALUE"""),24.75)</f>
        <v>24.75</v>
      </c>
      <c r="D68" s="1">
        <f>IFERROR(__xludf.DUMMYFUNCTION("""COMPUTED_VALUE"""),24.3)</f>
        <v>24.3</v>
      </c>
      <c r="E68" s="1">
        <f>IFERROR(__xludf.DUMMYFUNCTION("""COMPUTED_VALUE"""),24.63)</f>
        <v>24.63</v>
      </c>
      <c r="F68" s="1">
        <f>IFERROR(__xludf.DUMMYFUNCTION("""COMPUTED_VALUE"""),1532379.0)</f>
        <v>1532379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IFERROR(__xludf.DUMMYFUNCTION("""COMPUTED_VALUE"""),24.56)</f>
        <v>24.56</v>
      </c>
      <c r="C69" s="1">
        <f>IFERROR(__xludf.DUMMYFUNCTION("""COMPUTED_VALUE"""),24.58)</f>
        <v>24.58</v>
      </c>
      <c r="D69" s="1">
        <f>IFERROR(__xludf.DUMMYFUNCTION("""COMPUTED_VALUE"""),24.07)</f>
        <v>24.07</v>
      </c>
      <c r="E69" s="1">
        <f>IFERROR(__xludf.DUMMYFUNCTION("""COMPUTED_VALUE"""),24.33)</f>
        <v>24.33</v>
      </c>
      <c r="F69" s="1">
        <f>IFERROR(__xludf.DUMMYFUNCTION("""COMPUTED_VALUE"""),2284895.0)</f>
        <v>2284895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IFERROR(__xludf.DUMMYFUNCTION("""COMPUTED_VALUE"""),24.26)</f>
        <v>24.26</v>
      </c>
      <c r="C70" s="1">
        <f>IFERROR(__xludf.DUMMYFUNCTION("""COMPUTED_VALUE"""),24.63)</f>
        <v>24.63</v>
      </c>
      <c r="D70" s="1">
        <f>IFERROR(__xludf.DUMMYFUNCTION("""COMPUTED_VALUE"""),24.12)</f>
        <v>24.12</v>
      </c>
      <c r="E70" s="1">
        <f>IFERROR(__xludf.DUMMYFUNCTION("""COMPUTED_VALUE"""),24.59)</f>
        <v>24.59</v>
      </c>
      <c r="F70" s="1">
        <f>IFERROR(__xludf.DUMMYFUNCTION("""COMPUTED_VALUE"""),1916085.0)</f>
        <v>1916085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IFERROR(__xludf.DUMMYFUNCTION("""COMPUTED_VALUE"""),24.75)</f>
        <v>24.75</v>
      </c>
      <c r="C71" s="1">
        <f>IFERROR(__xludf.DUMMYFUNCTION("""COMPUTED_VALUE"""),25.78)</f>
        <v>25.78</v>
      </c>
      <c r="D71" s="1">
        <f>IFERROR(__xludf.DUMMYFUNCTION("""COMPUTED_VALUE"""),24.53)</f>
        <v>24.53</v>
      </c>
      <c r="E71" s="1">
        <f>IFERROR(__xludf.DUMMYFUNCTION("""COMPUTED_VALUE"""),25.78)</f>
        <v>25.78</v>
      </c>
      <c r="F71" s="1">
        <f>IFERROR(__xludf.DUMMYFUNCTION("""COMPUTED_VALUE"""),2583492.0)</f>
        <v>2583492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IFERROR(__xludf.DUMMYFUNCTION("""COMPUTED_VALUE"""),25.63)</f>
        <v>25.63</v>
      </c>
      <c r="C72" s="1">
        <f>IFERROR(__xludf.DUMMYFUNCTION("""COMPUTED_VALUE"""),25.86)</f>
        <v>25.86</v>
      </c>
      <c r="D72" s="1">
        <f>IFERROR(__xludf.DUMMYFUNCTION("""COMPUTED_VALUE"""),25.51)</f>
        <v>25.51</v>
      </c>
      <c r="E72" s="1">
        <f>IFERROR(__xludf.DUMMYFUNCTION("""COMPUTED_VALUE"""),25.67)</f>
        <v>25.67</v>
      </c>
      <c r="F72" s="1">
        <f>IFERROR(__xludf.DUMMYFUNCTION("""COMPUTED_VALUE"""),1826392.0)</f>
        <v>1826392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IFERROR(__xludf.DUMMYFUNCTION("""COMPUTED_VALUE"""),25.57)</f>
        <v>25.57</v>
      </c>
      <c r="C73" s="1">
        <f>IFERROR(__xludf.DUMMYFUNCTION("""COMPUTED_VALUE"""),25.64)</f>
        <v>25.64</v>
      </c>
      <c r="D73" s="1">
        <f>IFERROR(__xludf.DUMMYFUNCTION("""COMPUTED_VALUE"""),24.98)</f>
        <v>24.98</v>
      </c>
      <c r="E73" s="1">
        <f>IFERROR(__xludf.DUMMYFUNCTION("""COMPUTED_VALUE"""),25.19)</f>
        <v>25.19</v>
      </c>
      <c r="F73" s="1">
        <f>IFERROR(__xludf.DUMMYFUNCTION("""COMPUTED_VALUE"""),1692199.0)</f>
        <v>1692199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IFERROR(__xludf.DUMMYFUNCTION("""COMPUTED_VALUE"""),25.03)</f>
        <v>25.03</v>
      </c>
      <c r="C74" s="1">
        <f>IFERROR(__xludf.DUMMYFUNCTION("""COMPUTED_VALUE"""),25.25)</f>
        <v>25.25</v>
      </c>
      <c r="D74" s="1">
        <f>IFERROR(__xludf.DUMMYFUNCTION("""COMPUTED_VALUE"""),24.37)</f>
        <v>24.37</v>
      </c>
      <c r="E74" s="1">
        <f>IFERROR(__xludf.DUMMYFUNCTION("""COMPUTED_VALUE"""),24.88)</f>
        <v>24.88</v>
      </c>
      <c r="F74" s="1">
        <f>IFERROR(__xludf.DUMMYFUNCTION("""COMPUTED_VALUE"""),1561067.0)</f>
        <v>1561067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IFERROR(__xludf.DUMMYFUNCTION("""COMPUTED_VALUE"""),25.06)</f>
        <v>25.06</v>
      </c>
      <c r="C75" s="1">
        <f>IFERROR(__xludf.DUMMYFUNCTION("""COMPUTED_VALUE"""),25.23)</f>
        <v>25.23</v>
      </c>
      <c r="D75" s="1">
        <f>IFERROR(__xludf.DUMMYFUNCTION("""COMPUTED_VALUE"""),24.78)</f>
        <v>24.78</v>
      </c>
      <c r="E75" s="1">
        <f>IFERROR(__xludf.DUMMYFUNCTION("""COMPUTED_VALUE"""),25.07)</f>
        <v>25.07</v>
      </c>
      <c r="F75" s="1">
        <f>IFERROR(__xludf.DUMMYFUNCTION("""COMPUTED_VALUE"""),1139412.0)</f>
        <v>1139412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IFERROR(__xludf.DUMMYFUNCTION("""COMPUTED_VALUE"""),25.03)</f>
        <v>25.03</v>
      </c>
      <c r="C76" s="1">
        <f>IFERROR(__xludf.DUMMYFUNCTION("""COMPUTED_VALUE"""),25.3)</f>
        <v>25.3</v>
      </c>
      <c r="D76" s="1">
        <f>IFERROR(__xludf.DUMMYFUNCTION("""COMPUTED_VALUE"""),24.6)</f>
        <v>24.6</v>
      </c>
      <c r="E76" s="1">
        <f>IFERROR(__xludf.DUMMYFUNCTION("""COMPUTED_VALUE"""),25.0)</f>
        <v>25</v>
      </c>
      <c r="F76" s="1">
        <f>IFERROR(__xludf.DUMMYFUNCTION("""COMPUTED_VALUE"""),2782004.0)</f>
        <v>2782004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IFERROR(__xludf.DUMMYFUNCTION("""COMPUTED_VALUE"""),24.77)</f>
        <v>24.77</v>
      </c>
      <c r="C77" s="1">
        <f>IFERROR(__xludf.DUMMYFUNCTION("""COMPUTED_VALUE"""),25.64)</f>
        <v>25.64</v>
      </c>
      <c r="D77" s="1">
        <f>IFERROR(__xludf.DUMMYFUNCTION("""COMPUTED_VALUE"""),24.47)</f>
        <v>24.47</v>
      </c>
      <c r="E77" s="1">
        <f>IFERROR(__xludf.DUMMYFUNCTION("""COMPUTED_VALUE"""),25.54)</f>
        <v>25.54</v>
      </c>
      <c r="F77" s="1">
        <f>IFERROR(__xludf.DUMMYFUNCTION("""COMPUTED_VALUE"""),1905557.0)</f>
        <v>1905557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IFERROR(__xludf.DUMMYFUNCTION("""COMPUTED_VALUE"""),25.5)</f>
        <v>25.5</v>
      </c>
      <c r="C78" s="1">
        <f>IFERROR(__xludf.DUMMYFUNCTION("""COMPUTED_VALUE"""),26.24)</f>
        <v>26.24</v>
      </c>
      <c r="D78" s="1">
        <f>IFERROR(__xludf.DUMMYFUNCTION("""COMPUTED_VALUE"""),25.29)</f>
        <v>25.29</v>
      </c>
      <c r="E78" s="1">
        <f>IFERROR(__xludf.DUMMYFUNCTION("""COMPUTED_VALUE"""),26.2)</f>
        <v>26.2</v>
      </c>
      <c r="F78" s="1">
        <f>IFERROR(__xludf.DUMMYFUNCTION("""COMPUTED_VALUE"""),1842530.0)</f>
        <v>1842530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IFERROR(__xludf.DUMMYFUNCTION("""COMPUTED_VALUE"""),26.11)</f>
        <v>26.11</v>
      </c>
      <c r="C79" s="1">
        <f>IFERROR(__xludf.DUMMYFUNCTION("""COMPUTED_VALUE"""),26.5)</f>
        <v>26.5</v>
      </c>
      <c r="D79" s="1">
        <f>IFERROR(__xludf.DUMMYFUNCTION("""COMPUTED_VALUE"""),25.65)</f>
        <v>25.65</v>
      </c>
      <c r="E79" s="1">
        <f>IFERROR(__xludf.DUMMYFUNCTION("""COMPUTED_VALUE"""),25.7)</f>
        <v>25.7</v>
      </c>
      <c r="F79" s="1">
        <f>IFERROR(__xludf.DUMMYFUNCTION("""COMPUTED_VALUE"""),2512161.0)</f>
        <v>2512161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IFERROR(__xludf.DUMMYFUNCTION("""COMPUTED_VALUE"""),25.52)</f>
        <v>25.52</v>
      </c>
      <c r="C80" s="1">
        <f>IFERROR(__xludf.DUMMYFUNCTION("""COMPUTED_VALUE"""),25.83)</f>
        <v>25.83</v>
      </c>
      <c r="D80" s="1">
        <f>IFERROR(__xludf.DUMMYFUNCTION("""COMPUTED_VALUE"""),24.99)</f>
        <v>24.99</v>
      </c>
      <c r="E80" s="1">
        <f>IFERROR(__xludf.DUMMYFUNCTION("""COMPUTED_VALUE"""),25.01)</f>
        <v>25.01</v>
      </c>
      <c r="F80" s="1">
        <f>IFERROR(__xludf.DUMMYFUNCTION("""COMPUTED_VALUE"""),1914749.0)</f>
        <v>1914749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IFERROR(__xludf.DUMMYFUNCTION("""COMPUTED_VALUE"""),25.19)</f>
        <v>25.19</v>
      </c>
      <c r="C81" s="1">
        <f>IFERROR(__xludf.DUMMYFUNCTION("""COMPUTED_VALUE"""),25.33)</f>
        <v>25.33</v>
      </c>
      <c r="D81" s="1">
        <f>IFERROR(__xludf.DUMMYFUNCTION("""COMPUTED_VALUE"""),24.58)</f>
        <v>24.58</v>
      </c>
      <c r="E81" s="1">
        <f>IFERROR(__xludf.DUMMYFUNCTION("""COMPUTED_VALUE"""),24.71)</f>
        <v>24.71</v>
      </c>
      <c r="F81" s="1">
        <f>IFERROR(__xludf.DUMMYFUNCTION("""COMPUTED_VALUE"""),1219204.0)</f>
        <v>1219204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IFERROR(__xludf.DUMMYFUNCTION("""COMPUTED_VALUE"""),24.93)</f>
        <v>24.93</v>
      </c>
      <c r="C82" s="1">
        <f>IFERROR(__xludf.DUMMYFUNCTION("""COMPUTED_VALUE"""),25.47)</f>
        <v>25.47</v>
      </c>
      <c r="D82" s="1">
        <f>IFERROR(__xludf.DUMMYFUNCTION("""COMPUTED_VALUE"""),24.86)</f>
        <v>24.86</v>
      </c>
      <c r="E82" s="1">
        <f>IFERROR(__xludf.DUMMYFUNCTION("""COMPUTED_VALUE"""),25.39)</f>
        <v>25.39</v>
      </c>
      <c r="F82" s="1">
        <f>IFERROR(__xludf.DUMMYFUNCTION("""COMPUTED_VALUE"""),1043841.0)</f>
        <v>1043841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IFERROR(__xludf.DUMMYFUNCTION("""COMPUTED_VALUE"""),25.47)</f>
        <v>25.47</v>
      </c>
      <c r="C83" s="1">
        <f>IFERROR(__xludf.DUMMYFUNCTION("""COMPUTED_VALUE"""),25.49)</f>
        <v>25.49</v>
      </c>
      <c r="D83" s="1">
        <f>IFERROR(__xludf.DUMMYFUNCTION("""COMPUTED_VALUE"""),24.55)</f>
        <v>24.55</v>
      </c>
      <c r="E83" s="1">
        <f>IFERROR(__xludf.DUMMYFUNCTION("""COMPUTED_VALUE"""),24.57)</f>
        <v>24.57</v>
      </c>
      <c r="F83" s="1">
        <f>IFERROR(__xludf.DUMMYFUNCTION("""COMPUTED_VALUE"""),1786570.0)</f>
        <v>1786570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IFERROR(__xludf.DUMMYFUNCTION("""COMPUTED_VALUE"""),24.66)</f>
        <v>24.66</v>
      </c>
      <c r="C84" s="1">
        <f>IFERROR(__xludf.DUMMYFUNCTION("""COMPUTED_VALUE"""),24.82)</f>
        <v>24.82</v>
      </c>
      <c r="D84" s="1">
        <f>IFERROR(__xludf.DUMMYFUNCTION("""COMPUTED_VALUE"""),24.43)</f>
        <v>24.43</v>
      </c>
      <c r="E84" s="1">
        <f>IFERROR(__xludf.DUMMYFUNCTION("""COMPUTED_VALUE"""),24.69)</f>
        <v>24.69</v>
      </c>
      <c r="F84" s="1">
        <f>IFERROR(__xludf.DUMMYFUNCTION("""COMPUTED_VALUE"""),2103701.0)</f>
        <v>2103701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IFERROR(__xludf.DUMMYFUNCTION("""COMPUTED_VALUE"""),24.3)</f>
        <v>24.3</v>
      </c>
      <c r="C85" s="1">
        <f>IFERROR(__xludf.DUMMYFUNCTION("""COMPUTED_VALUE"""),24.39)</f>
        <v>24.39</v>
      </c>
      <c r="D85" s="1">
        <f>IFERROR(__xludf.DUMMYFUNCTION("""COMPUTED_VALUE"""),23.41)</f>
        <v>23.41</v>
      </c>
      <c r="E85" s="1">
        <f>IFERROR(__xludf.DUMMYFUNCTION("""COMPUTED_VALUE"""),24.04)</f>
        <v>24.04</v>
      </c>
      <c r="F85" s="1">
        <f>IFERROR(__xludf.DUMMYFUNCTION("""COMPUTED_VALUE"""),2128429.0)</f>
        <v>2128429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IFERROR(__xludf.DUMMYFUNCTION("""COMPUTED_VALUE"""),23.81)</f>
        <v>23.81</v>
      </c>
      <c r="C86" s="1">
        <f>IFERROR(__xludf.DUMMYFUNCTION("""COMPUTED_VALUE"""),24.56)</f>
        <v>24.56</v>
      </c>
      <c r="D86" s="1">
        <f>IFERROR(__xludf.DUMMYFUNCTION("""COMPUTED_VALUE"""),23.54)</f>
        <v>23.54</v>
      </c>
      <c r="E86" s="1">
        <f>IFERROR(__xludf.DUMMYFUNCTION("""COMPUTED_VALUE"""),23.97)</f>
        <v>23.97</v>
      </c>
      <c r="F86" s="1">
        <f>IFERROR(__xludf.DUMMYFUNCTION("""COMPUTED_VALUE"""),2013337.0)</f>
        <v>2013337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IFERROR(__xludf.DUMMYFUNCTION("""COMPUTED_VALUE"""),23.75)</f>
        <v>23.75</v>
      </c>
      <c r="C87" s="1">
        <f>IFERROR(__xludf.DUMMYFUNCTION("""COMPUTED_VALUE"""),23.88)</f>
        <v>23.88</v>
      </c>
      <c r="D87" s="1">
        <f>IFERROR(__xludf.DUMMYFUNCTION("""COMPUTED_VALUE"""),21.13)</f>
        <v>21.13</v>
      </c>
      <c r="E87" s="1">
        <f>IFERROR(__xludf.DUMMYFUNCTION("""COMPUTED_VALUE"""),22.69)</f>
        <v>22.69</v>
      </c>
      <c r="F87" s="1">
        <f>IFERROR(__xludf.DUMMYFUNCTION("""COMPUTED_VALUE"""),2555677.0)</f>
        <v>2555677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IFERROR(__xludf.DUMMYFUNCTION("""COMPUTED_VALUE"""),22.68)</f>
        <v>22.68</v>
      </c>
      <c r="C88" s="1">
        <f>IFERROR(__xludf.DUMMYFUNCTION("""COMPUTED_VALUE"""),23.0)</f>
        <v>23</v>
      </c>
      <c r="D88" s="1">
        <f>IFERROR(__xludf.DUMMYFUNCTION("""COMPUTED_VALUE"""),21.57)</f>
        <v>21.57</v>
      </c>
      <c r="E88" s="1">
        <f>IFERROR(__xludf.DUMMYFUNCTION("""COMPUTED_VALUE"""),22.23)</f>
        <v>22.23</v>
      </c>
      <c r="F88" s="1">
        <f>IFERROR(__xludf.DUMMYFUNCTION("""COMPUTED_VALUE"""),3116373.0)</f>
        <v>3116373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IFERROR(__xludf.DUMMYFUNCTION("""COMPUTED_VALUE"""),23.08)</f>
        <v>23.08</v>
      </c>
      <c r="C89" s="1">
        <f>IFERROR(__xludf.DUMMYFUNCTION("""COMPUTED_VALUE"""),23.75)</f>
        <v>23.75</v>
      </c>
      <c r="D89" s="1">
        <f>IFERROR(__xludf.DUMMYFUNCTION("""COMPUTED_VALUE"""),23.02)</f>
        <v>23.02</v>
      </c>
      <c r="E89" s="1">
        <f>IFERROR(__xludf.DUMMYFUNCTION("""COMPUTED_VALUE"""),23.75)</f>
        <v>23.75</v>
      </c>
      <c r="F89" s="1">
        <f>IFERROR(__xludf.DUMMYFUNCTION("""COMPUTED_VALUE"""),2482939.0)</f>
        <v>2482939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IFERROR(__xludf.DUMMYFUNCTION("""COMPUTED_VALUE"""),23.37)</f>
        <v>23.37</v>
      </c>
      <c r="C90" s="1">
        <f>IFERROR(__xludf.DUMMYFUNCTION("""COMPUTED_VALUE"""),24.21)</f>
        <v>24.21</v>
      </c>
      <c r="D90" s="1">
        <f>IFERROR(__xludf.DUMMYFUNCTION("""COMPUTED_VALUE"""),23.35)</f>
        <v>23.35</v>
      </c>
      <c r="E90" s="1">
        <f>IFERROR(__xludf.DUMMYFUNCTION("""COMPUTED_VALUE"""),23.94)</f>
        <v>23.94</v>
      </c>
      <c r="F90" s="1">
        <f>IFERROR(__xludf.DUMMYFUNCTION("""COMPUTED_VALUE"""),1239792.0)</f>
        <v>1239792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IFERROR(__xludf.DUMMYFUNCTION("""COMPUTED_VALUE"""),24.11)</f>
        <v>24.11</v>
      </c>
      <c r="C91" s="1">
        <f>IFERROR(__xludf.DUMMYFUNCTION("""COMPUTED_VALUE"""),24.7)</f>
        <v>24.7</v>
      </c>
      <c r="D91" s="1">
        <f>IFERROR(__xludf.DUMMYFUNCTION("""COMPUTED_VALUE"""),23.94)</f>
        <v>23.94</v>
      </c>
      <c r="E91" s="1">
        <f>IFERROR(__xludf.DUMMYFUNCTION("""COMPUTED_VALUE"""),24.62)</f>
        <v>24.62</v>
      </c>
      <c r="F91" s="1">
        <f>IFERROR(__xludf.DUMMYFUNCTION("""COMPUTED_VALUE"""),1795001.0)</f>
        <v>1795001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IFERROR(__xludf.DUMMYFUNCTION("""COMPUTED_VALUE"""),24.49)</f>
        <v>24.49</v>
      </c>
      <c r="C92" s="1">
        <f>IFERROR(__xludf.DUMMYFUNCTION("""COMPUTED_VALUE"""),24.78)</f>
        <v>24.78</v>
      </c>
      <c r="D92" s="1">
        <f>IFERROR(__xludf.DUMMYFUNCTION("""COMPUTED_VALUE"""),23.91)</f>
        <v>23.91</v>
      </c>
      <c r="E92" s="1">
        <f>IFERROR(__xludf.DUMMYFUNCTION("""COMPUTED_VALUE"""),24.07)</f>
        <v>24.07</v>
      </c>
      <c r="F92" s="1">
        <f>IFERROR(__xludf.DUMMYFUNCTION("""COMPUTED_VALUE"""),1561358.0)</f>
        <v>1561358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IFERROR(__xludf.DUMMYFUNCTION("""COMPUTED_VALUE"""),23.83)</f>
        <v>23.83</v>
      </c>
      <c r="C93" s="1">
        <f>IFERROR(__xludf.DUMMYFUNCTION("""COMPUTED_VALUE"""),23.9)</f>
        <v>23.9</v>
      </c>
      <c r="D93" s="1">
        <f>IFERROR(__xludf.DUMMYFUNCTION("""COMPUTED_VALUE"""),22.92)</f>
        <v>22.92</v>
      </c>
      <c r="E93" s="1">
        <f>IFERROR(__xludf.DUMMYFUNCTION("""COMPUTED_VALUE"""),23.22)</f>
        <v>23.22</v>
      </c>
      <c r="F93" s="1">
        <f>IFERROR(__xludf.DUMMYFUNCTION("""COMPUTED_VALUE"""),1807554.0)</f>
        <v>1807554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IFERROR(__xludf.DUMMYFUNCTION("""COMPUTED_VALUE"""),23.41)</f>
        <v>23.41</v>
      </c>
      <c r="C94" s="1">
        <f>IFERROR(__xludf.DUMMYFUNCTION("""COMPUTED_VALUE"""),23.66)</f>
        <v>23.66</v>
      </c>
      <c r="D94" s="1">
        <f>IFERROR(__xludf.DUMMYFUNCTION("""COMPUTED_VALUE"""),22.7)</f>
        <v>22.7</v>
      </c>
      <c r="E94" s="1">
        <f>IFERROR(__xludf.DUMMYFUNCTION("""COMPUTED_VALUE"""),23.59)</f>
        <v>23.59</v>
      </c>
      <c r="F94" s="1">
        <f>IFERROR(__xludf.DUMMYFUNCTION("""COMPUTED_VALUE"""),1129388.0)</f>
        <v>1129388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IFERROR(__xludf.DUMMYFUNCTION("""COMPUTED_VALUE"""),23.9)</f>
        <v>23.9</v>
      </c>
      <c r="C95" s="1">
        <f>IFERROR(__xludf.DUMMYFUNCTION("""COMPUTED_VALUE"""),24.34)</f>
        <v>24.34</v>
      </c>
      <c r="D95" s="1">
        <f>IFERROR(__xludf.DUMMYFUNCTION("""COMPUTED_VALUE"""),22.79)</f>
        <v>22.79</v>
      </c>
      <c r="E95" s="1">
        <f>IFERROR(__xludf.DUMMYFUNCTION("""COMPUTED_VALUE"""),22.85)</f>
        <v>22.85</v>
      </c>
      <c r="F95" s="1">
        <f>IFERROR(__xludf.DUMMYFUNCTION("""COMPUTED_VALUE"""),2313637.0)</f>
        <v>2313637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IFERROR(__xludf.DUMMYFUNCTION("""COMPUTED_VALUE"""),22.7)</f>
        <v>22.7</v>
      </c>
      <c r="C96" s="1">
        <f>IFERROR(__xludf.DUMMYFUNCTION("""COMPUTED_VALUE"""),23.05)</f>
        <v>23.05</v>
      </c>
      <c r="D96" s="1">
        <f>IFERROR(__xludf.DUMMYFUNCTION("""COMPUTED_VALUE"""),21.99)</f>
        <v>21.99</v>
      </c>
      <c r="E96" s="1">
        <f>IFERROR(__xludf.DUMMYFUNCTION("""COMPUTED_VALUE"""),22.78)</f>
        <v>22.78</v>
      </c>
      <c r="F96" s="1">
        <f>IFERROR(__xludf.DUMMYFUNCTION("""COMPUTED_VALUE"""),2553178.0)</f>
        <v>2553178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IFERROR(__xludf.DUMMYFUNCTION("""COMPUTED_VALUE"""),21.97)</f>
        <v>21.97</v>
      </c>
      <c r="C97" s="1">
        <f>IFERROR(__xludf.DUMMYFUNCTION("""COMPUTED_VALUE"""),22.6)</f>
        <v>22.6</v>
      </c>
      <c r="D97" s="1">
        <f>IFERROR(__xludf.DUMMYFUNCTION("""COMPUTED_VALUE"""),21.66)</f>
        <v>21.66</v>
      </c>
      <c r="E97" s="1">
        <f>IFERROR(__xludf.DUMMYFUNCTION("""COMPUTED_VALUE"""),21.79)</f>
        <v>21.79</v>
      </c>
      <c r="F97" s="1">
        <f>IFERROR(__xludf.DUMMYFUNCTION("""COMPUTED_VALUE"""),2143423.0)</f>
        <v>2143423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IFERROR(__xludf.DUMMYFUNCTION("""COMPUTED_VALUE"""),21.27)</f>
        <v>21.27</v>
      </c>
      <c r="C98" s="1">
        <f>IFERROR(__xludf.DUMMYFUNCTION("""COMPUTED_VALUE"""),22.15)</f>
        <v>22.15</v>
      </c>
      <c r="D98" s="1">
        <f>IFERROR(__xludf.DUMMYFUNCTION("""COMPUTED_VALUE"""),21.22)</f>
        <v>21.22</v>
      </c>
      <c r="E98" s="1">
        <f>IFERROR(__xludf.DUMMYFUNCTION("""COMPUTED_VALUE"""),21.87)</f>
        <v>21.87</v>
      </c>
      <c r="F98" s="1">
        <f>IFERROR(__xludf.DUMMYFUNCTION("""COMPUTED_VALUE"""),3494612.0)</f>
        <v>3494612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IFERROR(__xludf.DUMMYFUNCTION("""COMPUTED_VALUE"""),21.81)</f>
        <v>21.81</v>
      </c>
      <c r="C99" s="1">
        <f>IFERROR(__xludf.DUMMYFUNCTION("""COMPUTED_VALUE"""),22.15)</f>
        <v>22.15</v>
      </c>
      <c r="D99" s="1">
        <f>IFERROR(__xludf.DUMMYFUNCTION("""COMPUTED_VALUE"""),21.65)</f>
        <v>21.65</v>
      </c>
      <c r="E99" s="1">
        <f>IFERROR(__xludf.DUMMYFUNCTION("""COMPUTED_VALUE"""),21.7)</f>
        <v>21.7</v>
      </c>
      <c r="F99" s="1">
        <f>IFERROR(__xludf.DUMMYFUNCTION("""COMPUTED_VALUE"""),1596613.0)</f>
        <v>1596613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IFERROR(__xludf.DUMMYFUNCTION("""COMPUTED_VALUE"""),21.02)</f>
        <v>21.02</v>
      </c>
      <c r="C100" s="1">
        <f>IFERROR(__xludf.DUMMYFUNCTION("""COMPUTED_VALUE"""),21.87)</f>
        <v>21.87</v>
      </c>
      <c r="D100" s="1">
        <f>IFERROR(__xludf.DUMMYFUNCTION("""COMPUTED_VALUE"""),20.72)</f>
        <v>20.72</v>
      </c>
      <c r="E100" s="1">
        <f>IFERROR(__xludf.DUMMYFUNCTION("""COMPUTED_VALUE"""),21.79)</f>
        <v>21.79</v>
      </c>
      <c r="F100" s="1">
        <f>IFERROR(__xludf.DUMMYFUNCTION("""COMPUTED_VALUE"""),3567896.0)</f>
        <v>3567896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IFERROR(__xludf.DUMMYFUNCTION("""COMPUTED_VALUE"""),21.89)</f>
        <v>21.89</v>
      </c>
      <c r="C101" s="1">
        <f>IFERROR(__xludf.DUMMYFUNCTION("""COMPUTED_VALUE"""),22.32)</f>
        <v>22.32</v>
      </c>
      <c r="D101" s="1">
        <f>IFERROR(__xludf.DUMMYFUNCTION("""COMPUTED_VALUE"""),21.34)</f>
        <v>21.34</v>
      </c>
      <c r="E101" s="1">
        <f>IFERROR(__xludf.DUMMYFUNCTION("""COMPUTED_VALUE"""),21.47)</f>
        <v>21.47</v>
      </c>
      <c r="F101" s="1">
        <f>IFERROR(__xludf.DUMMYFUNCTION("""COMPUTED_VALUE"""),1970953.0)</f>
        <v>1970953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IFERROR(__xludf.DUMMYFUNCTION("""COMPUTED_VALUE"""),22.03)</f>
        <v>22.03</v>
      </c>
      <c r="C102" s="1">
        <f>IFERROR(__xludf.DUMMYFUNCTION("""COMPUTED_VALUE"""),22.35)</f>
        <v>22.35</v>
      </c>
      <c r="D102" s="1">
        <f>IFERROR(__xludf.DUMMYFUNCTION("""COMPUTED_VALUE"""),21.77)</f>
        <v>21.77</v>
      </c>
      <c r="E102" s="1">
        <f>IFERROR(__xludf.DUMMYFUNCTION("""COMPUTED_VALUE"""),22.29)</f>
        <v>22.29</v>
      </c>
      <c r="F102" s="1">
        <f>IFERROR(__xludf.DUMMYFUNCTION("""COMPUTED_VALUE"""),2058474.0)</f>
        <v>2058474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IFERROR(__xludf.DUMMYFUNCTION("""COMPUTED_VALUE"""),22.19)</f>
        <v>22.19</v>
      </c>
      <c r="C103" s="1">
        <f>IFERROR(__xludf.DUMMYFUNCTION("""COMPUTED_VALUE"""),22.33)</f>
        <v>22.33</v>
      </c>
      <c r="D103" s="1">
        <f>IFERROR(__xludf.DUMMYFUNCTION("""COMPUTED_VALUE"""),21.48)</f>
        <v>21.48</v>
      </c>
      <c r="E103" s="1">
        <f>IFERROR(__xludf.DUMMYFUNCTION("""COMPUTED_VALUE"""),21.73)</f>
        <v>21.73</v>
      </c>
      <c r="F103" s="1">
        <f>IFERROR(__xludf.DUMMYFUNCTION("""COMPUTED_VALUE"""),2280028.0)</f>
        <v>2280028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IFERROR(__xludf.DUMMYFUNCTION("""COMPUTED_VALUE"""),21.45)</f>
        <v>21.45</v>
      </c>
      <c r="C104" s="1">
        <f>IFERROR(__xludf.DUMMYFUNCTION("""COMPUTED_VALUE"""),21.85)</f>
        <v>21.85</v>
      </c>
      <c r="D104" s="1">
        <f>IFERROR(__xludf.DUMMYFUNCTION("""COMPUTED_VALUE"""),21.12)</f>
        <v>21.12</v>
      </c>
      <c r="E104" s="1">
        <f>IFERROR(__xludf.DUMMYFUNCTION("""COMPUTED_VALUE"""),21.14)</f>
        <v>21.14</v>
      </c>
      <c r="F104" s="1">
        <f>IFERROR(__xludf.DUMMYFUNCTION("""COMPUTED_VALUE"""),1597149.0)</f>
        <v>1597149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IFERROR(__xludf.DUMMYFUNCTION("""COMPUTED_VALUE"""),21.52)</f>
        <v>21.52</v>
      </c>
      <c r="C105" s="1">
        <f>IFERROR(__xludf.DUMMYFUNCTION("""COMPUTED_VALUE"""),21.89)</f>
        <v>21.89</v>
      </c>
      <c r="D105" s="1">
        <f>IFERROR(__xludf.DUMMYFUNCTION("""COMPUTED_VALUE"""),20.95)</f>
        <v>20.95</v>
      </c>
      <c r="E105" s="1">
        <f>IFERROR(__xludf.DUMMYFUNCTION("""COMPUTED_VALUE"""),21.88)</f>
        <v>21.88</v>
      </c>
      <c r="F105" s="1">
        <f>IFERROR(__xludf.DUMMYFUNCTION("""COMPUTED_VALUE"""),1571362.0)</f>
        <v>1571362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IFERROR(__xludf.DUMMYFUNCTION("""COMPUTED_VALUE"""),22.07)</f>
        <v>22.07</v>
      </c>
      <c r="C106" s="1">
        <f>IFERROR(__xludf.DUMMYFUNCTION("""COMPUTED_VALUE"""),22.55)</f>
        <v>22.55</v>
      </c>
      <c r="D106" s="1">
        <f>IFERROR(__xludf.DUMMYFUNCTION("""COMPUTED_VALUE"""),22.01)</f>
        <v>22.01</v>
      </c>
      <c r="E106" s="1">
        <f>IFERROR(__xludf.DUMMYFUNCTION("""COMPUTED_VALUE"""),22.39)</f>
        <v>22.39</v>
      </c>
      <c r="F106" s="1">
        <f>IFERROR(__xludf.DUMMYFUNCTION("""COMPUTED_VALUE"""),2617588.0)</f>
        <v>2617588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IFERROR(__xludf.DUMMYFUNCTION("""COMPUTED_VALUE"""),21.72)</f>
        <v>21.72</v>
      </c>
      <c r="C107" s="1">
        <f>IFERROR(__xludf.DUMMYFUNCTION("""COMPUTED_VALUE"""),21.87)</f>
        <v>21.87</v>
      </c>
      <c r="D107" s="1">
        <f>IFERROR(__xludf.DUMMYFUNCTION("""COMPUTED_VALUE"""),20.75)</f>
        <v>20.75</v>
      </c>
      <c r="E107" s="1">
        <f>IFERROR(__xludf.DUMMYFUNCTION("""COMPUTED_VALUE"""),20.93)</f>
        <v>20.93</v>
      </c>
      <c r="F107" s="1">
        <f>IFERROR(__xludf.DUMMYFUNCTION("""COMPUTED_VALUE"""),2515214.0)</f>
        <v>2515214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IFERROR(__xludf.DUMMYFUNCTION("""COMPUTED_VALUE"""),21.06)</f>
        <v>21.06</v>
      </c>
      <c r="C108" s="1">
        <f>IFERROR(__xludf.DUMMYFUNCTION("""COMPUTED_VALUE"""),21.21)</f>
        <v>21.21</v>
      </c>
      <c r="D108" s="1">
        <f>IFERROR(__xludf.DUMMYFUNCTION("""COMPUTED_VALUE"""),20.14)</f>
        <v>20.14</v>
      </c>
      <c r="E108" s="1">
        <f>IFERROR(__xludf.DUMMYFUNCTION("""COMPUTED_VALUE"""),20.17)</f>
        <v>20.17</v>
      </c>
      <c r="F108" s="1">
        <f>IFERROR(__xludf.DUMMYFUNCTION("""COMPUTED_VALUE"""),1689881.0)</f>
        <v>1689881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IFERROR(__xludf.DUMMYFUNCTION("""COMPUTED_VALUE"""),20.24)</f>
        <v>20.24</v>
      </c>
      <c r="C109" s="1">
        <f>IFERROR(__xludf.DUMMYFUNCTION("""COMPUTED_VALUE"""),20.49)</f>
        <v>20.49</v>
      </c>
      <c r="D109" s="1">
        <f>IFERROR(__xludf.DUMMYFUNCTION("""COMPUTED_VALUE"""),19.48)</f>
        <v>19.48</v>
      </c>
      <c r="E109" s="1">
        <f>IFERROR(__xludf.DUMMYFUNCTION("""COMPUTED_VALUE"""),19.63)</f>
        <v>19.63</v>
      </c>
      <c r="F109" s="1">
        <f>IFERROR(__xludf.DUMMYFUNCTION("""COMPUTED_VALUE"""),4727487.0)</f>
        <v>4727487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IFERROR(__xludf.DUMMYFUNCTION("""COMPUTED_VALUE"""),19.85)</f>
        <v>19.85</v>
      </c>
      <c r="C110" s="1">
        <f>IFERROR(__xludf.DUMMYFUNCTION("""COMPUTED_VALUE"""),20.06)</f>
        <v>20.06</v>
      </c>
      <c r="D110" s="1">
        <f>IFERROR(__xludf.DUMMYFUNCTION("""COMPUTED_VALUE"""),19.07)</f>
        <v>19.07</v>
      </c>
      <c r="E110" s="1">
        <f>IFERROR(__xludf.DUMMYFUNCTION("""COMPUTED_VALUE"""),19.21)</f>
        <v>19.21</v>
      </c>
      <c r="F110" s="1">
        <f>IFERROR(__xludf.DUMMYFUNCTION("""COMPUTED_VALUE"""),5405344.0)</f>
        <v>5405344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IFERROR(__xludf.DUMMYFUNCTION("""COMPUTED_VALUE"""),19.6)</f>
        <v>19.6</v>
      </c>
      <c r="C111" s="1">
        <f>IFERROR(__xludf.DUMMYFUNCTION("""COMPUTED_VALUE"""),19.85)</f>
        <v>19.85</v>
      </c>
      <c r="D111" s="1">
        <f>IFERROR(__xludf.DUMMYFUNCTION("""COMPUTED_VALUE"""),19.38)</f>
        <v>19.38</v>
      </c>
      <c r="E111" s="1">
        <f>IFERROR(__xludf.DUMMYFUNCTION("""COMPUTED_VALUE"""),19.78)</f>
        <v>19.78</v>
      </c>
      <c r="F111" s="1">
        <f>IFERROR(__xludf.DUMMYFUNCTION("""COMPUTED_VALUE"""),2215782.0)</f>
        <v>2215782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IFERROR(__xludf.DUMMYFUNCTION("""COMPUTED_VALUE"""),19.49)</f>
        <v>19.49</v>
      </c>
      <c r="C112" s="1">
        <f>IFERROR(__xludf.DUMMYFUNCTION("""COMPUTED_VALUE"""),20.26)</f>
        <v>20.26</v>
      </c>
      <c r="D112" s="1">
        <f>IFERROR(__xludf.DUMMYFUNCTION("""COMPUTED_VALUE"""),19.46)</f>
        <v>19.46</v>
      </c>
      <c r="E112" s="1">
        <f>IFERROR(__xludf.DUMMYFUNCTION("""COMPUTED_VALUE"""),20.04)</f>
        <v>20.04</v>
      </c>
      <c r="F112" s="1">
        <f>IFERROR(__xludf.DUMMYFUNCTION("""COMPUTED_VALUE"""),2179289.0)</f>
        <v>2179289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IFERROR(__xludf.DUMMYFUNCTION("""COMPUTED_VALUE"""),20.35)</f>
        <v>20.35</v>
      </c>
      <c r="C113" s="1">
        <f>IFERROR(__xludf.DUMMYFUNCTION("""COMPUTED_VALUE"""),21.14)</f>
        <v>21.14</v>
      </c>
      <c r="D113" s="1">
        <f>IFERROR(__xludf.DUMMYFUNCTION("""COMPUTED_VALUE"""),20.22)</f>
        <v>20.22</v>
      </c>
      <c r="E113" s="1">
        <f>IFERROR(__xludf.DUMMYFUNCTION("""COMPUTED_VALUE"""),20.83)</f>
        <v>20.83</v>
      </c>
      <c r="F113" s="1">
        <f>IFERROR(__xludf.DUMMYFUNCTION("""COMPUTED_VALUE"""),2598071.0)</f>
        <v>2598071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IFERROR(__xludf.DUMMYFUNCTION("""COMPUTED_VALUE"""),20.95)</f>
        <v>20.95</v>
      </c>
      <c r="C114" s="1">
        <f>IFERROR(__xludf.DUMMYFUNCTION("""COMPUTED_VALUE"""),21.33)</f>
        <v>21.33</v>
      </c>
      <c r="D114" s="1">
        <f>IFERROR(__xludf.DUMMYFUNCTION("""COMPUTED_VALUE"""),20.7)</f>
        <v>20.7</v>
      </c>
      <c r="E114" s="1">
        <f>IFERROR(__xludf.DUMMYFUNCTION("""COMPUTED_VALUE"""),21.26)</f>
        <v>21.26</v>
      </c>
      <c r="F114" s="1">
        <f>IFERROR(__xludf.DUMMYFUNCTION("""COMPUTED_VALUE"""),1589406.0)</f>
        <v>1589406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IFERROR(__xludf.DUMMYFUNCTION("""COMPUTED_VALUE"""),21.08)</f>
        <v>21.08</v>
      </c>
      <c r="C115" s="1">
        <f>IFERROR(__xludf.DUMMYFUNCTION("""COMPUTED_VALUE"""),21.89)</f>
        <v>21.89</v>
      </c>
      <c r="D115" s="1">
        <f>IFERROR(__xludf.DUMMYFUNCTION("""COMPUTED_VALUE"""),20.92)</f>
        <v>20.92</v>
      </c>
      <c r="E115" s="1">
        <f>IFERROR(__xludf.DUMMYFUNCTION("""COMPUTED_VALUE"""),21.6)</f>
        <v>21.6</v>
      </c>
      <c r="F115" s="1">
        <f>IFERROR(__xludf.DUMMYFUNCTION("""COMPUTED_VALUE"""),4149973.0)</f>
        <v>4149973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IFERROR(__xludf.DUMMYFUNCTION("""COMPUTED_VALUE"""),21.8)</f>
        <v>21.8</v>
      </c>
      <c r="C116" s="1">
        <f>IFERROR(__xludf.DUMMYFUNCTION("""COMPUTED_VALUE"""),21.82)</f>
        <v>21.82</v>
      </c>
      <c r="D116" s="1">
        <f>IFERROR(__xludf.DUMMYFUNCTION("""COMPUTED_VALUE"""),20.61)</f>
        <v>20.61</v>
      </c>
      <c r="E116" s="1">
        <f>IFERROR(__xludf.DUMMYFUNCTION("""COMPUTED_VALUE"""),20.82)</f>
        <v>20.82</v>
      </c>
      <c r="F116" s="1">
        <f>IFERROR(__xludf.DUMMYFUNCTION("""COMPUTED_VALUE"""),2243205.0)</f>
        <v>2243205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IFERROR(__xludf.DUMMYFUNCTION("""COMPUTED_VALUE"""),20.74)</f>
        <v>20.74</v>
      </c>
      <c r="C117" s="1">
        <f>IFERROR(__xludf.DUMMYFUNCTION("""COMPUTED_VALUE"""),21.08)</f>
        <v>21.08</v>
      </c>
      <c r="D117" s="1">
        <f>IFERROR(__xludf.DUMMYFUNCTION("""COMPUTED_VALUE"""),20.6)</f>
        <v>20.6</v>
      </c>
      <c r="E117" s="1">
        <f>IFERROR(__xludf.DUMMYFUNCTION("""COMPUTED_VALUE"""),20.67)</f>
        <v>20.67</v>
      </c>
      <c r="F117" s="1">
        <f>IFERROR(__xludf.DUMMYFUNCTION("""COMPUTED_VALUE"""),2243933.0)</f>
        <v>2243933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IFERROR(__xludf.DUMMYFUNCTION("""COMPUTED_VALUE"""),20.96)</f>
        <v>20.96</v>
      </c>
      <c r="C118" s="1">
        <f>IFERROR(__xludf.DUMMYFUNCTION("""COMPUTED_VALUE"""),20.98)</f>
        <v>20.98</v>
      </c>
      <c r="D118" s="1">
        <f>IFERROR(__xludf.DUMMYFUNCTION("""COMPUTED_VALUE"""),20.17)</f>
        <v>20.17</v>
      </c>
      <c r="E118" s="1">
        <f>IFERROR(__xludf.DUMMYFUNCTION("""COMPUTED_VALUE"""),20.37)</f>
        <v>20.37</v>
      </c>
      <c r="F118" s="1">
        <f>IFERROR(__xludf.DUMMYFUNCTION("""COMPUTED_VALUE"""),2834217.0)</f>
        <v>2834217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IFERROR(__xludf.DUMMYFUNCTION("""COMPUTED_VALUE"""),20.42)</f>
        <v>20.42</v>
      </c>
      <c r="C119" s="1">
        <f>IFERROR(__xludf.DUMMYFUNCTION("""COMPUTED_VALUE"""),20.81)</f>
        <v>20.81</v>
      </c>
      <c r="D119" s="1">
        <f>IFERROR(__xludf.DUMMYFUNCTION("""COMPUTED_VALUE"""),19.87)</f>
        <v>19.87</v>
      </c>
      <c r="E119" s="1">
        <f>IFERROR(__xludf.DUMMYFUNCTION("""COMPUTED_VALUE"""),20.0)</f>
        <v>20</v>
      </c>
      <c r="F119" s="1">
        <f>IFERROR(__xludf.DUMMYFUNCTION("""COMPUTED_VALUE"""),3621554.0)</f>
        <v>3621554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IFERROR(__xludf.DUMMYFUNCTION("""COMPUTED_VALUE"""),21.94)</f>
        <v>21.94</v>
      </c>
      <c r="C120" s="1">
        <f>IFERROR(__xludf.DUMMYFUNCTION("""COMPUTED_VALUE"""),22.04)</f>
        <v>22.04</v>
      </c>
      <c r="D120" s="1">
        <f>IFERROR(__xludf.DUMMYFUNCTION("""COMPUTED_VALUE"""),21.28)</f>
        <v>21.28</v>
      </c>
      <c r="E120" s="1">
        <f>IFERROR(__xludf.DUMMYFUNCTION("""COMPUTED_VALUE"""),21.85)</f>
        <v>21.85</v>
      </c>
      <c r="F120" s="1">
        <f>IFERROR(__xludf.DUMMYFUNCTION("""COMPUTED_VALUE"""),1.0312178E7)</f>
        <v>10312178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IFERROR(__xludf.DUMMYFUNCTION("""COMPUTED_VALUE"""),21.98)</f>
        <v>21.98</v>
      </c>
      <c r="C121" s="1">
        <f>IFERROR(__xludf.DUMMYFUNCTION("""COMPUTED_VALUE"""),22.0)</f>
        <v>22</v>
      </c>
      <c r="D121" s="1">
        <f>IFERROR(__xludf.DUMMYFUNCTION("""COMPUTED_VALUE"""),21.12)</f>
        <v>21.12</v>
      </c>
      <c r="E121" s="1">
        <f>IFERROR(__xludf.DUMMYFUNCTION("""COMPUTED_VALUE"""),21.34)</f>
        <v>21.34</v>
      </c>
      <c r="F121" s="1">
        <f>IFERROR(__xludf.DUMMYFUNCTION("""COMPUTED_VALUE"""),4555944.0)</f>
        <v>4555944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IFERROR(__xludf.DUMMYFUNCTION("""COMPUTED_VALUE"""),21.5)</f>
        <v>21.5</v>
      </c>
      <c r="C122" s="1">
        <f>IFERROR(__xludf.DUMMYFUNCTION("""COMPUTED_VALUE"""),21.93)</f>
        <v>21.93</v>
      </c>
      <c r="D122" s="1">
        <f>IFERROR(__xludf.DUMMYFUNCTION("""COMPUTED_VALUE"""),21.29)</f>
        <v>21.29</v>
      </c>
      <c r="E122" s="1">
        <f>IFERROR(__xludf.DUMMYFUNCTION("""COMPUTED_VALUE"""),21.35)</f>
        <v>21.35</v>
      </c>
      <c r="F122" s="1">
        <f>IFERROR(__xludf.DUMMYFUNCTION("""COMPUTED_VALUE"""),4.2566172E7)</f>
        <v>42566172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IFERROR(__xludf.DUMMYFUNCTION("""COMPUTED_VALUE"""),21.27)</f>
        <v>21.27</v>
      </c>
      <c r="C123" s="1">
        <f>IFERROR(__xludf.DUMMYFUNCTION("""COMPUTED_VALUE"""),21.41)</f>
        <v>21.41</v>
      </c>
      <c r="D123" s="1">
        <f>IFERROR(__xludf.DUMMYFUNCTION("""COMPUTED_VALUE"""),20.82)</f>
        <v>20.82</v>
      </c>
      <c r="E123" s="1">
        <f>IFERROR(__xludf.DUMMYFUNCTION("""COMPUTED_VALUE"""),20.93)</f>
        <v>20.93</v>
      </c>
      <c r="F123" s="1">
        <f>IFERROR(__xludf.DUMMYFUNCTION("""COMPUTED_VALUE"""),5636459.0)</f>
        <v>5636459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IFERROR(__xludf.DUMMYFUNCTION("""COMPUTED_VALUE"""),20.51)</f>
        <v>20.51</v>
      </c>
      <c r="C124" s="1">
        <f>IFERROR(__xludf.DUMMYFUNCTION("""COMPUTED_VALUE"""),20.63)</f>
        <v>20.63</v>
      </c>
      <c r="D124" s="1">
        <f>IFERROR(__xludf.DUMMYFUNCTION("""COMPUTED_VALUE"""),19.69)</f>
        <v>19.69</v>
      </c>
      <c r="E124" s="1">
        <f>IFERROR(__xludf.DUMMYFUNCTION("""COMPUTED_VALUE"""),19.94)</f>
        <v>19.94</v>
      </c>
      <c r="F124" s="1">
        <f>IFERROR(__xludf.DUMMYFUNCTION("""COMPUTED_VALUE"""),4435242.0)</f>
        <v>4435242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IFERROR(__xludf.DUMMYFUNCTION("""COMPUTED_VALUE"""),19.93)</f>
        <v>19.93</v>
      </c>
      <c r="C125" s="1">
        <f>IFERROR(__xludf.DUMMYFUNCTION("""COMPUTED_VALUE"""),20.46)</f>
        <v>20.46</v>
      </c>
      <c r="D125" s="1">
        <f>IFERROR(__xludf.DUMMYFUNCTION("""COMPUTED_VALUE"""),19.76)</f>
        <v>19.76</v>
      </c>
      <c r="E125" s="1">
        <f>IFERROR(__xludf.DUMMYFUNCTION("""COMPUTED_VALUE"""),19.9)</f>
        <v>19.9</v>
      </c>
      <c r="F125" s="1">
        <f>IFERROR(__xludf.DUMMYFUNCTION("""COMPUTED_VALUE"""),3724357.0)</f>
        <v>3724357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IFERROR(__xludf.DUMMYFUNCTION("""COMPUTED_VALUE"""),19.95)</f>
        <v>19.95</v>
      </c>
      <c r="C126" s="1">
        <f>IFERROR(__xludf.DUMMYFUNCTION("""COMPUTED_VALUE"""),20.31)</f>
        <v>20.31</v>
      </c>
      <c r="D126" s="1">
        <f>IFERROR(__xludf.DUMMYFUNCTION("""COMPUTED_VALUE"""),19.54)</f>
        <v>19.54</v>
      </c>
      <c r="E126" s="1">
        <f>IFERROR(__xludf.DUMMYFUNCTION("""COMPUTED_VALUE"""),20.18)</f>
        <v>20.18</v>
      </c>
      <c r="F126" s="1">
        <f>IFERROR(__xludf.DUMMYFUNCTION("""COMPUTED_VALUE"""),4563937.0)</f>
        <v>4563937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IFERROR(__xludf.DUMMYFUNCTION("""COMPUTED_VALUE"""),20.29)</f>
        <v>20.29</v>
      </c>
      <c r="C127" s="1">
        <f>IFERROR(__xludf.DUMMYFUNCTION("""COMPUTED_VALUE"""),20.39)</f>
        <v>20.39</v>
      </c>
      <c r="D127" s="1">
        <f>IFERROR(__xludf.DUMMYFUNCTION("""COMPUTED_VALUE"""),19.65)</f>
        <v>19.65</v>
      </c>
      <c r="E127" s="1">
        <f>IFERROR(__xludf.DUMMYFUNCTION("""COMPUTED_VALUE"""),19.76)</f>
        <v>19.76</v>
      </c>
      <c r="F127" s="1">
        <f>IFERROR(__xludf.DUMMYFUNCTION("""COMPUTED_VALUE"""),2977207.0)</f>
        <v>2977207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IFERROR(__xludf.DUMMYFUNCTION("""COMPUTED_VALUE"""),20.11)</f>
        <v>20.11</v>
      </c>
      <c r="C128" s="1">
        <f>IFERROR(__xludf.DUMMYFUNCTION("""COMPUTED_VALUE"""),20.22)</f>
        <v>20.22</v>
      </c>
      <c r="D128" s="1">
        <f>IFERROR(__xludf.DUMMYFUNCTION("""COMPUTED_VALUE"""),19.18)</f>
        <v>19.18</v>
      </c>
      <c r="E128" s="1">
        <f>IFERROR(__xludf.DUMMYFUNCTION("""COMPUTED_VALUE"""),19.42)</f>
        <v>19.42</v>
      </c>
      <c r="F128" s="1">
        <f>IFERROR(__xludf.DUMMYFUNCTION("""COMPUTED_VALUE"""),2974480.0)</f>
        <v>2974480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IFERROR(__xludf.DUMMYFUNCTION("""COMPUTED_VALUE"""),19.44)</f>
        <v>19.44</v>
      </c>
      <c r="C129" s="1">
        <f>IFERROR(__xludf.DUMMYFUNCTION("""COMPUTED_VALUE"""),20.16)</f>
        <v>20.16</v>
      </c>
      <c r="D129" s="1">
        <f>IFERROR(__xludf.DUMMYFUNCTION("""COMPUTED_VALUE"""),19.42)</f>
        <v>19.42</v>
      </c>
      <c r="E129" s="1">
        <f>IFERROR(__xludf.DUMMYFUNCTION("""COMPUTED_VALUE"""),20.15)</f>
        <v>20.15</v>
      </c>
      <c r="F129" s="1">
        <f>IFERROR(__xludf.DUMMYFUNCTION("""COMPUTED_VALUE"""),2482013.0)</f>
        <v>2482013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IFERROR(__xludf.DUMMYFUNCTION("""COMPUTED_VALUE"""),20.31)</f>
        <v>20.31</v>
      </c>
      <c r="C130" s="1">
        <f>IFERROR(__xludf.DUMMYFUNCTION("""COMPUTED_VALUE"""),20.59)</f>
        <v>20.59</v>
      </c>
      <c r="D130" s="1">
        <f>IFERROR(__xludf.DUMMYFUNCTION("""COMPUTED_VALUE"""),19.05)</f>
        <v>19.05</v>
      </c>
      <c r="E130" s="1">
        <f>IFERROR(__xludf.DUMMYFUNCTION("""COMPUTED_VALUE"""),19.29)</f>
        <v>19.29</v>
      </c>
      <c r="F130" s="1">
        <f>IFERROR(__xludf.DUMMYFUNCTION("""COMPUTED_VALUE"""),6649907.0)</f>
        <v>6649907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IFERROR(__xludf.DUMMYFUNCTION("""COMPUTED_VALUE"""),19.2)</f>
        <v>19.2</v>
      </c>
      <c r="C131" s="1">
        <f>IFERROR(__xludf.DUMMYFUNCTION("""COMPUTED_VALUE"""),19.5)</f>
        <v>19.5</v>
      </c>
      <c r="D131" s="1">
        <f>IFERROR(__xludf.DUMMYFUNCTION("""COMPUTED_VALUE"""),19.11)</f>
        <v>19.11</v>
      </c>
      <c r="E131" s="1">
        <f>IFERROR(__xludf.DUMMYFUNCTION("""COMPUTED_VALUE"""),19.35)</f>
        <v>19.35</v>
      </c>
      <c r="F131" s="1">
        <f>IFERROR(__xludf.DUMMYFUNCTION("""COMPUTED_VALUE"""),4275332.0)</f>
        <v>4275332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IFERROR(__xludf.DUMMYFUNCTION("""COMPUTED_VALUE"""),19.23)</f>
        <v>19.23</v>
      </c>
      <c r="C132" s="1">
        <f>IFERROR(__xludf.DUMMYFUNCTION("""COMPUTED_VALUE"""),19.44)</f>
        <v>19.44</v>
      </c>
      <c r="D132" s="1">
        <f>IFERROR(__xludf.DUMMYFUNCTION("""COMPUTED_VALUE"""),18.71)</f>
        <v>18.71</v>
      </c>
      <c r="E132" s="1">
        <f>IFERROR(__xludf.DUMMYFUNCTION("""COMPUTED_VALUE"""),18.84)</f>
        <v>18.84</v>
      </c>
      <c r="F132" s="1">
        <f>IFERROR(__xludf.DUMMYFUNCTION("""COMPUTED_VALUE"""),4533573.0)</f>
        <v>4533573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IFERROR(__xludf.DUMMYFUNCTION("""COMPUTED_VALUE"""),19.1)</f>
        <v>19.1</v>
      </c>
      <c r="C133" s="1">
        <f>IFERROR(__xludf.DUMMYFUNCTION("""COMPUTED_VALUE"""),19.71)</f>
        <v>19.71</v>
      </c>
      <c r="D133" s="1">
        <f>IFERROR(__xludf.DUMMYFUNCTION("""COMPUTED_VALUE"""),19.01)</f>
        <v>19.01</v>
      </c>
      <c r="E133" s="1">
        <f>IFERROR(__xludf.DUMMYFUNCTION("""COMPUTED_VALUE"""),19.63)</f>
        <v>19.63</v>
      </c>
      <c r="F133" s="1">
        <f>IFERROR(__xludf.DUMMYFUNCTION("""COMPUTED_VALUE"""),2769322.0)</f>
        <v>2769322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IFERROR(__xludf.DUMMYFUNCTION("""COMPUTED_VALUE"""),19.5)</f>
        <v>19.5</v>
      </c>
      <c r="C134" s="1">
        <f>IFERROR(__xludf.DUMMYFUNCTION("""COMPUTED_VALUE"""),19.58)</f>
        <v>19.58</v>
      </c>
      <c r="D134" s="1">
        <f>IFERROR(__xludf.DUMMYFUNCTION("""COMPUTED_VALUE"""),19.07)</f>
        <v>19.07</v>
      </c>
      <c r="E134" s="1">
        <f>IFERROR(__xludf.DUMMYFUNCTION("""COMPUTED_VALUE"""),19.18)</f>
        <v>19.18</v>
      </c>
      <c r="F134" s="1">
        <f>IFERROR(__xludf.DUMMYFUNCTION("""COMPUTED_VALUE"""),3420016.0)</f>
        <v>3420016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IFERROR(__xludf.DUMMYFUNCTION("""COMPUTED_VALUE"""),19.14)</f>
        <v>19.14</v>
      </c>
      <c r="C135" s="1">
        <f>IFERROR(__xludf.DUMMYFUNCTION("""COMPUTED_VALUE"""),19.75)</f>
        <v>19.75</v>
      </c>
      <c r="D135" s="1">
        <f>IFERROR(__xludf.DUMMYFUNCTION("""COMPUTED_VALUE"""),18.94)</f>
        <v>18.94</v>
      </c>
      <c r="E135" s="1">
        <f>IFERROR(__xludf.DUMMYFUNCTION("""COMPUTED_VALUE"""),19.61)</f>
        <v>19.61</v>
      </c>
      <c r="F135" s="1">
        <f>IFERROR(__xludf.DUMMYFUNCTION("""COMPUTED_VALUE"""),6176298.0)</f>
        <v>6176298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IFERROR(__xludf.DUMMYFUNCTION("""COMPUTED_VALUE"""),19.47)</f>
        <v>19.47</v>
      </c>
      <c r="C136" s="1">
        <f>IFERROR(__xludf.DUMMYFUNCTION("""COMPUTED_VALUE"""),19.47)</f>
        <v>19.47</v>
      </c>
      <c r="D136" s="1">
        <f>IFERROR(__xludf.DUMMYFUNCTION("""COMPUTED_VALUE"""),18.62)</f>
        <v>18.62</v>
      </c>
      <c r="E136" s="1">
        <f>IFERROR(__xludf.DUMMYFUNCTION("""COMPUTED_VALUE"""),18.67)</f>
        <v>18.67</v>
      </c>
      <c r="F136" s="1">
        <f>IFERROR(__xludf.DUMMYFUNCTION("""COMPUTED_VALUE"""),4104973.0)</f>
        <v>4104973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IFERROR(__xludf.DUMMYFUNCTION("""COMPUTED_VALUE"""),18.74)</f>
        <v>18.74</v>
      </c>
      <c r="C137" s="1">
        <f>IFERROR(__xludf.DUMMYFUNCTION("""COMPUTED_VALUE"""),19.26)</f>
        <v>19.26</v>
      </c>
      <c r="D137" s="1">
        <f>IFERROR(__xludf.DUMMYFUNCTION("""COMPUTED_VALUE"""),18.62)</f>
        <v>18.62</v>
      </c>
      <c r="E137" s="1">
        <f>IFERROR(__xludf.DUMMYFUNCTION("""COMPUTED_VALUE"""),19.16)</f>
        <v>19.16</v>
      </c>
      <c r="F137" s="1">
        <f>IFERROR(__xludf.DUMMYFUNCTION("""COMPUTED_VALUE"""),2735330.0)</f>
        <v>2735330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IFERROR(__xludf.DUMMYFUNCTION("""COMPUTED_VALUE"""),18.81)</f>
        <v>18.81</v>
      </c>
      <c r="C138" s="1">
        <f>IFERROR(__xludf.DUMMYFUNCTION("""COMPUTED_VALUE"""),19.71)</f>
        <v>19.71</v>
      </c>
      <c r="D138" s="1">
        <f>IFERROR(__xludf.DUMMYFUNCTION("""COMPUTED_VALUE"""),18.72)</f>
        <v>18.72</v>
      </c>
      <c r="E138" s="1">
        <f>IFERROR(__xludf.DUMMYFUNCTION("""COMPUTED_VALUE"""),19.66)</f>
        <v>19.66</v>
      </c>
      <c r="F138" s="1">
        <f>IFERROR(__xludf.DUMMYFUNCTION("""COMPUTED_VALUE"""),3115479.0)</f>
        <v>3115479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IFERROR(__xludf.DUMMYFUNCTION("""COMPUTED_VALUE"""),19.8)</f>
        <v>19.8</v>
      </c>
      <c r="C139" s="1">
        <f>IFERROR(__xludf.DUMMYFUNCTION("""COMPUTED_VALUE"""),20.0)</f>
        <v>20</v>
      </c>
      <c r="D139" s="1">
        <f>IFERROR(__xludf.DUMMYFUNCTION("""COMPUTED_VALUE"""),19.37)</f>
        <v>19.37</v>
      </c>
      <c r="E139" s="1">
        <f>IFERROR(__xludf.DUMMYFUNCTION("""COMPUTED_VALUE"""),19.52)</f>
        <v>19.52</v>
      </c>
      <c r="F139" s="1">
        <f>IFERROR(__xludf.DUMMYFUNCTION("""COMPUTED_VALUE"""),3260828.0)</f>
        <v>3260828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IFERROR(__xludf.DUMMYFUNCTION("""COMPUTED_VALUE"""),19.81)</f>
        <v>19.81</v>
      </c>
      <c r="C140" s="1">
        <f>IFERROR(__xludf.DUMMYFUNCTION("""COMPUTED_VALUE"""),20.29)</f>
        <v>20.29</v>
      </c>
      <c r="D140" s="1">
        <f>IFERROR(__xludf.DUMMYFUNCTION("""COMPUTED_VALUE"""),19.8)</f>
        <v>19.8</v>
      </c>
      <c r="E140" s="1">
        <f>IFERROR(__xludf.DUMMYFUNCTION("""COMPUTED_VALUE"""),20.13)</f>
        <v>20.13</v>
      </c>
      <c r="F140" s="1">
        <f>IFERROR(__xludf.DUMMYFUNCTION("""COMPUTED_VALUE"""),2545150.0)</f>
        <v>2545150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IFERROR(__xludf.DUMMYFUNCTION("""COMPUTED_VALUE"""),20.01)</f>
        <v>20.01</v>
      </c>
      <c r="C141" s="1">
        <f>IFERROR(__xludf.DUMMYFUNCTION("""COMPUTED_VALUE"""),21.04)</f>
        <v>21.04</v>
      </c>
      <c r="D141" s="1">
        <f>IFERROR(__xludf.DUMMYFUNCTION("""COMPUTED_VALUE"""),19.91)</f>
        <v>19.91</v>
      </c>
      <c r="E141" s="1">
        <f>IFERROR(__xludf.DUMMYFUNCTION("""COMPUTED_VALUE"""),20.99)</f>
        <v>20.99</v>
      </c>
      <c r="F141" s="1">
        <f>IFERROR(__xludf.DUMMYFUNCTION("""COMPUTED_VALUE"""),3529226.0)</f>
        <v>3529226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IFERROR(__xludf.DUMMYFUNCTION("""COMPUTED_VALUE"""),21.14)</f>
        <v>21.14</v>
      </c>
      <c r="C142" s="1">
        <f>IFERROR(__xludf.DUMMYFUNCTION("""COMPUTED_VALUE"""),21.51)</f>
        <v>21.51</v>
      </c>
      <c r="D142" s="1">
        <f>IFERROR(__xludf.DUMMYFUNCTION("""COMPUTED_VALUE"""),20.71)</f>
        <v>20.71</v>
      </c>
      <c r="E142" s="1">
        <f>IFERROR(__xludf.DUMMYFUNCTION("""COMPUTED_VALUE"""),21.51)</f>
        <v>21.51</v>
      </c>
      <c r="F142" s="1">
        <f>IFERROR(__xludf.DUMMYFUNCTION("""COMPUTED_VALUE"""),2012781.0)</f>
        <v>2012781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IFERROR(__xludf.DUMMYFUNCTION("""COMPUTED_VALUE"""),21.64)</f>
        <v>21.64</v>
      </c>
      <c r="C143" s="1">
        <f>IFERROR(__xludf.DUMMYFUNCTION("""COMPUTED_VALUE"""),21.81)</f>
        <v>21.81</v>
      </c>
      <c r="D143" s="1">
        <f>IFERROR(__xludf.DUMMYFUNCTION("""COMPUTED_VALUE"""),21.04)</f>
        <v>21.04</v>
      </c>
      <c r="E143" s="1">
        <f>IFERROR(__xludf.DUMMYFUNCTION("""COMPUTED_VALUE"""),21.12)</f>
        <v>21.12</v>
      </c>
      <c r="F143" s="1">
        <f>IFERROR(__xludf.DUMMYFUNCTION("""COMPUTED_VALUE"""),3470225.0)</f>
        <v>3470225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IFERROR(__xludf.DUMMYFUNCTION("""COMPUTED_VALUE"""),20.98)</f>
        <v>20.98</v>
      </c>
      <c r="C144" s="1">
        <f>IFERROR(__xludf.DUMMYFUNCTION("""COMPUTED_VALUE"""),21.26)</f>
        <v>21.26</v>
      </c>
      <c r="D144" s="1">
        <f>IFERROR(__xludf.DUMMYFUNCTION("""COMPUTED_VALUE"""),20.81)</f>
        <v>20.81</v>
      </c>
      <c r="E144" s="1">
        <f>IFERROR(__xludf.DUMMYFUNCTION("""COMPUTED_VALUE"""),20.98)</f>
        <v>20.98</v>
      </c>
      <c r="F144" s="1">
        <f>IFERROR(__xludf.DUMMYFUNCTION("""COMPUTED_VALUE"""),2758980.0)</f>
        <v>2758980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IFERROR(__xludf.DUMMYFUNCTION("""COMPUTED_VALUE"""),21.07)</f>
        <v>21.07</v>
      </c>
      <c r="C145" s="1">
        <f>IFERROR(__xludf.DUMMYFUNCTION("""COMPUTED_VALUE"""),21.27)</f>
        <v>21.27</v>
      </c>
      <c r="D145" s="1">
        <f>IFERROR(__xludf.DUMMYFUNCTION("""COMPUTED_VALUE"""),20.45)</f>
        <v>20.45</v>
      </c>
      <c r="E145" s="1">
        <f>IFERROR(__xludf.DUMMYFUNCTION("""COMPUTED_VALUE"""),20.89)</f>
        <v>20.89</v>
      </c>
      <c r="F145" s="1">
        <f>IFERROR(__xludf.DUMMYFUNCTION("""COMPUTED_VALUE"""),2791584.0)</f>
        <v>2791584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IFERROR(__xludf.DUMMYFUNCTION("""COMPUTED_VALUE"""),20.54)</f>
        <v>20.54</v>
      </c>
      <c r="C146" s="1">
        <f>IFERROR(__xludf.DUMMYFUNCTION("""COMPUTED_VALUE"""),21.24)</f>
        <v>21.24</v>
      </c>
      <c r="D146" s="1">
        <f>IFERROR(__xludf.DUMMYFUNCTION("""COMPUTED_VALUE"""),20.33)</f>
        <v>20.33</v>
      </c>
      <c r="E146" s="1">
        <f>IFERROR(__xludf.DUMMYFUNCTION("""COMPUTED_VALUE"""),21.1)</f>
        <v>21.1</v>
      </c>
      <c r="F146" s="1">
        <f>IFERROR(__xludf.DUMMYFUNCTION("""COMPUTED_VALUE"""),2424676.0)</f>
        <v>2424676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IFERROR(__xludf.DUMMYFUNCTION("""COMPUTED_VALUE"""),21.47)</f>
        <v>21.47</v>
      </c>
      <c r="C147" s="1">
        <f>IFERROR(__xludf.DUMMYFUNCTION("""COMPUTED_VALUE"""),21.84)</f>
        <v>21.84</v>
      </c>
      <c r="D147" s="1">
        <f>IFERROR(__xludf.DUMMYFUNCTION("""COMPUTED_VALUE"""),21.0)</f>
        <v>21</v>
      </c>
      <c r="E147" s="1">
        <f>IFERROR(__xludf.DUMMYFUNCTION("""COMPUTED_VALUE"""),21.71)</f>
        <v>21.71</v>
      </c>
      <c r="F147" s="1">
        <f>IFERROR(__xludf.DUMMYFUNCTION("""COMPUTED_VALUE"""),3028297.0)</f>
        <v>3028297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IFERROR(__xludf.DUMMYFUNCTION("""COMPUTED_VALUE"""),21.62)</f>
        <v>21.62</v>
      </c>
      <c r="C148" s="1">
        <f>IFERROR(__xludf.DUMMYFUNCTION("""COMPUTED_VALUE"""),21.62)</f>
        <v>21.62</v>
      </c>
      <c r="D148" s="1">
        <f>IFERROR(__xludf.DUMMYFUNCTION("""COMPUTED_VALUE"""),21.0)</f>
        <v>21</v>
      </c>
      <c r="E148" s="1">
        <f>IFERROR(__xludf.DUMMYFUNCTION("""COMPUTED_VALUE"""),21.28)</f>
        <v>21.28</v>
      </c>
      <c r="F148" s="1">
        <f>IFERROR(__xludf.DUMMYFUNCTION("""COMPUTED_VALUE"""),2288945.0)</f>
        <v>2288945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IFERROR(__xludf.DUMMYFUNCTION("""COMPUTED_VALUE"""),21.34)</f>
        <v>21.34</v>
      </c>
      <c r="C149" s="1">
        <f>IFERROR(__xludf.DUMMYFUNCTION("""COMPUTED_VALUE"""),21.51)</f>
        <v>21.51</v>
      </c>
      <c r="D149" s="1">
        <f>IFERROR(__xludf.DUMMYFUNCTION("""COMPUTED_VALUE"""),21.12)</f>
        <v>21.12</v>
      </c>
      <c r="E149" s="1">
        <f>IFERROR(__xludf.DUMMYFUNCTION("""COMPUTED_VALUE"""),21.43)</f>
        <v>21.43</v>
      </c>
      <c r="F149" s="1">
        <f>IFERROR(__xludf.DUMMYFUNCTION("""COMPUTED_VALUE"""),1472262.0)</f>
        <v>1472262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IFERROR(__xludf.DUMMYFUNCTION("""COMPUTED_VALUE"""),21.21)</f>
        <v>21.21</v>
      </c>
      <c r="C150" s="1">
        <f>IFERROR(__xludf.DUMMYFUNCTION("""COMPUTED_VALUE"""),21.21)</f>
        <v>21.21</v>
      </c>
      <c r="D150" s="1">
        <f>IFERROR(__xludf.DUMMYFUNCTION("""COMPUTED_VALUE"""),20.79)</f>
        <v>20.79</v>
      </c>
      <c r="E150" s="1">
        <f>IFERROR(__xludf.DUMMYFUNCTION("""COMPUTED_VALUE"""),21.11)</f>
        <v>21.11</v>
      </c>
      <c r="F150" s="1">
        <f>IFERROR(__xludf.DUMMYFUNCTION("""COMPUTED_VALUE"""),1445509.0)</f>
        <v>1445509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IFERROR(__xludf.DUMMYFUNCTION("""COMPUTED_VALUE"""),20.81)</f>
        <v>20.81</v>
      </c>
      <c r="C151" s="1">
        <f>IFERROR(__xludf.DUMMYFUNCTION("""COMPUTED_VALUE"""),20.98)</f>
        <v>20.98</v>
      </c>
      <c r="D151" s="1">
        <f>IFERROR(__xludf.DUMMYFUNCTION("""COMPUTED_VALUE"""),20.36)</f>
        <v>20.36</v>
      </c>
      <c r="E151" s="1">
        <f>IFERROR(__xludf.DUMMYFUNCTION("""COMPUTED_VALUE"""),20.8)</f>
        <v>20.8</v>
      </c>
      <c r="F151" s="1">
        <f>IFERROR(__xludf.DUMMYFUNCTION("""COMPUTED_VALUE"""),2338041.0)</f>
        <v>2338041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IFERROR(__xludf.DUMMYFUNCTION("""COMPUTED_VALUE"""),20.84)</f>
        <v>20.84</v>
      </c>
      <c r="C152" s="1">
        <f>IFERROR(__xludf.DUMMYFUNCTION("""COMPUTED_VALUE"""),21.83)</f>
        <v>21.83</v>
      </c>
      <c r="D152" s="1">
        <f>IFERROR(__xludf.DUMMYFUNCTION("""COMPUTED_VALUE"""),20.84)</f>
        <v>20.84</v>
      </c>
      <c r="E152" s="1">
        <f>IFERROR(__xludf.DUMMYFUNCTION("""COMPUTED_VALUE"""),21.83)</f>
        <v>21.83</v>
      </c>
      <c r="F152" s="1">
        <f>IFERROR(__xludf.DUMMYFUNCTION("""COMPUTED_VALUE"""),2849449.0)</f>
        <v>2849449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IFERROR(__xludf.DUMMYFUNCTION("""COMPUTED_VALUE"""),21.51)</f>
        <v>21.51</v>
      </c>
      <c r="C153" s="1">
        <f>IFERROR(__xludf.DUMMYFUNCTION("""COMPUTED_VALUE"""),21.81)</f>
        <v>21.81</v>
      </c>
      <c r="D153" s="1">
        <f>IFERROR(__xludf.DUMMYFUNCTION("""COMPUTED_VALUE"""),21.25)</f>
        <v>21.25</v>
      </c>
      <c r="E153" s="1">
        <f>IFERROR(__xludf.DUMMYFUNCTION("""COMPUTED_VALUE"""),21.54)</f>
        <v>21.54</v>
      </c>
      <c r="F153" s="1">
        <f>IFERROR(__xludf.DUMMYFUNCTION("""COMPUTED_VALUE"""),3276657.0)</f>
        <v>3276657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IFERROR(__xludf.DUMMYFUNCTION("""COMPUTED_VALUE"""),21.03)</f>
        <v>21.03</v>
      </c>
      <c r="C154" s="1">
        <f>IFERROR(__xludf.DUMMYFUNCTION("""COMPUTED_VALUE"""),21.42)</f>
        <v>21.42</v>
      </c>
      <c r="D154" s="1">
        <f>IFERROR(__xludf.DUMMYFUNCTION("""COMPUTED_VALUE"""),20.85)</f>
        <v>20.85</v>
      </c>
      <c r="E154" s="1">
        <f>IFERROR(__xludf.DUMMYFUNCTION("""COMPUTED_VALUE"""),20.93)</f>
        <v>20.93</v>
      </c>
      <c r="F154" s="1">
        <f>IFERROR(__xludf.DUMMYFUNCTION("""COMPUTED_VALUE"""),2598311.0)</f>
        <v>2598311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IFERROR(__xludf.DUMMYFUNCTION("""COMPUTED_VALUE"""),20.51)</f>
        <v>20.51</v>
      </c>
      <c r="C155" s="1">
        <f>IFERROR(__xludf.DUMMYFUNCTION("""COMPUTED_VALUE"""),21.05)</f>
        <v>21.05</v>
      </c>
      <c r="D155" s="1">
        <f>IFERROR(__xludf.DUMMYFUNCTION("""COMPUTED_VALUE"""),20.33)</f>
        <v>20.33</v>
      </c>
      <c r="E155" s="1">
        <f>IFERROR(__xludf.DUMMYFUNCTION("""COMPUTED_VALUE"""),20.89)</f>
        <v>20.89</v>
      </c>
      <c r="F155" s="1">
        <f>IFERROR(__xludf.DUMMYFUNCTION("""COMPUTED_VALUE"""),2227733.0)</f>
        <v>2227733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IFERROR(__xludf.DUMMYFUNCTION("""COMPUTED_VALUE"""),20.77)</f>
        <v>20.77</v>
      </c>
      <c r="C156" s="1">
        <f>IFERROR(__xludf.DUMMYFUNCTION("""COMPUTED_VALUE"""),21.14)</f>
        <v>21.14</v>
      </c>
      <c r="D156" s="1">
        <f>IFERROR(__xludf.DUMMYFUNCTION("""COMPUTED_VALUE"""),20.63)</f>
        <v>20.63</v>
      </c>
      <c r="E156" s="1">
        <f>IFERROR(__xludf.DUMMYFUNCTION("""COMPUTED_VALUE"""),20.82)</f>
        <v>20.82</v>
      </c>
      <c r="F156" s="1">
        <f>IFERROR(__xludf.DUMMYFUNCTION("""COMPUTED_VALUE"""),1659083.0)</f>
        <v>1659083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IFERROR(__xludf.DUMMYFUNCTION("""COMPUTED_VALUE"""),20.62)</f>
        <v>20.62</v>
      </c>
      <c r="C157" s="1">
        <f>IFERROR(__xludf.DUMMYFUNCTION("""COMPUTED_VALUE"""),21.37)</f>
        <v>21.37</v>
      </c>
      <c r="D157" s="1">
        <f>IFERROR(__xludf.DUMMYFUNCTION("""COMPUTED_VALUE"""),20.53)</f>
        <v>20.53</v>
      </c>
      <c r="E157" s="1">
        <f>IFERROR(__xludf.DUMMYFUNCTION("""COMPUTED_VALUE"""),20.81)</f>
        <v>20.81</v>
      </c>
      <c r="F157" s="1">
        <f>IFERROR(__xludf.DUMMYFUNCTION("""COMPUTED_VALUE"""),1432493.0)</f>
        <v>1432493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IFERROR(__xludf.DUMMYFUNCTION("""COMPUTED_VALUE"""),21.1)</f>
        <v>21.1</v>
      </c>
      <c r="C158" s="1">
        <f>IFERROR(__xludf.DUMMYFUNCTION("""COMPUTED_VALUE"""),21.23)</f>
        <v>21.23</v>
      </c>
      <c r="D158" s="1">
        <f>IFERROR(__xludf.DUMMYFUNCTION("""COMPUTED_VALUE"""),20.88)</f>
        <v>20.88</v>
      </c>
      <c r="E158" s="1">
        <f>IFERROR(__xludf.DUMMYFUNCTION("""COMPUTED_VALUE"""),21.07)</f>
        <v>21.07</v>
      </c>
      <c r="F158" s="1">
        <f>IFERROR(__xludf.DUMMYFUNCTION("""COMPUTED_VALUE"""),1627076.0)</f>
        <v>1627076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IFERROR(__xludf.DUMMYFUNCTION("""COMPUTED_VALUE"""),21.02)</f>
        <v>21.02</v>
      </c>
      <c r="C159" s="1">
        <f>IFERROR(__xludf.DUMMYFUNCTION("""COMPUTED_VALUE"""),21.74)</f>
        <v>21.74</v>
      </c>
      <c r="D159" s="1">
        <f>IFERROR(__xludf.DUMMYFUNCTION("""COMPUTED_VALUE"""),20.78)</f>
        <v>20.78</v>
      </c>
      <c r="E159" s="1">
        <f>IFERROR(__xludf.DUMMYFUNCTION("""COMPUTED_VALUE"""),21.63)</f>
        <v>21.63</v>
      </c>
      <c r="F159" s="1">
        <f>IFERROR(__xludf.DUMMYFUNCTION("""COMPUTED_VALUE"""),2693780.0)</f>
        <v>2693780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IFERROR(__xludf.DUMMYFUNCTION("""COMPUTED_VALUE"""),21.5)</f>
        <v>21.5</v>
      </c>
      <c r="C160" s="1">
        <f>IFERROR(__xludf.DUMMYFUNCTION("""COMPUTED_VALUE"""),21.69)</f>
        <v>21.69</v>
      </c>
      <c r="D160" s="1">
        <f>IFERROR(__xludf.DUMMYFUNCTION("""COMPUTED_VALUE"""),21.05)</f>
        <v>21.05</v>
      </c>
      <c r="E160" s="1">
        <f>IFERROR(__xludf.DUMMYFUNCTION("""COMPUTED_VALUE"""),21.17)</f>
        <v>21.17</v>
      </c>
      <c r="F160" s="1">
        <f>IFERROR(__xludf.DUMMYFUNCTION("""COMPUTED_VALUE"""),2396194.0)</f>
        <v>2396194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IFERROR(__xludf.DUMMYFUNCTION("""COMPUTED_VALUE"""),21.01)</f>
        <v>21.01</v>
      </c>
      <c r="C161" s="1">
        <f>IFERROR(__xludf.DUMMYFUNCTION("""COMPUTED_VALUE"""),21.59)</f>
        <v>21.59</v>
      </c>
      <c r="D161" s="1">
        <f>IFERROR(__xludf.DUMMYFUNCTION("""COMPUTED_VALUE"""),20.9)</f>
        <v>20.9</v>
      </c>
      <c r="E161" s="1">
        <f>IFERROR(__xludf.DUMMYFUNCTION("""COMPUTED_VALUE"""),21.56)</f>
        <v>21.56</v>
      </c>
      <c r="F161" s="1">
        <f>IFERROR(__xludf.DUMMYFUNCTION("""COMPUTED_VALUE"""),2580718.0)</f>
        <v>2580718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IFERROR(__xludf.DUMMYFUNCTION("""COMPUTED_VALUE"""),21.57)</f>
        <v>21.57</v>
      </c>
      <c r="C162" s="1">
        <f>IFERROR(__xludf.DUMMYFUNCTION("""COMPUTED_VALUE"""),21.85)</f>
        <v>21.85</v>
      </c>
      <c r="D162" s="1">
        <f>IFERROR(__xludf.DUMMYFUNCTION("""COMPUTED_VALUE"""),20.84)</f>
        <v>20.84</v>
      </c>
      <c r="E162" s="1">
        <f>IFERROR(__xludf.DUMMYFUNCTION("""COMPUTED_VALUE"""),20.84)</f>
        <v>20.84</v>
      </c>
      <c r="F162" s="1">
        <f>IFERROR(__xludf.DUMMYFUNCTION("""COMPUTED_VALUE"""),1525193.0)</f>
        <v>1525193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IFERROR(__xludf.DUMMYFUNCTION("""COMPUTED_VALUE"""),20.5)</f>
        <v>20.5</v>
      </c>
      <c r="C163" s="1">
        <f>IFERROR(__xludf.DUMMYFUNCTION("""COMPUTED_VALUE"""),20.92)</f>
        <v>20.92</v>
      </c>
      <c r="D163" s="1">
        <f>IFERROR(__xludf.DUMMYFUNCTION("""COMPUTED_VALUE"""),20.08)</f>
        <v>20.08</v>
      </c>
      <c r="E163" s="1">
        <f>IFERROR(__xludf.DUMMYFUNCTION("""COMPUTED_VALUE"""),20.68)</f>
        <v>20.68</v>
      </c>
      <c r="F163" s="1">
        <f>IFERROR(__xludf.DUMMYFUNCTION("""COMPUTED_VALUE"""),2077128.0)</f>
        <v>2077128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IFERROR(__xludf.DUMMYFUNCTION("""COMPUTED_VALUE"""),20.54)</f>
        <v>20.54</v>
      </c>
      <c r="C164" s="1">
        <f>IFERROR(__xludf.DUMMYFUNCTION("""COMPUTED_VALUE"""),20.92)</f>
        <v>20.92</v>
      </c>
      <c r="D164" s="1">
        <f>IFERROR(__xludf.DUMMYFUNCTION("""COMPUTED_VALUE"""),20.23)</f>
        <v>20.23</v>
      </c>
      <c r="E164" s="1">
        <f>IFERROR(__xludf.DUMMYFUNCTION("""COMPUTED_VALUE"""),20.82)</f>
        <v>20.82</v>
      </c>
      <c r="F164" s="1">
        <f>IFERROR(__xludf.DUMMYFUNCTION("""COMPUTED_VALUE"""),1390819.0)</f>
        <v>1390819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IFERROR(__xludf.DUMMYFUNCTION("""COMPUTED_VALUE"""),20.85)</f>
        <v>20.85</v>
      </c>
      <c r="C165" s="1">
        <f>IFERROR(__xludf.DUMMYFUNCTION("""COMPUTED_VALUE"""),21.01)</f>
        <v>21.01</v>
      </c>
      <c r="D165" s="1">
        <f>IFERROR(__xludf.DUMMYFUNCTION("""COMPUTED_VALUE"""),20.46)</f>
        <v>20.46</v>
      </c>
      <c r="E165" s="1">
        <f>IFERROR(__xludf.DUMMYFUNCTION("""COMPUTED_VALUE"""),20.48)</f>
        <v>20.48</v>
      </c>
      <c r="F165" s="1">
        <f>IFERROR(__xludf.DUMMYFUNCTION("""COMPUTED_VALUE"""),1078182.0)</f>
        <v>1078182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IFERROR(__xludf.DUMMYFUNCTION("""COMPUTED_VALUE"""),20.69)</f>
        <v>20.69</v>
      </c>
      <c r="C166" s="1">
        <f>IFERROR(__xludf.DUMMYFUNCTION("""COMPUTED_VALUE"""),20.93)</f>
        <v>20.93</v>
      </c>
      <c r="D166" s="1">
        <f>IFERROR(__xludf.DUMMYFUNCTION("""COMPUTED_VALUE"""),20.2)</f>
        <v>20.2</v>
      </c>
      <c r="E166" s="1">
        <f>IFERROR(__xludf.DUMMYFUNCTION("""COMPUTED_VALUE"""),20.85)</f>
        <v>20.85</v>
      </c>
      <c r="F166" s="1">
        <f>IFERROR(__xludf.DUMMYFUNCTION("""COMPUTED_VALUE"""),1246144.0)</f>
        <v>1246144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IFERROR(__xludf.DUMMYFUNCTION("""COMPUTED_VALUE"""),20.79)</f>
        <v>20.79</v>
      </c>
      <c r="C167" s="1">
        <f>IFERROR(__xludf.DUMMYFUNCTION("""COMPUTED_VALUE"""),20.89)</f>
        <v>20.89</v>
      </c>
      <c r="D167" s="1">
        <f>IFERROR(__xludf.DUMMYFUNCTION("""COMPUTED_VALUE"""),20.26)</f>
        <v>20.26</v>
      </c>
      <c r="E167" s="1">
        <f>IFERROR(__xludf.DUMMYFUNCTION("""COMPUTED_VALUE"""),20.28)</f>
        <v>20.28</v>
      </c>
      <c r="F167" s="1">
        <f>IFERROR(__xludf.DUMMYFUNCTION("""COMPUTED_VALUE"""),1174967.0)</f>
        <v>1174967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IFERROR(__xludf.DUMMYFUNCTION("""COMPUTED_VALUE"""),20.1)</f>
        <v>20.1</v>
      </c>
      <c r="C168" s="1">
        <f>IFERROR(__xludf.DUMMYFUNCTION("""COMPUTED_VALUE"""),20.49)</f>
        <v>20.49</v>
      </c>
      <c r="D168" s="1">
        <f>IFERROR(__xludf.DUMMYFUNCTION("""COMPUTED_VALUE"""),19.75)</f>
        <v>19.75</v>
      </c>
      <c r="E168" s="1">
        <f>IFERROR(__xludf.DUMMYFUNCTION("""COMPUTED_VALUE"""),19.93)</f>
        <v>19.93</v>
      </c>
      <c r="F168" s="1">
        <f>IFERROR(__xludf.DUMMYFUNCTION("""COMPUTED_VALUE"""),2242841.0)</f>
        <v>2242841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IFERROR(__xludf.DUMMYFUNCTION("""COMPUTED_VALUE"""),20.24)</f>
        <v>20.24</v>
      </c>
      <c r="C169" s="1">
        <f>IFERROR(__xludf.DUMMYFUNCTION("""COMPUTED_VALUE"""),20.98)</f>
        <v>20.98</v>
      </c>
      <c r="D169" s="1">
        <f>IFERROR(__xludf.DUMMYFUNCTION("""COMPUTED_VALUE"""),20.24)</f>
        <v>20.24</v>
      </c>
      <c r="E169" s="1">
        <f>IFERROR(__xludf.DUMMYFUNCTION("""COMPUTED_VALUE"""),20.78)</f>
        <v>20.78</v>
      </c>
      <c r="F169" s="1">
        <f>IFERROR(__xludf.DUMMYFUNCTION("""COMPUTED_VALUE"""),1866137.0)</f>
        <v>1866137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IFERROR(__xludf.DUMMYFUNCTION("""COMPUTED_VALUE"""),20.84)</f>
        <v>20.84</v>
      </c>
      <c r="C170" s="1">
        <f>IFERROR(__xludf.DUMMYFUNCTION("""COMPUTED_VALUE"""),21.45)</f>
        <v>21.45</v>
      </c>
      <c r="D170" s="1">
        <f>IFERROR(__xludf.DUMMYFUNCTION("""COMPUTED_VALUE"""),20.84)</f>
        <v>20.84</v>
      </c>
      <c r="E170" s="1">
        <f>IFERROR(__xludf.DUMMYFUNCTION("""COMPUTED_VALUE"""),21.43)</f>
        <v>21.43</v>
      </c>
      <c r="F170" s="1">
        <f>IFERROR(__xludf.DUMMYFUNCTION("""COMPUTED_VALUE"""),1079434.0)</f>
        <v>1079434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IFERROR(__xludf.DUMMYFUNCTION("""COMPUTED_VALUE"""),21.77)</f>
        <v>21.77</v>
      </c>
      <c r="C171" s="1">
        <f>IFERROR(__xludf.DUMMYFUNCTION("""COMPUTED_VALUE"""),22.06)</f>
        <v>22.06</v>
      </c>
      <c r="D171" s="1">
        <f>IFERROR(__xludf.DUMMYFUNCTION("""COMPUTED_VALUE"""),21.37)</f>
        <v>21.37</v>
      </c>
      <c r="E171" s="1">
        <f>IFERROR(__xludf.DUMMYFUNCTION("""COMPUTED_VALUE"""),21.7)</f>
        <v>21.7</v>
      </c>
      <c r="F171" s="1">
        <f>IFERROR(__xludf.DUMMYFUNCTION("""COMPUTED_VALUE"""),1396503.0)</f>
        <v>1396503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IFERROR(__xludf.DUMMYFUNCTION("""COMPUTED_VALUE"""),21.56)</f>
        <v>21.56</v>
      </c>
      <c r="C172" s="1">
        <f>IFERROR(__xludf.DUMMYFUNCTION("""COMPUTED_VALUE"""),21.63)</f>
        <v>21.63</v>
      </c>
      <c r="D172" s="1">
        <f>IFERROR(__xludf.DUMMYFUNCTION("""COMPUTED_VALUE"""),21.26)</f>
        <v>21.26</v>
      </c>
      <c r="E172" s="1">
        <f>IFERROR(__xludf.DUMMYFUNCTION("""COMPUTED_VALUE"""),21.28)</f>
        <v>21.28</v>
      </c>
      <c r="F172" s="1">
        <f>IFERROR(__xludf.DUMMYFUNCTION("""COMPUTED_VALUE"""),1085709.0)</f>
        <v>1085709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IFERROR(__xludf.DUMMYFUNCTION("""COMPUTED_VALUE"""),21.39)</f>
        <v>21.39</v>
      </c>
      <c r="C173" s="1">
        <f>IFERROR(__xludf.DUMMYFUNCTION("""COMPUTED_VALUE"""),22.5)</f>
        <v>22.5</v>
      </c>
      <c r="D173" s="1">
        <f>IFERROR(__xludf.DUMMYFUNCTION("""COMPUTED_VALUE"""),21.33)</f>
        <v>21.33</v>
      </c>
      <c r="E173" s="1">
        <f>IFERROR(__xludf.DUMMYFUNCTION("""COMPUTED_VALUE"""),22.28)</f>
        <v>22.28</v>
      </c>
      <c r="F173" s="1">
        <f>IFERROR(__xludf.DUMMYFUNCTION("""COMPUTED_VALUE"""),3345738.0)</f>
        <v>3345738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IFERROR(__xludf.DUMMYFUNCTION("""COMPUTED_VALUE"""),22.66)</f>
        <v>22.66</v>
      </c>
      <c r="C174" s="1">
        <f>IFERROR(__xludf.DUMMYFUNCTION("""COMPUTED_VALUE"""),22.69)</f>
        <v>22.69</v>
      </c>
      <c r="D174" s="1">
        <f>IFERROR(__xludf.DUMMYFUNCTION("""COMPUTED_VALUE"""),21.84)</f>
        <v>21.84</v>
      </c>
      <c r="E174" s="1">
        <f>IFERROR(__xludf.DUMMYFUNCTION("""COMPUTED_VALUE"""),22.01)</f>
        <v>22.01</v>
      </c>
      <c r="F174" s="1">
        <f>IFERROR(__xludf.DUMMYFUNCTION("""COMPUTED_VALUE"""),2112750.0)</f>
        <v>2112750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IFERROR(__xludf.DUMMYFUNCTION("""COMPUTED_VALUE"""),22.05)</f>
        <v>22.05</v>
      </c>
      <c r="C175" s="1">
        <f>IFERROR(__xludf.DUMMYFUNCTION("""COMPUTED_VALUE"""),22.43)</f>
        <v>22.43</v>
      </c>
      <c r="D175" s="1">
        <f>IFERROR(__xludf.DUMMYFUNCTION("""COMPUTED_VALUE"""),22.01)</f>
        <v>22.01</v>
      </c>
      <c r="E175" s="1">
        <f>IFERROR(__xludf.DUMMYFUNCTION("""COMPUTED_VALUE"""),22.39)</f>
        <v>22.39</v>
      </c>
      <c r="F175" s="1">
        <f>IFERROR(__xludf.DUMMYFUNCTION("""COMPUTED_VALUE"""),1406759.0)</f>
        <v>1406759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IFERROR(__xludf.DUMMYFUNCTION("""COMPUTED_VALUE"""),22.97)</f>
        <v>22.97</v>
      </c>
      <c r="C176" s="1">
        <f>IFERROR(__xludf.DUMMYFUNCTION("""COMPUTED_VALUE"""),23.5)</f>
        <v>23.5</v>
      </c>
      <c r="D176" s="1">
        <f>IFERROR(__xludf.DUMMYFUNCTION("""COMPUTED_VALUE"""),22.88)</f>
        <v>22.88</v>
      </c>
      <c r="E176" s="1">
        <f>IFERROR(__xludf.DUMMYFUNCTION("""COMPUTED_VALUE"""),23.11)</f>
        <v>23.11</v>
      </c>
      <c r="F176" s="1">
        <f>IFERROR(__xludf.DUMMYFUNCTION("""COMPUTED_VALUE"""),2132613.0)</f>
        <v>2132613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IFERROR(__xludf.DUMMYFUNCTION("""COMPUTED_VALUE"""),23.09)</f>
        <v>23.09</v>
      </c>
      <c r="C177" s="1">
        <f>IFERROR(__xludf.DUMMYFUNCTION("""COMPUTED_VALUE"""),23.84)</f>
        <v>23.84</v>
      </c>
      <c r="D177" s="1">
        <f>IFERROR(__xludf.DUMMYFUNCTION("""COMPUTED_VALUE"""),23.09)</f>
        <v>23.09</v>
      </c>
      <c r="E177" s="1">
        <f>IFERROR(__xludf.DUMMYFUNCTION("""COMPUTED_VALUE"""),23.54)</f>
        <v>23.54</v>
      </c>
      <c r="F177" s="1">
        <f>IFERROR(__xludf.DUMMYFUNCTION("""COMPUTED_VALUE"""),2557088.0)</f>
        <v>2557088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IFERROR(__xludf.DUMMYFUNCTION("""COMPUTED_VALUE"""),23.36)</f>
        <v>23.36</v>
      </c>
      <c r="C178" s="1">
        <f>IFERROR(__xludf.DUMMYFUNCTION("""COMPUTED_VALUE"""),23.81)</f>
        <v>23.81</v>
      </c>
      <c r="D178" s="1">
        <f>IFERROR(__xludf.DUMMYFUNCTION("""COMPUTED_VALUE"""),23.22)</f>
        <v>23.22</v>
      </c>
      <c r="E178" s="1">
        <f>IFERROR(__xludf.DUMMYFUNCTION("""COMPUTED_VALUE"""),23.78)</f>
        <v>23.78</v>
      </c>
      <c r="F178" s="1">
        <f>IFERROR(__xludf.DUMMYFUNCTION("""COMPUTED_VALUE"""),2165166.0)</f>
        <v>2165166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IFERROR(__xludf.DUMMYFUNCTION("""COMPUTED_VALUE"""),23.68)</f>
        <v>23.68</v>
      </c>
      <c r="C179" s="1">
        <f>IFERROR(__xludf.DUMMYFUNCTION("""COMPUTED_VALUE"""),23.68)</f>
        <v>23.68</v>
      </c>
      <c r="D179" s="1">
        <f>IFERROR(__xludf.DUMMYFUNCTION("""COMPUTED_VALUE"""),23.32)</f>
        <v>23.32</v>
      </c>
      <c r="E179" s="1">
        <f>IFERROR(__xludf.DUMMYFUNCTION("""COMPUTED_VALUE"""),23.48)</f>
        <v>23.48</v>
      </c>
      <c r="F179" s="1">
        <f>IFERROR(__xludf.DUMMYFUNCTION("""COMPUTED_VALUE"""),1954529.0)</f>
        <v>1954529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IFERROR(__xludf.DUMMYFUNCTION("""COMPUTED_VALUE"""),23.65)</f>
        <v>23.65</v>
      </c>
      <c r="C180" s="1">
        <f>IFERROR(__xludf.DUMMYFUNCTION("""COMPUTED_VALUE"""),23.87)</f>
        <v>23.87</v>
      </c>
      <c r="D180" s="1">
        <f>IFERROR(__xludf.DUMMYFUNCTION("""COMPUTED_VALUE"""),23.06)</f>
        <v>23.06</v>
      </c>
      <c r="E180" s="1">
        <f>IFERROR(__xludf.DUMMYFUNCTION("""COMPUTED_VALUE"""),23.65)</f>
        <v>23.65</v>
      </c>
      <c r="F180" s="1">
        <f>IFERROR(__xludf.DUMMYFUNCTION("""COMPUTED_VALUE"""),4492427.0)</f>
        <v>4492427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IFERROR(__xludf.DUMMYFUNCTION("""COMPUTED_VALUE"""),24.26)</f>
        <v>24.26</v>
      </c>
      <c r="C181" s="1">
        <f>IFERROR(__xludf.DUMMYFUNCTION("""COMPUTED_VALUE"""),24.8)</f>
        <v>24.8</v>
      </c>
      <c r="D181" s="1">
        <f>IFERROR(__xludf.DUMMYFUNCTION("""COMPUTED_VALUE"""),23.89)</f>
        <v>23.89</v>
      </c>
      <c r="E181" s="1">
        <f>IFERROR(__xludf.DUMMYFUNCTION("""COMPUTED_VALUE"""),23.89)</f>
        <v>23.89</v>
      </c>
      <c r="F181" s="1">
        <f>IFERROR(__xludf.DUMMYFUNCTION("""COMPUTED_VALUE"""),5794936.0)</f>
        <v>5794936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IFERROR(__xludf.DUMMYFUNCTION("""COMPUTED_VALUE"""),24.0)</f>
        <v>24</v>
      </c>
      <c r="C182" s="1">
        <f>IFERROR(__xludf.DUMMYFUNCTION("""COMPUTED_VALUE"""),24.27)</f>
        <v>24.27</v>
      </c>
      <c r="D182" s="1">
        <f>IFERROR(__xludf.DUMMYFUNCTION("""COMPUTED_VALUE"""),23.83)</f>
        <v>23.83</v>
      </c>
      <c r="E182" s="1">
        <f>IFERROR(__xludf.DUMMYFUNCTION("""COMPUTED_VALUE"""),24.12)</f>
        <v>24.12</v>
      </c>
      <c r="F182" s="1">
        <f>IFERROR(__xludf.DUMMYFUNCTION("""COMPUTED_VALUE"""),2521352.0)</f>
        <v>2521352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IFERROR(__xludf.DUMMYFUNCTION("""COMPUTED_VALUE"""),24.95)</f>
        <v>24.95</v>
      </c>
      <c r="C183" s="1">
        <f>IFERROR(__xludf.DUMMYFUNCTION("""COMPUTED_VALUE"""),26.19)</f>
        <v>26.19</v>
      </c>
      <c r="D183" s="1">
        <f>IFERROR(__xludf.DUMMYFUNCTION("""COMPUTED_VALUE"""),24.93)</f>
        <v>24.93</v>
      </c>
      <c r="E183" s="1">
        <f>IFERROR(__xludf.DUMMYFUNCTION("""COMPUTED_VALUE"""),26.16)</f>
        <v>26.16</v>
      </c>
      <c r="F183" s="1">
        <f>IFERROR(__xludf.DUMMYFUNCTION("""COMPUTED_VALUE"""),9553360.0)</f>
        <v>9553360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IFERROR(__xludf.DUMMYFUNCTION("""COMPUTED_VALUE"""),25.74)</f>
        <v>25.74</v>
      </c>
      <c r="C184" s="1">
        <f>IFERROR(__xludf.DUMMYFUNCTION("""COMPUTED_VALUE"""),27.18)</f>
        <v>27.18</v>
      </c>
      <c r="D184" s="1">
        <f>IFERROR(__xludf.DUMMYFUNCTION("""COMPUTED_VALUE"""),25.66)</f>
        <v>25.66</v>
      </c>
      <c r="E184" s="1">
        <f>IFERROR(__xludf.DUMMYFUNCTION("""COMPUTED_VALUE"""),26.99)</f>
        <v>26.99</v>
      </c>
      <c r="F184" s="1">
        <f>IFERROR(__xludf.DUMMYFUNCTION("""COMPUTED_VALUE"""),5778728.0)</f>
        <v>5778728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IFERROR(__xludf.DUMMYFUNCTION("""COMPUTED_VALUE"""),27.04)</f>
        <v>27.04</v>
      </c>
      <c r="C185" s="1">
        <f>IFERROR(__xludf.DUMMYFUNCTION("""COMPUTED_VALUE"""),27.51)</f>
        <v>27.51</v>
      </c>
      <c r="D185" s="1">
        <f>IFERROR(__xludf.DUMMYFUNCTION("""COMPUTED_VALUE"""),26.69)</f>
        <v>26.69</v>
      </c>
      <c r="E185" s="1">
        <f>IFERROR(__xludf.DUMMYFUNCTION("""COMPUTED_VALUE"""),27.35)</f>
        <v>27.35</v>
      </c>
      <c r="F185" s="1">
        <f>IFERROR(__xludf.DUMMYFUNCTION("""COMPUTED_VALUE"""),3567257.0)</f>
        <v>3567257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IFERROR(__xludf.DUMMYFUNCTION("""COMPUTED_VALUE"""),27.58)</f>
        <v>27.58</v>
      </c>
      <c r="C186" s="1">
        <f>IFERROR(__xludf.DUMMYFUNCTION("""COMPUTED_VALUE"""),27.62)</f>
        <v>27.62</v>
      </c>
      <c r="D186" s="1">
        <f>IFERROR(__xludf.DUMMYFUNCTION("""COMPUTED_VALUE"""),27.2)</f>
        <v>27.2</v>
      </c>
      <c r="E186" s="1">
        <f>IFERROR(__xludf.DUMMYFUNCTION("""COMPUTED_VALUE"""),27.42)</f>
        <v>27.42</v>
      </c>
      <c r="F186" s="1">
        <f>IFERROR(__xludf.DUMMYFUNCTION("""COMPUTED_VALUE"""),2587526.0)</f>
        <v>2587526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IFERROR(__xludf.DUMMYFUNCTION("""COMPUTED_VALUE"""),27.44)</f>
        <v>27.44</v>
      </c>
      <c r="C187" s="1">
        <f>IFERROR(__xludf.DUMMYFUNCTION("""COMPUTED_VALUE"""),27.63)</f>
        <v>27.63</v>
      </c>
      <c r="D187" s="1">
        <f>IFERROR(__xludf.DUMMYFUNCTION("""COMPUTED_VALUE"""),26.91)</f>
        <v>26.91</v>
      </c>
      <c r="E187" s="1">
        <f>IFERROR(__xludf.DUMMYFUNCTION("""COMPUTED_VALUE"""),27.51)</f>
        <v>27.51</v>
      </c>
      <c r="F187" s="1">
        <f>IFERROR(__xludf.DUMMYFUNCTION("""COMPUTED_VALUE"""),3400534.0)</f>
        <v>3400534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IFERROR(__xludf.DUMMYFUNCTION("""COMPUTED_VALUE"""),27.28)</f>
        <v>27.28</v>
      </c>
      <c r="C188" s="1">
        <f>IFERROR(__xludf.DUMMYFUNCTION("""COMPUTED_VALUE"""),27.7)</f>
        <v>27.7</v>
      </c>
      <c r="D188" s="1">
        <f>IFERROR(__xludf.DUMMYFUNCTION("""COMPUTED_VALUE"""),27.15)</f>
        <v>27.15</v>
      </c>
      <c r="E188" s="1">
        <f>IFERROR(__xludf.DUMMYFUNCTION("""COMPUTED_VALUE"""),27.68)</f>
        <v>27.68</v>
      </c>
      <c r="F188" s="1">
        <f>IFERROR(__xludf.DUMMYFUNCTION("""COMPUTED_VALUE"""),3220060.0)</f>
        <v>3220060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IFERROR(__xludf.DUMMYFUNCTION("""COMPUTED_VALUE"""),27.75)</f>
        <v>27.75</v>
      </c>
      <c r="C189" s="1">
        <f>IFERROR(__xludf.DUMMYFUNCTION("""COMPUTED_VALUE"""),27.99)</f>
        <v>27.99</v>
      </c>
      <c r="D189" s="1">
        <f>IFERROR(__xludf.DUMMYFUNCTION("""COMPUTED_VALUE"""),27.5)</f>
        <v>27.5</v>
      </c>
      <c r="E189" s="1">
        <f>IFERROR(__xludf.DUMMYFUNCTION("""COMPUTED_VALUE"""),27.86)</f>
        <v>27.86</v>
      </c>
      <c r="F189" s="1">
        <f>IFERROR(__xludf.DUMMYFUNCTION("""COMPUTED_VALUE"""),2794548.0)</f>
        <v>2794548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IFERROR(__xludf.DUMMYFUNCTION("""COMPUTED_VALUE"""),27.95)</f>
        <v>27.95</v>
      </c>
      <c r="C190" s="1">
        <f>IFERROR(__xludf.DUMMYFUNCTION("""COMPUTED_VALUE"""),28.22)</f>
        <v>28.22</v>
      </c>
      <c r="D190" s="1">
        <f>IFERROR(__xludf.DUMMYFUNCTION("""COMPUTED_VALUE"""),27.48)</f>
        <v>27.48</v>
      </c>
      <c r="E190" s="1">
        <f>IFERROR(__xludf.DUMMYFUNCTION("""COMPUTED_VALUE"""),27.79)</f>
        <v>27.79</v>
      </c>
      <c r="F190" s="1">
        <f>IFERROR(__xludf.DUMMYFUNCTION("""COMPUTED_VALUE"""),2605761.0)</f>
        <v>2605761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IFERROR(__xludf.DUMMYFUNCTION("""COMPUTED_VALUE"""),27.65)</f>
        <v>27.65</v>
      </c>
      <c r="C191" s="1">
        <f>IFERROR(__xludf.DUMMYFUNCTION("""COMPUTED_VALUE"""),27.99)</f>
        <v>27.99</v>
      </c>
      <c r="D191" s="1">
        <f>IFERROR(__xludf.DUMMYFUNCTION("""COMPUTED_VALUE"""),27.25)</f>
        <v>27.25</v>
      </c>
      <c r="E191" s="1">
        <f>IFERROR(__xludf.DUMMYFUNCTION("""COMPUTED_VALUE"""),27.73)</f>
        <v>27.73</v>
      </c>
      <c r="F191" s="1">
        <f>IFERROR(__xludf.DUMMYFUNCTION("""COMPUTED_VALUE"""),4061001.0)</f>
        <v>4061001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IFERROR(__xludf.DUMMYFUNCTION("""COMPUTED_VALUE"""),28.0)</f>
        <v>28</v>
      </c>
      <c r="C192" s="1">
        <f>IFERROR(__xludf.DUMMYFUNCTION("""COMPUTED_VALUE"""),28.09)</f>
        <v>28.09</v>
      </c>
      <c r="D192" s="1">
        <f>IFERROR(__xludf.DUMMYFUNCTION("""COMPUTED_VALUE"""),27.51)</f>
        <v>27.51</v>
      </c>
      <c r="E192" s="1">
        <f>IFERROR(__xludf.DUMMYFUNCTION("""COMPUTED_VALUE"""),27.77)</f>
        <v>27.77</v>
      </c>
      <c r="F192" s="1">
        <f>IFERROR(__xludf.DUMMYFUNCTION("""COMPUTED_VALUE"""),3690742.0)</f>
        <v>3690742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IFERROR(__xludf.DUMMYFUNCTION("""COMPUTED_VALUE"""),27.68)</f>
        <v>27.68</v>
      </c>
      <c r="C193" s="1">
        <f>IFERROR(__xludf.DUMMYFUNCTION("""COMPUTED_VALUE"""),27.91)</f>
        <v>27.91</v>
      </c>
      <c r="D193" s="1">
        <f>IFERROR(__xludf.DUMMYFUNCTION("""COMPUTED_VALUE"""),27.5)</f>
        <v>27.5</v>
      </c>
      <c r="E193" s="1">
        <f>IFERROR(__xludf.DUMMYFUNCTION("""COMPUTED_VALUE"""),27.83)</f>
        <v>27.83</v>
      </c>
      <c r="F193" s="1">
        <f>IFERROR(__xludf.DUMMYFUNCTION("""COMPUTED_VALUE"""),2459314.0)</f>
        <v>2459314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IFERROR(__xludf.DUMMYFUNCTION("""COMPUTED_VALUE"""),27.91)</f>
        <v>27.91</v>
      </c>
      <c r="C194" s="1">
        <f>IFERROR(__xludf.DUMMYFUNCTION("""COMPUTED_VALUE"""),28.08)</f>
        <v>28.08</v>
      </c>
      <c r="D194" s="1">
        <f>IFERROR(__xludf.DUMMYFUNCTION("""COMPUTED_VALUE"""),27.59)</f>
        <v>27.59</v>
      </c>
      <c r="E194" s="1">
        <f>IFERROR(__xludf.DUMMYFUNCTION("""COMPUTED_VALUE"""),28.08)</f>
        <v>28.08</v>
      </c>
      <c r="F194" s="1">
        <f>IFERROR(__xludf.DUMMYFUNCTION("""COMPUTED_VALUE"""),2288124.0)</f>
        <v>2288124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IFERROR(__xludf.DUMMYFUNCTION("""COMPUTED_VALUE"""),28.18)</f>
        <v>28.18</v>
      </c>
      <c r="C195" s="1">
        <f>IFERROR(__xludf.DUMMYFUNCTION("""COMPUTED_VALUE"""),30.05)</f>
        <v>30.05</v>
      </c>
      <c r="D195" s="1">
        <f>IFERROR(__xludf.DUMMYFUNCTION("""COMPUTED_VALUE"""),28.16)</f>
        <v>28.16</v>
      </c>
      <c r="E195" s="1">
        <f>IFERROR(__xludf.DUMMYFUNCTION("""COMPUTED_VALUE"""),29.65)</f>
        <v>29.65</v>
      </c>
      <c r="F195" s="1">
        <f>IFERROR(__xludf.DUMMYFUNCTION("""COMPUTED_VALUE"""),5166165.0)</f>
        <v>5166165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IFERROR(__xludf.DUMMYFUNCTION("""COMPUTED_VALUE"""),29.6)</f>
        <v>29.6</v>
      </c>
      <c r="C196" s="1">
        <f>IFERROR(__xludf.DUMMYFUNCTION("""COMPUTED_VALUE"""),29.89)</f>
        <v>29.89</v>
      </c>
      <c r="D196" s="1">
        <f>IFERROR(__xludf.DUMMYFUNCTION("""COMPUTED_VALUE"""),29.39)</f>
        <v>29.39</v>
      </c>
      <c r="E196" s="1">
        <f>IFERROR(__xludf.DUMMYFUNCTION("""COMPUTED_VALUE"""),29.68)</f>
        <v>29.68</v>
      </c>
      <c r="F196" s="1">
        <f>IFERROR(__xludf.DUMMYFUNCTION("""COMPUTED_VALUE"""),2139830.0)</f>
        <v>2139830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IFERROR(__xludf.DUMMYFUNCTION("""COMPUTED_VALUE"""),29.45)</f>
        <v>29.45</v>
      </c>
      <c r="C197" s="1">
        <f>IFERROR(__xludf.DUMMYFUNCTION("""COMPUTED_VALUE"""),29.68)</f>
        <v>29.68</v>
      </c>
      <c r="D197" s="1">
        <f>IFERROR(__xludf.DUMMYFUNCTION("""COMPUTED_VALUE"""),29.13)</f>
        <v>29.13</v>
      </c>
      <c r="E197" s="1">
        <f>IFERROR(__xludf.DUMMYFUNCTION("""COMPUTED_VALUE"""),29.43)</f>
        <v>29.43</v>
      </c>
      <c r="F197" s="1">
        <f>IFERROR(__xludf.DUMMYFUNCTION("""COMPUTED_VALUE"""),2550633.0)</f>
        <v>2550633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IFERROR(__xludf.DUMMYFUNCTION("""COMPUTED_VALUE"""),29.74)</f>
        <v>29.74</v>
      </c>
      <c r="C198" s="1">
        <f>IFERROR(__xludf.DUMMYFUNCTION("""COMPUTED_VALUE"""),29.85)</f>
        <v>29.85</v>
      </c>
      <c r="D198" s="1">
        <f>IFERROR(__xludf.DUMMYFUNCTION("""COMPUTED_VALUE"""),29.26)</f>
        <v>29.26</v>
      </c>
      <c r="E198" s="1">
        <f>IFERROR(__xludf.DUMMYFUNCTION("""COMPUTED_VALUE"""),29.46)</f>
        <v>29.46</v>
      </c>
      <c r="F198" s="1">
        <f>IFERROR(__xludf.DUMMYFUNCTION("""COMPUTED_VALUE"""),2776532.0)</f>
        <v>2776532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IFERROR(__xludf.DUMMYFUNCTION("""COMPUTED_VALUE"""),29.43)</f>
        <v>29.43</v>
      </c>
      <c r="C199" s="1">
        <f>IFERROR(__xludf.DUMMYFUNCTION("""COMPUTED_VALUE"""),29.59)</f>
        <v>29.59</v>
      </c>
      <c r="D199" s="1">
        <f>IFERROR(__xludf.DUMMYFUNCTION("""COMPUTED_VALUE"""),29.04)</f>
        <v>29.04</v>
      </c>
      <c r="E199" s="1">
        <f>IFERROR(__xludf.DUMMYFUNCTION("""COMPUTED_VALUE"""),29.46)</f>
        <v>29.46</v>
      </c>
      <c r="F199" s="1">
        <f>IFERROR(__xludf.DUMMYFUNCTION("""COMPUTED_VALUE"""),2824342.0)</f>
        <v>2824342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IFERROR(__xludf.DUMMYFUNCTION("""COMPUTED_VALUE"""),29.78)</f>
        <v>29.78</v>
      </c>
      <c r="C200" s="1">
        <f>IFERROR(__xludf.DUMMYFUNCTION("""COMPUTED_VALUE"""),29.86)</f>
        <v>29.86</v>
      </c>
      <c r="D200" s="1">
        <f>IFERROR(__xludf.DUMMYFUNCTION("""COMPUTED_VALUE"""),29.33)</f>
        <v>29.33</v>
      </c>
      <c r="E200" s="1">
        <f>IFERROR(__xludf.DUMMYFUNCTION("""COMPUTED_VALUE"""),29.66)</f>
        <v>29.66</v>
      </c>
      <c r="F200" s="1">
        <f>IFERROR(__xludf.DUMMYFUNCTION("""COMPUTED_VALUE"""),2492301.0)</f>
        <v>2492301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IFERROR(__xludf.DUMMYFUNCTION("""COMPUTED_VALUE"""),29.57)</f>
        <v>29.57</v>
      </c>
      <c r="C201" s="1">
        <f>IFERROR(__xludf.DUMMYFUNCTION("""COMPUTED_VALUE"""),29.57)</f>
        <v>29.57</v>
      </c>
      <c r="D201" s="1">
        <f>IFERROR(__xludf.DUMMYFUNCTION("""COMPUTED_VALUE"""),28.98)</f>
        <v>28.98</v>
      </c>
      <c r="E201" s="1">
        <f>IFERROR(__xludf.DUMMYFUNCTION("""COMPUTED_VALUE"""),29.39)</f>
        <v>29.39</v>
      </c>
      <c r="F201" s="1">
        <f>IFERROR(__xludf.DUMMYFUNCTION("""COMPUTED_VALUE"""),2184434.0)</f>
        <v>2184434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IFERROR(__xludf.DUMMYFUNCTION("""COMPUTED_VALUE"""),29.02)</f>
        <v>29.02</v>
      </c>
      <c r="C202" s="1">
        <f>IFERROR(__xludf.DUMMYFUNCTION("""COMPUTED_VALUE"""),29.59)</f>
        <v>29.59</v>
      </c>
      <c r="D202" s="1">
        <f>IFERROR(__xludf.DUMMYFUNCTION("""COMPUTED_VALUE"""),28.7)</f>
        <v>28.7</v>
      </c>
      <c r="E202" s="1">
        <f>IFERROR(__xludf.DUMMYFUNCTION("""COMPUTED_VALUE"""),29.56)</f>
        <v>29.56</v>
      </c>
      <c r="F202" s="1">
        <f>IFERROR(__xludf.DUMMYFUNCTION("""COMPUTED_VALUE"""),4123721.0)</f>
        <v>4123721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IFERROR(__xludf.DUMMYFUNCTION("""COMPUTED_VALUE"""),29.65)</f>
        <v>29.65</v>
      </c>
      <c r="C203" s="1">
        <f>IFERROR(__xludf.DUMMYFUNCTION("""COMPUTED_VALUE"""),29.99)</f>
        <v>29.99</v>
      </c>
      <c r="D203" s="1">
        <f>IFERROR(__xludf.DUMMYFUNCTION("""COMPUTED_VALUE"""),29.41)</f>
        <v>29.41</v>
      </c>
      <c r="E203" s="1">
        <f>IFERROR(__xludf.DUMMYFUNCTION("""COMPUTED_VALUE"""),29.71)</f>
        <v>29.71</v>
      </c>
      <c r="F203" s="1">
        <f>IFERROR(__xludf.DUMMYFUNCTION("""COMPUTED_VALUE"""),1473440.0)</f>
        <v>1473440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IFERROR(__xludf.DUMMYFUNCTION("""COMPUTED_VALUE"""),29.84)</f>
        <v>29.84</v>
      </c>
      <c r="C204" s="1">
        <f>IFERROR(__xludf.DUMMYFUNCTION("""COMPUTED_VALUE"""),30.1)</f>
        <v>30.1</v>
      </c>
      <c r="D204" s="1">
        <f>IFERROR(__xludf.DUMMYFUNCTION("""COMPUTED_VALUE"""),28.96)</f>
        <v>28.96</v>
      </c>
      <c r="E204" s="1">
        <f>IFERROR(__xludf.DUMMYFUNCTION("""COMPUTED_VALUE"""),29.28)</f>
        <v>29.28</v>
      </c>
      <c r="F204" s="1">
        <f>IFERROR(__xludf.DUMMYFUNCTION("""COMPUTED_VALUE"""),2359691.0)</f>
        <v>2359691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IFERROR(__xludf.DUMMYFUNCTION("""COMPUTED_VALUE"""),29.38)</f>
        <v>29.38</v>
      </c>
      <c r="C205" s="1">
        <f>IFERROR(__xludf.DUMMYFUNCTION("""COMPUTED_VALUE"""),29.54)</f>
        <v>29.54</v>
      </c>
      <c r="D205" s="1">
        <f>IFERROR(__xludf.DUMMYFUNCTION("""COMPUTED_VALUE"""),29.16)</f>
        <v>29.16</v>
      </c>
      <c r="E205" s="1">
        <f>IFERROR(__xludf.DUMMYFUNCTION("""COMPUTED_VALUE"""),29.54)</f>
        <v>29.54</v>
      </c>
      <c r="F205" s="1">
        <f>IFERROR(__xludf.DUMMYFUNCTION("""COMPUTED_VALUE"""),1352889.0)</f>
        <v>1352889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IFERROR(__xludf.DUMMYFUNCTION("""COMPUTED_VALUE"""),29.65)</f>
        <v>29.65</v>
      </c>
      <c r="C206" s="1">
        <f>IFERROR(__xludf.DUMMYFUNCTION("""COMPUTED_VALUE"""),29.95)</f>
        <v>29.95</v>
      </c>
      <c r="D206" s="1">
        <f>IFERROR(__xludf.DUMMYFUNCTION("""COMPUTED_VALUE"""),29.56)</f>
        <v>29.56</v>
      </c>
      <c r="E206" s="1">
        <f>IFERROR(__xludf.DUMMYFUNCTION("""COMPUTED_VALUE"""),29.79)</f>
        <v>29.79</v>
      </c>
      <c r="F206" s="1">
        <f>IFERROR(__xludf.DUMMYFUNCTION("""COMPUTED_VALUE"""),1623713.0)</f>
        <v>1623713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IFERROR(__xludf.DUMMYFUNCTION("""COMPUTED_VALUE"""),29.58)</f>
        <v>29.58</v>
      </c>
      <c r="C207" s="1">
        <f>IFERROR(__xludf.DUMMYFUNCTION("""COMPUTED_VALUE"""),30.14)</f>
        <v>30.14</v>
      </c>
      <c r="D207" s="1">
        <f>IFERROR(__xludf.DUMMYFUNCTION("""COMPUTED_VALUE"""),29.33)</f>
        <v>29.33</v>
      </c>
      <c r="E207" s="1">
        <f>IFERROR(__xludf.DUMMYFUNCTION("""COMPUTED_VALUE"""),29.9)</f>
        <v>29.9</v>
      </c>
      <c r="F207" s="1">
        <f>IFERROR(__xludf.DUMMYFUNCTION("""COMPUTED_VALUE"""),1690627.0)</f>
        <v>1690627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IFERROR(__xludf.DUMMYFUNCTION("""COMPUTED_VALUE"""),29.64)</f>
        <v>29.64</v>
      </c>
      <c r="C208" s="1">
        <f>IFERROR(__xludf.DUMMYFUNCTION("""COMPUTED_VALUE"""),29.74)</f>
        <v>29.74</v>
      </c>
      <c r="D208" s="1">
        <f>IFERROR(__xludf.DUMMYFUNCTION("""COMPUTED_VALUE"""),29.15)</f>
        <v>29.15</v>
      </c>
      <c r="E208" s="1">
        <f>IFERROR(__xludf.DUMMYFUNCTION("""COMPUTED_VALUE"""),29.64)</f>
        <v>29.64</v>
      </c>
      <c r="F208" s="1">
        <f>IFERROR(__xludf.DUMMYFUNCTION("""COMPUTED_VALUE"""),1607928.0)</f>
        <v>1607928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IFERROR(__xludf.DUMMYFUNCTION("""COMPUTED_VALUE"""),29.81)</f>
        <v>29.81</v>
      </c>
      <c r="C209" s="1">
        <f>IFERROR(__xludf.DUMMYFUNCTION("""COMPUTED_VALUE"""),29.9)</f>
        <v>29.9</v>
      </c>
      <c r="D209" s="1">
        <f>IFERROR(__xludf.DUMMYFUNCTION("""COMPUTED_VALUE"""),29.23)</f>
        <v>29.23</v>
      </c>
      <c r="E209" s="1">
        <f>IFERROR(__xludf.DUMMYFUNCTION("""COMPUTED_VALUE"""),29.48)</f>
        <v>29.48</v>
      </c>
      <c r="F209" s="1">
        <f>IFERROR(__xludf.DUMMYFUNCTION("""COMPUTED_VALUE"""),1225202.0)</f>
        <v>1225202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IFERROR(__xludf.DUMMYFUNCTION("""COMPUTED_VALUE"""),29.55)</f>
        <v>29.55</v>
      </c>
      <c r="C210" s="1">
        <f>IFERROR(__xludf.DUMMYFUNCTION("""COMPUTED_VALUE"""),31.09)</f>
        <v>31.09</v>
      </c>
      <c r="D210" s="1">
        <f>IFERROR(__xludf.DUMMYFUNCTION("""COMPUTED_VALUE"""),29.55)</f>
        <v>29.55</v>
      </c>
      <c r="E210" s="1">
        <f>IFERROR(__xludf.DUMMYFUNCTION("""COMPUTED_VALUE"""),30.99)</f>
        <v>30.99</v>
      </c>
      <c r="F210" s="1">
        <f>IFERROR(__xludf.DUMMYFUNCTION("""COMPUTED_VALUE"""),2764972.0)</f>
        <v>2764972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IFERROR(__xludf.DUMMYFUNCTION("""COMPUTED_VALUE"""),31.14)</f>
        <v>31.14</v>
      </c>
      <c r="C211" s="1">
        <f>IFERROR(__xludf.DUMMYFUNCTION("""COMPUTED_VALUE"""),31.17)</f>
        <v>31.17</v>
      </c>
      <c r="D211" s="1">
        <f>IFERROR(__xludf.DUMMYFUNCTION("""COMPUTED_VALUE"""),30.33)</f>
        <v>30.33</v>
      </c>
      <c r="E211" s="1">
        <f>IFERROR(__xludf.DUMMYFUNCTION("""COMPUTED_VALUE"""),30.52)</f>
        <v>30.52</v>
      </c>
      <c r="F211" s="1">
        <f>IFERROR(__xludf.DUMMYFUNCTION("""COMPUTED_VALUE"""),1652428.0)</f>
        <v>1652428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IFERROR(__xludf.DUMMYFUNCTION("""COMPUTED_VALUE"""),30.86)</f>
        <v>30.86</v>
      </c>
      <c r="C212" s="1">
        <f>IFERROR(__xludf.DUMMYFUNCTION("""COMPUTED_VALUE"""),31.23)</f>
        <v>31.23</v>
      </c>
      <c r="D212" s="1">
        <f>IFERROR(__xludf.DUMMYFUNCTION("""COMPUTED_VALUE"""),30.38)</f>
        <v>30.38</v>
      </c>
      <c r="E212" s="1">
        <f>IFERROR(__xludf.DUMMYFUNCTION("""COMPUTED_VALUE"""),31.01)</f>
        <v>31.01</v>
      </c>
      <c r="F212" s="1">
        <f>IFERROR(__xludf.DUMMYFUNCTION("""COMPUTED_VALUE"""),1552545.0)</f>
        <v>1552545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IFERROR(__xludf.DUMMYFUNCTION("""COMPUTED_VALUE"""),31.1)</f>
        <v>31.1</v>
      </c>
      <c r="C213" s="1">
        <f>IFERROR(__xludf.DUMMYFUNCTION("""COMPUTED_VALUE"""),31.45)</f>
        <v>31.45</v>
      </c>
      <c r="D213" s="1">
        <f>IFERROR(__xludf.DUMMYFUNCTION("""COMPUTED_VALUE"""),30.73)</f>
        <v>30.73</v>
      </c>
      <c r="E213" s="1">
        <f>IFERROR(__xludf.DUMMYFUNCTION("""COMPUTED_VALUE"""),31.44)</f>
        <v>31.44</v>
      </c>
      <c r="F213" s="1">
        <f>IFERROR(__xludf.DUMMYFUNCTION("""COMPUTED_VALUE"""),1554747.0)</f>
        <v>1554747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IFERROR(__xludf.DUMMYFUNCTION("""COMPUTED_VALUE"""),31.9)</f>
        <v>31.9</v>
      </c>
      <c r="C214" s="1">
        <f>IFERROR(__xludf.DUMMYFUNCTION("""COMPUTED_VALUE"""),32.09)</f>
        <v>32.09</v>
      </c>
      <c r="D214" s="1">
        <f>IFERROR(__xludf.DUMMYFUNCTION("""COMPUTED_VALUE"""),31.69)</f>
        <v>31.69</v>
      </c>
      <c r="E214" s="1">
        <f>IFERROR(__xludf.DUMMYFUNCTION("""COMPUTED_VALUE"""),32.01)</f>
        <v>32.01</v>
      </c>
      <c r="F214" s="1">
        <f>IFERROR(__xludf.DUMMYFUNCTION("""COMPUTED_VALUE"""),2135491.0)</f>
        <v>2135491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IFERROR(__xludf.DUMMYFUNCTION("""COMPUTED_VALUE"""),32.12)</f>
        <v>32.12</v>
      </c>
      <c r="C215" s="1">
        <f>IFERROR(__xludf.DUMMYFUNCTION("""COMPUTED_VALUE"""),32.94)</f>
        <v>32.94</v>
      </c>
      <c r="D215" s="1">
        <f>IFERROR(__xludf.DUMMYFUNCTION("""COMPUTED_VALUE"""),32.11)</f>
        <v>32.11</v>
      </c>
      <c r="E215" s="1">
        <f>IFERROR(__xludf.DUMMYFUNCTION("""COMPUTED_VALUE"""),32.35)</f>
        <v>32.35</v>
      </c>
      <c r="F215" s="1">
        <f>IFERROR(__xludf.DUMMYFUNCTION("""COMPUTED_VALUE"""),2081975.0)</f>
        <v>2081975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IFERROR(__xludf.DUMMYFUNCTION("""COMPUTED_VALUE"""),32.21)</f>
        <v>32.21</v>
      </c>
      <c r="C216" s="1">
        <f>IFERROR(__xludf.DUMMYFUNCTION("""COMPUTED_VALUE"""),32.93)</f>
        <v>32.93</v>
      </c>
      <c r="D216" s="1">
        <f>IFERROR(__xludf.DUMMYFUNCTION("""COMPUTED_VALUE"""),32.16)</f>
        <v>32.16</v>
      </c>
      <c r="E216" s="1">
        <f>IFERROR(__xludf.DUMMYFUNCTION("""COMPUTED_VALUE"""),32.88)</f>
        <v>32.88</v>
      </c>
      <c r="F216" s="1">
        <f>IFERROR(__xludf.DUMMYFUNCTION("""COMPUTED_VALUE"""),1566007.0)</f>
        <v>1566007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IFERROR(__xludf.DUMMYFUNCTION("""COMPUTED_VALUE"""),32.91)</f>
        <v>32.91</v>
      </c>
      <c r="C217" s="1">
        <f>IFERROR(__xludf.DUMMYFUNCTION("""COMPUTED_VALUE"""),33.16)</f>
        <v>33.16</v>
      </c>
      <c r="D217" s="1">
        <f>IFERROR(__xludf.DUMMYFUNCTION("""COMPUTED_VALUE"""),32.12)</f>
        <v>32.12</v>
      </c>
      <c r="E217" s="1">
        <f>IFERROR(__xludf.DUMMYFUNCTION("""COMPUTED_VALUE"""),32.37)</f>
        <v>32.37</v>
      </c>
      <c r="F217" s="1">
        <f>IFERROR(__xludf.DUMMYFUNCTION("""COMPUTED_VALUE"""),1520122.0)</f>
        <v>1520122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IFERROR(__xludf.DUMMYFUNCTION("""COMPUTED_VALUE"""),32.45)</f>
        <v>32.45</v>
      </c>
      <c r="C218" s="1">
        <f>IFERROR(__xludf.DUMMYFUNCTION("""COMPUTED_VALUE"""),34.37)</f>
        <v>34.37</v>
      </c>
      <c r="D218" s="1">
        <f>IFERROR(__xludf.DUMMYFUNCTION("""COMPUTED_VALUE"""),32.38)</f>
        <v>32.38</v>
      </c>
      <c r="E218" s="1">
        <f>IFERROR(__xludf.DUMMYFUNCTION("""COMPUTED_VALUE"""),33.65)</f>
        <v>33.65</v>
      </c>
      <c r="F218" s="1">
        <f>IFERROR(__xludf.DUMMYFUNCTION("""COMPUTED_VALUE"""),3715436.0)</f>
        <v>3715436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IFERROR(__xludf.DUMMYFUNCTION("""COMPUTED_VALUE"""),33.47)</f>
        <v>33.47</v>
      </c>
      <c r="C219" s="1">
        <f>IFERROR(__xludf.DUMMYFUNCTION("""COMPUTED_VALUE"""),33.91)</f>
        <v>33.91</v>
      </c>
      <c r="D219" s="1">
        <f>IFERROR(__xludf.DUMMYFUNCTION("""COMPUTED_VALUE"""),33.1)</f>
        <v>33.1</v>
      </c>
      <c r="E219" s="1">
        <f>IFERROR(__xludf.DUMMYFUNCTION("""COMPUTED_VALUE"""),33.74)</f>
        <v>33.74</v>
      </c>
      <c r="F219" s="1">
        <f>IFERROR(__xludf.DUMMYFUNCTION("""COMPUTED_VALUE"""),1505485.0)</f>
        <v>1505485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IFERROR(__xludf.DUMMYFUNCTION("""COMPUTED_VALUE"""),33.49)</f>
        <v>33.49</v>
      </c>
      <c r="C220" s="1">
        <f>IFERROR(__xludf.DUMMYFUNCTION("""COMPUTED_VALUE"""),33.81)</f>
        <v>33.81</v>
      </c>
      <c r="D220" s="1">
        <f>IFERROR(__xludf.DUMMYFUNCTION("""COMPUTED_VALUE"""),32.82)</f>
        <v>32.82</v>
      </c>
      <c r="E220" s="1">
        <f>IFERROR(__xludf.DUMMYFUNCTION("""COMPUTED_VALUE"""),33.0)</f>
        <v>33</v>
      </c>
      <c r="F220" s="1">
        <f>IFERROR(__xludf.DUMMYFUNCTION("""COMPUTED_VALUE"""),1520523.0)</f>
        <v>1520523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IFERROR(__xludf.DUMMYFUNCTION("""COMPUTED_VALUE"""),33.1)</f>
        <v>33.1</v>
      </c>
      <c r="C221" s="1">
        <f>IFERROR(__xludf.DUMMYFUNCTION("""COMPUTED_VALUE"""),33.49)</f>
        <v>33.49</v>
      </c>
      <c r="D221" s="1">
        <f>IFERROR(__xludf.DUMMYFUNCTION("""COMPUTED_VALUE"""),32.83)</f>
        <v>32.83</v>
      </c>
      <c r="E221" s="1">
        <f>IFERROR(__xludf.DUMMYFUNCTION("""COMPUTED_VALUE"""),32.86)</f>
        <v>32.86</v>
      </c>
      <c r="F221" s="1">
        <f>IFERROR(__xludf.DUMMYFUNCTION("""COMPUTED_VALUE"""),1072299.0)</f>
        <v>1072299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IFERROR(__xludf.DUMMYFUNCTION("""COMPUTED_VALUE"""),32.59)</f>
        <v>32.59</v>
      </c>
      <c r="C222" s="1">
        <f>IFERROR(__xludf.DUMMYFUNCTION("""COMPUTED_VALUE"""),32.88)</f>
        <v>32.88</v>
      </c>
      <c r="D222" s="1">
        <f>IFERROR(__xludf.DUMMYFUNCTION("""COMPUTED_VALUE"""),31.8)</f>
        <v>31.8</v>
      </c>
      <c r="E222" s="1">
        <f>IFERROR(__xludf.DUMMYFUNCTION("""COMPUTED_VALUE"""),32.05)</f>
        <v>32.05</v>
      </c>
      <c r="F222" s="1">
        <f>IFERROR(__xludf.DUMMYFUNCTION("""COMPUTED_VALUE"""),2216330.0)</f>
        <v>2216330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IFERROR(__xludf.DUMMYFUNCTION("""COMPUTED_VALUE"""),32.06)</f>
        <v>32.06</v>
      </c>
      <c r="C223" s="1">
        <f>IFERROR(__xludf.DUMMYFUNCTION("""COMPUTED_VALUE"""),32.41)</f>
        <v>32.41</v>
      </c>
      <c r="D223" s="1">
        <f>IFERROR(__xludf.DUMMYFUNCTION("""COMPUTED_VALUE"""),31.94)</f>
        <v>31.94</v>
      </c>
      <c r="E223" s="1">
        <f>IFERROR(__xludf.DUMMYFUNCTION("""COMPUTED_VALUE"""),32.24)</f>
        <v>32.24</v>
      </c>
      <c r="F223" s="1">
        <f>IFERROR(__xludf.DUMMYFUNCTION("""COMPUTED_VALUE"""),2175348.0)</f>
        <v>2175348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IFERROR(__xludf.DUMMYFUNCTION("""COMPUTED_VALUE"""),32.55)</f>
        <v>32.55</v>
      </c>
      <c r="C224" s="1">
        <f>IFERROR(__xludf.DUMMYFUNCTION("""COMPUTED_VALUE"""),33.0)</f>
        <v>33</v>
      </c>
      <c r="D224" s="1">
        <f>IFERROR(__xludf.DUMMYFUNCTION("""COMPUTED_VALUE"""),32.43)</f>
        <v>32.43</v>
      </c>
      <c r="E224" s="1">
        <f>IFERROR(__xludf.DUMMYFUNCTION("""COMPUTED_VALUE"""),32.51)</f>
        <v>32.51</v>
      </c>
      <c r="F224" s="1">
        <f>IFERROR(__xludf.DUMMYFUNCTION("""COMPUTED_VALUE"""),1604686.0)</f>
        <v>1604686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IFERROR(__xludf.DUMMYFUNCTION("""COMPUTED_VALUE"""),32.47)</f>
        <v>32.47</v>
      </c>
      <c r="C225" s="1">
        <f>IFERROR(__xludf.DUMMYFUNCTION("""COMPUTED_VALUE"""),32.62)</f>
        <v>32.62</v>
      </c>
      <c r="D225" s="1">
        <f>IFERROR(__xludf.DUMMYFUNCTION("""COMPUTED_VALUE"""),32.0)</f>
        <v>32</v>
      </c>
      <c r="E225" s="1">
        <f>IFERROR(__xludf.DUMMYFUNCTION("""COMPUTED_VALUE"""),32.56)</f>
        <v>32.56</v>
      </c>
      <c r="F225" s="1">
        <f>IFERROR(__xludf.DUMMYFUNCTION("""COMPUTED_VALUE"""),1345801.0)</f>
        <v>1345801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IFERROR(__xludf.DUMMYFUNCTION("""COMPUTED_VALUE"""),32.4)</f>
        <v>32.4</v>
      </c>
      <c r="C226" s="1">
        <f>IFERROR(__xludf.DUMMYFUNCTION("""COMPUTED_VALUE"""),33.23)</f>
        <v>33.23</v>
      </c>
      <c r="D226" s="1">
        <f>IFERROR(__xludf.DUMMYFUNCTION("""COMPUTED_VALUE"""),32.36)</f>
        <v>32.36</v>
      </c>
      <c r="E226" s="1">
        <f>IFERROR(__xludf.DUMMYFUNCTION("""COMPUTED_VALUE"""),33.19)</f>
        <v>33.19</v>
      </c>
      <c r="F226" s="1">
        <f>IFERROR(__xludf.DUMMYFUNCTION("""COMPUTED_VALUE"""),2075756.0)</f>
        <v>2075756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IFERROR(__xludf.DUMMYFUNCTION("""COMPUTED_VALUE"""),32.82)</f>
        <v>32.82</v>
      </c>
      <c r="C227" s="1">
        <f>IFERROR(__xludf.DUMMYFUNCTION("""COMPUTED_VALUE"""),33.22)</f>
        <v>33.22</v>
      </c>
      <c r="D227" s="1">
        <f>IFERROR(__xludf.DUMMYFUNCTION("""COMPUTED_VALUE"""),32.47)</f>
        <v>32.47</v>
      </c>
      <c r="E227" s="1">
        <f>IFERROR(__xludf.DUMMYFUNCTION("""COMPUTED_VALUE"""),32.81)</f>
        <v>32.81</v>
      </c>
      <c r="F227" s="1">
        <f>IFERROR(__xludf.DUMMYFUNCTION("""COMPUTED_VALUE"""),1261639.0)</f>
        <v>1261639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IFERROR(__xludf.DUMMYFUNCTION("""COMPUTED_VALUE"""),33.07)</f>
        <v>33.07</v>
      </c>
      <c r="C228" s="1">
        <f>IFERROR(__xludf.DUMMYFUNCTION("""COMPUTED_VALUE"""),33.45)</f>
        <v>33.45</v>
      </c>
      <c r="D228" s="1">
        <f>IFERROR(__xludf.DUMMYFUNCTION("""COMPUTED_VALUE"""),32.98)</f>
        <v>32.98</v>
      </c>
      <c r="E228" s="1">
        <f>IFERROR(__xludf.DUMMYFUNCTION("""COMPUTED_VALUE"""),33.37)</f>
        <v>33.37</v>
      </c>
      <c r="F228" s="1">
        <f>IFERROR(__xludf.DUMMYFUNCTION("""COMPUTED_VALUE"""),1595610.0)</f>
        <v>1595610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IFERROR(__xludf.DUMMYFUNCTION("""COMPUTED_VALUE"""),33.13)</f>
        <v>33.13</v>
      </c>
      <c r="C229" s="1">
        <f>IFERROR(__xludf.DUMMYFUNCTION("""COMPUTED_VALUE"""),33.25)</f>
        <v>33.25</v>
      </c>
      <c r="D229" s="1">
        <f>IFERROR(__xludf.DUMMYFUNCTION("""COMPUTED_VALUE"""),32.9)</f>
        <v>32.9</v>
      </c>
      <c r="E229" s="1">
        <f>IFERROR(__xludf.DUMMYFUNCTION("""COMPUTED_VALUE"""),33.06)</f>
        <v>33.06</v>
      </c>
      <c r="F229" s="1">
        <f>IFERROR(__xludf.DUMMYFUNCTION("""COMPUTED_VALUE"""),510311.0)</f>
        <v>510311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IFERROR(__xludf.DUMMYFUNCTION("""COMPUTED_VALUE"""),32.84)</f>
        <v>32.84</v>
      </c>
      <c r="C230" s="1">
        <f>IFERROR(__xludf.DUMMYFUNCTION("""COMPUTED_VALUE"""),32.91)</f>
        <v>32.91</v>
      </c>
      <c r="D230" s="1">
        <f>IFERROR(__xludf.DUMMYFUNCTION("""COMPUTED_VALUE"""),32.35)</f>
        <v>32.35</v>
      </c>
      <c r="E230" s="1">
        <f>IFERROR(__xludf.DUMMYFUNCTION("""COMPUTED_VALUE"""),32.81)</f>
        <v>32.81</v>
      </c>
      <c r="F230" s="1">
        <f>IFERROR(__xludf.DUMMYFUNCTION("""COMPUTED_VALUE"""),1784514.0)</f>
        <v>1784514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IFERROR(__xludf.DUMMYFUNCTION("""COMPUTED_VALUE"""),32.5)</f>
        <v>32.5</v>
      </c>
      <c r="C231" s="1">
        <f>IFERROR(__xludf.DUMMYFUNCTION("""COMPUTED_VALUE"""),33.1)</f>
        <v>33.1</v>
      </c>
      <c r="D231" s="1">
        <f>IFERROR(__xludf.DUMMYFUNCTION("""COMPUTED_VALUE"""),32.27)</f>
        <v>32.27</v>
      </c>
      <c r="E231" s="1">
        <f>IFERROR(__xludf.DUMMYFUNCTION("""COMPUTED_VALUE"""),32.9)</f>
        <v>32.9</v>
      </c>
      <c r="F231" s="1">
        <f>IFERROR(__xludf.DUMMYFUNCTION("""COMPUTED_VALUE"""),1381079.0)</f>
        <v>1381079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IFERROR(__xludf.DUMMYFUNCTION("""COMPUTED_VALUE"""),33.38)</f>
        <v>33.38</v>
      </c>
      <c r="C232" s="1">
        <f>IFERROR(__xludf.DUMMYFUNCTION("""COMPUTED_VALUE"""),33.69)</f>
        <v>33.69</v>
      </c>
      <c r="D232" s="1">
        <f>IFERROR(__xludf.DUMMYFUNCTION("""COMPUTED_VALUE"""),33.18)</f>
        <v>33.18</v>
      </c>
      <c r="E232" s="1">
        <f>IFERROR(__xludf.DUMMYFUNCTION("""COMPUTED_VALUE"""),33.55)</f>
        <v>33.55</v>
      </c>
      <c r="F232" s="1">
        <f>IFERROR(__xludf.DUMMYFUNCTION("""COMPUTED_VALUE"""),1855027.0)</f>
        <v>1855027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IFERROR(__xludf.DUMMYFUNCTION("""COMPUTED_VALUE"""),33.52)</f>
        <v>33.52</v>
      </c>
      <c r="C233" s="1">
        <f>IFERROR(__xludf.DUMMYFUNCTION("""COMPUTED_VALUE"""),33.82)</f>
        <v>33.82</v>
      </c>
      <c r="D233" s="1">
        <f>IFERROR(__xludf.DUMMYFUNCTION("""COMPUTED_VALUE"""),33.3)</f>
        <v>33.3</v>
      </c>
      <c r="E233" s="1">
        <f>IFERROR(__xludf.DUMMYFUNCTION("""COMPUTED_VALUE"""),33.64)</f>
        <v>33.64</v>
      </c>
      <c r="F233" s="1">
        <f>IFERROR(__xludf.DUMMYFUNCTION("""COMPUTED_VALUE"""),2153588.0)</f>
        <v>2153588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IFERROR(__xludf.DUMMYFUNCTION("""COMPUTED_VALUE"""),33.42)</f>
        <v>33.42</v>
      </c>
      <c r="C234" s="1">
        <f>IFERROR(__xludf.DUMMYFUNCTION("""COMPUTED_VALUE"""),34.65)</f>
        <v>34.65</v>
      </c>
      <c r="D234" s="1">
        <f>IFERROR(__xludf.DUMMYFUNCTION("""COMPUTED_VALUE"""),33.28)</f>
        <v>33.28</v>
      </c>
      <c r="E234" s="1">
        <f>IFERROR(__xludf.DUMMYFUNCTION("""COMPUTED_VALUE"""),34.55)</f>
        <v>34.55</v>
      </c>
      <c r="F234" s="1">
        <f>IFERROR(__xludf.DUMMYFUNCTION("""COMPUTED_VALUE"""),2463305.0)</f>
        <v>2463305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IFERROR(__xludf.DUMMYFUNCTION("""COMPUTED_VALUE"""),34.5)</f>
        <v>34.5</v>
      </c>
      <c r="C235" s="1">
        <f>IFERROR(__xludf.DUMMYFUNCTION("""COMPUTED_VALUE"""),34.55)</f>
        <v>34.55</v>
      </c>
      <c r="D235" s="1">
        <f>IFERROR(__xludf.DUMMYFUNCTION("""COMPUTED_VALUE"""),34.19)</f>
        <v>34.19</v>
      </c>
      <c r="E235" s="1">
        <f>IFERROR(__xludf.DUMMYFUNCTION("""COMPUTED_VALUE"""),34.45)</f>
        <v>34.45</v>
      </c>
      <c r="F235" s="1">
        <f>IFERROR(__xludf.DUMMYFUNCTION("""COMPUTED_VALUE"""),1499559.0)</f>
        <v>1499559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IFERROR(__xludf.DUMMYFUNCTION("""COMPUTED_VALUE"""),34.9)</f>
        <v>34.9</v>
      </c>
      <c r="C236" s="1">
        <f>IFERROR(__xludf.DUMMYFUNCTION("""COMPUTED_VALUE"""),35.22)</f>
        <v>35.22</v>
      </c>
      <c r="D236" s="1">
        <f>IFERROR(__xludf.DUMMYFUNCTION("""COMPUTED_VALUE"""),34.45)</f>
        <v>34.45</v>
      </c>
      <c r="E236" s="1">
        <f>IFERROR(__xludf.DUMMYFUNCTION("""COMPUTED_VALUE"""),34.53)</f>
        <v>34.53</v>
      </c>
      <c r="F236" s="1">
        <f>IFERROR(__xludf.DUMMYFUNCTION("""COMPUTED_VALUE"""),1785050.0)</f>
        <v>1785050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IFERROR(__xludf.DUMMYFUNCTION("""COMPUTED_VALUE"""),34.67)</f>
        <v>34.67</v>
      </c>
      <c r="C237" s="1">
        <f>IFERROR(__xludf.DUMMYFUNCTION("""COMPUTED_VALUE"""),34.99)</f>
        <v>34.99</v>
      </c>
      <c r="D237" s="1">
        <f>IFERROR(__xludf.DUMMYFUNCTION("""COMPUTED_VALUE"""),34.37)</f>
        <v>34.37</v>
      </c>
      <c r="E237" s="1">
        <f>IFERROR(__xludf.DUMMYFUNCTION("""COMPUTED_VALUE"""),34.53)</f>
        <v>34.53</v>
      </c>
      <c r="F237" s="1">
        <f>IFERROR(__xludf.DUMMYFUNCTION("""COMPUTED_VALUE"""),1141203.0)</f>
        <v>1141203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IFERROR(__xludf.DUMMYFUNCTION("""COMPUTED_VALUE"""),34.09)</f>
        <v>34.09</v>
      </c>
      <c r="C238" s="1">
        <f>IFERROR(__xludf.DUMMYFUNCTION("""COMPUTED_VALUE"""),34.74)</f>
        <v>34.74</v>
      </c>
      <c r="D238" s="1">
        <f>IFERROR(__xludf.DUMMYFUNCTION("""COMPUTED_VALUE"""),33.61)</f>
        <v>33.61</v>
      </c>
      <c r="E238" s="1">
        <f>IFERROR(__xludf.DUMMYFUNCTION("""COMPUTED_VALUE"""),34.59)</f>
        <v>34.59</v>
      </c>
      <c r="F238" s="1">
        <f>IFERROR(__xludf.DUMMYFUNCTION("""COMPUTED_VALUE"""),1714260.0)</f>
        <v>1714260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IFERROR(__xludf.DUMMYFUNCTION("""COMPUTED_VALUE"""),34.61)</f>
        <v>34.61</v>
      </c>
      <c r="C239" s="1">
        <f>IFERROR(__xludf.DUMMYFUNCTION("""COMPUTED_VALUE"""),34.66)</f>
        <v>34.66</v>
      </c>
      <c r="D239" s="1">
        <f>IFERROR(__xludf.DUMMYFUNCTION("""COMPUTED_VALUE"""),34.04)</f>
        <v>34.04</v>
      </c>
      <c r="E239" s="1">
        <f>IFERROR(__xludf.DUMMYFUNCTION("""COMPUTED_VALUE"""),34.52)</f>
        <v>34.52</v>
      </c>
      <c r="F239" s="1">
        <f>IFERROR(__xludf.DUMMYFUNCTION("""COMPUTED_VALUE"""),1567891.0)</f>
        <v>1567891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IFERROR(__xludf.DUMMYFUNCTION("""COMPUTED_VALUE"""),34.61)</f>
        <v>34.61</v>
      </c>
      <c r="C240" s="1">
        <f>IFERROR(__xludf.DUMMYFUNCTION("""COMPUTED_VALUE"""),34.95)</f>
        <v>34.95</v>
      </c>
      <c r="D240" s="1">
        <f>IFERROR(__xludf.DUMMYFUNCTION("""COMPUTED_VALUE"""),34.27)</f>
        <v>34.27</v>
      </c>
      <c r="E240" s="1">
        <f>IFERROR(__xludf.DUMMYFUNCTION("""COMPUTED_VALUE"""),34.62)</f>
        <v>34.62</v>
      </c>
      <c r="F240" s="1">
        <f>IFERROR(__xludf.DUMMYFUNCTION("""COMPUTED_VALUE"""),2663592.0)</f>
        <v>2663592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IFERROR(__xludf.DUMMYFUNCTION("""COMPUTED_VALUE"""),34.6)</f>
        <v>34.6</v>
      </c>
      <c r="C241" s="1">
        <f>IFERROR(__xludf.DUMMYFUNCTION("""COMPUTED_VALUE"""),34.79)</f>
        <v>34.79</v>
      </c>
      <c r="D241" s="1">
        <f>IFERROR(__xludf.DUMMYFUNCTION("""COMPUTED_VALUE"""),34.34)</f>
        <v>34.34</v>
      </c>
      <c r="E241" s="1">
        <f>IFERROR(__xludf.DUMMYFUNCTION("""COMPUTED_VALUE"""),34.5)</f>
        <v>34.5</v>
      </c>
      <c r="F241" s="1">
        <f>IFERROR(__xludf.DUMMYFUNCTION("""COMPUTED_VALUE"""),1596392.0)</f>
        <v>1596392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IFERROR(__xludf.DUMMYFUNCTION("""COMPUTED_VALUE"""),34.5)</f>
        <v>34.5</v>
      </c>
      <c r="C242" s="1">
        <f>IFERROR(__xludf.DUMMYFUNCTION("""COMPUTED_VALUE"""),34.97)</f>
        <v>34.97</v>
      </c>
      <c r="D242" s="1">
        <f>IFERROR(__xludf.DUMMYFUNCTION("""COMPUTED_VALUE"""),34.33)</f>
        <v>34.33</v>
      </c>
      <c r="E242" s="1">
        <f>IFERROR(__xludf.DUMMYFUNCTION("""COMPUTED_VALUE"""),34.74)</f>
        <v>34.74</v>
      </c>
      <c r="F242" s="1">
        <f>IFERROR(__xludf.DUMMYFUNCTION("""COMPUTED_VALUE"""),1412480.0)</f>
        <v>1412480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IFERROR(__xludf.DUMMYFUNCTION("""COMPUTED_VALUE"""),34.76)</f>
        <v>34.76</v>
      </c>
      <c r="C243" s="1">
        <f>IFERROR(__xludf.DUMMYFUNCTION("""COMPUTED_VALUE"""),35.05)</f>
        <v>35.05</v>
      </c>
      <c r="D243" s="1">
        <f>IFERROR(__xludf.DUMMYFUNCTION("""COMPUTED_VALUE"""),34.58)</f>
        <v>34.58</v>
      </c>
      <c r="E243" s="1">
        <f>IFERROR(__xludf.DUMMYFUNCTION("""COMPUTED_VALUE"""),35.03)</f>
        <v>35.03</v>
      </c>
      <c r="F243" s="1">
        <f>IFERROR(__xludf.DUMMYFUNCTION("""COMPUTED_VALUE"""),1928159.0)</f>
        <v>1928159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IFERROR(__xludf.DUMMYFUNCTION("""COMPUTED_VALUE"""),34.72)</f>
        <v>34.72</v>
      </c>
      <c r="C244" s="1">
        <f>IFERROR(__xludf.DUMMYFUNCTION("""COMPUTED_VALUE"""),35.52)</f>
        <v>35.52</v>
      </c>
      <c r="D244" s="1">
        <f>IFERROR(__xludf.DUMMYFUNCTION("""COMPUTED_VALUE"""),34.66)</f>
        <v>34.66</v>
      </c>
      <c r="E244" s="1">
        <f>IFERROR(__xludf.DUMMYFUNCTION("""COMPUTED_VALUE"""),35.51)</f>
        <v>35.51</v>
      </c>
      <c r="F244" s="1">
        <f>IFERROR(__xludf.DUMMYFUNCTION("""COMPUTED_VALUE"""),4121966.0)</f>
        <v>4121966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IFERROR(__xludf.DUMMYFUNCTION("""COMPUTED_VALUE"""),35.77)</f>
        <v>35.77</v>
      </c>
      <c r="C245" s="1">
        <f>IFERROR(__xludf.DUMMYFUNCTION("""COMPUTED_VALUE"""),36.0)</f>
        <v>36</v>
      </c>
      <c r="D245" s="1">
        <f>IFERROR(__xludf.DUMMYFUNCTION("""COMPUTED_VALUE"""),35.17)</f>
        <v>35.17</v>
      </c>
      <c r="E245" s="1">
        <f>IFERROR(__xludf.DUMMYFUNCTION("""COMPUTED_VALUE"""),35.9)</f>
        <v>35.9</v>
      </c>
      <c r="F245" s="1">
        <f>IFERROR(__xludf.DUMMYFUNCTION("""COMPUTED_VALUE"""),2925273.0)</f>
        <v>2925273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IFERROR(__xludf.DUMMYFUNCTION("""COMPUTED_VALUE"""),34.46)</f>
        <v>34.46</v>
      </c>
      <c r="C246" s="1">
        <f>IFERROR(__xludf.DUMMYFUNCTION("""COMPUTED_VALUE"""),34.5)</f>
        <v>34.5</v>
      </c>
      <c r="D246" s="1">
        <f>IFERROR(__xludf.DUMMYFUNCTION("""COMPUTED_VALUE"""),32.2)</f>
        <v>32.2</v>
      </c>
      <c r="E246" s="1">
        <f>IFERROR(__xludf.DUMMYFUNCTION("""COMPUTED_VALUE"""),33.17)</f>
        <v>33.17</v>
      </c>
      <c r="F246" s="1">
        <f>IFERROR(__xludf.DUMMYFUNCTION("""COMPUTED_VALUE"""),1.1182392E7)</f>
        <v>11182392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IFERROR(__xludf.DUMMYFUNCTION("""COMPUTED_VALUE"""),33.13)</f>
        <v>33.13</v>
      </c>
      <c r="C247" s="1">
        <f>IFERROR(__xludf.DUMMYFUNCTION("""COMPUTED_VALUE"""),33.18)</f>
        <v>33.18</v>
      </c>
      <c r="D247" s="1">
        <f>IFERROR(__xludf.DUMMYFUNCTION("""COMPUTED_VALUE"""),32.03)</f>
        <v>32.03</v>
      </c>
      <c r="E247" s="1">
        <f>IFERROR(__xludf.DUMMYFUNCTION("""COMPUTED_VALUE"""),32.3)</f>
        <v>32.3</v>
      </c>
      <c r="F247" s="1">
        <f>IFERROR(__xludf.DUMMYFUNCTION("""COMPUTED_VALUE"""),3897418.0)</f>
        <v>3897418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IFERROR(__xludf.DUMMYFUNCTION("""COMPUTED_VALUE"""),32.34)</f>
        <v>32.34</v>
      </c>
      <c r="C248" s="1">
        <f>IFERROR(__xludf.DUMMYFUNCTION("""COMPUTED_VALUE"""),32.77)</f>
        <v>32.77</v>
      </c>
      <c r="D248" s="1">
        <f>IFERROR(__xludf.DUMMYFUNCTION("""COMPUTED_VALUE"""),32.34)</f>
        <v>32.34</v>
      </c>
      <c r="E248" s="1">
        <f>IFERROR(__xludf.DUMMYFUNCTION("""COMPUTED_VALUE"""),32.59)</f>
        <v>32.59</v>
      </c>
      <c r="F248" s="1">
        <f>IFERROR(__xludf.DUMMYFUNCTION("""COMPUTED_VALUE"""),2267735.0)</f>
        <v>2267735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IFERROR(__xludf.DUMMYFUNCTION("""COMPUTED_VALUE"""),32.39)</f>
        <v>32.39</v>
      </c>
      <c r="C249" s="1">
        <f>IFERROR(__xludf.DUMMYFUNCTION("""COMPUTED_VALUE"""),32.45)</f>
        <v>32.45</v>
      </c>
      <c r="D249" s="1">
        <f>IFERROR(__xludf.DUMMYFUNCTION("""COMPUTED_VALUE"""),31.84)</f>
        <v>31.84</v>
      </c>
      <c r="E249" s="1">
        <f>IFERROR(__xludf.DUMMYFUNCTION("""COMPUTED_VALUE"""),32.17)</f>
        <v>32.17</v>
      </c>
      <c r="F249" s="1">
        <f>IFERROR(__xludf.DUMMYFUNCTION("""COMPUTED_VALUE"""),1564034.0)</f>
        <v>1564034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IFERROR(__xludf.DUMMYFUNCTION("""COMPUTED_VALUE"""),32.17)</f>
        <v>32.17</v>
      </c>
      <c r="C250" s="1">
        <f>IFERROR(__xludf.DUMMYFUNCTION("""COMPUTED_VALUE"""),32.29)</f>
        <v>32.29</v>
      </c>
      <c r="D250" s="1">
        <f>IFERROR(__xludf.DUMMYFUNCTION("""COMPUTED_VALUE"""),31.67)</f>
        <v>31.67</v>
      </c>
      <c r="E250" s="1">
        <f>IFERROR(__xludf.DUMMYFUNCTION("""COMPUTED_VALUE"""),31.84)</f>
        <v>31.84</v>
      </c>
      <c r="F250" s="1">
        <f>IFERROR(__xludf.DUMMYFUNCTION("""COMPUTED_VALUE"""),1396813.0)</f>
        <v>1396813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IFERROR(__xludf.DUMMYFUNCTION("""COMPUTED_VALUE"""),31.93)</f>
        <v>31.93</v>
      </c>
      <c r="C251" s="1">
        <f>IFERROR(__xludf.DUMMYFUNCTION("""COMPUTED_VALUE"""),32.55)</f>
        <v>32.55</v>
      </c>
      <c r="D251" s="1">
        <f>IFERROR(__xludf.DUMMYFUNCTION("""COMPUTED_VALUE"""),31.87)</f>
        <v>31.87</v>
      </c>
      <c r="E251" s="1">
        <f>IFERROR(__xludf.DUMMYFUNCTION("""COMPUTED_VALUE"""),32.36)</f>
        <v>32.36</v>
      </c>
      <c r="F251" s="1">
        <f>IFERROR(__xludf.DUMMYFUNCTION("""COMPUTED_VALUE"""),1406573.0)</f>
        <v>1406573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IFERROR(__xludf.DUMMYFUNCTION("""COMPUTED_VALUE"""),32.42)</f>
        <v>32.42</v>
      </c>
      <c r="C252" s="1">
        <f>IFERROR(__xludf.DUMMYFUNCTION("""COMPUTED_VALUE"""),32.65)</f>
        <v>32.65</v>
      </c>
      <c r="D252" s="1">
        <f>IFERROR(__xludf.DUMMYFUNCTION("""COMPUTED_VALUE"""),32.19)</f>
        <v>32.19</v>
      </c>
      <c r="E252" s="1">
        <f>IFERROR(__xludf.DUMMYFUNCTION("""COMPUTED_VALUE"""),32.25)</f>
        <v>32.25</v>
      </c>
      <c r="F252" s="1">
        <f>IFERROR(__xludf.DUMMYFUNCTION("""COMPUTED_VALUE"""),1191415.0)</f>
        <v>1191415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IFERROR(__xludf.DUMMYFUNCTION("""COMPUTED_VALUE"""),32.19)</f>
        <v>32.19</v>
      </c>
      <c r="C253" s="1">
        <f>IFERROR(__xludf.DUMMYFUNCTION("""COMPUTED_VALUE"""),32.19)</f>
        <v>32.19</v>
      </c>
      <c r="D253" s="1">
        <f>IFERROR(__xludf.DUMMYFUNCTION("""COMPUTED_VALUE"""),31.64)</f>
        <v>31.64</v>
      </c>
      <c r="E253" s="1">
        <f>IFERROR(__xludf.DUMMYFUNCTION("""COMPUTED_VALUE"""),31.88)</f>
        <v>31.88</v>
      </c>
      <c r="F253" s="1">
        <f>IFERROR(__xludf.DUMMYFUNCTION("""COMPUTED_VALUE"""),1153994.0)</f>
        <v>1153994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IFERROR(__xludf.DUMMYFUNCTION("""COMPUTED_VALUE"""),31.87)</f>
        <v>31.87</v>
      </c>
      <c r="C254" s="1">
        <f>IFERROR(__xludf.DUMMYFUNCTION("""COMPUTED_VALUE"""),32.54)</f>
        <v>32.54</v>
      </c>
      <c r="D254" s="1">
        <f>IFERROR(__xludf.DUMMYFUNCTION("""COMPUTED_VALUE"""),31.49)</f>
        <v>31.49</v>
      </c>
      <c r="E254" s="1">
        <f>IFERROR(__xludf.DUMMYFUNCTION("""COMPUTED_VALUE"""),32.4)</f>
        <v>32.4</v>
      </c>
      <c r="F254" s="1">
        <f>IFERROR(__xludf.DUMMYFUNCTION("""COMPUTED_VALUE"""),2280342.0)</f>
        <v>2280342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IFERROR(__xludf.DUMMYFUNCTION("""COMPUTED_VALUE"""),32.55)</f>
        <v>32.55</v>
      </c>
      <c r="C255" s="1">
        <f>IFERROR(__xludf.DUMMYFUNCTION("""COMPUTED_VALUE"""),32.55)</f>
        <v>32.55</v>
      </c>
      <c r="D255" s="1">
        <f>IFERROR(__xludf.DUMMYFUNCTION("""COMPUTED_VALUE"""),31.32)</f>
        <v>31.32</v>
      </c>
      <c r="E255" s="1">
        <f>IFERROR(__xludf.DUMMYFUNCTION("""COMPUTED_VALUE"""),31.42)</f>
        <v>31.42</v>
      </c>
      <c r="F255" s="1">
        <f>IFERROR(__xludf.DUMMYFUNCTION("""COMPUTED_VALUE"""),1778622.0)</f>
        <v>1778622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IFERROR(__xludf.DUMMYFUNCTION("""COMPUTED_VALUE"""),31.46)</f>
        <v>31.46</v>
      </c>
      <c r="C256" s="1">
        <f>IFERROR(__xludf.DUMMYFUNCTION("""COMPUTED_VALUE"""),32.29)</f>
        <v>32.29</v>
      </c>
      <c r="D256" s="1">
        <f>IFERROR(__xludf.DUMMYFUNCTION("""COMPUTED_VALUE"""),31.18)</f>
        <v>31.18</v>
      </c>
      <c r="E256" s="1">
        <f>IFERROR(__xludf.DUMMYFUNCTION("""COMPUTED_VALUE"""),32.27)</f>
        <v>32.27</v>
      </c>
      <c r="F256" s="1">
        <f>IFERROR(__xludf.DUMMYFUNCTION("""COMPUTED_VALUE"""),2455618.0)</f>
        <v>2455618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IFERROR(__xludf.DUMMYFUNCTION("""COMPUTED_VALUE"""),32.21)</f>
        <v>32.21</v>
      </c>
      <c r="C257" s="1">
        <f>IFERROR(__xludf.DUMMYFUNCTION("""COMPUTED_VALUE"""),32.33)</f>
        <v>32.33</v>
      </c>
      <c r="D257" s="1">
        <f>IFERROR(__xludf.DUMMYFUNCTION("""COMPUTED_VALUE"""),31.56)</f>
        <v>31.56</v>
      </c>
      <c r="E257" s="1">
        <f>IFERROR(__xludf.DUMMYFUNCTION("""COMPUTED_VALUE"""),31.7)</f>
        <v>31.7</v>
      </c>
      <c r="F257" s="1">
        <f>IFERROR(__xludf.DUMMYFUNCTION("""COMPUTED_VALUE"""),1938127.0)</f>
        <v>1938127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IFERROR(__xludf.DUMMYFUNCTION("""COMPUTED_VALUE"""),31.8)</f>
        <v>31.8</v>
      </c>
      <c r="C258" s="1">
        <f>IFERROR(__xludf.DUMMYFUNCTION("""COMPUTED_VALUE"""),31.84)</f>
        <v>31.84</v>
      </c>
      <c r="D258" s="1">
        <f>IFERROR(__xludf.DUMMYFUNCTION("""COMPUTED_VALUE"""),31.1)</f>
        <v>31.1</v>
      </c>
      <c r="E258" s="1">
        <f>IFERROR(__xludf.DUMMYFUNCTION("""COMPUTED_VALUE"""),31.53)</f>
        <v>31.53</v>
      </c>
      <c r="F258" s="1">
        <f>IFERROR(__xludf.DUMMYFUNCTION("""COMPUTED_VALUE"""),1914992.0)</f>
        <v>1914992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IFERROR(__xludf.DUMMYFUNCTION("""COMPUTED_VALUE"""),31.41)</f>
        <v>31.41</v>
      </c>
      <c r="C259" s="1">
        <f>IFERROR(__xludf.DUMMYFUNCTION("""COMPUTED_VALUE"""),32.53)</f>
        <v>32.53</v>
      </c>
      <c r="D259" s="1">
        <f>IFERROR(__xludf.DUMMYFUNCTION("""COMPUTED_VALUE"""),31.39)</f>
        <v>31.39</v>
      </c>
      <c r="E259" s="1">
        <f>IFERROR(__xludf.DUMMYFUNCTION("""COMPUTED_VALUE"""),32.42)</f>
        <v>32.42</v>
      </c>
      <c r="F259" s="1">
        <f>IFERROR(__xludf.DUMMYFUNCTION("""COMPUTED_VALUE"""),2938293.0)</f>
        <v>2938293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IFERROR(__xludf.DUMMYFUNCTION("""COMPUTED_VALUE"""),32.47)</f>
        <v>32.47</v>
      </c>
      <c r="C260" s="1">
        <f>IFERROR(__xludf.DUMMYFUNCTION("""COMPUTED_VALUE"""),32.79)</f>
        <v>32.79</v>
      </c>
      <c r="D260" s="1">
        <f>IFERROR(__xludf.DUMMYFUNCTION("""COMPUTED_VALUE"""),31.92)</f>
        <v>31.92</v>
      </c>
      <c r="E260" s="1">
        <f>IFERROR(__xludf.DUMMYFUNCTION("""COMPUTED_VALUE"""),32.38)</f>
        <v>32.38</v>
      </c>
      <c r="F260" s="1">
        <f>IFERROR(__xludf.DUMMYFUNCTION("""COMPUTED_VALUE"""),1460181.0)</f>
        <v>1460181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IFERROR(__xludf.DUMMYFUNCTION("""COMPUTED_VALUE"""),32.43)</f>
        <v>32.43</v>
      </c>
      <c r="C261" s="1">
        <f>IFERROR(__xludf.DUMMYFUNCTION("""COMPUTED_VALUE"""),32.94)</f>
        <v>32.94</v>
      </c>
      <c r="D261" s="1">
        <f>IFERROR(__xludf.DUMMYFUNCTION("""COMPUTED_VALUE"""),32.16)</f>
        <v>32.16</v>
      </c>
      <c r="E261" s="1">
        <f>IFERROR(__xludf.DUMMYFUNCTION("""COMPUTED_VALUE"""),32.37)</f>
        <v>32.37</v>
      </c>
      <c r="F261" s="1">
        <f>IFERROR(__xludf.DUMMYFUNCTION("""COMPUTED_VALUE"""),1777432.0)</f>
        <v>1777432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IFERROR(__xludf.DUMMYFUNCTION("""COMPUTED_VALUE"""),32.23)</f>
        <v>32.23</v>
      </c>
      <c r="C262" s="1">
        <f>IFERROR(__xludf.DUMMYFUNCTION("""COMPUTED_VALUE"""),32.4)</f>
        <v>32.4</v>
      </c>
      <c r="D262" s="1">
        <f>IFERROR(__xludf.DUMMYFUNCTION("""COMPUTED_VALUE"""),32.01)</f>
        <v>32.01</v>
      </c>
      <c r="E262" s="1">
        <f>IFERROR(__xludf.DUMMYFUNCTION("""COMPUTED_VALUE"""),32.38)</f>
        <v>32.38</v>
      </c>
      <c r="F262" s="1">
        <f>IFERROR(__xludf.DUMMYFUNCTION("""COMPUTED_VALUE"""),1453784.0)</f>
        <v>1453784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IFERROR(__xludf.DUMMYFUNCTION("""COMPUTED_VALUE"""),32.33)</f>
        <v>32.33</v>
      </c>
      <c r="C263" s="1">
        <f>IFERROR(__xludf.DUMMYFUNCTION("""COMPUTED_VALUE"""),32.52)</f>
        <v>32.52</v>
      </c>
      <c r="D263" s="1">
        <f>IFERROR(__xludf.DUMMYFUNCTION("""COMPUTED_VALUE"""),32.08)</f>
        <v>32.08</v>
      </c>
      <c r="E263" s="1">
        <f>IFERROR(__xludf.DUMMYFUNCTION("""COMPUTED_VALUE"""),32.47)</f>
        <v>32.47</v>
      </c>
      <c r="F263" s="1">
        <f>IFERROR(__xludf.DUMMYFUNCTION("""COMPUTED_VALUE"""),1765619.0)</f>
        <v>1765619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IFERROR(__xludf.DUMMYFUNCTION("""COMPUTED_VALUE"""),32.27)</f>
        <v>32.27</v>
      </c>
      <c r="C264" s="1">
        <f>IFERROR(__xludf.DUMMYFUNCTION("""COMPUTED_VALUE"""),32.46)</f>
        <v>32.46</v>
      </c>
      <c r="D264" s="1">
        <f>IFERROR(__xludf.DUMMYFUNCTION("""COMPUTED_VALUE"""),31.95)</f>
        <v>31.95</v>
      </c>
      <c r="E264" s="1">
        <f>IFERROR(__xludf.DUMMYFUNCTION("""COMPUTED_VALUE"""),32.04)</f>
        <v>32.04</v>
      </c>
      <c r="F264" s="1">
        <f>IFERROR(__xludf.DUMMYFUNCTION("""COMPUTED_VALUE"""),1531507.0)</f>
        <v>1531507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IFERROR(__xludf.DUMMYFUNCTION("""COMPUTED_VALUE"""),32.03)</f>
        <v>32.03</v>
      </c>
      <c r="C265" s="1">
        <f>IFERROR(__xludf.DUMMYFUNCTION("""COMPUTED_VALUE"""),32.15)</f>
        <v>32.15</v>
      </c>
      <c r="D265" s="1">
        <f>IFERROR(__xludf.DUMMYFUNCTION("""COMPUTED_VALUE"""),31.81)</f>
        <v>31.81</v>
      </c>
      <c r="E265" s="1">
        <f>IFERROR(__xludf.DUMMYFUNCTION("""COMPUTED_VALUE"""),31.99)</f>
        <v>31.99</v>
      </c>
      <c r="F265" s="1">
        <f>IFERROR(__xludf.DUMMYFUNCTION("""COMPUTED_VALUE"""),1489240.0)</f>
        <v>1489240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IFERROR(__xludf.DUMMYFUNCTION("""COMPUTED_VALUE"""),31.82)</f>
        <v>31.82</v>
      </c>
      <c r="C266" s="1">
        <f>IFERROR(__xludf.DUMMYFUNCTION("""COMPUTED_VALUE"""),32.11)</f>
        <v>32.11</v>
      </c>
      <c r="D266" s="1">
        <f>IFERROR(__xludf.DUMMYFUNCTION("""COMPUTED_VALUE"""),31.69)</f>
        <v>31.69</v>
      </c>
      <c r="E266" s="1">
        <f>IFERROR(__xludf.DUMMYFUNCTION("""COMPUTED_VALUE"""),31.9)</f>
        <v>31.9</v>
      </c>
      <c r="F266" s="1">
        <f>IFERROR(__xludf.DUMMYFUNCTION("""COMPUTED_VALUE"""),2085372.0)</f>
        <v>2085372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IFERROR(__xludf.DUMMYFUNCTION("""COMPUTED_VALUE"""),32.64)</f>
        <v>32.64</v>
      </c>
      <c r="C267" s="1">
        <f>IFERROR(__xludf.DUMMYFUNCTION("""COMPUTED_VALUE"""),32.87)</f>
        <v>32.87</v>
      </c>
      <c r="D267" s="1">
        <f>IFERROR(__xludf.DUMMYFUNCTION("""COMPUTED_VALUE"""),32.18)</f>
        <v>32.18</v>
      </c>
      <c r="E267" s="1">
        <f>IFERROR(__xludf.DUMMYFUNCTION("""COMPUTED_VALUE"""),32.44)</f>
        <v>32.44</v>
      </c>
      <c r="F267" s="1">
        <f>IFERROR(__xludf.DUMMYFUNCTION("""COMPUTED_VALUE"""),3245134.0)</f>
        <v>3245134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IFERROR(__xludf.DUMMYFUNCTION("""COMPUTED_VALUE"""),32.35)</f>
        <v>32.35</v>
      </c>
      <c r="C268" s="1">
        <f>IFERROR(__xludf.DUMMYFUNCTION("""COMPUTED_VALUE"""),32.4)</f>
        <v>32.4</v>
      </c>
      <c r="D268" s="1">
        <f>IFERROR(__xludf.DUMMYFUNCTION("""COMPUTED_VALUE"""),31.88)</f>
        <v>31.88</v>
      </c>
      <c r="E268" s="1">
        <f>IFERROR(__xludf.DUMMYFUNCTION("""COMPUTED_VALUE"""),32.24)</f>
        <v>32.24</v>
      </c>
      <c r="F268" s="1">
        <f>IFERROR(__xludf.DUMMYFUNCTION("""COMPUTED_VALUE"""),1845588.0)</f>
        <v>1845588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IFERROR(__xludf.DUMMYFUNCTION("""COMPUTED_VALUE"""),32.2)</f>
        <v>32.2</v>
      </c>
      <c r="C269" s="1">
        <f>IFERROR(__xludf.DUMMYFUNCTION("""COMPUTED_VALUE"""),32.21)</f>
        <v>32.21</v>
      </c>
      <c r="D269" s="1">
        <f>IFERROR(__xludf.DUMMYFUNCTION("""COMPUTED_VALUE"""),31.49)</f>
        <v>31.49</v>
      </c>
      <c r="E269" s="1">
        <f>IFERROR(__xludf.DUMMYFUNCTION("""COMPUTED_VALUE"""),32.06)</f>
        <v>32.06</v>
      </c>
      <c r="F269" s="1">
        <f>IFERROR(__xludf.DUMMYFUNCTION("""COMPUTED_VALUE"""),1263342.0)</f>
        <v>1263342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IFERROR(__xludf.DUMMYFUNCTION("""COMPUTED_VALUE"""),32.18)</f>
        <v>32.18</v>
      </c>
      <c r="C270" s="1">
        <f>IFERROR(__xludf.DUMMYFUNCTION("""COMPUTED_VALUE"""),32.42)</f>
        <v>32.42</v>
      </c>
      <c r="D270" s="1">
        <f>IFERROR(__xludf.DUMMYFUNCTION("""COMPUTED_VALUE"""),31.94)</f>
        <v>31.94</v>
      </c>
      <c r="E270" s="1">
        <f>IFERROR(__xludf.DUMMYFUNCTION("""COMPUTED_VALUE"""),32.2)</f>
        <v>32.2</v>
      </c>
      <c r="F270" s="1">
        <f>IFERROR(__xludf.DUMMYFUNCTION("""COMPUTED_VALUE"""),1851310.0)</f>
        <v>1851310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IFERROR(__xludf.DUMMYFUNCTION("""COMPUTED_VALUE"""),32.76)</f>
        <v>32.76</v>
      </c>
      <c r="C271" s="1">
        <f>IFERROR(__xludf.DUMMYFUNCTION("""COMPUTED_VALUE"""),33.64)</f>
        <v>33.64</v>
      </c>
      <c r="D271" s="1">
        <f>IFERROR(__xludf.DUMMYFUNCTION("""COMPUTED_VALUE"""),32.71)</f>
        <v>32.71</v>
      </c>
      <c r="E271" s="1">
        <f>IFERROR(__xludf.DUMMYFUNCTION("""COMPUTED_VALUE"""),32.91)</f>
        <v>32.91</v>
      </c>
      <c r="F271" s="1">
        <f>IFERROR(__xludf.DUMMYFUNCTION("""COMPUTED_VALUE"""),2725603.0)</f>
        <v>2725603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IFERROR(__xludf.DUMMYFUNCTION("""COMPUTED_VALUE"""),34.46)</f>
        <v>34.46</v>
      </c>
      <c r="C272" s="1">
        <f>IFERROR(__xludf.DUMMYFUNCTION("""COMPUTED_VALUE"""),34.48)</f>
        <v>34.48</v>
      </c>
      <c r="D272" s="1">
        <f>IFERROR(__xludf.DUMMYFUNCTION("""COMPUTED_VALUE"""),32.41)</f>
        <v>32.41</v>
      </c>
      <c r="E272" s="1">
        <f>IFERROR(__xludf.DUMMYFUNCTION("""COMPUTED_VALUE"""),32.58)</f>
        <v>32.58</v>
      </c>
      <c r="F272" s="1">
        <f>IFERROR(__xludf.DUMMYFUNCTION("""COMPUTED_VALUE"""),2426810.0)</f>
        <v>2426810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IFERROR(__xludf.DUMMYFUNCTION("""COMPUTED_VALUE"""),32.67)</f>
        <v>32.67</v>
      </c>
      <c r="C273" s="1">
        <f>IFERROR(__xludf.DUMMYFUNCTION("""COMPUTED_VALUE"""),32.88)</f>
        <v>32.88</v>
      </c>
      <c r="D273" s="1">
        <f>IFERROR(__xludf.DUMMYFUNCTION("""COMPUTED_VALUE"""),32.22)</f>
        <v>32.22</v>
      </c>
      <c r="E273" s="1">
        <f>IFERROR(__xludf.DUMMYFUNCTION("""COMPUTED_VALUE"""),32.65)</f>
        <v>32.65</v>
      </c>
      <c r="F273" s="1">
        <f>IFERROR(__xludf.DUMMYFUNCTION("""COMPUTED_VALUE"""),1837214.0)</f>
        <v>1837214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IFERROR(__xludf.DUMMYFUNCTION("""COMPUTED_VALUE"""),32.85)</f>
        <v>32.85</v>
      </c>
      <c r="C274" s="1">
        <f>IFERROR(__xludf.DUMMYFUNCTION("""COMPUTED_VALUE"""),33.43)</f>
        <v>33.43</v>
      </c>
      <c r="D274" s="1">
        <f>IFERROR(__xludf.DUMMYFUNCTION("""COMPUTED_VALUE"""),32.84)</f>
        <v>32.84</v>
      </c>
      <c r="E274" s="1">
        <f>IFERROR(__xludf.DUMMYFUNCTION("""COMPUTED_VALUE"""),33.24)</f>
        <v>33.24</v>
      </c>
      <c r="F274" s="1">
        <f>IFERROR(__xludf.DUMMYFUNCTION("""COMPUTED_VALUE"""),1756656.0)</f>
        <v>1756656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IFERROR(__xludf.DUMMYFUNCTION("""COMPUTED_VALUE"""),33.11)</f>
        <v>33.11</v>
      </c>
      <c r="C275" s="1">
        <f>IFERROR(__xludf.DUMMYFUNCTION("""COMPUTED_VALUE"""),33.3)</f>
        <v>33.3</v>
      </c>
      <c r="D275" s="1">
        <f>IFERROR(__xludf.DUMMYFUNCTION("""COMPUTED_VALUE"""),32.57)</f>
        <v>32.57</v>
      </c>
      <c r="E275" s="1">
        <f>IFERROR(__xludf.DUMMYFUNCTION("""COMPUTED_VALUE"""),32.62)</f>
        <v>32.62</v>
      </c>
      <c r="F275" s="1">
        <f>IFERROR(__xludf.DUMMYFUNCTION("""COMPUTED_VALUE"""),1130937.0)</f>
        <v>1130937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IFERROR(__xludf.DUMMYFUNCTION("""COMPUTED_VALUE"""),32.57)</f>
        <v>32.57</v>
      </c>
      <c r="C276" s="1">
        <f>IFERROR(__xludf.DUMMYFUNCTION("""COMPUTED_VALUE"""),33.45)</f>
        <v>33.45</v>
      </c>
      <c r="D276" s="1">
        <f>IFERROR(__xludf.DUMMYFUNCTION("""COMPUTED_VALUE"""),32.57)</f>
        <v>32.57</v>
      </c>
      <c r="E276" s="1">
        <f>IFERROR(__xludf.DUMMYFUNCTION("""COMPUTED_VALUE"""),33.32)</f>
        <v>33.32</v>
      </c>
      <c r="F276" s="1">
        <f>IFERROR(__xludf.DUMMYFUNCTION("""COMPUTED_VALUE"""),1817579.0)</f>
        <v>1817579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IFERROR(__xludf.DUMMYFUNCTION("""COMPUTED_VALUE"""),33.4)</f>
        <v>33.4</v>
      </c>
      <c r="C277" s="1">
        <f>IFERROR(__xludf.DUMMYFUNCTION("""COMPUTED_VALUE"""),34.05)</f>
        <v>34.05</v>
      </c>
      <c r="D277" s="1">
        <f>IFERROR(__xludf.DUMMYFUNCTION("""COMPUTED_VALUE"""),33.3)</f>
        <v>33.3</v>
      </c>
      <c r="E277" s="1">
        <f>IFERROR(__xludf.DUMMYFUNCTION("""COMPUTED_VALUE"""),34.02)</f>
        <v>34.02</v>
      </c>
      <c r="F277" s="1">
        <f>IFERROR(__xludf.DUMMYFUNCTION("""COMPUTED_VALUE"""),2141326.0)</f>
        <v>2141326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IFERROR(__xludf.DUMMYFUNCTION("""COMPUTED_VALUE"""),34.18)</f>
        <v>34.18</v>
      </c>
      <c r="C278" s="1">
        <f>IFERROR(__xludf.DUMMYFUNCTION("""COMPUTED_VALUE"""),34.45)</f>
        <v>34.45</v>
      </c>
      <c r="D278" s="1">
        <f>IFERROR(__xludf.DUMMYFUNCTION("""COMPUTED_VALUE"""),34.15)</f>
        <v>34.15</v>
      </c>
      <c r="E278" s="1">
        <f>IFERROR(__xludf.DUMMYFUNCTION("""COMPUTED_VALUE"""),34.23)</f>
        <v>34.23</v>
      </c>
      <c r="F278" s="1">
        <f>IFERROR(__xludf.DUMMYFUNCTION("""COMPUTED_VALUE"""),1375813.0)</f>
        <v>1375813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IFERROR(__xludf.DUMMYFUNCTION("""COMPUTED_VALUE"""),34.0)</f>
        <v>34</v>
      </c>
      <c r="C279" s="1">
        <f>IFERROR(__xludf.DUMMYFUNCTION("""COMPUTED_VALUE"""),34.41)</f>
        <v>34.41</v>
      </c>
      <c r="D279" s="1">
        <f>IFERROR(__xludf.DUMMYFUNCTION("""COMPUTED_VALUE"""),33.89)</f>
        <v>33.89</v>
      </c>
      <c r="E279" s="1">
        <f>IFERROR(__xludf.DUMMYFUNCTION("""COMPUTED_VALUE"""),34.39)</f>
        <v>34.39</v>
      </c>
      <c r="F279" s="1">
        <f>IFERROR(__xludf.DUMMYFUNCTION("""COMPUTED_VALUE"""),1271269.0)</f>
        <v>1271269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IFERROR(__xludf.DUMMYFUNCTION("""COMPUTED_VALUE"""),34.31)</f>
        <v>34.31</v>
      </c>
      <c r="C280" s="1">
        <f>IFERROR(__xludf.DUMMYFUNCTION("""COMPUTED_VALUE"""),34.73)</f>
        <v>34.73</v>
      </c>
      <c r="D280" s="1">
        <f>IFERROR(__xludf.DUMMYFUNCTION("""COMPUTED_VALUE"""),34.26)</f>
        <v>34.26</v>
      </c>
      <c r="E280" s="1">
        <f>IFERROR(__xludf.DUMMYFUNCTION("""COMPUTED_VALUE"""),34.65)</f>
        <v>34.65</v>
      </c>
      <c r="F280" s="1">
        <f>IFERROR(__xludf.DUMMYFUNCTION("""COMPUTED_VALUE"""),1467333.0)</f>
        <v>1467333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IFERROR(__xludf.DUMMYFUNCTION("""COMPUTED_VALUE"""),34.43)</f>
        <v>34.43</v>
      </c>
      <c r="C281" s="1">
        <f>IFERROR(__xludf.DUMMYFUNCTION("""COMPUTED_VALUE"""),34.83)</f>
        <v>34.83</v>
      </c>
      <c r="D281" s="1">
        <f>IFERROR(__xludf.DUMMYFUNCTION("""COMPUTED_VALUE"""),34.21)</f>
        <v>34.21</v>
      </c>
      <c r="E281" s="1">
        <f>IFERROR(__xludf.DUMMYFUNCTION("""COMPUTED_VALUE"""),34.83)</f>
        <v>34.83</v>
      </c>
      <c r="F281" s="1">
        <f>IFERROR(__xludf.DUMMYFUNCTION("""COMPUTED_VALUE"""),1310419.0)</f>
        <v>1310419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IFERROR(__xludf.DUMMYFUNCTION("""COMPUTED_VALUE"""),34.6)</f>
        <v>34.6</v>
      </c>
      <c r="C282" s="1">
        <f>IFERROR(__xludf.DUMMYFUNCTION("""COMPUTED_VALUE"""),35.47)</f>
        <v>35.47</v>
      </c>
      <c r="D282" s="1">
        <f>IFERROR(__xludf.DUMMYFUNCTION("""COMPUTED_VALUE"""),34.27)</f>
        <v>34.27</v>
      </c>
      <c r="E282" s="1">
        <f>IFERROR(__xludf.DUMMYFUNCTION("""COMPUTED_VALUE"""),35.45)</f>
        <v>35.45</v>
      </c>
      <c r="F282" s="1">
        <f>IFERROR(__xludf.DUMMYFUNCTION("""COMPUTED_VALUE"""),1939676.0)</f>
        <v>1939676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IFERROR(__xludf.DUMMYFUNCTION("""COMPUTED_VALUE"""),35.37)</f>
        <v>35.37</v>
      </c>
      <c r="C283" s="1">
        <f>IFERROR(__xludf.DUMMYFUNCTION("""COMPUTED_VALUE"""),35.6)</f>
        <v>35.6</v>
      </c>
      <c r="D283" s="1">
        <f>IFERROR(__xludf.DUMMYFUNCTION("""COMPUTED_VALUE"""),35.04)</f>
        <v>35.04</v>
      </c>
      <c r="E283" s="1">
        <f>IFERROR(__xludf.DUMMYFUNCTION("""COMPUTED_VALUE"""),35.42)</f>
        <v>35.42</v>
      </c>
      <c r="F283" s="1">
        <f>IFERROR(__xludf.DUMMYFUNCTION("""COMPUTED_VALUE"""),1327912.0)</f>
        <v>1327912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IFERROR(__xludf.DUMMYFUNCTION("""COMPUTED_VALUE"""),35.25)</f>
        <v>35.25</v>
      </c>
      <c r="C284" s="1">
        <f>IFERROR(__xludf.DUMMYFUNCTION("""COMPUTED_VALUE"""),35.76)</f>
        <v>35.76</v>
      </c>
      <c r="D284" s="1">
        <f>IFERROR(__xludf.DUMMYFUNCTION("""COMPUTED_VALUE"""),35.17)</f>
        <v>35.17</v>
      </c>
      <c r="E284" s="1">
        <f>IFERROR(__xludf.DUMMYFUNCTION("""COMPUTED_VALUE"""),35.66)</f>
        <v>35.66</v>
      </c>
      <c r="F284" s="1">
        <f>IFERROR(__xludf.DUMMYFUNCTION("""COMPUTED_VALUE"""),2210008.0)</f>
        <v>2210008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IFERROR(__xludf.DUMMYFUNCTION("""COMPUTED_VALUE"""),35.73)</f>
        <v>35.73</v>
      </c>
      <c r="C285" s="1">
        <f>IFERROR(__xludf.DUMMYFUNCTION("""COMPUTED_VALUE"""),36.86)</f>
        <v>36.86</v>
      </c>
      <c r="D285" s="1">
        <f>IFERROR(__xludf.DUMMYFUNCTION("""COMPUTED_VALUE"""),35.73)</f>
        <v>35.73</v>
      </c>
      <c r="E285" s="1">
        <f>IFERROR(__xludf.DUMMYFUNCTION("""COMPUTED_VALUE"""),36.6)</f>
        <v>36.6</v>
      </c>
      <c r="F285" s="1">
        <f>IFERROR(__xludf.DUMMYFUNCTION("""COMPUTED_VALUE"""),2144410.0)</f>
        <v>2144410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IFERROR(__xludf.DUMMYFUNCTION("""COMPUTED_VALUE"""),36.43)</f>
        <v>36.43</v>
      </c>
      <c r="C286" s="1">
        <f>IFERROR(__xludf.DUMMYFUNCTION("""COMPUTED_VALUE"""),36.71)</f>
        <v>36.71</v>
      </c>
      <c r="D286" s="1">
        <f>IFERROR(__xludf.DUMMYFUNCTION("""COMPUTED_VALUE"""),36.15)</f>
        <v>36.15</v>
      </c>
      <c r="E286" s="1">
        <f>IFERROR(__xludf.DUMMYFUNCTION("""COMPUTED_VALUE"""),36.42)</f>
        <v>36.42</v>
      </c>
      <c r="F286" s="1">
        <f>IFERROR(__xludf.DUMMYFUNCTION("""COMPUTED_VALUE"""),1145650.0)</f>
        <v>1145650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IFERROR(__xludf.DUMMYFUNCTION("""COMPUTED_VALUE"""),36.5)</f>
        <v>36.5</v>
      </c>
      <c r="C287" s="1">
        <f>IFERROR(__xludf.DUMMYFUNCTION("""COMPUTED_VALUE"""),37.02)</f>
        <v>37.02</v>
      </c>
      <c r="D287" s="1">
        <f>IFERROR(__xludf.DUMMYFUNCTION("""COMPUTED_VALUE"""),36.31)</f>
        <v>36.31</v>
      </c>
      <c r="E287" s="1">
        <f>IFERROR(__xludf.DUMMYFUNCTION("""COMPUTED_VALUE"""),36.83)</f>
        <v>36.83</v>
      </c>
      <c r="F287" s="1">
        <f>IFERROR(__xludf.DUMMYFUNCTION("""COMPUTED_VALUE"""),1414727.0)</f>
        <v>1414727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IFERROR(__xludf.DUMMYFUNCTION("""COMPUTED_VALUE"""),36.45)</f>
        <v>36.45</v>
      </c>
      <c r="C288" s="1">
        <f>IFERROR(__xludf.DUMMYFUNCTION("""COMPUTED_VALUE"""),36.56)</f>
        <v>36.56</v>
      </c>
      <c r="D288" s="1">
        <f>IFERROR(__xludf.DUMMYFUNCTION("""COMPUTED_VALUE"""),35.61)</f>
        <v>35.61</v>
      </c>
      <c r="E288" s="1">
        <f>IFERROR(__xludf.DUMMYFUNCTION("""COMPUTED_VALUE"""),35.69)</f>
        <v>35.69</v>
      </c>
      <c r="F288" s="1">
        <f>IFERROR(__xludf.DUMMYFUNCTION("""COMPUTED_VALUE"""),1749856.0)</f>
        <v>1749856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IFERROR(__xludf.DUMMYFUNCTION("""COMPUTED_VALUE"""),35.7)</f>
        <v>35.7</v>
      </c>
      <c r="C289" s="1">
        <f>IFERROR(__xludf.DUMMYFUNCTION("""COMPUTED_VALUE"""),35.75)</f>
        <v>35.75</v>
      </c>
      <c r="D289" s="1">
        <f>IFERROR(__xludf.DUMMYFUNCTION("""COMPUTED_VALUE"""),34.16)</f>
        <v>34.16</v>
      </c>
      <c r="E289" s="1">
        <f>IFERROR(__xludf.DUMMYFUNCTION("""COMPUTED_VALUE"""),34.59)</f>
        <v>34.59</v>
      </c>
      <c r="F289" s="1">
        <f>IFERROR(__xludf.DUMMYFUNCTION("""COMPUTED_VALUE"""),1844494.0)</f>
        <v>1844494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IFERROR(__xludf.DUMMYFUNCTION("""COMPUTED_VALUE"""),34.54)</f>
        <v>34.54</v>
      </c>
      <c r="C290" s="1">
        <f>IFERROR(__xludf.DUMMYFUNCTION("""COMPUTED_VALUE"""),34.89)</f>
        <v>34.89</v>
      </c>
      <c r="D290" s="1">
        <f>IFERROR(__xludf.DUMMYFUNCTION("""COMPUTED_VALUE"""),33.48)</f>
        <v>33.48</v>
      </c>
      <c r="E290" s="1">
        <f>IFERROR(__xludf.DUMMYFUNCTION("""COMPUTED_VALUE"""),34.01)</f>
        <v>34.01</v>
      </c>
      <c r="F290" s="1">
        <f>IFERROR(__xludf.DUMMYFUNCTION("""COMPUTED_VALUE"""),2727858.0)</f>
        <v>2727858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IFERROR(__xludf.DUMMYFUNCTION("""COMPUTED_VALUE"""),34.89)</f>
        <v>34.89</v>
      </c>
      <c r="C291" s="1">
        <f>IFERROR(__xludf.DUMMYFUNCTION("""COMPUTED_VALUE"""),36.01)</f>
        <v>36.01</v>
      </c>
      <c r="D291" s="1">
        <f>IFERROR(__xludf.DUMMYFUNCTION("""COMPUTED_VALUE"""),34.62)</f>
        <v>34.62</v>
      </c>
      <c r="E291" s="1">
        <f>IFERROR(__xludf.DUMMYFUNCTION("""COMPUTED_VALUE"""),35.25)</f>
        <v>35.25</v>
      </c>
      <c r="F291" s="1">
        <f>IFERROR(__xludf.DUMMYFUNCTION("""COMPUTED_VALUE"""),1985372.0)</f>
        <v>1985372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IFERROR(__xludf.DUMMYFUNCTION("""COMPUTED_VALUE"""),35.51)</f>
        <v>35.51</v>
      </c>
      <c r="C292" s="1">
        <f>IFERROR(__xludf.DUMMYFUNCTION("""COMPUTED_VALUE"""),35.52)</f>
        <v>35.52</v>
      </c>
      <c r="D292" s="1">
        <f>IFERROR(__xludf.DUMMYFUNCTION("""COMPUTED_VALUE"""),35.14)</f>
        <v>35.14</v>
      </c>
      <c r="E292" s="1">
        <f>IFERROR(__xludf.DUMMYFUNCTION("""COMPUTED_VALUE"""),35.37)</f>
        <v>35.37</v>
      </c>
      <c r="F292" s="1">
        <f>IFERROR(__xludf.DUMMYFUNCTION("""COMPUTED_VALUE"""),1337829.0)</f>
        <v>1337829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IFERROR(__xludf.DUMMYFUNCTION("""COMPUTED_VALUE"""),35.59)</f>
        <v>35.59</v>
      </c>
      <c r="C293" s="1">
        <f>IFERROR(__xludf.DUMMYFUNCTION("""COMPUTED_VALUE"""),35.98)</f>
        <v>35.98</v>
      </c>
      <c r="D293" s="1">
        <f>IFERROR(__xludf.DUMMYFUNCTION("""COMPUTED_VALUE"""),34.47)</f>
        <v>34.47</v>
      </c>
      <c r="E293" s="1">
        <f>IFERROR(__xludf.DUMMYFUNCTION("""COMPUTED_VALUE"""),34.63)</f>
        <v>34.63</v>
      </c>
      <c r="F293" s="1">
        <f>IFERROR(__xludf.DUMMYFUNCTION("""COMPUTED_VALUE"""),1254096.0)</f>
        <v>1254096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IFERROR(__xludf.DUMMYFUNCTION("""COMPUTED_VALUE"""),34.63)</f>
        <v>34.63</v>
      </c>
      <c r="C294" s="1">
        <f>IFERROR(__xludf.DUMMYFUNCTION("""COMPUTED_VALUE"""),35.03)</f>
        <v>35.03</v>
      </c>
      <c r="D294" s="1">
        <f>IFERROR(__xludf.DUMMYFUNCTION("""COMPUTED_VALUE"""),34.54)</f>
        <v>34.54</v>
      </c>
      <c r="E294" s="1">
        <f>IFERROR(__xludf.DUMMYFUNCTION("""COMPUTED_VALUE"""),34.86)</f>
        <v>34.86</v>
      </c>
      <c r="F294" s="1">
        <f>IFERROR(__xludf.DUMMYFUNCTION("""COMPUTED_VALUE"""),1262491.0)</f>
        <v>1262491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IFERROR(__xludf.DUMMYFUNCTION("""COMPUTED_VALUE"""),35.21)</f>
        <v>35.21</v>
      </c>
      <c r="C295" s="1">
        <f>IFERROR(__xludf.DUMMYFUNCTION("""COMPUTED_VALUE"""),35.43)</f>
        <v>35.43</v>
      </c>
      <c r="D295" s="1">
        <f>IFERROR(__xludf.DUMMYFUNCTION("""COMPUTED_VALUE"""),35.06)</f>
        <v>35.06</v>
      </c>
      <c r="E295" s="1">
        <f>IFERROR(__xludf.DUMMYFUNCTION("""COMPUTED_VALUE"""),35.38)</f>
        <v>35.38</v>
      </c>
      <c r="F295" s="1">
        <f>IFERROR(__xludf.DUMMYFUNCTION("""COMPUTED_VALUE"""),1018369.0)</f>
        <v>1018369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IFERROR(__xludf.DUMMYFUNCTION("""COMPUTED_VALUE"""),35.25)</f>
        <v>35.25</v>
      </c>
      <c r="C296" s="1">
        <f>IFERROR(__xludf.DUMMYFUNCTION("""COMPUTED_VALUE"""),35.39)</f>
        <v>35.39</v>
      </c>
      <c r="D296" s="1">
        <f>IFERROR(__xludf.DUMMYFUNCTION("""COMPUTED_VALUE"""),34.73)</f>
        <v>34.73</v>
      </c>
      <c r="E296" s="1">
        <f>IFERROR(__xludf.DUMMYFUNCTION("""COMPUTED_VALUE"""),35.15)</f>
        <v>35.15</v>
      </c>
      <c r="F296" s="1">
        <f>IFERROR(__xludf.DUMMYFUNCTION("""COMPUTED_VALUE"""),1108325.0)</f>
        <v>1108325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IFERROR(__xludf.DUMMYFUNCTION("""COMPUTED_VALUE"""),35.33)</f>
        <v>35.33</v>
      </c>
      <c r="C297" s="1">
        <f>IFERROR(__xludf.DUMMYFUNCTION("""COMPUTED_VALUE"""),35.42)</f>
        <v>35.42</v>
      </c>
      <c r="D297" s="1">
        <f>IFERROR(__xludf.DUMMYFUNCTION("""COMPUTED_VALUE"""),34.19)</f>
        <v>34.19</v>
      </c>
      <c r="E297" s="1">
        <f>IFERROR(__xludf.DUMMYFUNCTION("""COMPUTED_VALUE"""),34.4)</f>
        <v>34.4</v>
      </c>
      <c r="F297" s="1">
        <f>IFERROR(__xludf.DUMMYFUNCTION("""COMPUTED_VALUE"""),1698997.0)</f>
        <v>1698997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IFERROR(__xludf.DUMMYFUNCTION("""COMPUTED_VALUE"""),34.53)</f>
        <v>34.53</v>
      </c>
      <c r="C298" s="1">
        <f>IFERROR(__xludf.DUMMYFUNCTION("""COMPUTED_VALUE"""),35.1)</f>
        <v>35.1</v>
      </c>
      <c r="D298" s="1">
        <f>IFERROR(__xludf.DUMMYFUNCTION("""COMPUTED_VALUE"""),34.13)</f>
        <v>34.13</v>
      </c>
      <c r="E298" s="1">
        <f>IFERROR(__xludf.DUMMYFUNCTION("""COMPUTED_VALUE"""),34.97)</f>
        <v>34.97</v>
      </c>
      <c r="F298" s="1">
        <f>IFERROR(__xludf.DUMMYFUNCTION("""COMPUTED_VALUE"""),2094487.0)</f>
        <v>2094487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IFERROR(__xludf.DUMMYFUNCTION("""COMPUTED_VALUE"""),34.86)</f>
        <v>34.86</v>
      </c>
      <c r="C299" s="1">
        <f>IFERROR(__xludf.DUMMYFUNCTION("""COMPUTED_VALUE"""),35.42)</f>
        <v>35.42</v>
      </c>
      <c r="D299" s="1">
        <f>IFERROR(__xludf.DUMMYFUNCTION("""COMPUTED_VALUE"""),34.59)</f>
        <v>34.59</v>
      </c>
      <c r="E299" s="1">
        <f>IFERROR(__xludf.DUMMYFUNCTION("""COMPUTED_VALUE"""),35.2)</f>
        <v>35.2</v>
      </c>
      <c r="F299" s="1">
        <f>IFERROR(__xludf.DUMMYFUNCTION("""COMPUTED_VALUE"""),949414.0)</f>
        <v>949414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IFERROR(__xludf.DUMMYFUNCTION("""COMPUTED_VALUE"""),34.55)</f>
        <v>34.55</v>
      </c>
      <c r="C300" s="1">
        <f>IFERROR(__xludf.DUMMYFUNCTION("""COMPUTED_VALUE"""),34.56)</f>
        <v>34.56</v>
      </c>
      <c r="D300" s="1">
        <f>IFERROR(__xludf.DUMMYFUNCTION("""COMPUTED_VALUE"""),32.89)</f>
        <v>32.89</v>
      </c>
      <c r="E300" s="1">
        <f>IFERROR(__xludf.DUMMYFUNCTION("""COMPUTED_VALUE"""),33.4)</f>
        <v>33.4</v>
      </c>
      <c r="F300" s="1">
        <f>IFERROR(__xludf.DUMMYFUNCTION("""COMPUTED_VALUE"""),3493657.0)</f>
        <v>3493657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IFERROR(__xludf.DUMMYFUNCTION("""COMPUTED_VALUE"""),33.32)</f>
        <v>33.32</v>
      </c>
      <c r="C301" s="1">
        <f>IFERROR(__xludf.DUMMYFUNCTION("""COMPUTED_VALUE"""),33.64)</f>
        <v>33.64</v>
      </c>
      <c r="D301" s="1">
        <f>IFERROR(__xludf.DUMMYFUNCTION("""COMPUTED_VALUE"""),32.72)</f>
        <v>32.72</v>
      </c>
      <c r="E301" s="1">
        <f>IFERROR(__xludf.DUMMYFUNCTION("""COMPUTED_VALUE"""),33.45)</f>
        <v>33.45</v>
      </c>
      <c r="F301" s="1">
        <f>IFERROR(__xludf.DUMMYFUNCTION("""COMPUTED_VALUE"""),2128740.0)</f>
        <v>2128740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IFERROR(__xludf.DUMMYFUNCTION("""COMPUTED_VALUE"""),33.09)</f>
        <v>33.09</v>
      </c>
      <c r="C302" s="1">
        <f>IFERROR(__xludf.DUMMYFUNCTION("""COMPUTED_VALUE"""),33.21)</f>
        <v>33.21</v>
      </c>
      <c r="D302" s="1">
        <f>IFERROR(__xludf.DUMMYFUNCTION("""COMPUTED_VALUE"""),32.5)</f>
        <v>32.5</v>
      </c>
      <c r="E302" s="1">
        <f>IFERROR(__xludf.DUMMYFUNCTION("""COMPUTED_VALUE"""),32.85)</f>
        <v>32.85</v>
      </c>
      <c r="F302" s="1">
        <f>IFERROR(__xludf.DUMMYFUNCTION("""COMPUTED_VALUE"""),2104347.0)</f>
        <v>2104347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IFERROR(__xludf.DUMMYFUNCTION("""COMPUTED_VALUE"""),31.92)</f>
        <v>31.92</v>
      </c>
      <c r="C303" s="1">
        <f>IFERROR(__xludf.DUMMYFUNCTION("""COMPUTED_VALUE"""),33.23)</f>
        <v>33.23</v>
      </c>
      <c r="D303" s="1">
        <f>IFERROR(__xludf.DUMMYFUNCTION("""COMPUTED_VALUE"""),31.3)</f>
        <v>31.3</v>
      </c>
      <c r="E303" s="1">
        <f>IFERROR(__xludf.DUMMYFUNCTION("""COMPUTED_VALUE"""),33.06)</f>
        <v>33.06</v>
      </c>
      <c r="F303" s="1">
        <f>IFERROR(__xludf.DUMMYFUNCTION("""COMPUTED_VALUE"""),3080457.0)</f>
        <v>3080457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IFERROR(__xludf.DUMMYFUNCTION("""COMPUTED_VALUE"""),32.94)</f>
        <v>32.94</v>
      </c>
      <c r="C304" s="1">
        <f>IFERROR(__xludf.DUMMYFUNCTION("""COMPUTED_VALUE"""),33.1)</f>
        <v>33.1</v>
      </c>
      <c r="D304" s="1">
        <f>IFERROR(__xludf.DUMMYFUNCTION("""COMPUTED_VALUE"""),32.38)</f>
        <v>32.38</v>
      </c>
      <c r="E304" s="1">
        <f>IFERROR(__xludf.DUMMYFUNCTION("""COMPUTED_VALUE"""),32.76)</f>
        <v>32.76</v>
      </c>
      <c r="F304" s="1">
        <f>IFERROR(__xludf.DUMMYFUNCTION("""COMPUTED_VALUE"""),1648628.0)</f>
        <v>1648628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IFERROR(__xludf.DUMMYFUNCTION("""COMPUTED_VALUE"""),33.3)</f>
        <v>33.3</v>
      </c>
      <c r="C305" s="1">
        <f>IFERROR(__xludf.DUMMYFUNCTION("""COMPUTED_VALUE"""),33.58)</f>
        <v>33.58</v>
      </c>
      <c r="D305" s="1">
        <f>IFERROR(__xludf.DUMMYFUNCTION("""COMPUTED_VALUE"""),32.79)</f>
        <v>32.79</v>
      </c>
      <c r="E305" s="1">
        <f>IFERROR(__xludf.DUMMYFUNCTION("""COMPUTED_VALUE"""),32.84)</f>
        <v>32.84</v>
      </c>
      <c r="F305" s="1">
        <f>IFERROR(__xludf.DUMMYFUNCTION("""COMPUTED_VALUE"""),1580429.0)</f>
        <v>1580429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IFERROR(__xludf.DUMMYFUNCTION("""COMPUTED_VALUE"""),33.31)</f>
        <v>33.31</v>
      </c>
      <c r="C306" s="1">
        <f>IFERROR(__xludf.DUMMYFUNCTION("""COMPUTED_VALUE"""),33.46)</f>
        <v>33.46</v>
      </c>
      <c r="D306" s="1">
        <f>IFERROR(__xludf.DUMMYFUNCTION("""COMPUTED_VALUE"""),32.65)</f>
        <v>32.65</v>
      </c>
      <c r="E306" s="1">
        <f>IFERROR(__xludf.DUMMYFUNCTION("""COMPUTED_VALUE"""),33.12)</f>
        <v>33.12</v>
      </c>
      <c r="F306" s="1">
        <f>IFERROR(__xludf.DUMMYFUNCTION("""COMPUTED_VALUE"""),2745288.0)</f>
        <v>2745288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IFERROR(__xludf.DUMMYFUNCTION("""COMPUTED_VALUE"""),33.5)</f>
        <v>33.5</v>
      </c>
      <c r="C307" s="1">
        <f>IFERROR(__xludf.DUMMYFUNCTION("""COMPUTED_VALUE"""),33.95)</f>
        <v>33.95</v>
      </c>
      <c r="D307" s="1">
        <f>IFERROR(__xludf.DUMMYFUNCTION("""COMPUTED_VALUE"""),33.09)</f>
        <v>33.09</v>
      </c>
      <c r="E307" s="1">
        <f>IFERROR(__xludf.DUMMYFUNCTION("""COMPUTED_VALUE"""),33.82)</f>
        <v>33.82</v>
      </c>
      <c r="F307" s="1">
        <f>IFERROR(__xludf.DUMMYFUNCTION("""COMPUTED_VALUE"""),1308541.0)</f>
        <v>1308541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IFERROR(__xludf.DUMMYFUNCTION("""COMPUTED_VALUE"""),33.75)</f>
        <v>33.75</v>
      </c>
      <c r="C308" s="1">
        <f>IFERROR(__xludf.DUMMYFUNCTION("""COMPUTED_VALUE"""),33.75)</f>
        <v>33.75</v>
      </c>
      <c r="D308" s="1">
        <f>IFERROR(__xludf.DUMMYFUNCTION("""COMPUTED_VALUE"""),32.61)</f>
        <v>32.61</v>
      </c>
      <c r="E308" s="1">
        <f>IFERROR(__xludf.DUMMYFUNCTION("""COMPUTED_VALUE"""),32.63)</f>
        <v>32.63</v>
      </c>
      <c r="F308" s="1">
        <f>IFERROR(__xludf.DUMMYFUNCTION("""COMPUTED_VALUE"""),2349748.0)</f>
        <v>2349748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IFERROR(__xludf.DUMMYFUNCTION("""COMPUTED_VALUE"""),32.44)</f>
        <v>32.44</v>
      </c>
      <c r="C309" s="1">
        <f>IFERROR(__xludf.DUMMYFUNCTION("""COMPUTED_VALUE"""),32.52)</f>
        <v>32.52</v>
      </c>
      <c r="D309" s="1">
        <f>IFERROR(__xludf.DUMMYFUNCTION("""COMPUTED_VALUE"""),31.47)</f>
        <v>31.47</v>
      </c>
      <c r="E309" s="1">
        <f>IFERROR(__xludf.DUMMYFUNCTION("""COMPUTED_VALUE"""),32.28)</f>
        <v>32.28</v>
      </c>
      <c r="F309" s="1">
        <f>IFERROR(__xludf.DUMMYFUNCTION("""COMPUTED_VALUE"""),3205811.0)</f>
        <v>3205811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IFERROR(__xludf.DUMMYFUNCTION("""COMPUTED_VALUE"""),32.51)</f>
        <v>32.51</v>
      </c>
      <c r="C310" s="1">
        <f>IFERROR(__xludf.DUMMYFUNCTION("""COMPUTED_VALUE"""),32.71)</f>
        <v>32.71</v>
      </c>
      <c r="D310" s="1">
        <f>IFERROR(__xludf.DUMMYFUNCTION("""COMPUTED_VALUE"""),32.27)</f>
        <v>32.27</v>
      </c>
      <c r="E310" s="1">
        <f>IFERROR(__xludf.DUMMYFUNCTION("""COMPUTED_VALUE"""),32.47)</f>
        <v>32.47</v>
      </c>
      <c r="F310" s="1">
        <f>IFERROR(__xludf.DUMMYFUNCTION("""COMPUTED_VALUE"""),2970795.0)</f>
        <v>2970795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IFERROR(__xludf.DUMMYFUNCTION("""COMPUTED_VALUE"""),33.21)</f>
        <v>33.21</v>
      </c>
      <c r="C311" s="1">
        <f>IFERROR(__xludf.DUMMYFUNCTION("""COMPUTED_VALUE"""),33.44)</f>
        <v>33.44</v>
      </c>
      <c r="D311" s="1">
        <f>IFERROR(__xludf.DUMMYFUNCTION("""COMPUTED_VALUE"""),32.96)</f>
        <v>32.96</v>
      </c>
      <c r="E311" s="1">
        <f>IFERROR(__xludf.DUMMYFUNCTION("""COMPUTED_VALUE"""),33.01)</f>
        <v>33.01</v>
      </c>
      <c r="F311" s="1">
        <f>IFERROR(__xludf.DUMMYFUNCTION("""COMPUTED_VALUE"""),2121946.0)</f>
        <v>2121946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IFERROR(__xludf.DUMMYFUNCTION("""COMPUTED_VALUE"""),33.16)</f>
        <v>33.16</v>
      </c>
      <c r="C312" s="1">
        <f>IFERROR(__xludf.DUMMYFUNCTION("""COMPUTED_VALUE"""),33.48)</f>
        <v>33.48</v>
      </c>
      <c r="D312" s="1">
        <f>IFERROR(__xludf.DUMMYFUNCTION("""COMPUTED_VALUE"""),32.88)</f>
        <v>32.88</v>
      </c>
      <c r="E312" s="1">
        <f>IFERROR(__xludf.DUMMYFUNCTION("""COMPUTED_VALUE"""),33.0)</f>
        <v>33</v>
      </c>
      <c r="F312" s="1">
        <f>IFERROR(__xludf.DUMMYFUNCTION("""COMPUTED_VALUE"""),1597780.0)</f>
        <v>1597780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IFERROR(__xludf.DUMMYFUNCTION("""COMPUTED_VALUE"""),32.94)</f>
        <v>32.94</v>
      </c>
      <c r="C313" s="1">
        <f>IFERROR(__xludf.DUMMYFUNCTION("""COMPUTED_VALUE"""),33.97)</f>
        <v>33.97</v>
      </c>
      <c r="D313" s="1">
        <f>IFERROR(__xludf.DUMMYFUNCTION("""COMPUTED_VALUE"""),32.65)</f>
        <v>32.65</v>
      </c>
      <c r="E313" s="1">
        <f>IFERROR(__xludf.DUMMYFUNCTION("""COMPUTED_VALUE"""),33.95)</f>
        <v>33.95</v>
      </c>
      <c r="F313" s="1">
        <f>IFERROR(__xludf.DUMMYFUNCTION("""COMPUTED_VALUE"""),2047203.0)</f>
        <v>2047203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IFERROR(__xludf.DUMMYFUNCTION("""COMPUTED_VALUE"""),34.28)</f>
        <v>34.28</v>
      </c>
      <c r="C314" s="1">
        <f>IFERROR(__xludf.DUMMYFUNCTION("""COMPUTED_VALUE"""),34.63)</f>
        <v>34.63</v>
      </c>
      <c r="D314" s="1">
        <f>IFERROR(__xludf.DUMMYFUNCTION("""COMPUTED_VALUE"""),33.55)</f>
        <v>33.55</v>
      </c>
      <c r="E314" s="1">
        <f>IFERROR(__xludf.DUMMYFUNCTION("""COMPUTED_VALUE"""),34.59)</f>
        <v>34.59</v>
      </c>
      <c r="F314" s="1">
        <f>IFERROR(__xludf.DUMMYFUNCTION("""COMPUTED_VALUE"""),2799846.0)</f>
        <v>2799846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IFERROR(__xludf.DUMMYFUNCTION("""COMPUTED_VALUE"""),33.47)</f>
        <v>33.47</v>
      </c>
      <c r="C315" s="1">
        <f>IFERROR(__xludf.DUMMYFUNCTION("""COMPUTED_VALUE"""),33.65)</f>
        <v>33.65</v>
      </c>
      <c r="D315" s="1">
        <f>IFERROR(__xludf.DUMMYFUNCTION("""COMPUTED_VALUE"""),31.85)</f>
        <v>31.85</v>
      </c>
      <c r="E315" s="1">
        <f>IFERROR(__xludf.DUMMYFUNCTION("""COMPUTED_VALUE"""),32.1)</f>
        <v>32.1</v>
      </c>
      <c r="F315" s="1">
        <f>IFERROR(__xludf.DUMMYFUNCTION("""COMPUTED_VALUE"""),9315346.0)</f>
        <v>9315346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IFERROR(__xludf.DUMMYFUNCTION("""COMPUTED_VALUE"""),32.38)</f>
        <v>32.38</v>
      </c>
      <c r="C316" s="1">
        <f>IFERROR(__xludf.DUMMYFUNCTION("""COMPUTED_VALUE"""),33.08)</f>
        <v>33.08</v>
      </c>
      <c r="D316" s="1">
        <f>IFERROR(__xludf.DUMMYFUNCTION("""COMPUTED_VALUE"""),32.14)</f>
        <v>32.14</v>
      </c>
      <c r="E316" s="1">
        <f>IFERROR(__xludf.DUMMYFUNCTION("""COMPUTED_VALUE"""),32.53)</f>
        <v>32.53</v>
      </c>
      <c r="F316" s="1">
        <f>IFERROR(__xludf.DUMMYFUNCTION("""COMPUTED_VALUE"""),4241704.0)</f>
        <v>4241704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IFERROR(__xludf.DUMMYFUNCTION("""COMPUTED_VALUE"""),32.58)</f>
        <v>32.58</v>
      </c>
      <c r="C317" s="1">
        <f>IFERROR(__xludf.DUMMYFUNCTION("""COMPUTED_VALUE"""),32.58)</f>
        <v>32.58</v>
      </c>
      <c r="D317" s="1">
        <f>IFERROR(__xludf.DUMMYFUNCTION("""COMPUTED_VALUE"""),31.68)</f>
        <v>31.68</v>
      </c>
      <c r="E317" s="1">
        <f>IFERROR(__xludf.DUMMYFUNCTION("""COMPUTED_VALUE"""),32.02)</f>
        <v>32.02</v>
      </c>
      <c r="F317" s="1">
        <f>IFERROR(__xludf.DUMMYFUNCTION("""COMPUTED_VALUE"""),2878334.0)</f>
        <v>2878334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IFERROR(__xludf.DUMMYFUNCTION("""COMPUTED_VALUE"""),31.92)</f>
        <v>31.92</v>
      </c>
      <c r="C318" s="1">
        <f>IFERROR(__xludf.DUMMYFUNCTION("""COMPUTED_VALUE"""),33.27)</f>
        <v>33.27</v>
      </c>
      <c r="D318" s="1">
        <f>IFERROR(__xludf.DUMMYFUNCTION("""COMPUTED_VALUE"""),31.83)</f>
        <v>31.83</v>
      </c>
      <c r="E318" s="1">
        <f>IFERROR(__xludf.DUMMYFUNCTION("""COMPUTED_VALUE"""),32.62)</f>
        <v>32.62</v>
      </c>
      <c r="F318" s="1">
        <f>IFERROR(__xludf.DUMMYFUNCTION("""COMPUTED_VALUE"""),3252251.0)</f>
        <v>3252251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IFERROR(__xludf.DUMMYFUNCTION("""COMPUTED_VALUE"""),32.94)</f>
        <v>32.94</v>
      </c>
      <c r="C319" s="1">
        <f>IFERROR(__xludf.DUMMYFUNCTION("""COMPUTED_VALUE"""),33.21)</f>
        <v>33.21</v>
      </c>
      <c r="D319" s="1">
        <f>IFERROR(__xludf.DUMMYFUNCTION("""COMPUTED_VALUE"""),32.24)</f>
        <v>32.24</v>
      </c>
      <c r="E319" s="1">
        <f>IFERROR(__xludf.DUMMYFUNCTION("""COMPUTED_VALUE"""),32.5)</f>
        <v>32.5</v>
      </c>
      <c r="F319" s="1">
        <f>IFERROR(__xludf.DUMMYFUNCTION("""COMPUTED_VALUE"""),1754260.0)</f>
        <v>1754260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IFERROR(__xludf.DUMMYFUNCTION("""COMPUTED_VALUE"""),32.33)</f>
        <v>32.33</v>
      </c>
      <c r="C320" s="1">
        <f>IFERROR(__xludf.DUMMYFUNCTION("""COMPUTED_VALUE"""),32.84)</f>
        <v>32.84</v>
      </c>
      <c r="D320" s="1">
        <f>IFERROR(__xludf.DUMMYFUNCTION("""COMPUTED_VALUE"""),32.16)</f>
        <v>32.16</v>
      </c>
      <c r="E320" s="1">
        <f>IFERROR(__xludf.DUMMYFUNCTION("""COMPUTED_VALUE"""),32.3)</f>
        <v>32.3</v>
      </c>
      <c r="F320" s="1">
        <f>IFERROR(__xludf.DUMMYFUNCTION("""COMPUTED_VALUE"""),1820038.0)</f>
        <v>1820038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IFERROR(__xludf.DUMMYFUNCTION("""COMPUTED_VALUE"""),32.78)</f>
        <v>32.78</v>
      </c>
      <c r="C321" s="1">
        <f>IFERROR(__xludf.DUMMYFUNCTION("""COMPUTED_VALUE"""),32.87)</f>
        <v>32.87</v>
      </c>
      <c r="D321" s="1">
        <f>IFERROR(__xludf.DUMMYFUNCTION("""COMPUTED_VALUE"""),32.11)</f>
        <v>32.11</v>
      </c>
      <c r="E321" s="1">
        <f>IFERROR(__xludf.DUMMYFUNCTION("""COMPUTED_VALUE"""),32.32)</f>
        <v>32.32</v>
      </c>
      <c r="F321" s="1">
        <f>IFERROR(__xludf.DUMMYFUNCTION("""COMPUTED_VALUE"""),1559637.0)</f>
        <v>1559637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IFERROR(__xludf.DUMMYFUNCTION("""COMPUTED_VALUE"""),32.27)</f>
        <v>32.27</v>
      </c>
      <c r="C322" s="1">
        <f>IFERROR(__xludf.DUMMYFUNCTION("""COMPUTED_VALUE"""),32.54)</f>
        <v>32.54</v>
      </c>
      <c r="D322" s="1">
        <f>IFERROR(__xludf.DUMMYFUNCTION("""COMPUTED_VALUE"""),31.73)</f>
        <v>31.73</v>
      </c>
      <c r="E322" s="1">
        <f>IFERROR(__xludf.DUMMYFUNCTION("""COMPUTED_VALUE"""),31.83)</f>
        <v>31.83</v>
      </c>
      <c r="F322" s="1">
        <f>IFERROR(__xludf.DUMMYFUNCTION("""COMPUTED_VALUE"""),1519561.0)</f>
        <v>1519561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IFERROR(__xludf.DUMMYFUNCTION("""COMPUTED_VALUE"""),31.6)</f>
        <v>31.6</v>
      </c>
      <c r="C323" s="1">
        <f>IFERROR(__xludf.DUMMYFUNCTION("""COMPUTED_VALUE"""),31.92)</f>
        <v>31.92</v>
      </c>
      <c r="D323" s="1">
        <f>IFERROR(__xludf.DUMMYFUNCTION("""COMPUTED_VALUE"""),30.95)</f>
        <v>30.95</v>
      </c>
      <c r="E323" s="1">
        <f>IFERROR(__xludf.DUMMYFUNCTION("""COMPUTED_VALUE"""),31.87)</f>
        <v>31.87</v>
      </c>
      <c r="F323" s="1">
        <f>IFERROR(__xludf.DUMMYFUNCTION("""COMPUTED_VALUE"""),3082127.0)</f>
        <v>3082127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IFERROR(__xludf.DUMMYFUNCTION("""COMPUTED_VALUE"""),31.89)</f>
        <v>31.89</v>
      </c>
      <c r="C324" s="1">
        <f>IFERROR(__xludf.DUMMYFUNCTION("""COMPUTED_VALUE"""),32.42)</f>
        <v>32.42</v>
      </c>
      <c r="D324" s="1">
        <f>IFERROR(__xludf.DUMMYFUNCTION("""COMPUTED_VALUE"""),31.81)</f>
        <v>31.81</v>
      </c>
      <c r="E324" s="1">
        <f>IFERROR(__xludf.DUMMYFUNCTION("""COMPUTED_VALUE"""),32.3)</f>
        <v>32.3</v>
      </c>
      <c r="F324" s="1">
        <f>IFERROR(__xludf.DUMMYFUNCTION("""COMPUTED_VALUE"""),1897217.0)</f>
        <v>1897217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IFERROR(__xludf.DUMMYFUNCTION("""COMPUTED_VALUE"""),31.97)</f>
        <v>31.97</v>
      </c>
      <c r="C325" s="1">
        <f>IFERROR(__xludf.DUMMYFUNCTION("""COMPUTED_VALUE"""),32.29)</f>
        <v>32.29</v>
      </c>
      <c r="D325" s="1">
        <f>IFERROR(__xludf.DUMMYFUNCTION("""COMPUTED_VALUE"""),31.66)</f>
        <v>31.66</v>
      </c>
      <c r="E325" s="1">
        <f>IFERROR(__xludf.DUMMYFUNCTION("""COMPUTED_VALUE"""),32.26)</f>
        <v>32.26</v>
      </c>
      <c r="F325" s="1">
        <f>IFERROR(__xludf.DUMMYFUNCTION("""COMPUTED_VALUE"""),2136093.0)</f>
        <v>2136093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IFERROR(__xludf.DUMMYFUNCTION("""COMPUTED_VALUE"""),32.35)</f>
        <v>32.35</v>
      </c>
      <c r="C326" s="1">
        <f>IFERROR(__xludf.DUMMYFUNCTION("""COMPUTED_VALUE"""),33.45)</f>
        <v>33.45</v>
      </c>
      <c r="D326" s="1">
        <f>IFERROR(__xludf.DUMMYFUNCTION("""COMPUTED_VALUE"""),32.28)</f>
        <v>32.28</v>
      </c>
      <c r="E326" s="1">
        <f>IFERROR(__xludf.DUMMYFUNCTION("""COMPUTED_VALUE"""),33.2)</f>
        <v>33.2</v>
      </c>
      <c r="F326" s="1">
        <f>IFERROR(__xludf.DUMMYFUNCTION("""COMPUTED_VALUE"""),3206396.0)</f>
        <v>3206396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IFERROR(__xludf.DUMMYFUNCTION("""COMPUTED_VALUE"""),32.78)</f>
        <v>32.78</v>
      </c>
      <c r="C327" s="1">
        <f>IFERROR(__xludf.DUMMYFUNCTION("""COMPUTED_VALUE"""),32.93)</f>
        <v>32.93</v>
      </c>
      <c r="D327" s="1">
        <f>IFERROR(__xludf.DUMMYFUNCTION("""COMPUTED_VALUE"""),32.41)</f>
        <v>32.41</v>
      </c>
      <c r="E327" s="1">
        <f>IFERROR(__xludf.DUMMYFUNCTION("""COMPUTED_VALUE"""),32.82)</f>
        <v>32.82</v>
      </c>
      <c r="F327" s="1">
        <f>IFERROR(__xludf.DUMMYFUNCTION("""COMPUTED_VALUE"""),1969549.0)</f>
        <v>1969549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IFERROR(__xludf.DUMMYFUNCTION("""COMPUTED_VALUE"""),32.84)</f>
        <v>32.84</v>
      </c>
      <c r="C328" s="1">
        <f>IFERROR(__xludf.DUMMYFUNCTION("""COMPUTED_VALUE"""),33.02)</f>
        <v>33.02</v>
      </c>
      <c r="D328" s="1">
        <f>IFERROR(__xludf.DUMMYFUNCTION("""COMPUTED_VALUE"""),32.25)</f>
        <v>32.25</v>
      </c>
      <c r="E328" s="1">
        <f>IFERROR(__xludf.DUMMYFUNCTION("""COMPUTED_VALUE"""),32.32)</f>
        <v>32.32</v>
      </c>
      <c r="F328" s="1">
        <f>IFERROR(__xludf.DUMMYFUNCTION("""COMPUTED_VALUE"""),1434034.0)</f>
        <v>1434034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IFERROR(__xludf.DUMMYFUNCTION("""COMPUTED_VALUE"""),32.73)</f>
        <v>32.73</v>
      </c>
      <c r="C329" s="1">
        <f>IFERROR(__xludf.DUMMYFUNCTION("""COMPUTED_VALUE"""),33.82)</f>
        <v>33.82</v>
      </c>
      <c r="D329" s="1">
        <f>IFERROR(__xludf.DUMMYFUNCTION("""COMPUTED_VALUE"""),32.73)</f>
        <v>32.73</v>
      </c>
      <c r="E329" s="1">
        <f>IFERROR(__xludf.DUMMYFUNCTION("""COMPUTED_VALUE"""),33.48)</f>
        <v>33.48</v>
      </c>
      <c r="F329" s="1">
        <f>IFERROR(__xludf.DUMMYFUNCTION("""COMPUTED_VALUE"""),2823330.0)</f>
        <v>2823330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IFERROR(__xludf.DUMMYFUNCTION("""COMPUTED_VALUE"""),33.59)</f>
        <v>33.59</v>
      </c>
      <c r="C330" s="1">
        <f>IFERROR(__xludf.DUMMYFUNCTION("""COMPUTED_VALUE"""),33.68)</f>
        <v>33.68</v>
      </c>
      <c r="D330" s="1">
        <f>IFERROR(__xludf.DUMMYFUNCTION("""COMPUTED_VALUE"""),33.34)</f>
        <v>33.34</v>
      </c>
      <c r="E330" s="1">
        <f>IFERROR(__xludf.DUMMYFUNCTION("""COMPUTED_VALUE"""),33.53)</f>
        <v>33.53</v>
      </c>
      <c r="F330" s="1">
        <f>IFERROR(__xludf.DUMMYFUNCTION("""COMPUTED_VALUE"""),1046206.0)</f>
        <v>1046206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IFERROR(__xludf.DUMMYFUNCTION("""COMPUTED_VALUE"""),33.38)</f>
        <v>33.38</v>
      </c>
      <c r="C331" s="1">
        <f>IFERROR(__xludf.DUMMYFUNCTION("""COMPUTED_VALUE"""),33.49)</f>
        <v>33.49</v>
      </c>
      <c r="D331" s="1">
        <f>IFERROR(__xludf.DUMMYFUNCTION("""COMPUTED_VALUE"""),32.99)</f>
        <v>32.99</v>
      </c>
      <c r="E331" s="1">
        <f>IFERROR(__xludf.DUMMYFUNCTION("""COMPUTED_VALUE"""),33.24)</f>
        <v>33.24</v>
      </c>
      <c r="F331" s="1">
        <f>IFERROR(__xludf.DUMMYFUNCTION("""COMPUTED_VALUE"""),1334343.0)</f>
        <v>1334343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IFERROR(__xludf.DUMMYFUNCTION("""COMPUTED_VALUE"""),33.23)</f>
        <v>33.23</v>
      </c>
      <c r="C332" s="1">
        <f>IFERROR(__xludf.DUMMYFUNCTION("""COMPUTED_VALUE"""),33.47)</f>
        <v>33.47</v>
      </c>
      <c r="D332" s="1">
        <f>IFERROR(__xludf.DUMMYFUNCTION("""COMPUTED_VALUE"""),32.92)</f>
        <v>32.92</v>
      </c>
      <c r="E332" s="1">
        <f>IFERROR(__xludf.DUMMYFUNCTION("""COMPUTED_VALUE"""),33.0)</f>
        <v>33</v>
      </c>
      <c r="F332" s="1">
        <f>IFERROR(__xludf.DUMMYFUNCTION("""COMPUTED_VALUE"""),2078093.0)</f>
        <v>2078093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IFERROR(__xludf.DUMMYFUNCTION("""COMPUTED_VALUE"""),33.01)</f>
        <v>33.01</v>
      </c>
      <c r="C333" s="1">
        <f>IFERROR(__xludf.DUMMYFUNCTION("""COMPUTED_VALUE"""),33.35)</f>
        <v>33.35</v>
      </c>
      <c r="D333" s="1">
        <f>IFERROR(__xludf.DUMMYFUNCTION("""COMPUTED_VALUE"""),32.96)</f>
        <v>32.96</v>
      </c>
      <c r="E333" s="1">
        <f>IFERROR(__xludf.DUMMYFUNCTION("""COMPUTED_VALUE"""),33.23)</f>
        <v>33.23</v>
      </c>
      <c r="F333" s="1">
        <f>IFERROR(__xludf.DUMMYFUNCTION("""COMPUTED_VALUE"""),1486328.0)</f>
        <v>1486328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IFERROR(__xludf.DUMMYFUNCTION("""COMPUTED_VALUE"""),33.1)</f>
        <v>33.1</v>
      </c>
      <c r="C334" s="1">
        <f>IFERROR(__xludf.DUMMYFUNCTION("""COMPUTED_VALUE"""),33.6)</f>
        <v>33.6</v>
      </c>
      <c r="D334" s="1">
        <f>IFERROR(__xludf.DUMMYFUNCTION("""COMPUTED_VALUE"""),33.1)</f>
        <v>33.1</v>
      </c>
      <c r="E334" s="1">
        <f>IFERROR(__xludf.DUMMYFUNCTION("""COMPUTED_VALUE"""),33.53)</f>
        <v>33.53</v>
      </c>
      <c r="F334" s="1">
        <f>IFERROR(__xludf.DUMMYFUNCTION("""COMPUTED_VALUE"""),1792801.0)</f>
        <v>1792801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IFERROR(__xludf.DUMMYFUNCTION("""COMPUTED_VALUE"""),33.49)</f>
        <v>33.49</v>
      </c>
      <c r="C335" s="1">
        <f>IFERROR(__xludf.DUMMYFUNCTION("""COMPUTED_VALUE"""),34.85)</f>
        <v>34.85</v>
      </c>
      <c r="D335" s="1">
        <f>IFERROR(__xludf.DUMMYFUNCTION("""COMPUTED_VALUE"""),33.41)</f>
        <v>33.41</v>
      </c>
      <c r="E335" s="1">
        <f>IFERROR(__xludf.DUMMYFUNCTION("""COMPUTED_VALUE"""),34.7)</f>
        <v>34.7</v>
      </c>
      <c r="F335" s="1">
        <f>IFERROR(__xludf.DUMMYFUNCTION("""COMPUTED_VALUE"""),3259931.0)</f>
        <v>3259931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IFERROR(__xludf.DUMMYFUNCTION("""COMPUTED_VALUE"""),34.8)</f>
        <v>34.8</v>
      </c>
      <c r="C336" s="1">
        <f>IFERROR(__xludf.DUMMYFUNCTION("""COMPUTED_VALUE"""),35.0)</f>
        <v>35</v>
      </c>
      <c r="D336" s="1">
        <f>IFERROR(__xludf.DUMMYFUNCTION("""COMPUTED_VALUE"""),34.16)</f>
        <v>34.16</v>
      </c>
      <c r="E336" s="1">
        <f>IFERROR(__xludf.DUMMYFUNCTION("""COMPUTED_VALUE"""),34.26)</f>
        <v>34.26</v>
      </c>
      <c r="F336" s="1">
        <f>IFERROR(__xludf.DUMMYFUNCTION("""COMPUTED_VALUE"""),1930159.0)</f>
        <v>1930159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IFERROR(__xludf.DUMMYFUNCTION("""COMPUTED_VALUE"""),34.22)</f>
        <v>34.22</v>
      </c>
      <c r="C337" s="1">
        <f>IFERROR(__xludf.DUMMYFUNCTION("""COMPUTED_VALUE"""),34.68)</f>
        <v>34.68</v>
      </c>
      <c r="D337" s="1">
        <f>IFERROR(__xludf.DUMMYFUNCTION("""COMPUTED_VALUE"""),34.03)</f>
        <v>34.03</v>
      </c>
      <c r="E337" s="1">
        <f>IFERROR(__xludf.DUMMYFUNCTION("""COMPUTED_VALUE"""),34.5)</f>
        <v>34.5</v>
      </c>
      <c r="F337" s="1">
        <f>IFERROR(__xludf.DUMMYFUNCTION("""COMPUTED_VALUE"""),1364243.0)</f>
        <v>1364243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IFERROR(__xludf.DUMMYFUNCTION("""COMPUTED_VALUE"""),34.41)</f>
        <v>34.41</v>
      </c>
      <c r="C338" s="1">
        <f>IFERROR(__xludf.DUMMYFUNCTION("""COMPUTED_VALUE"""),34.74)</f>
        <v>34.74</v>
      </c>
      <c r="D338" s="1">
        <f>IFERROR(__xludf.DUMMYFUNCTION("""COMPUTED_VALUE"""),34.03)</f>
        <v>34.03</v>
      </c>
      <c r="E338" s="1">
        <f>IFERROR(__xludf.DUMMYFUNCTION("""COMPUTED_VALUE"""),34.49)</f>
        <v>34.49</v>
      </c>
      <c r="F338" s="1">
        <f>IFERROR(__xludf.DUMMYFUNCTION("""COMPUTED_VALUE"""),1690401.0)</f>
        <v>1690401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IFERROR(__xludf.DUMMYFUNCTION("""COMPUTED_VALUE"""),34.33)</f>
        <v>34.33</v>
      </c>
      <c r="C339" s="1">
        <f>IFERROR(__xludf.DUMMYFUNCTION("""COMPUTED_VALUE"""),34.9)</f>
        <v>34.9</v>
      </c>
      <c r="D339" s="1">
        <f>IFERROR(__xludf.DUMMYFUNCTION("""COMPUTED_VALUE"""),33.81)</f>
        <v>33.81</v>
      </c>
      <c r="E339" s="1">
        <f>IFERROR(__xludf.DUMMYFUNCTION("""COMPUTED_VALUE"""),33.85)</f>
        <v>33.85</v>
      </c>
      <c r="F339" s="1">
        <f>IFERROR(__xludf.DUMMYFUNCTION("""COMPUTED_VALUE"""),2762332.0)</f>
        <v>2762332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IFERROR(__xludf.DUMMYFUNCTION("""COMPUTED_VALUE"""),33.0)</f>
        <v>33</v>
      </c>
      <c r="C340" s="1">
        <f>IFERROR(__xludf.DUMMYFUNCTION("""COMPUTED_VALUE"""),33.13)</f>
        <v>33.13</v>
      </c>
      <c r="D340" s="1">
        <f>IFERROR(__xludf.DUMMYFUNCTION("""COMPUTED_VALUE"""),31.55)</f>
        <v>31.55</v>
      </c>
      <c r="E340" s="1">
        <f>IFERROR(__xludf.DUMMYFUNCTION("""COMPUTED_VALUE"""),31.81)</f>
        <v>31.81</v>
      </c>
      <c r="F340" s="1">
        <f>IFERROR(__xludf.DUMMYFUNCTION("""COMPUTED_VALUE"""),8372281.0)</f>
        <v>8372281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IFERROR(__xludf.DUMMYFUNCTION("""COMPUTED_VALUE"""),31.77)</f>
        <v>31.77</v>
      </c>
      <c r="C341" s="1">
        <f>IFERROR(__xludf.DUMMYFUNCTION("""COMPUTED_VALUE"""),32.17)</f>
        <v>32.17</v>
      </c>
      <c r="D341" s="1">
        <f>IFERROR(__xludf.DUMMYFUNCTION("""COMPUTED_VALUE"""),31.54)</f>
        <v>31.54</v>
      </c>
      <c r="E341" s="1">
        <f>IFERROR(__xludf.DUMMYFUNCTION("""COMPUTED_VALUE"""),31.79)</f>
        <v>31.79</v>
      </c>
      <c r="F341" s="1">
        <f>IFERROR(__xludf.DUMMYFUNCTION("""COMPUTED_VALUE"""),2410856.0)</f>
        <v>2410856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IFERROR(__xludf.DUMMYFUNCTION("""COMPUTED_VALUE"""),31.98)</f>
        <v>31.98</v>
      </c>
      <c r="C342" s="1">
        <f>IFERROR(__xludf.DUMMYFUNCTION("""COMPUTED_VALUE"""),32.21)</f>
        <v>32.21</v>
      </c>
      <c r="D342" s="1">
        <f>IFERROR(__xludf.DUMMYFUNCTION("""COMPUTED_VALUE"""),31.66)</f>
        <v>31.66</v>
      </c>
      <c r="E342" s="1">
        <f>IFERROR(__xludf.DUMMYFUNCTION("""COMPUTED_VALUE"""),31.92)</f>
        <v>31.92</v>
      </c>
      <c r="F342" s="1">
        <f>IFERROR(__xludf.DUMMYFUNCTION("""COMPUTED_VALUE"""),1837910.0)</f>
        <v>1837910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IFERROR(__xludf.DUMMYFUNCTION("""COMPUTED_VALUE"""),31.87)</f>
        <v>31.87</v>
      </c>
      <c r="C343" s="1">
        <f>IFERROR(__xludf.DUMMYFUNCTION("""COMPUTED_VALUE"""),32.0)</f>
        <v>32</v>
      </c>
      <c r="D343" s="1">
        <f>IFERROR(__xludf.DUMMYFUNCTION("""COMPUTED_VALUE"""),31.23)</f>
        <v>31.23</v>
      </c>
      <c r="E343" s="1">
        <f>IFERROR(__xludf.DUMMYFUNCTION("""COMPUTED_VALUE"""),31.62)</f>
        <v>31.62</v>
      </c>
      <c r="F343" s="1">
        <f>IFERROR(__xludf.DUMMYFUNCTION("""COMPUTED_VALUE"""),2695187.0)</f>
        <v>2695187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IFERROR(__xludf.DUMMYFUNCTION("""COMPUTED_VALUE"""),31.37)</f>
        <v>31.37</v>
      </c>
      <c r="C344" s="1">
        <f>IFERROR(__xludf.DUMMYFUNCTION("""COMPUTED_VALUE"""),31.69)</f>
        <v>31.69</v>
      </c>
      <c r="D344" s="1">
        <f>IFERROR(__xludf.DUMMYFUNCTION("""COMPUTED_VALUE"""),31.12)</f>
        <v>31.12</v>
      </c>
      <c r="E344" s="1">
        <f>IFERROR(__xludf.DUMMYFUNCTION("""COMPUTED_VALUE"""),31.36)</f>
        <v>31.36</v>
      </c>
      <c r="F344" s="1">
        <f>IFERROR(__xludf.DUMMYFUNCTION("""COMPUTED_VALUE"""),2734668.0)</f>
        <v>2734668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IFERROR(__xludf.DUMMYFUNCTION("""COMPUTED_VALUE"""),31.42)</f>
        <v>31.42</v>
      </c>
      <c r="C345" s="1">
        <f>IFERROR(__xludf.DUMMYFUNCTION("""COMPUTED_VALUE"""),31.51)</f>
        <v>31.51</v>
      </c>
      <c r="D345" s="1">
        <f>IFERROR(__xludf.DUMMYFUNCTION("""COMPUTED_VALUE"""),30.71)</f>
        <v>30.71</v>
      </c>
      <c r="E345" s="1">
        <f>IFERROR(__xludf.DUMMYFUNCTION("""COMPUTED_VALUE"""),30.93)</f>
        <v>30.93</v>
      </c>
      <c r="F345" s="1">
        <f>IFERROR(__xludf.DUMMYFUNCTION("""COMPUTED_VALUE"""),2913759.0)</f>
        <v>2913759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IFERROR(__xludf.DUMMYFUNCTION("""COMPUTED_VALUE"""),30.85)</f>
        <v>30.85</v>
      </c>
      <c r="C346" s="1">
        <f>IFERROR(__xludf.DUMMYFUNCTION("""COMPUTED_VALUE"""),30.85)</f>
        <v>30.85</v>
      </c>
      <c r="D346" s="1">
        <f>IFERROR(__xludf.DUMMYFUNCTION("""COMPUTED_VALUE"""),30.4)</f>
        <v>30.4</v>
      </c>
      <c r="E346" s="1">
        <f>IFERROR(__xludf.DUMMYFUNCTION("""COMPUTED_VALUE"""),30.63)</f>
        <v>30.63</v>
      </c>
      <c r="F346" s="1">
        <f>IFERROR(__xludf.DUMMYFUNCTION("""COMPUTED_VALUE"""),2309058.0)</f>
        <v>2309058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IFERROR(__xludf.DUMMYFUNCTION("""COMPUTED_VALUE"""),30.51)</f>
        <v>30.51</v>
      </c>
      <c r="C347" s="1">
        <f>IFERROR(__xludf.DUMMYFUNCTION("""COMPUTED_VALUE"""),30.61)</f>
        <v>30.61</v>
      </c>
      <c r="D347" s="1">
        <f>IFERROR(__xludf.DUMMYFUNCTION("""COMPUTED_VALUE"""),30.04)</f>
        <v>30.04</v>
      </c>
      <c r="E347" s="1">
        <f>IFERROR(__xludf.DUMMYFUNCTION("""COMPUTED_VALUE"""),30.2)</f>
        <v>30.2</v>
      </c>
      <c r="F347" s="1">
        <f>IFERROR(__xludf.DUMMYFUNCTION("""COMPUTED_VALUE"""),2033454.0)</f>
        <v>2033454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IFERROR(__xludf.DUMMYFUNCTION("""COMPUTED_VALUE"""),30.3)</f>
        <v>30.3</v>
      </c>
      <c r="C348" s="1">
        <f>IFERROR(__xludf.DUMMYFUNCTION("""COMPUTED_VALUE"""),30.36)</f>
        <v>30.36</v>
      </c>
      <c r="D348" s="1">
        <f>IFERROR(__xludf.DUMMYFUNCTION("""COMPUTED_VALUE"""),30.13)</f>
        <v>30.13</v>
      </c>
      <c r="E348" s="1">
        <f>IFERROR(__xludf.DUMMYFUNCTION("""COMPUTED_VALUE"""),30.2)</f>
        <v>30.2</v>
      </c>
      <c r="F348" s="1">
        <f>IFERROR(__xludf.DUMMYFUNCTION("""COMPUTED_VALUE"""),2606411.0)</f>
        <v>2606411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IFERROR(__xludf.DUMMYFUNCTION("""COMPUTED_VALUE"""),30.2)</f>
        <v>30.2</v>
      </c>
      <c r="C349" s="1">
        <f>IFERROR(__xludf.DUMMYFUNCTION("""COMPUTED_VALUE"""),30.41)</f>
        <v>30.41</v>
      </c>
      <c r="D349" s="1">
        <f>IFERROR(__xludf.DUMMYFUNCTION("""COMPUTED_VALUE"""),29.8)</f>
        <v>29.8</v>
      </c>
      <c r="E349" s="1">
        <f>IFERROR(__xludf.DUMMYFUNCTION("""COMPUTED_VALUE"""),29.96)</f>
        <v>29.96</v>
      </c>
      <c r="F349" s="1">
        <f>IFERROR(__xludf.DUMMYFUNCTION("""COMPUTED_VALUE"""),2758781.0)</f>
        <v>2758781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IFERROR(__xludf.DUMMYFUNCTION("""COMPUTED_VALUE"""),29.86)</f>
        <v>29.86</v>
      </c>
      <c r="C350" s="1">
        <f>IFERROR(__xludf.DUMMYFUNCTION("""COMPUTED_VALUE"""),29.91)</f>
        <v>29.91</v>
      </c>
      <c r="D350" s="1">
        <f>IFERROR(__xludf.DUMMYFUNCTION("""COMPUTED_VALUE"""),29.36)</f>
        <v>29.36</v>
      </c>
      <c r="E350" s="1">
        <f>IFERROR(__xludf.DUMMYFUNCTION("""COMPUTED_VALUE"""),29.39)</f>
        <v>29.39</v>
      </c>
      <c r="F350" s="1">
        <f>IFERROR(__xludf.DUMMYFUNCTION("""COMPUTED_VALUE"""),2386510.0)</f>
        <v>2386510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IFERROR(__xludf.DUMMYFUNCTION("""COMPUTED_VALUE"""),28.97)</f>
        <v>28.97</v>
      </c>
      <c r="C351" s="1">
        <f>IFERROR(__xludf.DUMMYFUNCTION("""COMPUTED_VALUE"""),29.19)</f>
        <v>29.19</v>
      </c>
      <c r="D351" s="1">
        <f>IFERROR(__xludf.DUMMYFUNCTION("""COMPUTED_VALUE"""),28.75)</f>
        <v>28.75</v>
      </c>
      <c r="E351" s="1">
        <f>IFERROR(__xludf.DUMMYFUNCTION("""COMPUTED_VALUE"""),28.82)</f>
        <v>28.82</v>
      </c>
      <c r="F351" s="1">
        <f>IFERROR(__xludf.DUMMYFUNCTION("""COMPUTED_VALUE"""),3287653.0)</f>
        <v>3287653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IFERROR(__xludf.DUMMYFUNCTION("""COMPUTED_VALUE"""),29.0)</f>
        <v>29</v>
      </c>
      <c r="C352" s="1">
        <f>IFERROR(__xludf.DUMMYFUNCTION("""COMPUTED_VALUE"""),29.08)</f>
        <v>29.08</v>
      </c>
      <c r="D352" s="1">
        <f>IFERROR(__xludf.DUMMYFUNCTION("""COMPUTED_VALUE"""),28.82)</f>
        <v>28.82</v>
      </c>
      <c r="E352" s="1">
        <f>IFERROR(__xludf.DUMMYFUNCTION("""COMPUTED_VALUE"""),28.83)</f>
        <v>28.83</v>
      </c>
      <c r="F352" s="1">
        <f>IFERROR(__xludf.DUMMYFUNCTION("""COMPUTED_VALUE"""),2901416.0)</f>
        <v>2901416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IFERROR(__xludf.DUMMYFUNCTION("""COMPUTED_VALUE"""),28.62)</f>
        <v>28.62</v>
      </c>
      <c r="C353" s="1">
        <f>IFERROR(__xludf.DUMMYFUNCTION("""COMPUTED_VALUE"""),29.0)</f>
        <v>29</v>
      </c>
      <c r="D353" s="1">
        <f>IFERROR(__xludf.DUMMYFUNCTION("""COMPUTED_VALUE"""),28.39)</f>
        <v>28.39</v>
      </c>
      <c r="E353" s="1">
        <f>IFERROR(__xludf.DUMMYFUNCTION("""COMPUTED_VALUE"""),28.85)</f>
        <v>28.85</v>
      </c>
      <c r="F353" s="1">
        <f>IFERROR(__xludf.DUMMYFUNCTION("""COMPUTED_VALUE"""),2282668.0)</f>
        <v>2282668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IFERROR(__xludf.DUMMYFUNCTION("""COMPUTED_VALUE"""),28.82)</f>
        <v>28.82</v>
      </c>
      <c r="C354" s="1">
        <f>IFERROR(__xludf.DUMMYFUNCTION("""COMPUTED_VALUE"""),29.34)</f>
        <v>29.34</v>
      </c>
      <c r="D354" s="1">
        <f>IFERROR(__xludf.DUMMYFUNCTION("""COMPUTED_VALUE"""),28.62)</f>
        <v>28.62</v>
      </c>
      <c r="E354" s="1">
        <f>IFERROR(__xludf.DUMMYFUNCTION("""COMPUTED_VALUE"""),29.19)</f>
        <v>29.19</v>
      </c>
      <c r="F354" s="1">
        <f>IFERROR(__xludf.DUMMYFUNCTION("""COMPUTED_VALUE"""),2232158.0)</f>
        <v>2232158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IFERROR(__xludf.DUMMYFUNCTION("""COMPUTED_VALUE"""),29.27)</f>
        <v>29.27</v>
      </c>
      <c r="C355" s="1">
        <f>IFERROR(__xludf.DUMMYFUNCTION("""COMPUTED_VALUE"""),29.62)</f>
        <v>29.62</v>
      </c>
      <c r="D355" s="1">
        <f>IFERROR(__xludf.DUMMYFUNCTION("""COMPUTED_VALUE"""),29.21)</f>
        <v>29.21</v>
      </c>
      <c r="E355" s="1">
        <f>IFERROR(__xludf.DUMMYFUNCTION("""COMPUTED_VALUE"""),29.46)</f>
        <v>29.46</v>
      </c>
      <c r="F355" s="1">
        <f>IFERROR(__xludf.DUMMYFUNCTION("""COMPUTED_VALUE"""),1461349.0)</f>
        <v>1461349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IFERROR(__xludf.DUMMYFUNCTION("""COMPUTED_VALUE"""),29.7)</f>
        <v>29.7</v>
      </c>
      <c r="C356" s="1">
        <f>IFERROR(__xludf.DUMMYFUNCTION("""COMPUTED_VALUE"""),29.7)</f>
        <v>29.7</v>
      </c>
      <c r="D356" s="1">
        <f>IFERROR(__xludf.DUMMYFUNCTION("""COMPUTED_VALUE"""),29.39)</f>
        <v>29.39</v>
      </c>
      <c r="E356" s="1">
        <f>IFERROR(__xludf.DUMMYFUNCTION("""COMPUTED_VALUE"""),29.66)</f>
        <v>29.66</v>
      </c>
      <c r="F356" s="1">
        <f>IFERROR(__xludf.DUMMYFUNCTION("""COMPUTED_VALUE"""),2546078.0)</f>
        <v>2546078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IFERROR(__xludf.DUMMYFUNCTION("""COMPUTED_VALUE"""),29.48)</f>
        <v>29.48</v>
      </c>
      <c r="C357" s="1">
        <f>IFERROR(__xludf.DUMMYFUNCTION("""COMPUTED_VALUE"""),29.63)</f>
        <v>29.63</v>
      </c>
      <c r="D357" s="1">
        <f>IFERROR(__xludf.DUMMYFUNCTION("""COMPUTED_VALUE"""),28.74)</f>
        <v>28.74</v>
      </c>
      <c r="E357" s="1">
        <f>IFERROR(__xludf.DUMMYFUNCTION("""COMPUTED_VALUE"""),28.75)</f>
        <v>28.75</v>
      </c>
      <c r="F357" s="1">
        <f>IFERROR(__xludf.DUMMYFUNCTION("""COMPUTED_VALUE"""),2448526.0)</f>
        <v>2448526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IFERROR(__xludf.DUMMYFUNCTION("""COMPUTED_VALUE"""),28.69)</f>
        <v>28.69</v>
      </c>
      <c r="C358" s="1">
        <f>IFERROR(__xludf.DUMMYFUNCTION("""COMPUTED_VALUE"""),28.82)</f>
        <v>28.82</v>
      </c>
      <c r="D358" s="1">
        <f>IFERROR(__xludf.DUMMYFUNCTION("""COMPUTED_VALUE"""),28.01)</f>
        <v>28.01</v>
      </c>
      <c r="E358" s="1">
        <f>IFERROR(__xludf.DUMMYFUNCTION("""COMPUTED_VALUE"""),28.06)</f>
        <v>28.06</v>
      </c>
      <c r="F358" s="1">
        <f>IFERROR(__xludf.DUMMYFUNCTION("""COMPUTED_VALUE"""),2953310.0)</f>
        <v>2953310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IFERROR(__xludf.DUMMYFUNCTION("""COMPUTED_VALUE"""),28.04)</f>
        <v>28.04</v>
      </c>
      <c r="C359" s="1">
        <f>IFERROR(__xludf.DUMMYFUNCTION("""COMPUTED_VALUE"""),28.08)</f>
        <v>28.08</v>
      </c>
      <c r="D359" s="1">
        <f>IFERROR(__xludf.DUMMYFUNCTION("""COMPUTED_VALUE"""),27.5)</f>
        <v>27.5</v>
      </c>
      <c r="E359" s="1">
        <f>IFERROR(__xludf.DUMMYFUNCTION("""COMPUTED_VALUE"""),27.94)</f>
        <v>27.94</v>
      </c>
      <c r="F359" s="1">
        <f>IFERROR(__xludf.DUMMYFUNCTION("""COMPUTED_VALUE"""),2758249.0)</f>
        <v>2758249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IFERROR(__xludf.DUMMYFUNCTION("""COMPUTED_VALUE"""),27.78)</f>
        <v>27.78</v>
      </c>
      <c r="C360" s="1">
        <f>IFERROR(__xludf.DUMMYFUNCTION("""COMPUTED_VALUE"""),27.87)</f>
        <v>27.87</v>
      </c>
      <c r="D360" s="1">
        <f>IFERROR(__xludf.DUMMYFUNCTION("""COMPUTED_VALUE"""),27.39)</f>
        <v>27.39</v>
      </c>
      <c r="E360" s="1">
        <f>IFERROR(__xludf.DUMMYFUNCTION("""COMPUTED_VALUE"""),27.41)</f>
        <v>27.41</v>
      </c>
      <c r="F360" s="1">
        <f>IFERROR(__xludf.DUMMYFUNCTION("""COMPUTED_VALUE"""),3002508.0)</f>
        <v>3002508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IFERROR(__xludf.DUMMYFUNCTION("""COMPUTED_VALUE"""),27.57)</f>
        <v>27.57</v>
      </c>
      <c r="C361" s="1">
        <f>IFERROR(__xludf.DUMMYFUNCTION("""COMPUTED_VALUE"""),27.75)</f>
        <v>27.75</v>
      </c>
      <c r="D361" s="1">
        <f>IFERROR(__xludf.DUMMYFUNCTION("""COMPUTED_VALUE"""),27.36)</f>
        <v>27.36</v>
      </c>
      <c r="E361" s="1">
        <f>IFERROR(__xludf.DUMMYFUNCTION("""COMPUTED_VALUE"""),27.37)</f>
        <v>27.37</v>
      </c>
      <c r="F361" s="1">
        <f>IFERROR(__xludf.DUMMYFUNCTION("""COMPUTED_VALUE"""),1581854.0)</f>
        <v>1581854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IFERROR(__xludf.DUMMYFUNCTION("""COMPUTED_VALUE"""),27.27)</f>
        <v>27.27</v>
      </c>
      <c r="C362" s="1">
        <f>IFERROR(__xludf.DUMMYFUNCTION("""COMPUTED_VALUE"""),27.27)</f>
        <v>27.27</v>
      </c>
      <c r="D362" s="1">
        <f>IFERROR(__xludf.DUMMYFUNCTION("""COMPUTED_VALUE"""),26.48)</f>
        <v>26.48</v>
      </c>
      <c r="E362" s="1">
        <f>IFERROR(__xludf.DUMMYFUNCTION("""COMPUTED_VALUE"""),26.62)</f>
        <v>26.62</v>
      </c>
      <c r="F362" s="1">
        <f>IFERROR(__xludf.DUMMYFUNCTION("""COMPUTED_VALUE"""),3576892.0)</f>
        <v>3576892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IFERROR(__xludf.DUMMYFUNCTION("""COMPUTED_VALUE"""),26.67)</f>
        <v>26.67</v>
      </c>
      <c r="C363" s="1">
        <f>IFERROR(__xludf.DUMMYFUNCTION("""COMPUTED_VALUE"""),27.23)</f>
        <v>27.23</v>
      </c>
      <c r="D363" s="1">
        <f>IFERROR(__xludf.DUMMYFUNCTION("""COMPUTED_VALUE"""),26.52)</f>
        <v>26.52</v>
      </c>
      <c r="E363" s="1">
        <f>IFERROR(__xludf.DUMMYFUNCTION("""COMPUTED_VALUE"""),27.09)</f>
        <v>27.09</v>
      </c>
      <c r="F363" s="1">
        <f>IFERROR(__xludf.DUMMYFUNCTION("""COMPUTED_VALUE"""),2014735.0)</f>
        <v>2014735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IFERROR(__xludf.DUMMYFUNCTION("""COMPUTED_VALUE"""),26.98)</f>
        <v>26.98</v>
      </c>
      <c r="C364" s="1">
        <f>IFERROR(__xludf.DUMMYFUNCTION("""COMPUTED_VALUE"""),27.03)</f>
        <v>27.03</v>
      </c>
      <c r="D364" s="1">
        <f>IFERROR(__xludf.DUMMYFUNCTION("""COMPUTED_VALUE"""),26.37)</f>
        <v>26.37</v>
      </c>
      <c r="E364" s="1">
        <f>IFERROR(__xludf.DUMMYFUNCTION("""COMPUTED_VALUE"""),26.84)</f>
        <v>26.84</v>
      </c>
      <c r="F364" s="1">
        <f>IFERROR(__xludf.DUMMYFUNCTION("""COMPUTED_VALUE"""),2746025.0)</f>
        <v>2746025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IFERROR(__xludf.DUMMYFUNCTION("""COMPUTED_VALUE"""),26.91)</f>
        <v>26.91</v>
      </c>
      <c r="C365" s="1">
        <f>IFERROR(__xludf.DUMMYFUNCTION("""COMPUTED_VALUE"""),27.47)</f>
        <v>27.47</v>
      </c>
      <c r="D365" s="1">
        <f>IFERROR(__xludf.DUMMYFUNCTION("""COMPUTED_VALUE"""),26.82)</f>
        <v>26.82</v>
      </c>
      <c r="E365" s="1">
        <f>IFERROR(__xludf.DUMMYFUNCTION("""COMPUTED_VALUE"""),27.01)</f>
        <v>27.01</v>
      </c>
      <c r="F365" s="1">
        <f>IFERROR(__xludf.DUMMYFUNCTION("""COMPUTED_VALUE"""),2449370.0)</f>
        <v>2449370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IFERROR(__xludf.DUMMYFUNCTION("""COMPUTED_VALUE"""),27.31)</f>
        <v>27.31</v>
      </c>
      <c r="C366" s="1">
        <f>IFERROR(__xludf.DUMMYFUNCTION("""COMPUTED_VALUE"""),28.55)</f>
        <v>28.55</v>
      </c>
      <c r="D366" s="1">
        <f>IFERROR(__xludf.DUMMYFUNCTION("""COMPUTED_VALUE"""),27.26)</f>
        <v>27.26</v>
      </c>
      <c r="E366" s="1">
        <f>IFERROR(__xludf.DUMMYFUNCTION("""COMPUTED_VALUE"""),28.43)</f>
        <v>28.43</v>
      </c>
      <c r="F366" s="1">
        <f>IFERROR(__xludf.DUMMYFUNCTION("""COMPUTED_VALUE"""),3177485.0)</f>
        <v>3177485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IFERROR(__xludf.DUMMYFUNCTION("""COMPUTED_VALUE"""),28.12)</f>
        <v>28.12</v>
      </c>
      <c r="C367" s="1">
        <f>IFERROR(__xludf.DUMMYFUNCTION("""COMPUTED_VALUE"""),28.39)</f>
        <v>28.39</v>
      </c>
      <c r="D367" s="1">
        <f>IFERROR(__xludf.DUMMYFUNCTION("""COMPUTED_VALUE"""),27.85)</f>
        <v>27.85</v>
      </c>
      <c r="E367" s="1">
        <f>IFERROR(__xludf.DUMMYFUNCTION("""COMPUTED_VALUE"""),27.97)</f>
        <v>27.97</v>
      </c>
      <c r="F367" s="1">
        <f>IFERROR(__xludf.DUMMYFUNCTION("""COMPUTED_VALUE"""),2236293.0)</f>
        <v>2236293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IFERROR(__xludf.DUMMYFUNCTION("""COMPUTED_VALUE"""),27.94)</f>
        <v>27.94</v>
      </c>
      <c r="C368" s="1">
        <f>IFERROR(__xludf.DUMMYFUNCTION("""COMPUTED_VALUE"""),28.79)</f>
        <v>28.79</v>
      </c>
      <c r="D368" s="1">
        <f>IFERROR(__xludf.DUMMYFUNCTION("""COMPUTED_VALUE"""),27.93)</f>
        <v>27.93</v>
      </c>
      <c r="E368" s="1">
        <f>IFERROR(__xludf.DUMMYFUNCTION("""COMPUTED_VALUE"""),28.76)</f>
        <v>28.76</v>
      </c>
      <c r="F368" s="1">
        <f>IFERROR(__xludf.DUMMYFUNCTION("""COMPUTED_VALUE"""),3734603.0)</f>
        <v>3734603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IFERROR(__xludf.DUMMYFUNCTION("""COMPUTED_VALUE"""),29.02)</f>
        <v>29.02</v>
      </c>
      <c r="C369" s="1">
        <f>IFERROR(__xludf.DUMMYFUNCTION("""COMPUTED_VALUE"""),29.57)</f>
        <v>29.57</v>
      </c>
      <c r="D369" s="1">
        <f>IFERROR(__xludf.DUMMYFUNCTION("""COMPUTED_VALUE"""),28.96)</f>
        <v>28.96</v>
      </c>
      <c r="E369" s="1">
        <f>IFERROR(__xludf.DUMMYFUNCTION("""COMPUTED_VALUE"""),29.25)</f>
        <v>29.25</v>
      </c>
      <c r="F369" s="1">
        <f>IFERROR(__xludf.DUMMYFUNCTION("""COMPUTED_VALUE"""),4073655.0)</f>
        <v>4073655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IFERROR(__xludf.DUMMYFUNCTION("""COMPUTED_VALUE"""),29.01)</f>
        <v>29.01</v>
      </c>
      <c r="C370" s="1">
        <f>IFERROR(__xludf.DUMMYFUNCTION("""COMPUTED_VALUE"""),29.5)</f>
        <v>29.5</v>
      </c>
      <c r="D370" s="1">
        <f>IFERROR(__xludf.DUMMYFUNCTION("""COMPUTED_VALUE"""),28.75)</f>
        <v>28.75</v>
      </c>
      <c r="E370" s="1">
        <f>IFERROR(__xludf.DUMMYFUNCTION("""COMPUTED_VALUE"""),29.28)</f>
        <v>29.28</v>
      </c>
      <c r="F370" s="1">
        <f>IFERROR(__xludf.DUMMYFUNCTION("""COMPUTED_VALUE"""),3002841.0)</f>
        <v>3002841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IFERROR(__xludf.DUMMYFUNCTION("""COMPUTED_VALUE"""),29.29)</f>
        <v>29.29</v>
      </c>
      <c r="C371" s="1">
        <f>IFERROR(__xludf.DUMMYFUNCTION("""COMPUTED_VALUE"""),30.6)</f>
        <v>30.6</v>
      </c>
      <c r="D371" s="1">
        <f>IFERROR(__xludf.DUMMYFUNCTION("""COMPUTED_VALUE"""),28.99)</f>
        <v>28.99</v>
      </c>
      <c r="E371" s="1">
        <f>IFERROR(__xludf.DUMMYFUNCTION("""COMPUTED_VALUE"""),30.52)</f>
        <v>30.52</v>
      </c>
      <c r="F371" s="1">
        <f>IFERROR(__xludf.DUMMYFUNCTION("""COMPUTED_VALUE"""),4837145.0)</f>
        <v>4837145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IFERROR(__xludf.DUMMYFUNCTION("""COMPUTED_VALUE"""),33.15)</f>
        <v>33.15</v>
      </c>
      <c r="C372" s="1">
        <f>IFERROR(__xludf.DUMMYFUNCTION("""COMPUTED_VALUE"""),33.49)</f>
        <v>33.49</v>
      </c>
      <c r="D372" s="1">
        <f>IFERROR(__xludf.DUMMYFUNCTION("""COMPUTED_VALUE"""),32.24)</f>
        <v>32.24</v>
      </c>
      <c r="E372" s="1">
        <f>IFERROR(__xludf.DUMMYFUNCTION("""COMPUTED_VALUE"""),32.66)</f>
        <v>32.66</v>
      </c>
      <c r="F372" s="1">
        <f>IFERROR(__xludf.DUMMYFUNCTION("""COMPUTED_VALUE"""),9106036.0)</f>
        <v>9106036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IFERROR(__xludf.DUMMYFUNCTION("""COMPUTED_VALUE"""),32.39)</f>
        <v>32.39</v>
      </c>
      <c r="C373" s="1">
        <f>IFERROR(__xludf.DUMMYFUNCTION("""COMPUTED_VALUE"""),32.99)</f>
        <v>32.99</v>
      </c>
      <c r="D373" s="1">
        <f>IFERROR(__xludf.DUMMYFUNCTION("""COMPUTED_VALUE"""),31.87)</f>
        <v>31.87</v>
      </c>
      <c r="E373" s="1">
        <f>IFERROR(__xludf.DUMMYFUNCTION("""COMPUTED_VALUE"""),32.55)</f>
        <v>32.55</v>
      </c>
      <c r="F373" s="1">
        <f>IFERROR(__xludf.DUMMYFUNCTION("""COMPUTED_VALUE"""),4574163.0)</f>
        <v>4574163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IFERROR(__xludf.DUMMYFUNCTION("""COMPUTED_VALUE"""),32.55)</f>
        <v>32.55</v>
      </c>
      <c r="C374" s="1">
        <f>IFERROR(__xludf.DUMMYFUNCTION("""COMPUTED_VALUE"""),32.61)</f>
        <v>32.61</v>
      </c>
      <c r="D374" s="1">
        <f>IFERROR(__xludf.DUMMYFUNCTION("""COMPUTED_VALUE"""),31.74)</f>
        <v>31.74</v>
      </c>
      <c r="E374" s="1">
        <f>IFERROR(__xludf.DUMMYFUNCTION("""COMPUTED_VALUE"""),31.93)</f>
        <v>31.93</v>
      </c>
      <c r="F374" s="1">
        <f>IFERROR(__xludf.DUMMYFUNCTION("""COMPUTED_VALUE"""),4570441.0)</f>
        <v>4570441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IFERROR(__xludf.DUMMYFUNCTION("""COMPUTED_VALUE"""),31.53)</f>
        <v>31.53</v>
      </c>
      <c r="C375" s="1">
        <f>IFERROR(__xludf.DUMMYFUNCTION("""COMPUTED_VALUE"""),32.51)</f>
        <v>32.51</v>
      </c>
      <c r="D375" s="1">
        <f>IFERROR(__xludf.DUMMYFUNCTION("""COMPUTED_VALUE"""),31.14)</f>
        <v>31.14</v>
      </c>
      <c r="E375" s="1">
        <f>IFERROR(__xludf.DUMMYFUNCTION("""COMPUTED_VALUE"""),32.19)</f>
        <v>32.19</v>
      </c>
      <c r="F375" s="1">
        <f>IFERROR(__xludf.DUMMYFUNCTION("""COMPUTED_VALUE"""),2919846.0)</f>
        <v>2919846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IFERROR(__xludf.DUMMYFUNCTION("""COMPUTED_VALUE"""),32.3)</f>
        <v>32.3</v>
      </c>
      <c r="C376" s="1">
        <f>IFERROR(__xludf.DUMMYFUNCTION("""COMPUTED_VALUE"""),33.26)</f>
        <v>33.26</v>
      </c>
      <c r="D376" s="1">
        <f>IFERROR(__xludf.DUMMYFUNCTION("""COMPUTED_VALUE"""),32.3)</f>
        <v>32.3</v>
      </c>
      <c r="E376" s="1">
        <f>IFERROR(__xludf.DUMMYFUNCTION("""COMPUTED_VALUE"""),32.8)</f>
        <v>32.8</v>
      </c>
      <c r="F376" s="1">
        <f>IFERROR(__xludf.DUMMYFUNCTION("""COMPUTED_VALUE"""),2968125.0)</f>
        <v>2968125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IFERROR(__xludf.DUMMYFUNCTION("""COMPUTED_VALUE"""),32.99)</f>
        <v>32.99</v>
      </c>
      <c r="C377" s="1">
        <f>IFERROR(__xludf.DUMMYFUNCTION("""COMPUTED_VALUE"""),33.62)</f>
        <v>33.62</v>
      </c>
      <c r="D377" s="1">
        <f>IFERROR(__xludf.DUMMYFUNCTION("""COMPUTED_VALUE"""),32.82)</f>
        <v>32.82</v>
      </c>
      <c r="E377" s="1">
        <f>IFERROR(__xludf.DUMMYFUNCTION("""COMPUTED_VALUE"""),32.82)</f>
        <v>32.82</v>
      </c>
      <c r="F377" s="1">
        <f>IFERROR(__xludf.DUMMYFUNCTION("""COMPUTED_VALUE"""),2957798.0)</f>
        <v>2957798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IFERROR(__xludf.DUMMYFUNCTION("""COMPUTED_VALUE"""),32.97)</f>
        <v>32.97</v>
      </c>
      <c r="C378" s="1">
        <f>IFERROR(__xludf.DUMMYFUNCTION("""COMPUTED_VALUE"""),33.33)</f>
        <v>33.33</v>
      </c>
      <c r="D378" s="1">
        <f>IFERROR(__xludf.DUMMYFUNCTION("""COMPUTED_VALUE"""),32.85)</f>
        <v>32.85</v>
      </c>
      <c r="E378" s="1">
        <f>IFERROR(__xludf.DUMMYFUNCTION("""COMPUTED_VALUE"""),33.07)</f>
        <v>33.07</v>
      </c>
      <c r="F378" s="1">
        <f>IFERROR(__xludf.DUMMYFUNCTION("""COMPUTED_VALUE"""),2110286.0)</f>
        <v>2110286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IFERROR(__xludf.DUMMYFUNCTION("""COMPUTED_VALUE"""),33.02)</f>
        <v>33.02</v>
      </c>
      <c r="C379" s="1">
        <f>IFERROR(__xludf.DUMMYFUNCTION("""COMPUTED_VALUE"""),33.84)</f>
        <v>33.84</v>
      </c>
      <c r="D379" s="1">
        <f>IFERROR(__xludf.DUMMYFUNCTION("""COMPUTED_VALUE"""),32.68)</f>
        <v>32.68</v>
      </c>
      <c r="E379" s="1">
        <f>IFERROR(__xludf.DUMMYFUNCTION("""COMPUTED_VALUE"""),33.68)</f>
        <v>33.68</v>
      </c>
      <c r="F379" s="1">
        <f>IFERROR(__xludf.DUMMYFUNCTION("""COMPUTED_VALUE"""),2339277.0)</f>
        <v>2339277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IFERROR(__xludf.DUMMYFUNCTION("""COMPUTED_VALUE"""),33.64)</f>
        <v>33.64</v>
      </c>
      <c r="C380" s="1">
        <f>IFERROR(__xludf.DUMMYFUNCTION("""COMPUTED_VALUE"""),34.0)</f>
        <v>34</v>
      </c>
      <c r="D380" s="1">
        <f>IFERROR(__xludf.DUMMYFUNCTION("""COMPUTED_VALUE"""),33.3)</f>
        <v>33.3</v>
      </c>
      <c r="E380" s="1">
        <f>IFERROR(__xludf.DUMMYFUNCTION("""COMPUTED_VALUE"""),33.67)</f>
        <v>33.67</v>
      </c>
      <c r="F380" s="1">
        <f>IFERROR(__xludf.DUMMYFUNCTION("""COMPUTED_VALUE"""),1884926.0)</f>
        <v>1884926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IFERROR(__xludf.DUMMYFUNCTION("""COMPUTED_VALUE"""),33.7)</f>
        <v>33.7</v>
      </c>
      <c r="C381" s="1">
        <f>IFERROR(__xludf.DUMMYFUNCTION("""COMPUTED_VALUE"""),34.1)</f>
        <v>34.1</v>
      </c>
      <c r="D381" s="1">
        <f>IFERROR(__xludf.DUMMYFUNCTION("""COMPUTED_VALUE"""),33.65)</f>
        <v>33.65</v>
      </c>
      <c r="E381" s="1">
        <f>IFERROR(__xludf.DUMMYFUNCTION("""COMPUTED_VALUE"""),33.85)</f>
        <v>33.85</v>
      </c>
      <c r="F381" s="1">
        <f>IFERROR(__xludf.DUMMYFUNCTION("""COMPUTED_VALUE"""),2364400.0)</f>
        <v>2364400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IFERROR(__xludf.DUMMYFUNCTION("""COMPUTED_VALUE"""),34.16)</f>
        <v>34.16</v>
      </c>
      <c r="C382" s="1">
        <f>IFERROR(__xludf.DUMMYFUNCTION("""COMPUTED_VALUE"""),34.81)</f>
        <v>34.81</v>
      </c>
      <c r="D382" s="1">
        <f>IFERROR(__xludf.DUMMYFUNCTION("""COMPUTED_VALUE"""),34.16)</f>
        <v>34.16</v>
      </c>
      <c r="E382" s="1">
        <f>IFERROR(__xludf.DUMMYFUNCTION("""COMPUTED_VALUE"""),34.74)</f>
        <v>34.74</v>
      </c>
      <c r="F382" s="1">
        <f>IFERROR(__xludf.DUMMYFUNCTION("""COMPUTED_VALUE"""),2815148.0)</f>
        <v>2815148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IFERROR(__xludf.DUMMYFUNCTION("""COMPUTED_VALUE"""),34.25)</f>
        <v>34.25</v>
      </c>
      <c r="C383" s="1">
        <f>IFERROR(__xludf.DUMMYFUNCTION("""COMPUTED_VALUE"""),34.45)</f>
        <v>34.45</v>
      </c>
      <c r="D383" s="1">
        <f>IFERROR(__xludf.DUMMYFUNCTION("""COMPUTED_VALUE"""),34.05)</f>
        <v>34.05</v>
      </c>
      <c r="E383" s="1">
        <f>IFERROR(__xludf.DUMMYFUNCTION("""COMPUTED_VALUE"""),34.43)</f>
        <v>34.43</v>
      </c>
      <c r="F383" s="1">
        <f>IFERROR(__xludf.DUMMYFUNCTION("""COMPUTED_VALUE"""),1740525.0)</f>
        <v>1740525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IFERROR(__xludf.DUMMYFUNCTION("""COMPUTED_VALUE"""),33.89)</f>
        <v>33.89</v>
      </c>
      <c r="C384" s="1">
        <f>IFERROR(__xludf.DUMMYFUNCTION("""COMPUTED_VALUE"""),33.92)</f>
        <v>33.92</v>
      </c>
      <c r="D384" s="1">
        <f>IFERROR(__xludf.DUMMYFUNCTION("""COMPUTED_VALUE"""),33.13)</f>
        <v>33.13</v>
      </c>
      <c r="E384" s="1">
        <f>IFERROR(__xludf.DUMMYFUNCTION("""COMPUTED_VALUE"""),33.53)</f>
        <v>33.53</v>
      </c>
      <c r="F384" s="1">
        <f>IFERROR(__xludf.DUMMYFUNCTION("""COMPUTED_VALUE"""),2135604.0)</f>
        <v>2135604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IFERROR(__xludf.DUMMYFUNCTION("""COMPUTED_VALUE"""),33.69)</f>
        <v>33.69</v>
      </c>
      <c r="C385" s="1">
        <f>IFERROR(__xludf.DUMMYFUNCTION("""COMPUTED_VALUE"""),33.8)</f>
        <v>33.8</v>
      </c>
      <c r="D385" s="1">
        <f>IFERROR(__xludf.DUMMYFUNCTION("""COMPUTED_VALUE"""),32.98)</f>
        <v>32.98</v>
      </c>
      <c r="E385" s="1">
        <f>IFERROR(__xludf.DUMMYFUNCTION("""COMPUTED_VALUE"""),33.1)</f>
        <v>33.1</v>
      </c>
      <c r="F385" s="1">
        <f>IFERROR(__xludf.DUMMYFUNCTION("""COMPUTED_VALUE"""),3330325.0)</f>
        <v>3330325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IFERROR(__xludf.DUMMYFUNCTION("""COMPUTED_VALUE"""),33.36)</f>
        <v>33.36</v>
      </c>
      <c r="C386" s="1">
        <f>IFERROR(__xludf.DUMMYFUNCTION("""COMPUTED_VALUE"""),33.62)</f>
        <v>33.62</v>
      </c>
      <c r="D386" s="1">
        <f>IFERROR(__xludf.DUMMYFUNCTION("""COMPUTED_VALUE"""),32.67)</f>
        <v>32.67</v>
      </c>
      <c r="E386" s="1">
        <f>IFERROR(__xludf.DUMMYFUNCTION("""COMPUTED_VALUE"""),32.81)</f>
        <v>32.81</v>
      </c>
      <c r="F386" s="1">
        <f>IFERROR(__xludf.DUMMYFUNCTION("""COMPUTED_VALUE"""),3075357.0)</f>
        <v>3075357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IFERROR(__xludf.DUMMYFUNCTION("""COMPUTED_VALUE"""),32.98)</f>
        <v>32.98</v>
      </c>
      <c r="C387" s="1">
        <f>IFERROR(__xludf.DUMMYFUNCTION("""COMPUTED_VALUE"""),33.19)</f>
        <v>33.19</v>
      </c>
      <c r="D387" s="1">
        <f>IFERROR(__xludf.DUMMYFUNCTION("""COMPUTED_VALUE"""),32.31)</f>
        <v>32.31</v>
      </c>
      <c r="E387" s="1">
        <f>IFERROR(__xludf.DUMMYFUNCTION("""COMPUTED_VALUE"""),32.47)</f>
        <v>32.47</v>
      </c>
      <c r="F387" s="1">
        <f>IFERROR(__xludf.DUMMYFUNCTION("""COMPUTED_VALUE"""),2586262.0)</f>
        <v>2586262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IFERROR(__xludf.DUMMYFUNCTION("""COMPUTED_VALUE"""),32.6)</f>
        <v>32.6</v>
      </c>
      <c r="C388" s="1">
        <f>IFERROR(__xludf.DUMMYFUNCTION("""COMPUTED_VALUE"""),32.6)</f>
        <v>32.6</v>
      </c>
      <c r="D388" s="1">
        <f>IFERROR(__xludf.DUMMYFUNCTION("""COMPUTED_VALUE"""),32.02)</f>
        <v>32.02</v>
      </c>
      <c r="E388" s="1">
        <f>IFERROR(__xludf.DUMMYFUNCTION("""COMPUTED_VALUE"""),32.47)</f>
        <v>32.47</v>
      </c>
      <c r="F388" s="1">
        <f>IFERROR(__xludf.DUMMYFUNCTION("""COMPUTED_VALUE"""),2118306.0)</f>
        <v>2118306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IFERROR(__xludf.DUMMYFUNCTION("""COMPUTED_VALUE"""),32.38)</f>
        <v>32.38</v>
      </c>
      <c r="C389" s="1">
        <f>IFERROR(__xludf.DUMMYFUNCTION("""COMPUTED_VALUE"""),32.41)</f>
        <v>32.41</v>
      </c>
      <c r="D389" s="1">
        <f>IFERROR(__xludf.DUMMYFUNCTION("""COMPUTED_VALUE"""),31.91)</f>
        <v>31.91</v>
      </c>
      <c r="E389" s="1">
        <f>IFERROR(__xludf.DUMMYFUNCTION("""COMPUTED_VALUE"""),32.15)</f>
        <v>32.15</v>
      </c>
      <c r="F389" s="1">
        <f>IFERROR(__xludf.DUMMYFUNCTION("""COMPUTED_VALUE"""),2015204.0)</f>
        <v>2015204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IFERROR(__xludf.DUMMYFUNCTION("""COMPUTED_VALUE"""),32.38)</f>
        <v>32.38</v>
      </c>
      <c r="C390" s="1">
        <f>IFERROR(__xludf.DUMMYFUNCTION("""COMPUTED_VALUE"""),32.49)</f>
        <v>32.49</v>
      </c>
      <c r="D390" s="1">
        <f>IFERROR(__xludf.DUMMYFUNCTION("""COMPUTED_VALUE"""),31.81)</f>
        <v>31.81</v>
      </c>
      <c r="E390" s="1">
        <f>IFERROR(__xludf.DUMMYFUNCTION("""COMPUTED_VALUE"""),32.14)</f>
        <v>32.14</v>
      </c>
      <c r="F390" s="1">
        <f>IFERROR(__xludf.DUMMYFUNCTION("""COMPUTED_VALUE"""),3287627.0)</f>
        <v>3287627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IFERROR(__xludf.DUMMYFUNCTION("""COMPUTED_VALUE"""),32.3)</f>
        <v>32.3</v>
      </c>
      <c r="C391" s="1">
        <f>IFERROR(__xludf.DUMMYFUNCTION("""COMPUTED_VALUE"""),32.3)</f>
        <v>32.3</v>
      </c>
      <c r="D391" s="1">
        <f>IFERROR(__xludf.DUMMYFUNCTION("""COMPUTED_VALUE"""),31.85)</f>
        <v>31.85</v>
      </c>
      <c r="E391" s="1">
        <f>IFERROR(__xludf.DUMMYFUNCTION("""COMPUTED_VALUE"""),32.05)</f>
        <v>32.05</v>
      </c>
      <c r="F391" s="1">
        <f>IFERROR(__xludf.DUMMYFUNCTION("""COMPUTED_VALUE"""),1777880.0)</f>
        <v>1777880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IFERROR(__xludf.DUMMYFUNCTION("""COMPUTED_VALUE"""),32.33)</f>
        <v>32.33</v>
      </c>
      <c r="C392" s="1">
        <f>IFERROR(__xludf.DUMMYFUNCTION("""COMPUTED_VALUE"""),32.74)</f>
        <v>32.74</v>
      </c>
      <c r="D392" s="1">
        <f>IFERROR(__xludf.DUMMYFUNCTION("""COMPUTED_VALUE"""),32.23)</f>
        <v>32.23</v>
      </c>
      <c r="E392" s="1">
        <f>IFERROR(__xludf.DUMMYFUNCTION("""COMPUTED_VALUE"""),32.38)</f>
        <v>32.38</v>
      </c>
      <c r="F392" s="1">
        <f>IFERROR(__xludf.DUMMYFUNCTION("""COMPUTED_VALUE"""),2305304.0)</f>
        <v>2305304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IFERROR(__xludf.DUMMYFUNCTION("""COMPUTED_VALUE"""),32.18)</f>
        <v>32.18</v>
      </c>
      <c r="C393" s="1">
        <f>IFERROR(__xludf.DUMMYFUNCTION("""COMPUTED_VALUE"""),32.58)</f>
        <v>32.58</v>
      </c>
      <c r="D393" s="1">
        <f>IFERROR(__xludf.DUMMYFUNCTION("""COMPUTED_VALUE"""),32.17)</f>
        <v>32.17</v>
      </c>
      <c r="E393" s="1">
        <f>IFERROR(__xludf.DUMMYFUNCTION("""COMPUTED_VALUE"""),32.5)</f>
        <v>32.5</v>
      </c>
      <c r="F393" s="1">
        <f>IFERROR(__xludf.DUMMYFUNCTION("""COMPUTED_VALUE"""),1892948.0)</f>
        <v>1892948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IFERROR(__xludf.DUMMYFUNCTION("""COMPUTED_VALUE"""),32.08)</f>
        <v>32.08</v>
      </c>
      <c r="C394" s="1">
        <f>IFERROR(__xludf.DUMMYFUNCTION("""COMPUTED_VALUE"""),32.55)</f>
        <v>32.55</v>
      </c>
      <c r="D394" s="1">
        <f>IFERROR(__xludf.DUMMYFUNCTION("""COMPUTED_VALUE"""),31.92)</f>
        <v>31.92</v>
      </c>
      <c r="E394" s="1">
        <f>IFERROR(__xludf.DUMMYFUNCTION("""COMPUTED_VALUE"""),32.51)</f>
        <v>32.51</v>
      </c>
      <c r="F394" s="1">
        <f>IFERROR(__xludf.DUMMYFUNCTION("""COMPUTED_VALUE"""),2364165.0)</f>
        <v>2364165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IFERROR(__xludf.DUMMYFUNCTION("""COMPUTED_VALUE"""),32.39)</f>
        <v>32.39</v>
      </c>
      <c r="C395" s="1">
        <f>IFERROR(__xludf.DUMMYFUNCTION("""COMPUTED_VALUE"""),33.26)</f>
        <v>33.26</v>
      </c>
      <c r="D395" s="1">
        <f>IFERROR(__xludf.DUMMYFUNCTION("""COMPUTED_VALUE"""),32.17)</f>
        <v>32.17</v>
      </c>
      <c r="E395" s="1">
        <f>IFERROR(__xludf.DUMMYFUNCTION("""COMPUTED_VALUE"""),33.14)</f>
        <v>33.14</v>
      </c>
      <c r="F395" s="1">
        <f>IFERROR(__xludf.DUMMYFUNCTION("""COMPUTED_VALUE"""),2785808.0)</f>
        <v>2785808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IFERROR(__xludf.DUMMYFUNCTION("""COMPUTED_VALUE"""),32.8)</f>
        <v>32.8</v>
      </c>
      <c r="C396" s="1">
        <f>IFERROR(__xludf.DUMMYFUNCTION("""COMPUTED_VALUE"""),33.08)</f>
        <v>33.08</v>
      </c>
      <c r="D396" s="1">
        <f>IFERROR(__xludf.DUMMYFUNCTION("""COMPUTED_VALUE"""),32.45)</f>
        <v>32.45</v>
      </c>
      <c r="E396" s="1">
        <f>IFERROR(__xludf.DUMMYFUNCTION("""COMPUTED_VALUE"""),32.68)</f>
        <v>32.68</v>
      </c>
      <c r="F396" s="1">
        <f>IFERROR(__xludf.DUMMYFUNCTION("""COMPUTED_VALUE"""),4205503.0)</f>
        <v>4205503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IFERROR(__xludf.DUMMYFUNCTION("""COMPUTED_VALUE"""),32.7)</f>
        <v>32.7</v>
      </c>
      <c r="C397" s="1">
        <f>IFERROR(__xludf.DUMMYFUNCTION("""COMPUTED_VALUE"""),33.09)</f>
        <v>33.09</v>
      </c>
      <c r="D397" s="1">
        <f>IFERROR(__xludf.DUMMYFUNCTION("""COMPUTED_VALUE"""),32.2)</f>
        <v>32.2</v>
      </c>
      <c r="E397" s="1">
        <f>IFERROR(__xludf.DUMMYFUNCTION("""COMPUTED_VALUE"""),32.28)</f>
        <v>32.28</v>
      </c>
      <c r="F397" s="1">
        <f>IFERROR(__xludf.DUMMYFUNCTION("""COMPUTED_VALUE"""),2077702.0)</f>
        <v>2077702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IFERROR(__xludf.DUMMYFUNCTION("""COMPUTED_VALUE"""),31.9)</f>
        <v>31.9</v>
      </c>
      <c r="C398" s="1">
        <f>IFERROR(__xludf.DUMMYFUNCTION("""COMPUTED_VALUE"""),32.3)</f>
        <v>32.3</v>
      </c>
      <c r="D398" s="1">
        <f>IFERROR(__xludf.DUMMYFUNCTION("""COMPUTED_VALUE"""),31.44)</f>
        <v>31.44</v>
      </c>
      <c r="E398" s="1">
        <f>IFERROR(__xludf.DUMMYFUNCTION("""COMPUTED_VALUE"""),31.97)</f>
        <v>31.97</v>
      </c>
      <c r="F398" s="1">
        <f>IFERROR(__xludf.DUMMYFUNCTION("""COMPUTED_VALUE"""),1750027.0)</f>
        <v>1750027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IFERROR(__xludf.DUMMYFUNCTION("""COMPUTED_VALUE"""),32.25)</f>
        <v>32.25</v>
      </c>
      <c r="C399" s="1">
        <f>IFERROR(__xludf.DUMMYFUNCTION("""COMPUTED_VALUE"""),32.35)</f>
        <v>32.35</v>
      </c>
      <c r="D399" s="1">
        <f>IFERROR(__xludf.DUMMYFUNCTION("""COMPUTED_VALUE"""),30.91)</f>
        <v>30.91</v>
      </c>
      <c r="E399" s="1">
        <f>IFERROR(__xludf.DUMMYFUNCTION("""COMPUTED_VALUE"""),31.32)</f>
        <v>31.32</v>
      </c>
      <c r="F399" s="1">
        <f>IFERROR(__xludf.DUMMYFUNCTION("""COMPUTED_VALUE"""),2244616.0)</f>
        <v>2244616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IFERROR(__xludf.DUMMYFUNCTION("""COMPUTED_VALUE"""),31.07)</f>
        <v>31.07</v>
      </c>
      <c r="C400" s="1">
        <f>IFERROR(__xludf.DUMMYFUNCTION("""COMPUTED_VALUE"""),31.54)</f>
        <v>31.54</v>
      </c>
      <c r="D400" s="1">
        <f>IFERROR(__xludf.DUMMYFUNCTION("""COMPUTED_VALUE"""),30.06)</f>
        <v>30.06</v>
      </c>
      <c r="E400" s="1">
        <f>IFERROR(__xludf.DUMMYFUNCTION("""COMPUTED_VALUE"""),30.1)</f>
        <v>30.1</v>
      </c>
      <c r="F400" s="1">
        <f>IFERROR(__xludf.DUMMYFUNCTION("""COMPUTED_VALUE"""),2507367.0)</f>
        <v>2507367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IFERROR(__xludf.DUMMYFUNCTION("""COMPUTED_VALUE"""),30.03)</f>
        <v>30.03</v>
      </c>
      <c r="C401" s="1">
        <f>IFERROR(__xludf.DUMMYFUNCTION("""COMPUTED_VALUE"""),30.27)</f>
        <v>30.27</v>
      </c>
      <c r="D401" s="1">
        <f>IFERROR(__xludf.DUMMYFUNCTION("""COMPUTED_VALUE"""),29.17)</f>
        <v>29.17</v>
      </c>
      <c r="E401" s="1">
        <f>IFERROR(__xludf.DUMMYFUNCTION("""COMPUTED_VALUE"""),30.21)</f>
        <v>30.21</v>
      </c>
      <c r="F401" s="1">
        <f>IFERROR(__xludf.DUMMYFUNCTION("""COMPUTED_VALUE"""),2277987.0)</f>
        <v>2277987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IFERROR(__xludf.DUMMYFUNCTION("""COMPUTED_VALUE"""),29.74)</f>
        <v>29.74</v>
      </c>
      <c r="C402" s="1">
        <f>IFERROR(__xludf.DUMMYFUNCTION("""COMPUTED_VALUE"""),29.77)</f>
        <v>29.77</v>
      </c>
      <c r="D402" s="1">
        <f>IFERROR(__xludf.DUMMYFUNCTION("""COMPUTED_VALUE"""),28.33)</f>
        <v>28.33</v>
      </c>
      <c r="E402" s="1">
        <f>IFERROR(__xludf.DUMMYFUNCTION("""COMPUTED_VALUE"""),28.35)</f>
        <v>28.35</v>
      </c>
      <c r="F402" s="1">
        <f>IFERROR(__xludf.DUMMYFUNCTION("""COMPUTED_VALUE"""),2879078.0)</f>
        <v>2879078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IFERROR(__xludf.DUMMYFUNCTION("""COMPUTED_VALUE"""),28.66)</f>
        <v>28.66</v>
      </c>
      <c r="C403" s="1">
        <f>IFERROR(__xludf.DUMMYFUNCTION("""COMPUTED_VALUE"""),29.07)</f>
        <v>29.07</v>
      </c>
      <c r="D403" s="1">
        <f>IFERROR(__xludf.DUMMYFUNCTION("""COMPUTED_VALUE"""),27.44)</f>
        <v>27.44</v>
      </c>
      <c r="E403" s="1">
        <f>IFERROR(__xludf.DUMMYFUNCTION("""COMPUTED_VALUE"""),28.85)</f>
        <v>28.85</v>
      </c>
      <c r="F403" s="1">
        <f>IFERROR(__xludf.DUMMYFUNCTION("""COMPUTED_VALUE"""),5580652.0)</f>
        <v>5580652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IFERROR(__xludf.DUMMYFUNCTION("""COMPUTED_VALUE"""),28.0)</f>
        <v>28</v>
      </c>
      <c r="C404" s="1">
        <f>IFERROR(__xludf.DUMMYFUNCTION("""COMPUTED_VALUE"""),28.36)</f>
        <v>28.36</v>
      </c>
      <c r="D404" s="1">
        <f>IFERROR(__xludf.DUMMYFUNCTION("""COMPUTED_VALUE"""),25.94)</f>
        <v>25.94</v>
      </c>
      <c r="E404" s="1">
        <f>IFERROR(__xludf.DUMMYFUNCTION("""COMPUTED_VALUE"""),26.43)</f>
        <v>26.43</v>
      </c>
      <c r="F404" s="1">
        <f>IFERROR(__xludf.DUMMYFUNCTION("""COMPUTED_VALUE"""),4832696.0)</f>
        <v>4832696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IFERROR(__xludf.DUMMYFUNCTION("""COMPUTED_VALUE"""),26.82)</f>
        <v>26.82</v>
      </c>
      <c r="C405" s="1">
        <f>IFERROR(__xludf.DUMMYFUNCTION("""COMPUTED_VALUE"""),27.33)</f>
        <v>27.33</v>
      </c>
      <c r="D405" s="1">
        <f>IFERROR(__xludf.DUMMYFUNCTION("""COMPUTED_VALUE"""),25.25)</f>
        <v>25.25</v>
      </c>
      <c r="E405" s="1">
        <f>IFERROR(__xludf.DUMMYFUNCTION("""COMPUTED_VALUE"""),27.33)</f>
        <v>27.33</v>
      </c>
      <c r="F405" s="1">
        <f>IFERROR(__xludf.DUMMYFUNCTION("""COMPUTED_VALUE"""),4451472.0)</f>
        <v>4451472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IFERROR(__xludf.DUMMYFUNCTION("""COMPUTED_VALUE"""),26.76)</f>
        <v>26.76</v>
      </c>
      <c r="C406" s="1">
        <f>IFERROR(__xludf.DUMMYFUNCTION("""COMPUTED_VALUE"""),27.64)</f>
        <v>27.64</v>
      </c>
      <c r="D406" s="1">
        <f>IFERROR(__xludf.DUMMYFUNCTION("""COMPUTED_VALUE"""),26.14)</f>
        <v>26.14</v>
      </c>
      <c r="E406" s="1">
        <f>IFERROR(__xludf.DUMMYFUNCTION("""COMPUTED_VALUE"""),26.48)</f>
        <v>26.48</v>
      </c>
      <c r="F406" s="1">
        <f>IFERROR(__xludf.DUMMYFUNCTION("""COMPUTED_VALUE"""),5295813.0)</f>
        <v>5295813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IFERROR(__xludf.DUMMYFUNCTION("""COMPUTED_VALUE"""),26.59)</f>
        <v>26.59</v>
      </c>
      <c r="C407" s="1">
        <f>IFERROR(__xludf.DUMMYFUNCTION("""COMPUTED_VALUE"""),28.0)</f>
        <v>28</v>
      </c>
      <c r="D407" s="1">
        <f>IFERROR(__xludf.DUMMYFUNCTION("""COMPUTED_VALUE"""),26.26)</f>
        <v>26.26</v>
      </c>
      <c r="E407" s="1">
        <f>IFERROR(__xludf.DUMMYFUNCTION("""COMPUTED_VALUE"""),27.63)</f>
        <v>27.63</v>
      </c>
      <c r="F407" s="1">
        <f>IFERROR(__xludf.DUMMYFUNCTION("""COMPUTED_VALUE"""),3488303.0)</f>
        <v>3488303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IFERROR(__xludf.DUMMYFUNCTION("""COMPUTED_VALUE"""),27.91)</f>
        <v>27.91</v>
      </c>
      <c r="C408" s="1">
        <f>IFERROR(__xludf.DUMMYFUNCTION("""COMPUTED_VALUE"""),28.1)</f>
        <v>28.1</v>
      </c>
      <c r="D408" s="1">
        <f>IFERROR(__xludf.DUMMYFUNCTION("""COMPUTED_VALUE"""),27.0)</f>
        <v>27</v>
      </c>
      <c r="E408" s="1">
        <f>IFERROR(__xludf.DUMMYFUNCTION("""COMPUTED_VALUE"""),28.0)</f>
        <v>28</v>
      </c>
      <c r="F408" s="1">
        <f>IFERROR(__xludf.DUMMYFUNCTION("""COMPUTED_VALUE"""),2433355.0)</f>
        <v>2433355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IFERROR(__xludf.DUMMYFUNCTION("""COMPUTED_VALUE"""),28.19)</f>
        <v>28.19</v>
      </c>
      <c r="C409" s="1">
        <f>IFERROR(__xludf.DUMMYFUNCTION("""COMPUTED_VALUE"""),28.36)</f>
        <v>28.36</v>
      </c>
      <c r="D409" s="1">
        <f>IFERROR(__xludf.DUMMYFUNCTION("""COMPUTED_VALUE"""),27.74)</f>
        <v>27.74</v>
      </c>
      <c r="E409" s="1">
        <f>IFERROR(__xludf.DUMMYFUNCTION("""COMPUTED_VALUE"""),28.14)</f>
        <v>28.14</v>
      </c>
      <c r="F409" s="1">
        <f>IFERROR(__xludf.DUMMYFUNCTION("""COMPUTED_VALUE"""),1930309.0)</f>
        <v>1930309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IFERROR(__xludf.DUMMYFUNCTION("""COMPUTED_VALUE"""),27.76)</f>
        <v>27.76</v>
      </c>
      <c r="C410" s="1">
        <f>IFERROR(__xludf.DUMMYFUNCTION("""COMPUTED_VALUE"""),27.82)</f>
        <v>27.82</v>
      </c>
      <c r="D410" s="1">
        <f>IFERROR(__xludf.DUMMYFUNCTION("""COMPUTED_VALUE"""),27.08)</f>
        <v>27.08</v>
      </c>
      <c r="E410" s="1">
        <f>IFERROR(__xludf.DUMMYFUNCTION("""COMPUTED_VALUE"""),27.27)</f>
        <v>27.27</v>
      </c>
      <c r="F410" s="1">
        <f>IFERROR(__xludf.DUMMYFUNCTION("""COMPUTED_VALUE"""),2518260.0)</f>
        <v>2518260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IFERROR(__xludf.DUMMYFUNCTION("""COMPUTED_VALUE"""),27.47)</f>
        <v>27.47</v>
      </c>
      <c r="C411" s="1">
        <f>IFERROR(__xludf.DUMMYFUNCTION("""COMPUTED_VALUE"""),27.8)</f>
        <v>27.8</v>
      </c>
      <c r="D411" s="1">
        <f>IFERROR(__xludf.DUMMYFUNCTION("""COMPUTED_VALUE"""),26.59)</f>
        <v>26.59</v>
      </c>
      <c r="E411" s="1">
        <f>IFERROR(__xludf.DUMMYFUNCTION("""COMPUTED_VALUE"""),27.09)</f>
        <v>27.09</v>
      </c>
      <c r="F411" s="1">
        <f>IFERROR(__xludf.DUMMYFUNCTION("""COMPUTED_VALUE"""),1780941.0)</f>
        <v>1780941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IFERROR(__xludf.DUMMYFUNCTION("""COMPUTED_VALUE"""),26.12)</f>
        <v>26.12</v>
      </c>
      <c r="C412" s="1">
        <f>IFERROR(__xludf.DUMMYFUNCTION("""COMPUTED_VALUE"""),26.25)</f>
        <v>26.25</v>
      </c>
      <c r="D412" s="1">
        <f>IFERROR(__xludf.DUMMYFUNCTION("""COMPUTED_VALUE"""),25.18)</f>
        <v>25.18</v>
      </c>
      <c r="E412" s="1">
        <f>IFERROR(__xludf.DUMMYFUNCTION("""COMPUTED_VALUE"""),25.92)</f>
        <v>25.92</v>
      </c>
      <c r="F412" s="1">
        <f>IFERROR(__xludf.DUMMYFUNCTION("""COMPUTED_VALUE"""),3170768.0)</f>
        <v>3170768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IFERROR(__xludf.DUMMYFUNCTION("""COMPUTED_VALUE"""),25.49)</f>
        <v>25.49</v>
      </c>
      <c r="C413" s="1">
        <f>IFERROR(__xludf.DUMMYFUNCTION("""COMPUTED_VALUE"""),26.7)</f>
        <v>26.7</v>
      </c>
      <c r="D413" s="1">
        <f>IFERROR(__xludf.DUMMYFUNCTION("""COMPUTED_VALUE"""),25.34)</f>
        <v>25.34</v>
      </c>
      <c r="E413" s="1">
        <f>IFERROR(__xludf.DUMMYFUNCTION("""COMPUTED_VALUE"""),25.49)</f>
        <v>25.49</v>
      </c>
      <c r="F413" s="1">
        <f>IFERROR(__xludf.DUMMYFUNCTION("""COMPUTED_VALUE"""),2442596.0)</f>
        <v>2442596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IFERROR(__xludf.DUMMYFUNCTION("""COMPUTED_VALUE"""),26.09)</f>
        <v>26.09</v>
      </c>
      <c r="C414" s="1">
        <f>IFERROR(__xludf.DUMMYFUNCTION("""COMPUTED_VALUE"""),26.17)</f>
        <v>26.17</v>
      </c>
      <c r="D414" s="1">
        <f>IFERROR(__xludf.DUMMYFUNCTION("""COMPUTED_VALUE"""),25.54)</f>
        <v>25.54</v>
      </c>
      <c r="E414" s="1">
        <f>IFERROR(__xludf.DUMMYFUNCTION("""COMPUTED_VALUE"""),25.65)</f>
        <v>25.65</v>
      </c>
      <c r="F414" s="1">
        <f>IFERROR(__xludf.DUMMYFUNCTION("""COMPUTED_VALUE"""),2513086.0)</f>
        <v>2513086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IFERROR(__xludf.DUMMYFUNCTION("""COMPUTED_VALUE"""),25.72)</f>
        <v>25.72</v>
      </c>
      <c r="C415" s="1">
        <f>IFERROR(__xludf.DUMMYFUNCTION("""COMPUTED_VALUE"""),26.62)</f>
        <v>26.62</v>
      </c>
      <c r="D415" s="1">
        <f>IFERROR(__xludf.DUMMYFUNCTION("""COMPUTED_VALUE"""),25.33)</f>
        <v>25.33</v>
      </c>
      <c r="E415" s="1">
        <f>IFERROR(__xludf.DUMMYFUNCTION("""COMPUTED_VALUE"""),26.45)</f>
        <v>26.45</v>
      </c>
      <c r="F415" s="1">
        <f>IFERROR(__xludf.DUMMYFUNCTION("""COMPUTED_VALUE"""),2182440.0)</f>
        <v>2182440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IFERROR(__xludf.DUMMYFUNCTION("""COMPUTED_VALUE"""),26.21)</f>
        <v>26.21</v>
      </c>
      <c r="C416" s="1">
        <f>IFERROR(__xludf.DUMMYFUNCTION("""COMPUTED_VALUE"""),26.76)</f>
        <v>26.76</v>
      </c>
      <c r="D416" s="1">
        <f>IFERROR(__xludf.DUMMYFUNCTION("""COMPUTED_VALUE"""),25.83)</f>
        <v>25.83</v>
      </c>
      <c r="E416" s="1">
        <f>IFERROR(__xludf.DUMMYFUNCTION("""COMPUTED_VALUE"""),26.68)</f>
        <v>26.68</v>
      </c>
      <c r="F416" s="1">
        <f>IFERROR(__xludf.DUMMYFUNCTION("""COMPUTED_VALUE"""),2274975.0)</f>
        <v>2274975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IFERROR(__xludf.DUMMYFUNCTION("""COMPUTED_VALUE"""),26.87)</f>
        <v>26.87</v>
      </c>
      <c r="C417" s="1">
        <f>IFERROR(__xludf.DUMMYFUNCTION("""COMPUTED_VALUE"""),27.14)</f>
        <v>27.14</v>
      </c>
      <c r="D417" s="1">
        <f>IFERROR(__xludf.DUMMYFUNCTION("""COMPUTED_VALUE"""),25.88)</f>
        <v>25.88</v>
      </c>
      <c r="E417" s="1">
        <f>IFERROR(__xludf.DUMMYFUNCTION("""COMPUTED_VALUE"""),25.97)</f>
        <v>25.97</v>
      </c>
      <c r="F417" s="1">
        <f>IFERROR(__xludf.DUMMYFUNCTION("""COMPUTED_VALUE"""),1999511.0)</f>
        <v>1999511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IFERROR(__xludf.DUMMYFUNCTION("""COMPUTED_VALUE"""),25.79)</f>
        <v>25.79</v>
      </c>
      <c r="C418" s="1">
        <f>IFERROR(__xludf.DUMMYFUNCTION("""COMPUTED_VALUE"""),26.36)</f>
        <v>26.36</v>
      </c>
      <c r="D418" s="1">
        <f>IFERROR(__xludf.DUMMYFUNCTION("""COMPUTED_VALUE"""),25.27)</f>
        <v>25.27</v>
      </c>
      <c r="E418" s="1">
        <f>IFERROR(__xludf.DUMMYFUNCTION("""COMPUTED_VALUE"""),26.13)</f>
        <v>26.13</v>
      </c>
      <c r="F418" s="1">
        <f>IFERROR(__xludf.DUMMYFUNCTION("""COMPUTED_VALUE"""),2040294.0)</f>
        <v>2040294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IFERROR(__xludf.DUMMYFUNCTION("""COMPUTED_VALUE"""),26.42)</f>
        <v>26.42</v>
      </c>
      <c r="C419" s="1">
        <f>IFERROR(__xludf.DUMMYFUNCTION("""COMPUTED_VALUE"""),27.59)</f>
        <v>27.59</v>
      </c>
      <c r="D419" s="1">
        <f>IFERROR(__xludf.DUMMYFUNCTION("""COMPUTED_VALUE"""),26.33)</f>
        <v>26.33</v>
      </c>
      <c r="E419" s="1">
        <f>IFERROR(__xludf.DUMMYFUNCTION("""COMPUTED_VALUE"""),27.59)</f>
        <v>27.59</v>
      </c>
      <c r="F419" s="1">
        <f>IFERROR(__xludf.DUMMYFUNCTION("""COMPUTED_VALUE"""),2351731.0)</f>
        <v>2351731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IFERROR(__xludf.DUMMYFUNCTION("""COMPUTED_VALUE"""),27.42)</f>
        <v>27.42</v>
      </c>
      <c r="C420" s="1">
        <f>IFERROR(__xludf.DUMMYFUNCTION("""COMPUTED_VALUE"""),27.95)</f>
        <v>27.95</v>
      </c>
      <c r="D420" s="1">
        <f>IFERROR(__xludf.DUMMYFUNCTION("""COMPUTED_VALUE"""),27.04)</f>
        <v>27.04</v>
      </c>
      <c r="E420" s="1">
        <f>IFERROR(__xludf.DUMMYFUNCTION("""COMPUTED_VALUE"""),27.78)</f>
        <v>27.78</v>
      </c>
      <c r="F420" s="1">
        <f>IFERROR(__xludf.DUMMYFUNCTION("""COMPUTED_VALUE"""),1639162.0)</f>
        <v>1639162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IFERROR(__xludf.DUMMYFUNCTION("""COMPUTED_VALUE"""),27.91)</f>
        <v>27.91</v>
      </c>
      <c r="C421" s="1">
        <f>IFERROR(__xludf.DUMMYFUNCTION("""COMPUTED_VALUE"""),28.77)</f>
        <v>28.77</v>
      </c>
      <c r="D421" s="1">
        <f>IFERROR(__xludf.DUMMYFUNCTION("""COMPUTED_VALUE"""),27.91)</f>
        <v>27.91</v>
      </c>
      <c r="E421" s="1">
        <f>IFERROR(__xludf.DUMMYFUNCTION("""COMPUTED_VALUE"""),28.11)</f>
        <v>28.11</v>
      </c>
      <c r="F421" s="1">
        <f>IFERROR(__xludf.DUMMYFUNCTION("""COMPUTED_VALUE"""),3707431.0)</f>
        <v>3707431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IFERROR(__xludf.DUMMYFUNCTION("""COMPUTED_VALUE"""),27.3)</f>
        <v>27.3</v>
      </c>
      <c r="C422" s="1">
        <f>IFERROR(__xludf.DUMMYFUNCTION("""COMPUTED_VALUE"""),28.06)</f>
        <v>28.06</v>
      </c>
      <c r="D422" s="1">
        <f>IFERROR(__xludf.DUMMYFUNCTION("""COMPUTED_VALUE"""),27.01)</f>
        <v>27.01</v>
      </c>
      <c r="E422" s="1">
        <f>IFERROR(__xludf.DUMMYFUNCTION("""COMPUTED_VALUE"""),27.45)</f>
        <v>27.45</v>
      </c>
      <c r="F422" s="1">
        <f>IFERROR(__xludf.DUMMYFUNCTION("""COMPUTED_VALUE"""),3447803.0)</f>
        <v>3447803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IFERROR(__xludf.DUMMYFUNCTION("""COMPUTED_VALUE"""),26.7)</f>
        <v>26.7</v>
      </c>
      <c r="C423" s="1">
        <f>IFERROR(__xludf.DUMMYFUNCTION("""COMPUTED_VALUE"""),27.29)</f>
        <v>27.29</v>
      </c>
      <c r="D423" s="1">
        <f>IFERROR(__xludf.DUMMYFUNCTION("""COMPUTED_VALUE"""),26.44)</f>
        <v>26.44</v>
      </c>
      <c r="E423" s="1">
        <f>IFERROR(__xludf.DUMMYFUNCTION("""COMPUTED_VALUE"""),26.46)</f>
        <v>26.46</v>
      </c>
      <c r="F423" s="1">
        <f>IFERROR(__xludf.DUMMYFUNCTION("""COMPUTED_VALUE"""),2123370.0)</f>
        <v>2123370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IFERROR(__xludf.DUMMYFUNCTION("""COMPUTED_VALUE"""),25.66)</f>
        <v>25.66</v>
      </c>
      <c r="C424" s="1">
        <f>IFERROR(__xludf.DUMMYFUNCTION("""COMPUTED_VALUE"""),26.57)</f>
        <v>26.57</v>
      </c>
      <c r="D424" s="1">
        <f>IFERROR(__xludf.DUMMYFUNCTION("""COMPUTED_VALUE"""),25.37)</f>
        <v>25.37</v>
      </c>
      <c r="E424" s="1">
        <f>IFERROR(__xludf.DUMMYFUNCTION("""COMPUTED_VALUE"""),26.51)</f>
        <v>26.51</v>
      </c>
      <c r="F424" s="1">
        <f>IFERROR(__xludf.DUMMYFUNCTION("""COMPUTED_VALUE"""),3032144.0)</f>
        <v>3032144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IFERROR(__xludf.DUMMYFUNCTION("""COMPUTED_VALUE"""),26.89)</f>
        <v>26.89</v>
      </c>
      <c r="C425" s="1">
        <f>IFERROR(__xludf.DUMMYFUNCTION("""COMPUTED_VALUE"""),27.61)</f>
        <v>27.61</v>
      </c>
      <c r="D425" s="1">
        <f>IFERROR(__xludf.DUMMYFUNCTION("""COMPUTED_VALUE"""),26.66)</f>
        <v>26.66</v>
      </c>
      <c r="E425" s="1">
        <f>IFERROR(__xludf.DUMMYFUNCTION("""COMPUTED_VALUE"""),27.48)</f>
        <v>27.48</v>
      </c>
      <c r="F425" s="1">
        <f>IFERROR(__xludf.DUMMYFUNCTION("""COMPUTED_VALUE"""),1995743.0)</f>
        <v>1995743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IFERROR(__xludf.DUMMYFUNCTION("""COMPUTED_VALUE"""),27.18)</f>
        <v>27.18</v>
      </c>
      <c r="C426" s="1">
        <f>IFERROR(__xludf.DUMMYFUNCTION("""COMPUTED_VALUE"""),27.56)</f>
        <v>27.56</v>
      </c>
      <c r="D426" s="1">
        <f>IFERROR(__xludf.DUMMYFUNCTION("""COMPUTED_VALUE"""),26.81)</f>
        <v>26.81</v>
      </c>
      <c r="E426" s="1">
        <f>IFERROR(__xludf.DUMMYFUNCTION("""COMPUTED_VALUE"""),26.95)</f>
        <v>26.95</v>
      </c>
      <c r="F426" s="1">
        <f>IFERROR(__xludf.DUMMYFUNCTION("""COMPUTED_VALUE"""),3074895.0)</f>
        <v>3074895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IFERROR(__xludf.DUMMYFUNCTION("""COMPUTED_VALUE"""),26.67)</f>
        <v>26.67</v>
      </c>
      <c r="C427" s="1">
        <f>IFERROR(__xludf.DUMMYFUNCTION("""COMPUTED_VALUE"""),27.08)</f>
        <v>27.08</v>
      </c>
      <c r="D427" s="1">
        <f>IFERROR(__xludf.DUMMYFUNCTION("""COMPUTED_VALUE"""),25.98)</f>
        <v>25.98</v>
      </c>
      <c r="E427" s="1">
        <f>IFERROR(__xludf.DUMMYFUNCTION("""COMPUTED_VALUE"""),26.32)</f>
        <v>26.32</v>
      </c>
      <c r="F427" s="1">
        <f>IFERROR(__xludf.DUMMYFUNCTION("""COMPUTED_VALUE"""),3356359.0)</f>
        <v>3356359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IFERROR(__xludf.DUMMYFUNCTION("""COMPUTED_VALUE"""),26.03)</f>
        <v>26.03</v>
      </c>
      <c r="C428" s="1">
        <f>IFERROR(__xludf.DUMMYFUNCTION("""COMPUTED_VALUE"""),26.78)</f>
        <v>26.78</v>
      </c>
      <c r="D428" s="1">
        <f>IFERROR(__xludf.DUMMYFUNCTION("""COMPUTED_VALUE"""),25.88)</f>
        <v>25.88</v>
      </c>
      <c r="E428" s="1">
        <f>IFERROR(__xludf.DUMMYFUNCTION("""COMPUTED_VALUE"""),26.75)</f>
        <v>26.75</v>
      </c>
      <c r="F428" s="1">
        <f>IFERROR(__xludf.DUMMYFUNCTION("""COMPUTED_VALUE"""),3548842.0)</f>
        <v>3548842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IFERROR(__xludf.DUMMYFUNCTION("""COMPUTED_VALUE"""),26.75)</f>
        <v>26.75</v>
      </c>
      <c r="C429" s="1">
        <f>IFERROR(__xludf.DUMMYFUNCTION("""COMPUTED_VALUE"""),27.18)</f>
        <v>27.18</v>
      </c>
      <c r="D429" s="1">
        <f>IFERROR(__xludf.DUMMYFUNCTION("""COMPUTED_VALUE"""),26.43)</f>
        <v>26.43</v>
      </c>
      <c r="E429" s="1">
        <f>IFERROR(__xludf.DUMMYFUNCTION("""COMPUTED_VALUE"""),26.95)</f>
        <v>26.95</v>
      </c>
      <c r="F429" s="1">
        <f>IFERROR(__xludf.DUMMYFUNCTION("""COMPUTED_VALUE"""),3137690.0)</f>
        <v>3137690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IFERROR(__xludf.DUMMYFUNCTION("""COMPUTED_VALUE"""),27.13)</f>
        <v>27.13</v>
      </c>
      <c r="C430" s="1">
        <f>IFERROR(__xludf.DUMMYFUNCTION("""COMPUTED_VALUE"""),27.99)</f>
        <v>27.99</v>
      </c>
      <c r="D430" s="1">
        <f>IFERROR(__xludf.DUMMYFUNCTION("""COMPUTED_VALUE"""),26.52)</f>
        <v>26.52</v>
      </c>
      <c r="E430" s="1">
        <f>IFERROR(__xludf.DUMMYFUNCTION("""COMPUTED_VALUE"""),27.71)</f>
        <v>27.71</v>
      </c>
      <c r="F430" s="1">
        <f>IFERROR(__xludf.DUMMYFUNCTION("""COMPUTED_VALUE"""),3332978.0)</f>
        <v>3332978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IFERROR(__xludf.DUMMYFUNCTION("""COMPUTED_VALUE"""),27.99)</f>
        <v>27.99</v>
      </c>
      <c r="C431" s="1">
        <f>IFERROR(__xludf.DUMMYFUNCTION("""COMPUTED_VALUE"""),28.77)</f>
        <v>28.77</v>
      </c>
      <c r="D431" s="1">
        <f>IFERROR(__xludf.DUMMYFUNCTION("""COMPUTED_VALUE"""),27.69)</f>
        <v>27.69</v>
      </c>
      <c r="E431" s="1">
        <f>IFERROR(__xludf.DUMMYFUNCTION("""COMPUTED_VALUE"""),28.54)</f>
        <v>28.54</v>
      </c>
      <c r="F431" s="1">
        <f>IFERROR(__xludf.DUMMYFUNCTION("""COMPUTED_VALUE"""),3392357.0)</f>
        <v>3392357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IFERROR(__xludf.DUMMYFUNCTION("""COMPUTED_VALUE"""),28.92)</f>
        <v>28.92</v>
      </c>
      <c r="C432" s="1">
        <f>IFERROR(__xludf.DUMMYFUNCTION("""COMPUTED_VALUE"""),29.79)</f>
        <v>29.79</v>
      </c>
      <c r="D432" s="1">
        <f>IFERROR(__xludf.DUMMYFUNCTION("""COMPUTED_VALUE"""),28.89)</f>
        <v>28.89</v>
      </c>
      <c r="E432" s="1">
        <f>IFERROR(__xludf.DUMMYFUNCTION("""COMPUTED_VALUE"""),29.38)</f>
        <v>29.38</v>
      </c>
      <c r="F432" s="1">
        <f>IFERROR(__xludf.DUMMYFUNCTION("""COMPUTED_VALUE"""),4574813.0)</f>
        <v>4574813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IFERROR(__xludf.DUMMYFUNCTION("""COMPUTED_VALUE"""),28.71)</f>
        <v>28.71</v>
      </c>
      <c r="C433" s="1">
        <f>IFERROR(__xludf.DUMMYFUNCTION("""COMPUTED_VALUE"""),28.9)</f>
        <v>28.9</v>
      </c>
      <c r="D433" s="1">
        <f>IFERROR(__xludf.DUMMYFUNCTION("""COMPUTED_VALUE"""),28.25)</f>
        <v>28.25</v>
      </c>
      <c r="E433" s="1">
        <f>IFERROR(__xludf.DUMMYFUNCTION("""COMPUTED_VALUE"""),28.72)</f>
        <v>28.72</v>
      </c>
      <c r="F433" s="1">
        <f>IFERROR(__xludf.DUMMYFUNCTION("""COMPUTED_VALUE"""),3696981.0)</f>
        <v>3696981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IFERROR(__xludf.DUMMYFUNCTION("""COMPUTED_VALUE"""),28.75)</f>
        <v>28.75</v>
      </c>
      <c r="C434" s="1">
        <f>IFERROR(__xludf.DUMMYFUNCTION("""COMPUTED_VALUE"""),29.18)</f>
        <v>29.18</v>
      </c>
      <c r="D434" s="1">
        <f>IFERROR(__xludf.DUMMYFUNCTION("""COMPUTED_VALUE"""),28.06)</f>
        <v>28.06</v>
      </c>
      <c r="E434" s="1">
        <f>IFERROR(__xludf.DUMMYFUNCTION("""COMPUTED_VALUE"""),28.08)</f>
        <v>28.08</v>
      </c>
      <c r="F434" s="1">
        <f>IFERROR(__xludf.DUMMYFUNCTION("""COMPUTED_VALUE"""),3020335.0)</f>
        <v>3020335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IFERROR(__xludf.DUMMYFUNCTION("""COMPUTED_VALUE"""),28.15)</f>
        <v>28.15</v>
      </c>
      <c r="C435" s="1">
        <f>IFERROR(__xludf.DUMMYFUNCTION("""COMPUTED_VALUE"""),28.39)</f>
        <v>28.39</v>
      </c>
      <c r="D435" s="1">
        <f>IFERROR(__xludf.DUMMYFUNCTION("""COMPUTED_VALUE"""),27.31)</f>
        <v>27.31</v>
      </c>
      <c r="E435" s="1">
        <f>IFERROR(__xludf.DUMMYFUNCTION("""COMPUTED_VALUE"""),27.43)</f>
        <v>27.43</v>
      </c>
      <c r="F435" s="1">
        <f>IFERROR(__xludf.DUMMYFUNCTION("""COMPUTED_VALUE"""),3150321.0)</f>
        <v>3150321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IFERROR(__xludf.DUMMYFUNCTION("""COMPUTED_VALUE"""),25.1)</f>
        <v>25.1</v>
      </c>
      <c r="C436" s="1">
        <f>IFERROR(__xludf.DUMMYFUNCTION("""COMPUTED_VALUE"""),25.99)</f>
        <v>25.99</v>
      </c>
      <c r="D436" s="1">
        <f>IFERROR(__xludf.DUMMYFUNCTION("""COMPUTED_VALUE"""),23.84)</f>
        <v>23.84</v>
      </c>
      <c r="E436" s="1">
        <f>IFERROR(__xludf.DUMMYFUNCTION("""COMPUTED_VALUE"""),24.41)</f>
        <v>24.41</v>
      </c>
      <c r="F436" s="1">
        <f>IFERROR(__xludf.DUMMYFUNCTION("""COMPUTED_VALUE"""),1.2819798E7)</f>
        <v>12819798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IFERROR(__xludf.DUMMYFUNCTION("""COMPUTED_VALUE"""),24.03)</f>
        <v>24.03</v>
      </c>
      <c r="C437" s="1">
        <f>IFERROR(__xludf.DUMMYFUNCTION("""COMPUTED_VALUE"""),24.58)</f>
        <v>24.58</v>
      </c>
      <c r="D437" s="1">
        <f>IFERROR(__xludf.DUMMYFUNCTION("""COMPUTED_VALUE"""),24.0)</f>
        <v>24</v>
      </c>
      <c r="E437" s="1">
        <f>IFERROR(__xludf.DUMMYFUNCTION("""COMPUTED_VALUE"""),24.12)</f>
        <v>24.12</v>
      </c>
      <c r="F437" s="1">
        <f>IFERROR(__xludf.DUMMYFUNCTION("""COMPUTED_VALUE"""),4011415.0)</f>
        <v>4011415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IFERROR(__xludf.DUMMYFUNCTION("""COMPUTED_VALUE"""),24.4)</f>
        <v>24.4</v>
      </c>
      <c r="C438" s="1">
        <f>IFERROR(__xludf.DUMMYFUNCTION("""COMPUTED_VALUE"""),25.08)</f>
        <v>25.08</v>
      </c>
      <c r="D438" s="1">
        <f>IFERROR(__xludf.DUMMYFUNCTION("""COMPUTED_VALUE"""),24.03)</f>
        <v>24.03</v>
      </c>
      <c r="E438" s="1">
        <f>IFERROR(__xludf.DUMMYFUNCTION("""COMPUTED_VALUE"""),25.04)</f>
        <v>25.04</v>
      </c>
      <c r="F438" s="1">
        <f>IFERROR(__xludf.DUMMYFUNCTION("""COMPUTED_VALUE"""),3255142.0)</f>
        <v>3255142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IFERROR(__xludf.DUMMYFUNCTION("""COMPUTED_VALUE"""),25.84)</f>
        <v>25.84</v>
      </c>
      <c r="C439" s="1">
        <f>IFERROR(__xludf.DUMMYFUNCTION("""COMPUTED_VALUE"""),26.05)</f>
        <v>26.05</v>
      </c>
      <c r="D439" s="1">
        <f>IFERROR(__xludf.DUMMYFUNCTION("""COMPUTED_VALUE"""),25.32)</f>
        <v>25.32</v>
      </c>
      <c r="E439" s="1">
        <f>IFERROR(__xludf.DUMMYFUNCTION("""COMPUTED_VALUE"""),25.56)</f>
        <v>25.56</v>
      </c>
      <c r="F439" s="1">
        <f>IFERROR(__xludf.DUMMYFUNCTION("""COMPUTED_VALUE"""),3673980.0)</f>
        <v>3673980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IFERROR(__xludf.DUMMYFUNCTION("""COMPUTED_VALUE"""),25.51)</f>
        <v>25.51</v>
      </c>
      <c r="C440" s="1">
        <f>IFERROR(__xludf.DUMMYFUNCTION("""COMPUTED_VALUE"""),25.6)</f>
        <v>25.6</v>
      </c>
      <c r="D440" s="1">
        <f>IFERROR(__xludf.DUMMYFUNCTION("""COMPUTED_VALUE"""),23.91)</f>
        <v>23.91</v>
      </c>
      <c r="E440" s="1">
        <f>IFERROR(__xludf.DUMMYFUNCTION("""COMPUTED_VALUE"""),24.01)</f>
        <v>24.01</v>
      </c>
      <c r="F440" s="1">
        <f>IFERROR(__xludf.DUMMYFUNCTION("""COMPUTED_VALUE"""),3682193.0)</f>
        <v>3682193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IFERROR(__xludf.DUMMYFUNCTION("""COMPUTED_VALUE"""),24.57)</f>
        <v>24.57</v>
      </c>
      <c r="C441" s="1">
        <f>IFERROR(__xludf.DUMMYFUNCTION("""COMPUTED_VALUE"""),24.69)</f>
        <v>24.69</v>
      </c>
      <c r="D441" s="1">
        <f>IFERROR(__xludf.DUMMYFUNCTION("""COMPUTED_VALUE"""),23.24)</f>
        <v>23.24</v>
      </c>
      <c r="E441" s="1">
        <f>IFERROR(__xludf.DUMMYFUNCTION("""COMPUTED_VALUE"""),24.0)</f>
        <v>24</v>
      </c>
      <c r="F441" s="1">
        <f>IFERROR(__xludf.DUMMYFUNCTION("""COMPUTED_VALUE"""),4265161.0)</f>
        <v>4265161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IFERROR(__xludf.DUMMYFUNCTION("""COMPUTED_VALUE"""),23.7)</f>
        <v>23.7</v>
      </c>
      <c r="C442" s="1">
        <f>IFERROR(__xludf.DUMMYFUNCTION("""COMPUTED_VALUE"""),24.54)</f>
        <v>24.54</v>
      </c>
      <c r="D442" s="1">
        <f>IFERROR(__xludf.DUMMYFUNCTION("""COMPUTED_VALUE"""),23.63)</f>
        <v>23.63</v>
      </c>
      <c r="E442" s="1">
        <f>IFERROR(__xludf.DUMMYFUNCTION("""COMPUTED_VALUE"""),23.85)</f>
        <v>23.85</v>
      </c>
      <c r="F442" s="1">
        <f>IFERROR(__xludf.DUMMYFUNCTION("""COMPUTED_VALUE"""),3977093.0)</f>
        <v>3977093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IFERROR(__xludf.DUMMYFUNCTION("""COMPUTED_VALUE"""),23.64)</f>
        <v>23.64</v>
      </c>
      <c r="C443" s="1">
        <f>IFERROR(__xludf.DUMMYFUNCTION("""COMPUTED_VALUE"""),23.94)</f>
        <v>23.94</v>
      </c>
      <c r="D443" s="1">
        <f>IFERROR(__xludf.DUMMYFUNCTION("""COMPUTED_VALUE"""),23.18)</f>
        <v>23.18</v>
      </c>
      <c r="E443" s="1">
        <f>IFERROR(__xludf.DUMMYFUNCTION("""COMPUTED_VALUE"""),23.41)</f>
        <v>23.41</v>
      </c>
      <c r="F443" s="1">
        <f>IFERROR(__xludf.DUMMYFUNCTION("""COMPUTED_VALUE"""),5520412.0)</f>
        <v>5520412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IFERROR(__xludf.DUMMYFUNCTION("""COMPUTED_VALUE"""),22.86)</f>
        <v>22.86</v>
      </c>
      <c r="C444" s="1">
        <f>IFERROR(__xludf.DUMMYFUNCTION("""COMPUTED_VALUE"""),24.3)</f>
        <v>24.3</v>
      </c>
      <c r="D444" s="1">
        <f>IFERROR(__xludf.DUMMYFUNCTION("""COMPUTED_VALUE"""),22.77)</f>
        <v>22.77</v>
      </c>
      <c r="E444" s="1">
        <f>IFERROR(__xludf.DUMMYFUNCTION("""COMPUTED_VALUE"""),24.28)</f>
        <v>24.28</v>
      </c>
      <c r="F444" s="1">
        <f>IFERROR(__xludf.DUMMYFUNCTION("""COMPUTED_VALUE"""),3709656.0)</f>
        <v>3709656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IFERROR(__xludf.DUMMYFUNCTION("""COMPUTED_VALUE"""),23.97)</f>
        <v>23.97</v>
      </c>
      <c r="C445" s="1">
        <f>IFERROR(__xludf.DUMMYFUNCTION("""COMPUTED_VALUE"""),24.12)</f>
        <v>24.12</v>
      </c>
      <c r="D445" s="1">
        <f>IFERROR(__xludf.DUMMYFUNCTION("""COMPUTED_VALUE"""),23.37)</f>
        <v>23.37</v>
      </c>
      <c r="E445" s="1">
        <f>IFERROR(__xludf.DUMMYFUNCTION("""COMPUTED_VALUE"""),24.04)</f>
        <v>24.04</v>
      </c>
      <c r="F445" s="1">
        <f>IFERROR(__xludf.DUMMYFUNCTION("""COMPUTED_VALUE"""),3465682.0)</f>
        <v>3465682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IFERROR(__xludf.DUMMYFUNCTION("""COMPUTED_VALUE"""),23.87)</f>
        <v>23.87</v>
      </c>
      <c r="C446" s="1">
        <f>IFERROR(__xludf.DUMMYFUNCTION("""COMPUTED_VALUE"""),25.08)</f>
        <v>25.08</v>
      </c>
      <c r="D446" s="1">
        <f>IFERROR(__xludf.DUMMYFUNCTION("""COMPUTED_VALUE"""),23.87)</f>
        <v>23.87</v>
      </c>
      <c r="E446" s="1">
        <f>IFERROR(__xludf.DUMMYFUNCTION("""COMPUTED_VALUE"""),25.07)</f>
        <v>25.07</v>
      </c>
      <c r="F446" s="1">
        <f>IFERROR(__xludf.DUMMYFUNCTION("""COMPUTED_VALUE"""),3211856.0)</f>
        <v>3211856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IFERROR(__xludf.DUMMYFUNCTION("""COMPUTED_VALUE"""),25.27)</f>
        <v>25.27</v>
      </c>
      <c r="C447" s="1">
        <f>IFERROR(__xludf.DUMMYFUNCTION("""COMPUTED_VALUE"""),26.03)</f>
        <v>26.03</v>
      </c>
      <c r="D447" s="1">
        <f>IFERROR(__xludf.DUMMYFUNCTION("""COMPUTED_VALUE"""),25.27)</f>
        <v>25.27</v>
      </c>
      <c r="E447" s="1">
        <f>IFERROR(__xludf.DUMMYFUNCTION("""COMPUTED_VALUE"""),25.58)</f>
        <v>25.58</v>
      </c>
      <c r="F447" s="1">
        <f>IFERROR(__xludf.DUMMYFUNCTION("""COMPUTED_VALUE"""),3135488.0)</f>
        <v>3135488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IFERROR(__xludf.DUMMYFUNCTION("""COMPUTED_VALUE"""),26.02)</f>
        <v>26.02</v>
      </c>
      <c r="C448" s="1">
        <f>IFERROR(__xludf.DUMMYFUNCTION("""COMPUTED_VALUE"""),26.89)</f>
        <v>26.89</v>
      </c>
      <c r="D448" s="1">
        <f>IFERROR(__xludf.DUMMYFUNCTION("""COMPUTED_VALUE"""),26.02)</f>
        <v>26.02</v>
      </c>
      <c r="E448" s="1">
        <f>IFERROR(__xludf.DUMMYFUNCTION("""COMPUTED_VALUE"""),26.86)</f>
        <v>26.86</v>
      </c>
      <c r="F448" s="1">
        <f>IFERROR(__xludf.DUMMYFUNCTION("""COMPUTED_VALUE"""),2917109.0)</f>
        <v>2917109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IFERROR(__xludf.DUMMYFUNCTION("""COMPUTED_VALUE"""),26.73)</f>
        <v>26.73</v>
      </c>
      <c r="C449" s="1">
        <f>IFERROR(__xludf.DUMMYFUNCTION("""COMPUTED_VALUE"""),28.01)</f>
        <v>28.01</v>
      </c>
      <c r="D449" s="1">
        <f>IFERROR(__xludf.DUMMYFUNCTION("""COMPUTED_VALUE"""),26.47)</f>
        <v>26.47</v>
      </c>
      <c r="E449" s="1">
        <f>IFERROR(__xludf.DUMMYFUNCTION("""COMPUTED_VALUE"""),27.86)</f>
        <v>27.86</v>
      </c>
      <c r="F449" s="1">
        <f>IFERROR(__xludf.DUMMYFUNCTION("""COMPUTED_VALUE"""),3413532.0)</f>
        <v>3413532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IFERROR(__xludf.DUMMYFUNCTION("""COMPUTED_VALUE"""),28.04)</f>
        <v>28.04</v>
      </c>
      <c r="C450" s="1">
        <f>IFERROR(__xludf.DUMMYFUNCTION("""COMPUTED_VALUE"""),28.65)</f>
        <v>28.65</v>
      </c>
      <c r="D450" s="1">
        <f>IFERROR(__xludf.DUMMYFUNCTION("""COMPUTED_VALUE"""),27.33)</f>
        <v>27.33</v>
      </c>
      <c r="E450" s="1">
        <f>IFERROR(__xludf.DUMMYFUNCTION("""COMPUTED_VALUE"""),28.16)</f>
        <v>28.16</v>
      </c>
      <c r="F450" s="1">
        <f>IFERROR(__xludf.DUMMYFUNCTION("""COMPUTED_VALUE"""),3356075.0)</f>
        <v>3356075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IFERROR(__xludf.DUMMYFUNCTION("""COMPUTED_VALUE"""),28.08)</f>
        <v>28.08</v>
      </c>
      <c r="C451" s="1">
        <f>IFERROR(__xludf.DUMMYFUNCTION("""COMPUTED_VALUE"""),28.28)</f>
        <v>28.28</v>
      </c>
      <c r="D451" s="1">
        <f>IFERROR(__xludf.DUMMYFUNCTION("""COMPUTED_VALUE"""),27.24)</f>
        <v>27.24</v>
      </c>
      <c r="E451" s="1">
        <f>IFERROR(__xludf.DUMMYFUNCTION("""COMPUTED_VALUE"""),27.67)</f>
        <v>27.67</v>
      </c>
      <c r="F451" s="1">
        <f>IFERROR(__xludf.DUMMYFUNCTION("""COMPUTED_VALUE"""),2120145.0)</f>
        <v>2120145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IFERROR(__xludf.DUMMYFUNCTION("""COMPUTED_VALUE"""),28.2)</f>
        <v>28.2</v>
      </c>
      <c r="C452" s="1">
        <f>IFERROR(__xludf.DUMMYFUNCTION("""COMPUTED_VALUE"""),28.32)</f>
        <v>28.32</v>
      </c>
      <c r="D452" s="1">
        <f>IFERROR(__xludf.DUMMYFUNCTION("""COMPUTED_VALUE"""),27.76)</f>
        <v>27.76</v>
      </c>
      <c r="E452" s="1">
        <f>IFERROR(__xludf.DUMMYFUNCTION("""COMPUTED_VALUE"""),28.19)</f>
        <v>28.19</v>
      </c>
      <c r="F452" s="1">
        <f>IFERROR(__xludf.DUMMYFUNCTION("""COMPUTED_VALUE"""),1797991.0)</f>
        <v>1797991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IFERROR(__xludf.DUMMYFUNCTION("""COMPUTED_VALUE"""),28.11)</f>
        <v>28.11</v>
      </c>
      <c r="C453" s="1">
        <f>IFERROR(__xludf.DUMMYFUNCTION("""COMPUTED_VALUE"""),28.26)</f>
        <v>28.26</v>
      </c>
      <c r="D453" s="1">
        <f>IFERROR(__xludf.DUMMYFUNCTION("""COMPUTED_VALUE"""),27.2)</f>
        <v>27.2</v>
      </c>
      <c r="E453" s="1">
        <f>IFERROR(__xludf.DUMMYFUNCTION("""COMPUTED_VALUE"""),27.27)</f>
        <v>27.27</v>
      </c>
      <c r="F453" s="1">
        <f>IFERROR(__xludf.DUMMYFUNCTION("""COMPUTED_VALUE"""),1977313.0)</f>
        <v>1977313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IFERROR(__xludf.DUMMYFUNCTION("""COMPUTED_VALUE"""),27.8)</f>
        <v>27.8</v>
      </c>
      <c r="C454" s="1">
        <f>IFERROR(__xludf.DUMMYFUNCTION("""COMPUTED_VALUE"""),28.29)</f>
        <v>28.29</v>
      </c>
      <c r="D454" s="1">
        <f>IFERROR(__xludf.DUMMYFUNCTION("""COMPUTED_VALUE"""),26.97)</f>
        <v>26.97</v>
      </c>
      <c r="E454" s="1">
        <f>IFERROR(__xludf.DUMMYFUNCTION("""COMPUTED_VALUE"""),28.07)</f>
        <v>28.07</v>
      </c>
      <c r="F454" s="1">
        <f>IFERROR(__xludf.DUMMYFUNCTION("""COMPUTED_VALUE"""),2789001.0)</f>
        <v>2789001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IFERROR(__xludf.DUMMYFUNCTION("""COMPUTED_VALUE"""),28.04)</f>
        <v>28.04</v>
      </c>
      <c r="C455" s="1">
        <f>IFERROR(__xludf.DUMMYFUNCTION("""COMPUTED_VALUE"""),28.38)</f>
        <v>28.38</v>
      </c>
      <c r="D455" s="1">
        <f>IFERROR(__xludf.DUMMYFUNCTION("""COMPUTED_VALUE"""),27.72)</f>
        <v>27.72</v>
      </c>
      <c r="E455" s="1">
        <f>IFERROR(__xludf.DUMMYFUNCTION("""COMPUTED_VALUE"""),27.89)</f>
        <v>27.89</v>
      </c>
      <c r="F455" s="1">
        <f>IFERROR(__xludf.DUMMYFUNCTION("""COMPUTED_VALUE"""),1895261.0)</f>
        <v>1895261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IFERROR(__xludf.DUMMYFUNCTION("""COMPUTED_VALUE"""),27.97)</f>
        <v>27.97</v>
      </c>
      <c r="C456" s="1">
        <f>IFERROR(__xludf.DUMMYFUNCTION("""COMPUTED_VALUE"""),28.3)</f>
        <v>28.3</v>
      </c>
      <c r="D456" s="1">
        <f>IFERROR(__xludf.DUMMYFUNCTION("""COMPUTED_VALUE"""),27.38)</f>
        <v>27.38</v>
      </c>
      <c r="E456" s="1">
        <f>IFERROR(__xludf.DUMMYFUNCTION("""COMPUTED_VALUE"""),27.95)</f>
        <v>27.95</v>
      </c>
      <c r="F456" s="1">
        <f>IFERROR(__xludf.DUMMYFUNCTION("""COMPUTED_VALUE"""),1929851.0)</f>
        <v>1929851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IFERROR(__xludf.DUMMYFUNCTION("""COMPUTED_VALUE"""),28.4)</f>
        <v>28.4</v>
      </c>
      <c r="C457" s="1">
        <f>IFERROR(__xludf.DUMMYFUNCTION("""COMPUTED_VALUE"""),29.62)</f>
        <v>29.62</v>
      </c>
      <c r="D457" s="1">
        <f>IFERROR(__xludf.DUMMYFUNCTION("""COMPUTED_VALUE"""),28.4)</f>
        <v>28.4</v>
      </c>
      <c r="E457" s="1">
        <f>IFERROR(__xludf.DUMMYFUNCTION("""COMPUTED_VALUE"""),29.56)</f>
        <v>29.56</v>
      </c>
      <c r="F457" s="1">
        <f>IFERROR(__xludf.DUMMYFUNCTION("""COMPUTED_VALUE"""),2796599.0)</f>
        <v>2796599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IFERROR(__xludf.DUMMYFUNCTION("""COMPUTED_VALUE"""),30.23)</f>
        <v>30.23</v>
      </c>
      <c r="C458" s="1">
        <f>IFERROR(__xludf.DUMMYFUNCTION("""COMPUTED_VALUE"""),31.5)</f>
        <v>31.5</v>
      </c>
      <c r="D458" s="1">
        <f>IFERROR(__xludf.DUMMYFUNCTION("""COMPUTED_VALUE"""),29.87)</f>
        <v>29.87</v>
      </c>
      <c r="E458" s="1">
        <f>IFERROR(__xludf.DUMMYFUNCTION("""COMPUTED_VALUE"""),31.44)</f>
        <v>31.44</v>
      </c>
      <c r="F458" s="1">
        <f>IFERROR(__xludf.DUMMYFUNCTION("""COMPUTED_VALUE"""),4063473.0)</f>
        <v>4063473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IFERROR(__xludf.DUMMYFUNCTION("""COMPUTED_VALUE"""),31.0)</f>
        <v>31</v>
      </c>
      <c r="C459" s="1">
        <f>IFERROR(__xludf.DUMMYFUNCTION("""COMPUTED_VALUE"""),31.26)</f>
        <v>31.26</v>
      </c>
      <c r="D459" s="1">
        <f>IFERROR(__xludf.DUMMYFUNCTION("""COMPUTED_VALUE"""),30.67)</f>
        <v>30.67</v>
      </c>
      <c r="E459" s="1">
        <f>IFERROR(__xludf.DUMMYFUNCTION("""COMPUTED_VALUE"""),30.73)</f>
        <v>30.73</v>
      </c>
      <c r="F459" s="1">
        <f>IFERROR(__xludf.DUMMYFUNCTION("""COMPUTED_VALUE"""),3313302.0)</f>
        <v>3313302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IFERROR(__xludf.DUMMYFUNCTION("""COMPUTED_VALUE"""),31.21)</f>
        <v>31.21</v>
      </c>
      <c r="C460" s="1">
        <f>IFERROR(__xludf.DUMMYFUNCTION("""COMPUTED_VALUE"""),31.34)</f>
        <v>31.34</v>
      </c>
      <c r="D460" s="1">
        <f>IFERROR(__xludf.DUMMYFUNCTION("""COMPUTED_VALUE"""),30.08)</f>
        <v>30.08</v>
      </c>
      <c r="E460" s="1">
        <f>IFERROR(__xludf.DUMMYFUNCTION("""COMPUTED_VALUE"""),30.28)</f>
        <v>30.28</v>
      </c>
      <c r="F460" s="1">
        <f>IFERROR(__xludf.DUMMYFUNCTION("""COMPUTED_VALUE"""),3410564.0)</f>
        <v>3410564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IFERROR(__xludf.DUMMYFUNCTION("""COMPUTED_VALUE"""),31.39)</f>
        <v>31.39</v>
      </c>
      <c r="C461" s="1">
        <f>IFERROR(__xludf.DUMMYFUNCTION("""COMPUTED_VALUE"""),31.73)</f>
        <v>31.73</v>
      </c>
      <c r="D461" s="1">
        <f>IFERROR(__xludf.DUMMYFUNCTION("""COMPUTED_VALUE"""),30.93)</f>
        <v>30.93</v>
      </c>
      <c r="E461" s="1">
        <f>IFERROR(__xludf.DUMMYFUNCTION("""COMPUTED_VALUE"""),31.32)</f>
        <v>31.32</v>
      </c>
      <c r="F461" s="1">
        <f>IFERROR(__xludf.DUMMYFUNCTION("""COMPUTED_VALUE"""),4176572.0)</f>
        <v>4176572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IFERROR(__xludf.DUMMYFUNCTION("""COMPUTED_VALUE"""),31.28)</f>
        <v>31.28</v>
      </c>
      <c r="C462" s="1">
        <f>IFERROR(__xludf.DUMMYFUNCTION("""COMPUTED_VALUE"""),31.4)</f>
        <v>31.4</v>
      </c>
      <c r="D462" s="1">
        <f>IFERROR(__xludf.DUMMYFUNCTION("""COMPUTED_VALUE"""),30.55)</f>
        <v>30.55</v>
      </c>
      <c r="E462" s="1">
        <f>IFERROR(__xludf.DUMMYFUNCTION("""COMPUTED_VALUE"""),30.81)</f>
        <v>30.81</v>
      </c>
      <c r="F462" s="1">
        <f>IFERROR(__xludf.DUMMYFUNCTION("""COMPUTED_VALUE"""),1644927.0)</f>
        <v>1644927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IFERROR(__xludf.DUMMYFUNCTION("""COMPUTED_VALUE"""),30.38)</f>
        <v>30.38</v>
      </c>
      <c r="C463" s="1">
        <f>IFERROR(__xludf.DUMMYFUNCTION("""COMPUTED_VALUE"""),30.55)</f>
        <v>30.55</v>
      </c>
      <c r="D463" s="1">
        <f>IFERROR(__xludf.DUMMYFUNCTION("""COMPUTED_VALUE"""),30.02)</f>
        <v>30.02</v>
      </c>
      <c r="E463" s="1">
        <f>IFERROR(__xludf.DUMMYFUNCTION("""COMPUTED_VALUE"""),30.06)</f>
        <v>30.06</v>
      </c>
      <c r="F463" s="1">
        <f>IFERROR(__xludf.DUMMYFUNCTION("""COMPUTED_VALUE"""),1838162.0)</f>
        <v>1838162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IFERROR(__xludf.DUMMYFUNCTION("""COMPUTED_VALUE"""),29.0)</f>
        <v>29</v>
      </c>
      <c r="C464" s="1">
        <f>IFERROR(__xludf.DUMMYFUNCTION("""COMPUTED_VALUE"""),29.99)</f>
        <v>29.99</v>
      </c>
      <c r="D464" s="1">
        <f>IFERROR(__xludf.DUMMYFUNCTION("""COMPUTED_VALUE"""),29.0)</f>
        <v>29</v>
      </c>
      <c r="E464" s="1">
        <f>IFERROR(__xludf.DUMMYFUNCTION("""COMPUTED_VALUE"""),29.57)</f>
        <v>29.57</v>
      </c>
      <c r="F464" s="1">
        <f>IFERROR(__xludf.DUMMYFUNCTION("""COMPUTED_VALUE"""),1937786.0)</f>
        <v>1937786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IFERROR(__xludf.DUMMYFUNCTION("""COMPUTED_VALUE"""),30.25)</f>
        <v>30.25</v>
      </c>
      <c r="C465" s="1">
        <f>IFERROR(__xludf.DUMMYFUNCTION("""COMPUTED_VALUE"""),30.59)</f>
        <v>30.59</v>
      </c>
      <c r="D465" s="1">
        <f>IFERROR(__xludf.DUMMYFUNCTION("""COMPUTED_VALUE"""),29.77)</f>
        <v>29.77</v>
      </c>
      <c r="E465" s="1">
        <f>IFERROR(__xludf.DUMMYFUNCTION("""COMPUTED_VALUE"""),30.22)</f>
        <v>30.22</v>
      </c>
      <c r="F465" s="1">
        <f>IFERROR(__xludf.DUMMYFUNCTION("""COMPUTED_VALUE"""),1192986.0)</f>
        <v>1192986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IFERROR(__xludf.DUMMYFUNCTION("""COMPUTED_VALUE"""),31.18)</f>
        <v>31.18</v>
      </c>
      <c r="C466" s="1">
        <f>IFERROR(__xludf.DUMMYFUNCTION("""COMPUTED_VALUE"""),31.22)</f>
        <v>31.22</v>
      </c>
      <c r="D466" s="1">
        <f>IFERROR(__xludf.DUMMYFUNCTION("""COMPUTED_VALUE"""),29.93)</f>
        <v>29.93</v>
      </c>
      <c r="E466" s="1">
        <f>IFERROR(__xludf.DUMMYFUNCTION("""COMPUTED_VALUE"""),30.74)</f>
        <v>30.74</v>
      </c>
      <c r="F466" s="1">
        <f>IFERROR(__xludf.DUMMYFUNCTION("""COMPUTED_VALUE"""),1711276.0)</f>
        <v>1711276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IFERROR(__xludf.DUMMYFUNCTION("""COMPUTED_VALUE"""),30.39)</f>
        <v>30.39</v>
      </c>
      <c r="C467" s="1">
        <f>IFERROR(__xludf.DUMMYFUNCTION("""COMPUTED_VALUE"""),30.39)</f>
        <v>30.39</v>
      </c>
      <c r="D467" s="1">
        <f>IFERROR(__xludf.DUMMYFUNCTION("""COMPUTED_VALUE"""),29.14)</f>
        <v>29.14</v>
      </c>
      <c r="E467" s="1">
        <f>IFERROR(__xludf.DUMMYFUNCTION("""COMPUTED_VALUE"""),29.86)</f>
        <v>29.86</v>
      </c>
      <c r="F467" s="1">
        <f>IFERROR(__xludf.DUMMYFUNCTION("""COMPUTED_VALUE"""),2933348.0)</f>
        <v>2933348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IFERROR(__xludf.DUMMYFUNCTION("""COMPUTED_VALUE"""),29.97)</f>
        <v>29.97</v>
      </c>
      <c r="C468" s="1">
        <f>IFERROR(__xludf.DUMMYFUNCTION("""COMPUTED_VALUE"""),30.14)</f>
        <v>30.14</v>
      </c>
      <c r="D468" s="1">
        <f>IFERROR(__xludf.DUMMYFUNCTION("""COMPUTED_VALUE"""),29.19)</f>
        <v>29.19</v>
      </c>
      <c r="E468" s="1">
        <f>IFERROR(__xludf.DUMMYFUNCTION("""COMPUTED_VALUE"""),29.87)</f>
        <v>29.87</v>
      </c>
      <c r="F468" s="1">
        <f>IFERROR(__xludf.DUMMYFUNCTION("""COMPUTED_VALUE"""),2774027.0)</f>
        <v>2774027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IFERROR(__xludf.DUMMYFUNCTION("""COMPUTED_VALUE"""),30.1)</f>
        <v>30.1</v>
      </c>
      <c r="C469" s="1">
        <f>IFERROR(__xludf.DUMMYFUNCTION("""COMPUTED_VALUE"""),30.21)</f>
        <v>30.21</v>
      </c>
      <c r="D469" s="1">
        <f>IFERROR(__xludf.DUMMYFUNCTION("""COMPUTED_VALUE"""),28.95)</f>
        <v>28.95</v>
      </c>
      <c r="E469" s="1">
        <f>IFERROR(__xludf.DUMMYFUNCTION("""COMPUTED_VALUE"""),29.57)</f>
        <v>29.57</v>
      </c>
      <c r="F469" s="1">
        <f>IFERROR(__xludf.DUMMYFUNCTION("""COMPUTED_VALUE"""),2212425.0)</f>
        <v>2212425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IFERROR(__xludf.DUMMYFUNCTION("""COMPUTED_VALUE"""),28.88)</f>
        <v>28.88</v>
      </c>
      <c r="C470" s="1">
        <f>IFERROR(__xludf.DUMMYFUNCTION("""COMPUTED_VALUE"""),29.16)</f>
        <v>29.16</v>
      </c>
      <c r="D470" s="1">
        <f>IFERROR(__xludf.DUMMYFUNCTION("""COMPUTED_VALUE"""),28.25)</f>
        <v>28.25</v>
      </c>
      <c r="E470" s="1">
        <f>IFERROR(__xludf.DUMMYFUNCTION("""COMPUTED_VALUE"""),28.47)</f>
        <v>28.47</v>
      </c>
      <c r="F470" s="1">
        <f>IFERROR(__xludf.DUMMYFUNCTION("""COMPUTED_VALUE"""),2233066.0)</f>
        <v>2233066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IFERROR(__xludf.DUMMYFUNCTION("""COMPUTED_VALUE"""),29.04)</f>
        <v>29.04</v>
      </c>
      <c r="C471" s="1">
        <f>IFERROR(__xludf.DUMMYFUNCTION("""COMPUTED_VALUE"""),29.28)</f>
        <v>29.28</v>
      </c>
      <c r="D471" s="1">
        <f>IFERROR(__xludf.DUMMYFUNCTION("""COMPUTED_VALUE"""),28.12)</f>
        <v>28.12</v>
      </c>
      <c r="E471" s="1">
        <f>IFERROR(__xludf.DUMMYFUNCTION("""COMPUTED_VALUE"""),28.38)</f>
        <v>28.38</v>
      </c>
      <c r="F471" s="1">
        <f>IFERROR(__xludf.DUMMYFUNCTION("""COMPUTED_VALUE"""),2021995.0)</f>
        <v>2021995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IFERROR(__xludf.DUMMYFUNCTION("""COMPUTED_VALUE"""),28.75)</f>
        <v>28.75</v>
      </c>
      <c r="C472" s="1">
        <f>IFERROR(__xludf.DUMMYFUNCTION("""COMPUTED_VALUE"""),28.9)</f>
        <v>28.9</v>
      </c>
      <c r="D472" s="1">
        <f>IFERROR(__xludf.DUMMYFUNCTION("""COMPUTED_VALUE"""),28.26)</f>
        <v>28.26</v>
      </c>
      <c r="E472" s="1">
        <f>IFERROR(__xludf.DUMMYFUNCTION("""COMPUTED_VALUE"""),28.4)</f>
        <v>28.4</v>
      </c>
      <c r="F472" s="1">
        <f>IFERROR(__xludf.DUMMYFUNCTION("""COMPUTED_VALUE"""),2641298.0)</f>
        <v>2641298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IFERROR(__xludf.DUMMYFUNCTION("""COMPUTED_VALUE"""),28.26)</f>
        <v>28.26</v>
      </c>
      <c r="C473" s="1">
        <f>IFERROR(__xludf.DUMMYFUNCTION("""COMPUTED_VALUE"""),28.54)</f>
        <v>28.54</v>
      </c>
      <c r="D473" s="1">
        <f>IFERROR(__xludf.DUMMYFUNCTION("""COMPUTED_VALUE"""),27.83)</f>
        <v>27.83</v>
      </c>
      <c r="E473" s="1">
        <f>IFERROR(__xludf.DUMMYFUNCTION("""COMPUTED_VALUE"""),28.01)</f>
        <v>28.01</v>
      </c>
      <c r="F473" s="1">
        <f>IFERROR(__xludf.DUMMYFUNCTION("""COMPUTED_VALUE"""),2334378.0)</f>
        <v>2334378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IFERROR(__xludf.DUMMYFUNCTION("""COMPUTED_VALUE"""),27.97)</f>
        <v>27.97</v>
      </c>
      <c r="C474" s="1">
        <f>IFERROR(__xludf.DUMMYFUNCTION("""COMPUTED_VALUE"""),28.62)</f>
        <v>28.62</v>
      </c>
      <c r="D474" s="1">
        <f>IFERROR(__xludf.DUMMYFUNCTION("""COMPUTED_VALUE"""),27.93)</f>
        <v>27.93</v>
      </c>
      <c r="E474" s="1">
        <f>IFERROR(__xludf.DUMMYFUNCTION("""COMPUTED_VALUE"""),28.38)</f>
        <v>28.38</v>
      </c>
      <c r="F474" s="1">
        <f>IFERROR(__xludf.DUMMYFUNCTION("""COMPUTED_VALUE"""),2378012.0)</f>
        <v>2378012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IFERROR(__xludf.DUMMYFUNCTION("""COMPUTED_VALUE"""),28.26)</f>
        <v>28.26</v>
      </c>
      <c r="C475" s="1">
        <f>IFERROR(__xludf.DUMMYFUNCTION("""COMPUTED_VALUE"""),28.76)</f>
        <v>28.76</v>
      </c>
      <c r="D475" s="1">
        <f>IFERROR(__xludf.DUMMYFUNCTION("""COMPUTED_VALUE"""),28.02)</f>
        <v>28.02</v>
      </c>
      <c r="E475" s="1">
        <f>IFERROR(__xludf.DUMMYFUNCTION("""COMPUTED_VALUE"""),28.18)</f>
        <v>28.18</v>
      </c>
      <c r="F475" s="1">
        <f>IFERROR(__xludf.DUMMYFUNCTION("""COMPUTED_VALUE"""),2189982.0)</f>
        <v>2189982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IFERROR(__xludf.DUMMYFUNCTION("""COMPUTED_VALUE"""),28.01)</f>
        <v>28.01</v>
      </c>
      <c r="C476" s="1">
        <f>IFERROR(__xludf.DUMMYFUNCTION("""COMPUTED_VALUE"""),28.28)</f>
        <v>28.28</v>
      </c>
      <c r="D476" s="1">
        <f>IFERROR(__xludf.DUMMYFUNCTION("""COMPUTED_VALUE"""),27.61)</f>
        <v>27.61</v>
      </c>
      <c r="E476" s="1">
        <f>IFERROR(__xludf.DUMMYFUNCTION("""COMPUTED_VALUE"""),27.87)</f>
        <v>27.87</v>
      </c>
      <c r="F476" s="1">
        <f>IFERROR(__xludf.DUMMYFUNCTION("""COMPUTED_VALUE"""),2669681.0)</f>
        <v>2669681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IFERROR(__xludf.DUMMYFUNCTION("""COMPUTED_VALUE"""),28.05)</f>
        <v>28.05</v>
      </c>
      <c r="C477" s="1">
        <f>IFERROR(__xludf.DUMMYFUNCTION("""COMPUTED_VALUE"""),28.1)</f>
        <v>28.1</v>
      </c>
      <c r="D477" s="1">
        <f>IFERROR(__xludf.DUMMYFUNCTION("""COMPUTED_VALUE"""),27.55)</f>
        <v>27.55</v>
      </c>
      <c r="E477" s="1">
        <f>IFERROR(__xludf.DUMMYFUNCTION("""COMPUTED_VALUE"""),27.62)</f>
        <v>27.62</v>
      </c>
      <c r="F477" s="1">
        <f>IFERROR(__xludf.DUMMYFUNCTION("""COMPUTED_VALUE"""),1793327.0)</f>
        <v>1793327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IFERROR(__xludf.DUMMYFUNCTION("""COMPUTED_VALUE"""),27.05)</f>
        <v>27.05</v>
      </c>
      <c r="C478" s="1">
        <f>IFERROR(__xludf.DUMMYFUNCTION("""COMPUTED_VALUE"""),27.44)</f>
        <v>27.44</v>
      </c>
      <c r="D478" s="1">
        <f>IFERROR(__xludf.DUMMYFUNCTION("""COMPUTED_VALUE"""),26.85)</f>
        <v>26.85</v>
      </c>
      <c r="E478" s="1">
        <f>IFERROR(__xludf.DUMMYFUNCTION("""COMPUTED_VALUE"""),27.27)</f>
        <v>27.27</v>
      </c>
      <c r="F478" s="1">
        <f>IFERROR(__xludf.DUMMYFUNCTION("""COMPUTED_VALUE"""),1788634.0)</f>
        <v>1788634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IFERROR(__xludf.DUMMYFUNCTION("""COMPUTED_VALUE"""),27.26)</f>
        <v>27.26</v>
      </c>
      <c r="C479" s="1">
        <f>IFERROR(__xludf.DUMMYFUNCTION("""COMPUTED_VALUE"""),27.75)</f>
        <v>27.75</v>
      </c>
      <c r="D479" s="1">
        <f>IFERROR(__xludf.DUMMYFUNCTION("""COMPUTED_VALUE"""),27.06)</f>
        <v>27.06</v>
      </c>
      <c r="E479" s="1">
        <f>IFERROR(__xludf.DUMMYFUNCTION("""COMPUTED_VALUE"""),27.53)</f>
        <v>27.53</v>
      </c>
      <c r="F479" s="1">
        <f>IFERROR(__xludf.DUMMYFUNCTION("""COMPUTED_VALUE"""),1741696.0)</f>
        <v>1741696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IFERROR(__xludf.DUMMYFUNCTION("""COMPUTED_VALUE"""),27.18)</f>
        <v>27.18</v>
      </c>
      <c r="C480" s="1">
        <f>IFERROR(__xludf.DUMMYFUNCTION("""COMPUTED_VALUE"""),27.29)</f>
        <v>27.29</v>
      </c>
      <c r="D480" s="1">
        <f>IFERROR(__xludf.DUMMYFUNCTION("""COMPUTED_VALUE"""),26.65)</f>
        <v>26.65</v>
      </c>
      <c r="E480" s="1">
        <f>IFERROR(__xludf.DUMMYFUNCTION("""COMPUTED_VALUE"""),26.81)</f>
        <v>26.81</v>
      </c>
      <c r="F480" s="1">
        <f>IFERROR(__xludf.DUMMYFUNCTION("""COMPUTED_VALUE"""),2034578.0)</f>
        <v>2034578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IFERROR(__xludf.DUMMYFUNCTION("""COMPUTED_VALUE"""),26.76)</f>
        <v>26.76</v>
      </c>
      <c r="C481" s="1">
        <f>IFERROR(__xludf.DUMMYFUNCTION("""COMPUTED_VALUE"""),27.44)</f>
        <v>27.44</v>
      </c>
      <c r="D481" s="1">
        <f>IFERROR(__xludf.DUMMYFUNCTION("""COMPUTED_VALUE"""),26.71)</f>
        <v>26.71</v>
      </c>
      <c r="E481" s="1">
        <f>IFERROR(__xludf.DUMMYFUNCTION("""COMPUTED_VALUE"""),27.02)</f>
        <v>27.02</v>
      </c>
      <c r="F481" s="1">
        <f>IFERROR(__xludf.DUMMYFUNCTION("""COMPUTED_VALUE"""),1010208.0)</f>
        <v>1010208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IFERROR(__xludf.DUMMYFUNCTION("""COMPUTED_VALUE"""),27.49)</f>
        <v>27.49</v>
      </c>
      <c r="C482" s="1">
        <f>IFERROR(__xludf.DUMMYFUNCTION("""COMPUTED_VALUE"""),28.48)</f>
        <v>28.48</v>
      </c>
      <c r="D482" s="1">
        <f>IFERROR(__xludf.DUMMYFUNCTION("""COMPUTED_VALUE"""),27.35)</f>
        <v>27.35</v>
      </c>
      <c r="E482" s="1">
        <f>IFERROR(__xludf.DUMMYFUNCTION("""COMPUTED_VALUE"""),28.24)</f>
        <v>28.24</v>
      </c>
      <c r="F482" s="1">
        <f>IFERROR(__xludf.DUMMYFUNCTION("""COMPUTED_VALUE"""),2217501.0)</f>
        <v>2217501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IFERROR(__xludf.DUMMYFUNCTION("""COMPUTED_VALUE"""),28.35)</f>
        <v>28.35</v>
      </c>
      <c r="C483" s="1">
        <f>IFERROR(__xludf.DUMMYFUNCTION("""COMPUTED_VALUE"""),28.81)</f>
        <v>28.81</v>
      </c>
      <c r="D483" s="1">
        <f>IFERROR(__xludf.DUMMYFUNCTION("""COMPUTED_VALUE"""),28.05)</f>
        <v>28.05</v>
      </c>
      <c r="E483" s="1">
        <f>IFERROR(__xludf.DUMMYFUNCTION("""COMPUTED_VALUE"""),28.48)</f>
        <v>28.48</v>
      </c>
      <c r="F483" s="1">
        <f>IFERROR(__xludf.DUMMYFUNCTION("""COMPUTED_VALUE"""),1399746.0)</f>
        <v>1399746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IFERROR(__xludf.DUMMYFUNCTION("""COMPUTED_VALUE"""),29.38)</f>
        <v>29.38</v>
      </c>
      <c r="C484" s="1">
        <f>IFERROR(__xludf.DUMMYFUNCTION("""COMPUTED_VALUE"""),29.44)</f>
        <v>29.44</v>
      </c>
      <c r="D484" s="1">
        <f>IFERROR(__xludf.DUMMYFUNCTION("""COMPUTED_VALUE"""),28.42)</f>
        <v>28.42</v>
      </c>
      <c r="E484" s="1">
        <f>IFERROR(__xludf.DUMMYFUNCTION("""COMPUTED_VALUE"""),28.76)</f>
        <v>28.76</v>
      </c>
      <c r="F484" s="1">
        <f>IFERROR(__xludf.DUMMYFUNCTION("""COMPUTED_VALUE"""),3594113.0)</f>
        <v>3594113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IFERROR(__xludf.DUMMYFUNCTION("""COMPUTED_VALUE"""),28.6)</f>
        <v>28.6</v>
      </c>
      <c r="C485" s="1">
        <f>IFERROR(__xludf.DUMMYFUNCTION("""COMPUTED_VALUE"""),29.31)</f>
        <v>29.31</v>
      </c>
      <c r="D485" s="1">
        <f>IFERROR(__xludf.DUMMYFUNCTION("""COMPUTED_VALUE"""),28.44)</f>
        <v>28.44</v>
      </c>
      <c r="E485" s="1">
        <f>IFERROR(__xludf.DUMMYFUNCTION("""COMPUTED_VALUE"""),29.18)</f>
        <v>29.18</v>
      </c>
      <c r="F485" s="1">
        <f>IFERROR(__xludf.DUMMYFUNCTION("""COMPUTED_VALUE"""),1928765.0)</f>
        <v>1928765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IFERROR(__xludf.DUMMYFUNCTION("""COMPUTED_VALUE"""),29.51)</f>
        <v>29.51</v>
      </c>
      <c r="C486" s="1">
        <f>IFERROR(__xludf.DUMMYFUNCTION("""COMPUTED_VALUE"""),29.67)</f>
        <v>29.67</v>
      </c>
      <c r="D486" s="1">
        <f>IFERROR(__xludf.DUMMYFUNCTION("""COMPUTED_VALUE"""),29.12)</f>
        <v>29.12</v>
      </c>
      <c r="E486" s="1">
        <f>IFERROR(__xludf.DUMMYFUNCTION("""COMPUTED_VALUE"""),29.47)</f>
        <v>29.47</v>
      </c>
      <c r="F486" s="1">
        <f>IFERROR(__xludf.DUMMYFUNCTION("""COMPUTED_VALUE"""),2354205.0)</f>
        <v>2354205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IFERROR(__xludf.DUMMYFUNCTION("""COMPUTED_VALUE"""),29.94)</f>
        <v>29.94</v>
      </c>
      <c r="C487" s="1">
        <f>IFERROR(__xludf.DUMMYFUNCTION("""COMPUTED_VALUE"""),32.01)</f>
        <v>32.01</v>
      </c>
      <c r="D487" s="1">
        <f>IFERROR(__xludf.DUMMYFUNCTION("""COMPUTED_VALUE"""),29.93)</f>
        <v>29.93</v>
      </c>
      <c r="E487" s="1">
        <f>IFERROR(__xludf.DUMMYFUNCTION("""COMPUTED_VALUE"""),31.2)</f>
        <v>31.2</v>
      </c>
      <c r="F487" s="1">
        <f>IFERROR(__xludf.DUMMYFUNCTION("""COMPUTED_VALUE"""),4067162.0)</f>
        <v>4067162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IFERROR(__xludf.DUMMYFUNCTION("""COMPUTED_VALUE"""),31.3)</f>
        <v>31.3</v>
      </c>
      <c r="C488" s="1">
        <f>IFERROR(__xludf.DUMMYFUNCTION("""COMPUTED_VALUE"""),31.54)</f>
        <v>31.54</v>
      </c>
      <c r="D488" s="1">
        <f>IFERROR(__xludf.DUMMYFUNCTION("""COMPUTED_VALUE"""),30.98)</f>
        <v>30.98</v>
      </c>
      <c r="E488" s="1">
        <f>IFERROR(__xludf.DUMMYFUNCTION("""COMPUTED_VALUE"""),31.33)</f>
        <v>31.33</v>
      </c>
      <c r="F488" s="1">
        <f>IFERROR(__xludf.DUMMYFUNCTION("""COMPUTED_VALUE"""),2184427.0)</f>
        <v>2184427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IFERROR(__xludf.DUMMYFUNCTION("""COMPUTED_VALUE"""),31.07)</f>
        <v>31.07</v>
      </c>
      <c r="C489" s="1">
        <f>IFERROR(__xludf.DUMMYFUNCTION("""COMPUTED_VALUE"""),31.56)</f>
        <v>31.56</v>
      </c>
      <c r="D489" s="1">
        <f>IFERROR(__xludf.DUMMYFUNCTION("""COMPUTED_VALUE"""),30.81)</f>
        <v>30.81</v>
      </c>
      <c r="E489" s="1">
        <f>IFERROR(__xludf.DUMMYFUNCTION("""COMPUTED_VALUE"""),31.29)</f>
        <v>31.29</v>
      </c>
      <c r="F489" s="1">
        <f>IFERROR(__xludf.DUMMYFUNCTION("""COMPUTED_VALUE"""),2315366.0)</f>
        <v>2315366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IFERROR(__xludf.DUMMYFUNCTION("""COMPUTED_VALUE"""),31.13)</f>
        <v>31.13</v>
      </c>
      <c r="C490" s="1">
        <f>IFERROR(__xludf.DUMMYFUNCTION("""COMPUTED_VALUE"""),31.26)</f>
        <v>31.26</v>
      </c>
      <c r="D490" s="1">
        <f>IFERROR(__xludf.DUMMYFUNCTION("""COMPUTED_VALUE"""),30.49)</f>
        <v>30.49</v>
      </c>
      <c r="E490" s="1">
        <f>IFERROR(__xludf.DUMMYFUNCTION("""COMPUTED_VALUE"""),30.63)</f>
        <v>30.63</v>
      </c>
      <c r="F490" s="1">
        <f>IFERROR(__xludf.DUMMYFUNCTION("""COMPUTED_VALUE"""),1860153.0)</f>
        <v>1860153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IFERROR(__xludf.DUMMYFUNCTION("""COMPUTED_VALUE"""),30.69)</f>
        <v>30.69</v>
      </c>
      <c r="C491" s="1">
        <f>IFERROR(__xludf.DUMMYFUNCTION("""COMPUTED_VALUE"""),31.3)</f>
        <v>31.3</v>
      </c>
      <c r="D491" s="1">
        <f>IFERROR(__xludf.DUMMYFUNCTION("""COMPUTED_VALUE"""),30.59)</f>
        <v>30.59</v>
      </c>
      <c r="E491" s="1">
        <f>IFERROR(__xludf.DUMMYFUNCTION("""COMPUTED_VALUE"""),31.15)</f>
        <v>31.15</v>
      </c>
      <c r="F491" s="1">
        <f>IFERROR(__xludf.DUMMYFUNCTION("""COMPUTED_VALUE"""),2432066.0)</f>
        <v>2432066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IFERROR(__xludf.DUMMYFUNCTION("""COMPUTED_VALUE"""),30.94)</f>
        <v>30.94</v>
      </c>
      <c r="C492" s="1">
        <f>IFERROR(__xludf.DUMMYFUNCTION("""COMPUTED_VALUE"""),31.24)</f>
        <v>31.24</v>
      </c>
      <c r="D492" s="1">
        <f>IFERROR(__xludf.DUMMYFUNCTION("""COMPUTED_VALUE"""),30.6)</f>
        <v>30.6</v>
      </c>
      <c r="E492" s="1">
        <f>IFERROR(__xludf.DUMMYFUNCTION("""COMPUTED_VALUE"""),30.99)</f>
        <v>30.99</v>
      </c>
      <c r="F492" s="1">
        <f>IFERROR(__xludf.DUMMYFUNCTION("""COMPUTED_VALUE"""),1555702.0)</f>
        <v>1555702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IFERROR(__xludf.DUMMYFUNCTION("""COMPUTED_VALUE"""),31.15)</f>
        <v>31.15</v>
      </c>
      <c r="C493" s="1">
        <f>IFERROR(__xludf.DUMMYFUNCTION("""COMPUTED_VALUE"""),31.38)</f>
        <v>31.38</v>
      </c>
      <c r="D493" s="1">
        <f>IFERROR(__xludf.DUMMYFUNCTION("""COMPUTED_VALUE"""),30.21)</f>
        <v>30.21</v>
      </c>
      <c r="E493" s="1">
        <f>IFERROR(__xludf.DUMMYFUNCTION("""COMPUTED_VALUE"""),30.43)</f>
        <v>30.43</v>
      </c>
      <c r="F493" s="1">
        <f>IFERROR(__xludf.DUMMYFUNCTION("""COMPUTED_VALUE"""),1285413.0)</f>
        <v>1285413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IFERROR(__xludf.DUMMYFUNCTION("""COMPUTED_VALUE"""),30.26)</f>
        <v>30.26</v>
      </c>
      <c r="C494" s="1">
        <f>IFERROR(__xludf.DUMMYFUNCTION("""COMPUTED_VALUE"""),30.4)</f>
        <v>30.4</v>
      </c>
      <c r="D494" s="1">
        <f>IFERROR(__xludf.DUMMYFUNCTION("""COMPUTED_VALUE"""),29.8)</f>
        <v>29.8</v>
      </c>
      <c r="E494" s="1">
        <f>IFERROR(__xludf.DUMMYFUNCTION("""COMPUTED_VALUE"""),29.82)</f>
        <v>29.82</v>
      </c>
      <c r="F494" s="1">
        <f>IFERROR(__xludf.DUMMYFUNCTION("""COMPUTED_VALUE"""),1522793.0)</f>
        <v>1522793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IFERROR(__xludf.DUMMYFUNCTION("""COMPUTED_VALUE"""),30.3)</f>
        <v>30.3</v>
      </c>
      <c r="C495" s="1">
        <f>IFERROR(__xludf.DUMMYFUNCTION("""COMPUTED_VALUE"""),30.54)</f>
        <v>30.54</v>
      </c>
      <c r="D495" s="1">
        <f>IFERROR(__xludf.DUMMYFUNCTION("""COMPUTED_VALUE"""),30.01)</f>
        <v>30.01</v>
      </c>
      <c r="E495" s="1">
        <f>IFERROR(__xludf.DUMMYFUNCTION("""COMPUTED_VALUE"""),30.05)</f>
        <v>30.05</v>
      </c>
      <c r="F495" s="1">
        <f>IFERROR(__xludf.DUMMYFUNCTION("""COMPUTED_VALUE"""),3014734.0)</f>
        <v>3014734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IFERROR(__xludf.DUMMYFUNCTION("""COMPUTED_VALUE"""),30.27)</f>
        <v>30.27</v>
      </c>
      <c r="C496" s="1">
        <f>IFERROR(__xludf.DUMMYFUNCTION("""COMPUTED_VALUE"""),30.54)</f>
        <v>30.54</v>
      </c>
      <c r="D496" s="1">
        <f>IFERROR(__xludf.DUMMYFUNCTION("""COMPUTED_VALUE"""),30.1)</f>
        <v>30.1</v>
      </c>
      <c r="E496" s="1">
        <f>IFERROR(__xludf.DUMMYFUNCTION("""COMPUTED_VALUE"""),30.36)</f>
        <v>30.36</v>
      </c>
      <c r="F496" s="1">
        <f>IFERROR(__xludf.DUMMYFUNCTION("""COMPUTED_VALUE"""),2721840.0)</f>
        <v>2721840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IFERROR(__xludf.DUMMYFUNCTION("""COMPUTED_VALUE"""),30.64)</f>
        <v>30.64</v>
      </c>
      <c r="C497" s="1">
        <f>IFERROR(__xludf.DUMMYFUNCTION("""COMPUTED_VALUE"""),31.13)</f>
        <v>31.13</v>
      </c>
      <c r="D497" s="1">
        <f>IFERROR(__xludf.DUMMYFUNCTION("""COMPUTED_VALUE"""),30.02)</f>
        <v>30.02</v>
      </c>
      <c r="E497" s="1">
        <f>IFERROR(__xludf.DUMMYFUNCTION("""COMPUTED_VALUE"""),30.14)</f>
        <v>30.14</v>
      </c>
      <c r="F497" s="1">
        <f>IFERROR(__xludf.DUMMYFUNCTION("""COMPUTED_VALUE"""),2095176.0)</f>
        <v>2095176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IFERROR(__xludf.DUMMYFUNCTION("""COMPUTED_VALUE"""),30.72)</f>
        <v>30.72</v>
      </c>
      <c r="C498" s="1">
        <f>IFERROR(__xludf.DUMMYFUNCTION("""COMPUTED_VALUE"""),31.27)</f>
        <v>31.27</v>
      </c>
      <c r="D498" s="1">
        <f>IFERROR(__xludf.DUMMYFUNCTION("""COMPUTED_VALUE"""),30.63)</f>
        <v>30.63</v>
      </c>
      <c r="E498" s="1">
        <f>IFERROR(__xludf.DUMMYFUNCTION("""COMPUTED_VALUE"""),31.07)</f>
        <v>31.07</v>
      </c>
      <c r="F498" s="1">
        <f>IFERROR(__xludf.DUMMYFUNCTION("""COMPUTED_VALUE"""),2382026.0)</f>
        <v>2382026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IFERROR(__xludf.DUMMYFUNCTION("""COMPUTED_VALUE"""),29.88)</f>
        <v>29.88</v>
      </c>
      <c r="C499" s="1">
        <f>IFERROR(__xludf.DUMMYFUNCTION("""COMPUTED_VALUE"""),29.9)</f>
        <v>29.9</v>
      </c>
      <c r="D499" s="1">
        <f>IFERROR(__xludf.DUMMYFUNCTION("""COMPUTED_VALUE"""),28.53)</f>
        <v>28.53</v>
      </c>
      <c r="E499" s="1">
        <f>IFERROR(__xludf.DUMMYFUNCTION("""COMPUTED_VALUE"""),29.35)</f>
        <v>29.35</v>
      </c>
      <c r="F499" s="1">
        <f>IFERROR(__xludf.DUMMYFUNCTION("""COMPUTED_VALUE"""),5988309.0)</f>
        <v>5988309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IFERROR(__xludf.DUMMYFUNCTION("""COMPUTED_VALUE"""),29.29)</f>
        <v>29.29</v>
      </c>
      <c r="C500" s="1">
        <f>IFERROR(__xludf.DUMMYFUNCTION("""COMPUTED_VALUE"""),29.88)</f>
        <v>29.88</v>
      </c>
      <c r="D500" s="1">
        <f>IFERROR(__xludf.DUMMYFUNCTION("""COMPUTED_VALUE"""),29.29)</f>
        <v>29.29</v>
      </c>
      <c r="E500" s="1">
        <f>IFERROR(__xludf.DUMMYFUNCTION("""COMPUTED_VALUE"""),29.79)</f>
        <v>29.79</v>
      </c>
      <c r="F500" s="1">
        <f>IFERROR(__xludf.DUMMYFUNCTION("""COMPUTED_VALUE"""),2200026.0)</f>
        <v>2200026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IFERROR(__xludf.DUMMYFUNCTION("""COMPUTED_VALUE"""),29.81)</f>
        <v>29.81</v>
      </c>
      <c r="C501" s="1">
        <f>IFERROR(__xludf.DUMMYFUNCTION("""COMPUTED_VALUE"""),30.31)</f>
        <v>30.31</v>
      </c>
      <c r="D501" s="1">
        <f>IFERROR(__xludf.DUMMYFUNCTION("""COMPUTED_VALUE"""),29.75)</f>
        <v>29.75</v>
      </c>
      <c r="E501" s="1">
        <f>IFERROR(__xludf.DUMMYFUNCTION("""COMPUTED_VALUE"""),30.3)</f>
        <v>30.3</v>
      </c>
      <c r="F501" s="1">
        <f>IFERROR(__xludf.DUMMYFUNCTION("""COMPUTED_VALUE"""),1336877.0)</f>
        <v>1336877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IFERROR(__xludf.DUMMYFUNCTION("""COMPUTED_VALUE"""),30.26)</f>
        <v>30.26</v>
      </c>
      <c r="C502" s="1">
        <f>IFERROR(__xludf.DUMMYFUNCTION("""COMPUTED_VALUE"""),30.35)</f>
        <v>30.35</v>
      </c>
      <c r="D502" s="1">
        <f>IFERROR(__xludf.DUMMYFUNCTION("""COMPUTED_VALUE"""),30.12)</f>
        <v>30.12</v>
      </c>
      <c r="E502" s="1">
        <f>IFERROR(__xludf.DUMMYFUNCTION("""COMPUTED_VALUE"""),30.2)</f>
        <v>30.2</v>
      </c>
      <c r="F502" s="1">
        <f>IFERROR(__xludf.DUMMYFUNCTION("""COMPUTED_VALUE"""),968356.0)</f>
        <v>968356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IFERROR(__xludf.DUMMYFUNCTION("""COMPUTED_VALUE"""),30.15)</f>
        <v>30.15</v>
      </c>
      <c r="C503" s="1">
        <f>IFERROR(__xludf.DUMMYFUNCTION("""COMPUTED_VALUE"""),30.2)</f>
        <v>30.2</v>
      </c>
      <c r="D503" s="1">
        <f>IFERROR(__xludf.DUMMYFUNCTION("""COMPUTED_VALUE"""),29.69)</f>
        <v>29.69</v>
      </c>
      <c r="E503" s="1">
        <f>IFERROR(__xludf.DUMMYFUNCTION("""COMPUTED_VALUE"""),30.04)</f>
        <v>30.04</v>
      </c>
      <c r="F503" s="1">
        <f>IFERROR(__xludf.DUMMYFUNCTION("""COMPUTED_VALUE"""),1727970.0)</f>
        <v>1727970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IFERROR(__xludf.DUMMYFUNCTION("""COMPUTED_VALUE"""),30.17)</f>
        <v>30.17</v>
      </c>
      <c r="C504" s="1">
        <f>IFERROR(__xludf.DUMMYFUNCTION("""COMPUTED_VALUE"""),30.91)</f>
        <v>30.91</v>
      </c>
      <c r="D504" s="1">
        <f>IFERROR(__xludf.DUMMYFUNCTION("""COMPUTED_VALUE"""),30.14)</f>
        <v>30.14</v>
      </c>
      <c r="E504" s="1">
        <f>IFERROR(__xludf.DUMMYFUNCTION("""COMPUTED_VALUE"""),30.82)</f>
        <v>30.82</v>
      </c>
      <c r="F504" s="1">
        <f>IFERROR(__xludf.DUMMYFUNCTION("""COMPUTED_VALUE"""),1279702.0)</f>
        <v>1279702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IFERROR(__xludf.DUMMYFUNCTION("""COMPUTED_VALUE"""),30.67)</f>
        <v>30.67</v>
      </c>
      <c r="C505" s="1">
        <f>IFERROR(__xludf.DUMMYFUNCTION("""COMPUTED_VALUE"""),30.95)</f>
        <v>30.95</v>
      </c>
      <c r="D505" s="1">
        <f>IFERROR(__xludf.DUMMYFUNCTION("""COMPUTED_VALUE"""),30.27)</f>
        <v>30.27</v>
      </c>
      <c r="E505" s="1">
        <f>IFERROR(__xludf.DUMMYFUNCTION("""COMPUTED_VALUE"""),30.48)</f>
        <v>30.48</v>
      </c>
      <c r="F505" s="1">
        <f>IFERROR(__xludf.DUMMYFUNCTION("""COMPUTED_VALUE"""),1130130.0)</f>
        <v>1130130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IFERROR(__xludf.DUMMYFUNCTION("""COMPUTED_VALUE"""),30.82)</f>
        <v>30.82</v>
      </c>
      <c r="C506" s="1">
        <f>IFERROR(__xludf.DUMMYFUNCTION("""COMPUTED_VALUE"""),31.13)</f>
        <v>31.13</v>
      </c>
      <c r="D506" s="1">
        <f>IFERROR(__xludf.DUMMYFUNCTION("""COMPUTED_VALUE"""),30.39)</f>
        <v>30.39</v>
      </c>
      <c r="E506" s="1">
        <f>IFERROR(__xludf.DUMMYFUNCTION("""COMPUTED_VALUE"""),30.52)</f>
        <v>30.52</v>
      </c>
      <c r="F506" s="1">
        <f>IFERROR(__xludf.DUMMYFUNCTION("""COMPUTED_VALUE"""),2380197.0)</f>
        <v>2380197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IFERROR(__xludf.DUMMYFUNCTION("""COMPUTED_VALUE"""),30.44)</f>
        <v>30.44</v>
      </c>
      <c r="C507" s="1">
        <f>IFERROR(__xludf.DUMMYFUNCTION("""COMPUTED_VALUE"""),30.92)</f>
        <v>30.92</v>
      </c>
      <c r="D507" s="1">
        <f>IFERROR(__xludf.DUMMYFUNCTION("""COMPUTED_VALUE"""),30.32)</f>
        <v>30.32</v>
      </c>
      <c r="E507" s="1">
        <f>IFERROR(__xludf.DUMMYFUNCTION("""COMPUTED_VALUE"""),30.72)</f>
        <v>30.72</v>
      </c>
      <c r="F507" s="1">
        <f>IFERROR(__xludf.DUMMYFUNCTION("""COMPUTED_VALUE"""),1465895.0)</f>
        <v>1465895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IFERROR(__xludf.DUMMYFUNCTION("""COMPUTED_VALUE"""),30.54)</f>
        <v>30.54</v>
      </c>
      <c r="C508" s="1">
        <f>IFERROR(__xludf.DUMMYFUNCTION("""COMPUTED_VALUE"""),31.03)</f>
        <v>31.03</v>
      </c>
      <c r="D508" s="1">
        <f>IFERROR(__xludf.DUMMYFUNCTION("""COMPUTED_VALUE"""),29.99)</f>
        <v>29.99</v>
      </c>
      <c r="E508" s="1">
        <f>IFERROR(__xludf.DUMMYFUNCTION("""COMPUTED_VALUE"""),30.91)</f>
        <v>30.91</v>
      </c>
      <c r="F508" s="1">
        <f>IFERROR(__xludf.DUMMYFUNCTION("""COMPUTED_VALUE"""),2210137.0)</f>
        <v>2210137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IFERROR(__xludf.DUMMYFUNCTION("""COMPUTED_VALUE"""),30.9)</f>
        <v>30.9</v>
      </c>
      <c r="C509" s="1">
        <f>IFERROR(__xludf.DUMMYFUNCTION("""COMPUTED_VALUE"""),30.9)</f>
        <v>30.9</v>
      </c>
      <c r="D509" s="1">
        <f>IFERROR(__xludf.DUMMYFUNCTION("""COMPUTED_VALUE"""),30.29)</f>
        <v>30.29</v>
      </c>
      <c r="E509" s="1">
        <f>IFERROR(__xludf.DUMMYFUNCTION("""COMPUTED_VALUE"""),30.32)</f>
        <v>30.32</v>
      </c>
      <c r="F509" s="1">
        <f>IFERROR(__xludf.DUMMYFUNCTION("""COMPUTED_VALUE"""),2338553.0)</f>
        <v>2338553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IFERROR(__xludf.DUMMYFUNCTION("""COMPUTED_VALUE"""),30.44)</f>
        <v>30.44</v>
      </c>
      <c r="C510" s="1">
        <f>IFERROR(__xludf.DUMMYFUNCTION("""COMPUTED_VALUE"""),30.44)</f>
        <v>30.44</v>
      </c>
      <c r="D510" s="1">
        <f>IFERROR(__xludf.DUMMYFUNCTION("""COMPUTED_VALUE"""),29.85)</f>
        <v>29.85</v>
      </c>
      <c r="E510" s="1">
        <f>IFERROR(__xludf.DUMMYFUNCTION("""COMPUTED_VALUE"""),30.08)</f>
        <v>30.08</v>
      </c>
      <c r="F510" s="1">
        <f>IFERROR(__xludf.DUMMYFUNCTION("""COMPUTED_VALUE"""),2496372.0)</f>
        <v>2496372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IFERROR(__xludf.DUMMYFUNCTION("""COMPUTED_VALUE"""),30.35)</f>
        <v>30.35</v>
      </c>
      <c r="C511" s="1">
        <f>IFERROR(__xludf.DUMMYFUNCTION("""COMPUTED_VALUE"""),30.94)</f>
        <v>30.94</v>
      </c>
      <c r="D511" s="1">
        <f>IFERROR(__xludf.DUMMYFUNCTION("""COMPUTED_VALUE"""),30.25)</f>
        <v>30.25</v>
      </c>
      <c r="E511" s="1">
        <f>IFERROR(__xludf.DUMMYFUNCTION("""COMPUTED_VALUE"""),30.93)</f>
        <v>30.93</v>
      </c>
      <c r="F511" s="1">
        <f>IFERROR(__xludf.DUMMYFUNCTION("""COMPUTED_VALUE"""),3208697.0)</f>
        <v>3208697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IFERROR(__xludf.DUMMYFUNCTION("""COMPUTED_VALUE"""),30.89)</f>
        <v>30.89</v>
      </c>
      <c r="C512" s="1">
        <f>IFERROR(__xludf.DUMMYFUNCTION("""COMPUTED_VALUE"""),31.81)</f>
        <v>31.81</v>
      </c>
      <c r="D512" s="1">
        <f>IFERROR(__xludf.DUMMYFUNCTION("""COMPUTED_VALUE"""),30.86)</f>
        <v>30.86</v>
      </c>
      <c r="E512" s="1">
        <f>IFERROR(__xludf.DUMMYFUNCTION("""COMPUTED_VALUE"""),31.75)</f>
        <v>31.75</v>
      </c>
      <c r="F512" s="1">
        <f>IFERROR(__xludf.DUMMYFUNCTION("""COMPUTED_VALUE"""),1451887.0)</f>
        <v>1451887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IFERROR(__xludf.DUMMYFUNCTION("""COMPUTED_VALUE"""),31.88)</f>
        <v>31.88</v>
      </c>
      <c r="C513" s="1">
        <f>IFERROR(__xludf.DUMMYFUNCTION("""COMPUTED_VALUE"""),32.01)</f>
        <v>32.01</v>
      </c>
      <c r="D513" s="1">
        <f>IFERROR(__xludf.DUMMYFUNCTION("""COMPUTED_VALUE"""),31.45)</f>
        <v>31.45</v>
      </c>
      <c r="E513" s="1">
        <f>IFERROR(__xludf.DUMMYFUNCTION("""COMPUTED_VALUE"""),31.96)</f>
        <v>31.96</v>
      </c>
      <c r="F513" s="1">
        <f>IFERROR(__xludf.DUMMYFUNCTION("""COMPUTED_VALUE"""),1300042.0)</f>
        <v>1300042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IFERROR(__xludf.DUMMYFUNCTION("""COMPUTED_VALUE"""),31.8)</f>
        <v>31.8</v>
      </c>
      <c r="C514" s="1">
        <f>IFERROR(__xludf.DUMMYFUNCTION("""COMPUTED_VALUE"""),32.9)</f>
        <v>32.9</v>
      </c>
      <c r="D514" s="1">
        <f>IFERROR(__xludf.DUMMYFUNCTION("""COMPUTED_VALUE"""),31.8)</f>
        <v>31.8</v>
      </c>
      <c r="E514" s="1">
        <f>IFERROR(__xludf.DUMMYFUNCTION("""COMPUTED_VALUE"""),32.64)</f>
        <v>32.64</v>
      </c>
      <c r="F514" s="1">
        <f>IFERROR(__xludf.DUMMYFUNCTION("""COMPUTED_VALUE"""),2226163.0)</f>
        <v>2226163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IFERROR(__xludf.DUMMYFUNCTION("""COMPUTED_VALUE"""),32.9)</f>
        <v>32.9</v>
      </c>
      <c r="C515" s="1">
        <f>IFERROR(__xludf.DUMMYFUNCTION("""COMPUTED_VALUE"""),33.16)</f>
        <v>33.16</v>
      </c>
      <c r="D515" s="1">
        <f>IFERROR(__xludf.DUMMYFUNCTION("""COMPUTED_VALUE"""),32.31)</f>
        <v>32.31</v>
      </c>
      <c r="E515" s="1">
        <f>IFERROR(__xludf.DUMMYFUNCTION("""COMPUTED_VALUE"""),32.43)</f>
        <v>32.43</v>
      </c>
      <c r="F515" s="1">
        <f>IFERROR(__xludf.DUMMYFUNCTION("""COMPUTED_VALUE"""),1375228.0)</f>
        <v>1375228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IFERROR(__xludf.DUMMYFUNCTION("""COMPUTED_VALUE"""),32.42)</f>
        <v>32.42</v>
      </c>
      <c r="C516" s="1">
        <f>IFERROR(__xludf.DUMMYFUNCTION("""COMPUTED_VALUE"""),33.12)</f>
        <v>33.12</v>
      </c>
      <c r="D516" s="1">
        <f>IFERROR(__xludf.DUMMYFUNCTION("""COMPUTED_VALUE"""),32.3)</f>
        <v>32.3</v>
      </c>
      <c r="E516" s="1">
        <f>IFERROR(__xludf.DUMMYFUNCTION("""COMPUTED_VALUE"""),33.02)</f>
        <v>33.02</v>
      </c>
      <c r="F516" s="1">
        <f>IFERROR(__xludf.DUMMYFUNCTION("""COMPUTED_VALUE"""),1890866.0)</f>
        <v>1890866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IFERROR(__xludf.DUMMYFUNCTION("""COMPUTED_VALUE"""),33.15)</f>
        <v>33.15</v>
      </c>
      <c r="C517" s="1">
        <f>IFERROR(__xludf.DUMMYFUNCTION("""COMPUTED_VALUE"""),33.48)</f>
        <v>33.48</v>
      </c>
      <c r="D517" s="1">
        <f>IFERROR(__xludf.DUMMYFUNCTION("""COMPUTED_VALUE"""),33.08)</f>
        <v>33.08</v>
      </c>
      <c r="E517" s="1">
        <f>IFERROR(__xludf.DUMMYFUNCTION("""COMPUTED_VALUE"""),33.25)</f>
        <v>33.25</v>
      </c>
      <c r="F517" s="1">
        <f>IFERROR(__xludf.DUMMYFUNCTION("""COMPUTED_VALUE"""),2301012.0)</f>
        <v>2301012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IFERROR(__xludf.DUMMYFUNCTION("""COMPUTED_VALUE"""),33.08)</f>
        <v>33.08</v>
      </c>
      <c r="C518" s="1">
        <f>IFERROR(__xludf.DUMMYFUNCTION("""COMPUTED_VALUE"""),33.21)</f>
        <v>33.21</v>
      </c>
      <c r="D518" s="1">
        <f>IFERROR(__xludf.DUMMYFUNCTION("""COMPUTED_VALUE"""),32.38)</f>
        <v>32.38</v>
      </c>
      <c r="E518" s="1">
        <f>IFERROR(__xludf.DUMMYFUNCTION("""COMPUTED_VALUE"""),32.45)</f>
        <v>32.45</v>
      </c>
      <c r="F518" s="1">
        <f>IFERROR(__xludf.DUMMYFUNCTION("""COMPUTED_VALUE"""),2280938.0)</f>
        <v>2280938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IFERROR(__xludf.DUMMYFUNCTION("""COMPUTED_VALUE"""),32.45)</f>
        <v>32.45</v>
      </c>
      <c r="C519" s="1">
        <f>IFERROR(__xludf.DUMMYFUNCTION("""COMPUTED_VALUE"""),33.09)</f>
        <v>33.09</v>
      </c>
      <c r="D519" s="1">
        <f>IFERROR(__xludf.DUMMYFUNCTION("""COMPUTED_VALUE"""),32.45)</f>
        <v>32.45</v>
      </c>
      <c r="E519" s="1">
        <f>IFERROR(__xludf.DUMMYFUNCTION("""COMPUTED_VALUE"""),32.7)</f>
        <v>32.7</v>
      </c>
      <c r="F519" s="1">
        <f>IFERROR(__xludf.DUMMYFUNCTION("""COMPUTED_VALUE"""),1658215.0)</f>
        <v>1658215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IFERROR(__xludf.DUMMYFUNCTION("""COMPUTED_VALUE"""),32.49)</f>
        <v>32.49</v>
      </c>
      <c r="C520" s="1">
        <f>IFERROR(__xludf.DUMMYFUNCTION("""COMPUTED_VALUE"""),32.75)</f>
        <v>32.75</v>
      </c>
      <c r="D520" s="1">
        <f>IFERROR(__xludf.DUMMYFUNCTION("""COMPUTED_VALUE"""),32.41)</f>
        <v>32.41</v>
      </c>
      <c r="E520" s="1">
        <f>IFERROR(__xludf.DUMMYFUNCTION("""COMPUTED_VALUE"""),32.57)</f>
        <v>32.57</v>
      </c>
      <c r="F520" s="1">
        <f>IFERROR(__xludf.DUMMYFUNCTION("""COMPUTED_VALUE"""),1365751.0)</f>
        <v>1365751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IFERROR(__xludf.DUMMYFUNCTION("""COMPUTED_VALUE"""),32.51)</f>
        <v>32.51</v>
      </c>
      <c r="C521" s="1">
        <f>IFERROR(__xludf.DUMMYFUNCTION("""COMPUTED_VALUE"""),32.51)</f>
        <v>32.51</v>
      </c>
      <c r="D521" s="1">
        <f>IFERROR(__xludf.DUMMYFUNCTION("""COMPUTED_VALUE"""),31.62)</f>
        <v>31.62</v>
      </c>
      <c r="E521" s="1">
        <f>IFERROR(__xludf.DUMMYFUNCTION("""COMPUTED_VALUE"""),32.35)</f>
        <v>32.35</v>
      </c>
      <c r="F521" s="1">
        <f>IFERROR(__xludf.DUMMYFUNCTION("""COMPUTED_VALUE"""),3460212.0)</f>
        <v>3460212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IFERROR(__xludf.DUMMYFUNCTION("""COMPUTED_VALUE"""),32.57)</f>
        <v>32.57</v>
      </c>
      <c r="C522" s="1">
        <f>IFERROR(__xludf.DUMMYFUNCTION("""COMPUTED_VALUE"""),32.62)</f>
        <v>32.62</v>
      </c>
      <c r="D522" s="1">
        <f>IFERROR(__xludf.DUMMYFUNCTION("""COMPUTED_VALUE"""),31.59)</f>
        <v>31.59</v>
      </c>
      <c r="E522" s="1">
        <f>IFERROR(__xludf.DUMMYFUNCTION("""COMPUTED_VALUE"""),31.77)</f>
        <v>31.77</v>
      </c>
      <c r="F522" s="1">
        <f>IFERROR(__xludf.DUMMYFUNCTION("""COMPUTED_VALUE"""),1783677.0)</f>
        <v>1783677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IFERROR(__xludf.DUMMYFUNCTION("""COMPUTED_VALUE"""),31.72)</f>
        <v>31.72</v>
      </c>
      <c r="C523" s="1">
        <f>IFERROR(__xludf.DUMMYFUNCTION("""COMPUTED_VALUE"""),31.81)</f>
        <v>31.81</v>
      </c>
      <c r="D523" s="1">
        <f>IFERROR(__xludf.DUMMYFUNCTION("""COMPUTED_VALUE"""),31.12)</f>
        <v>31.12</v>
      </c>
      <c r="E523" s="1">
        <f>IFERROR(__xludf.DUMMYFUNCTION("""COMPUTED_VALUE"""),31.43)</f>
        <v>31.43</v>
      </c>
      <c r="F523" s="1">
        <f>IFERROR(__xludf.DUMMYFUNCTION("""COMPUTED_VALUE"""),1843522.0)</f>
        <v>1843522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IFERROR(__xludf.DUMMYFUNCTION("""COMPUTED_VALUE"""),31.26)</f>
        <v>31.26</v>
      </c>
      <c r="C524" s="1">
        <f>IFERROR(__xludf.DUMMYFUNCTION("""COMPUTED_VALUE"""),31.48)</f>
        <v>31.48</v>
      </c>
      <c r="D524" s="1">
        <f>IFERROR(__xludf.DUMMYFUNCTION("""COMPUTED_VALUE"""),31.14)</f>
        <v>31.14</v>
      </c>
      <c r="E524" s="1">
        <f>IFERROR(__xludf.DUMMYFUNCTION("""COMPUTED_VALUE"""),31.29)</f>
        <v>31.29</v>
      </c>
      <c r="F524" s="1">
        <f>IFERROR(__xludf.DUMMYFUNCTION("""COMPUTED_VALUE"""),1431720.0)</f>
        <v>1431720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IFERROR(__xludf.DUMMYFUNCTION("""COMPUTED_VALUE"""),31.42)</f>
        <v>31.42</v>
      </c>
      <c r="C525" s="1">
        <f>IFERROR(__xludf.DUMMYFUNCTION("""COMPUTED_VALUE"""),31.44)</f>
        <v>31.44</v>
      </c>
      <c r="D525" s="1">
        <f>IFERROR(__xludf.DUMMYFUNCTION("""COMPUTED_VALUE"""),30.28)</f>
        <v>30.28</v>
      </c>
      <c r="E525" s="1">
        <f>IFERROR(__xludf.DUMMYFUNCTION("""COMPUTED_VALUE"""),30.43)</f>
        <v>30.43</v>
      </c>
      <c r="F525" s="1">
        <f>IFERROR(__xludf.DUMMYFUNCTION("""COMPUTED_VALUE"""),1982856.0)</f>
        <v>1982856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IFERROR(__xludf.DUMMYFUNCTION("""COMPUTED_VALUE"""),30.75)</f>
        <v>30.75</v>
      </c>
      <c r="C526" s="1">
        <f>IFERROR(__xludf.DUMMYFUNCTION("""COMPUTED_VALUE"""),30.84)</f>
        <v>30.84</v>
      </c>
      <c r="D526" s="1">
        <f>IFERROR(__xludf.DUMMYFUNCTION("""COMPUTED_VALUE"""),30.47)</f>
        <v>30.47</v>
      </c>
      <c r="E526" s="1">
        <f>IFERROR(__xludf.DUMMYFUNCTION("""COMPUTED_VALUE"""),30.5)</f>
        <v>30.5</v>
      </c>
      <c r="F526" s="1">
        <f>IFERROR(__xludf.DUMMYFUNCTION("""COMPUTED_VALUE"""),2063838.0)</f>
        <v>2063838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IFERROR(__xludf.DUMMYFUNCTION("""COMPUTED_VALUE"""),30.57)</f>
        <v>30.57</v>
      </c>
      <c r="C527" s="1">
        <f>IFERROR(__xludf.DUMMYFUNCTION("""COMPUTED_VALUE"""),30.69)</f>
        <v>30.69</v>
      </c>
      <c r="D527" s="1">
        <f>IFERROR(__xludf.DUMMYFUNCTION("""COMPUTED_VALUE"""),30.4)</f>
        <v>30.4</v>
      </c>
      <c r="E527" s="1">
        <f>IFERROR(__xludf.DUMMYFUNCTION("""COMPUTED_VALUE"""),30.55)</f>
        <v>30.55</v>
      </c>
      <c r="F527" s="1">
        <f>IFERROR(__xludf.DUMMYFUNCTION("""COMPUTED_VALUE"""),1464639.0)</f>
        <v>1464639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IFERROR(__xludf.DUMMYFUNCTION("""COMPUTED_VALUE"""),30.27)</f>
        <v>30.27</v>
      </c>
      <c r="C528" s="1">
        <f>IFERROR(__xludf.DUMMYFUNCTION("""COMPUTED_VALUE"""),30.55)</f>
        <v>30.55</v>
      </c>
      <c r="D528" s="1">
        <f>IFERROR(__xludf.DUMMYFUNCTION("""COMPUTED_VALUE"""),29.51)</f>
        <v>29.51</v>
      </c>
      <c r="E528" s="1">
        <f>IFERROR(__xludf.DUMMYFUNCTION("""COMPUTED_VALUE"""),29.7)</f>
        <v>29.7</v>
      </c>
      <c r="F528" s="1">
        <f>IFERROR(__xludf.DUMMYFUNCTION("""COMPUTED_VALUE"""),6375343.0)</f>
        <v>6375343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IFERROR(__xludf.DUMMYFUNCTION("""COMPUTED_VALUE"""),29.52)</f>
        <v>29.52</v>
      </c>
      <c r="C529" s="1">
        <f>IFERROR(__xludf.DUMMYFUNCTION("""COMPUTED_VALUE"""),30.57)</f>
        <v>30.57</v>
      </c>
      <c r="D529" s="1">
        <f>IFERROR(__xludf.DUMMYFUNCTION("""COMPUTED_VALUE"""),29.33)</f>
        <v>29.33</v>
      </c>
      <c r="E529" s="1">
        <f>IFERROR(__xludf.DUMMYFUNCTION("""COMPUTED_VALUE"""),30.32)</f>
        <v>30.32</v>
      </c>
      <c r="F529" s="1">
        <f>IFERROR(__xludf.DUMMYFUNCTION("""COMPUTED_VALUE"""),2556726.0)</f>
        <v>2556726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IFERROR(__xludf.DUMMYFUNCTION("""COMPUTED_VALUE"""),30.05)</f>
        <v>30.05</v>
      </c>
      <c r="C530" s="1">
        <f>IFERROR(__xludf.DUMMYFUNCTION("""COMPUTED_VALUE"""),30.41)</f>
        <v>30.41</v>
      </c>
      <c r="D530" s="1">
        <f>IFERROR(__xludf.DUMMYFUNCTION("""COMPUTED_VALUE"""),29.53)</f>
        <v>29.53</v>
      </c>
      <c r="E530" s="1">
        <f>IFERROR(__xludf.DUMMYFUNCTION("""COMPUTED_VALUE"""),30.36)</f>
        <v>30.36</v>
      </c>
      <c r="F530" s="1">
        <f>IFERROR(__xludf.DUMMYFUNCTION("""COMPUTED_VALUE"""),1792814.0)</f>
        <v>1792814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IFERROR(__xludf.DUMMYFUNCTION("""COMPUTED_VALUE"""),30.36)</f>
        <v>30.36</v>
      </c>
      <c r="C531" s="1">
        <f>IFERROR(__xludf.DUMMYFUNCTION("""COMPUTED_VALUE"""),30.65)</f>
        <v>30.65</v>
      </c>
      <c r="D531" s="1">
        <f>IFERROR(__xludf.DUMMYFUNCTION("""COMPUTED_VALUE"""),29.89)</f>
        <v>29.89</v>
      </c>
      <c r="E531" s="1">
        <f>IFERROR(__xludf.DUMMYFUNCTION("""COMPUTED_VALUE"""),29.92)</f>
        <v>29.92</v>
      </c>
      <c r="F531" s="1">
        <f>IFERROR(__xludf.DUMMYFUNCTION("""COMPUTED_VALUE"""),1547855.0)</f>
        <v>1547855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IFERROR(__xludf.DUMMYFUNCTION("""COMPUTED_VALUE"""),29.99)</f>
        <v>29.99</v>
      </c>
      <c r="C532" s="1">
        <f>IFERROR(__xludf.DUMMYFUNCTION("""COMPUTED_VALUE"""),30.43)</f>
        <v>30.43</v>
      </c>
      <c r="D532" s="1">
        <f>IFERROR(__xludf.DUMMYFUNCTION("""COMPUTED_VALUE"""),29.71)</f>
        <v>29.71</v>
      </c>
      <c r="E532" s="1">
        <f>IFERROR(__xludf.DUMMYFUNCTION("""COMPUTED_VALUE"""),30.41)</f>
        <v>30.41</v>
      </c>
      <c r="F532" s="1">
        <f>IFERROR(__xludf.DUMMYFUNCTION("""COMPUTED_VALUE"""),1265984.0)</f>
        <v>1265984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IFERROR(__xludf.DUMMYFUNCTION("""COMPUTED_VALUE"""),30.11)</f>
        <v>30.11</v>
      </c>
      <c r="C533" s="1">
        <f>IFERROR(__xludf.DUMMYFUNCTION("""COMPUTED_VALUE"""),30.2)</f>
        <v>30.2</v>
      </c>
      <c r="D533" s="1">
        <f>IFERROR(__xludf.DUMMYFUNCTION("""COMPUTED_VALUE"""),29.64)</f>
        <v>29.64</v>
      </c>
      <c r="E533" s="1">
        <f>IFERROR(__xludf.DUMMYFUNCTION("""COMPUTED_VALUE"""),29.91)</f>
        <v>29.91</v>
      </c>
      <c r="F533" s="1">
        <f>IFERROR(__xludf.DUMMYFUNCTION("""COMPUTED_VALUE"""),1536286.0)</f>
        <v>1536286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IFERROR(__xludf.DUMMYFUNCTION("""COMPUTED_VALUE"""),30.12)</f>
        <v>30.12</v>
      </c>
      <c r="C534" s="1">
        <f>IFERROR(__xludf.DUMMYFUNCTION("""COMPUTED_VALUE"""),30.34)</f>
        <v>30.34</v>
      </c>
      <c r="D534" s="1">
        <f>IFERROR(__xludf.DUMMYFUNCTION("""COMPUTED_VALUE"""),29.56)</f>
        <v>29.56</v>
      </c>
      <c r="E534" s="1">
        <f>IFERROR(__xludf.DUMMYFUNCTION("""COMPUTED_VALUE"""),29.62)</f>
        <v>29.62</v>
      </c>
      <c r="F534" s="1">
        <f>IFERROR(__xludf.DUMMYFUNCTION("""COMPUTED_VALUE"""),1428098.0)</f>
        <v>1428098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IFERROR(__xludf.DUMMYFUNCTION("""COMPUTED_VALUE"""),29.44)</f>
        <v>29.44</v>
      </c>
      <c r="C535" s="1">
        <f>IFERROR(__xludf.DUMMYFUNCTION("""COMPUTED_VALUE"""),29.76)</f>
        <v>29.76</v>
      </c>
      <c r="D535" s="1">
        <f>IFERROR(__xludf.DUMMYFUNCTION("""COMPUTED_VALUE"""),29.36)</f>
        <v>29.36</v>
      </c>
      <c r="E535" s="1">
        <f>IFERROR(__xludf.DUMMYFUNCTION("""COMPUTED_VALUE"""),29.72)</f>
        <v>29.72</v>
      </c>
      <c r="F535" s="1">
        <f>IFERROR(__xludf.DUMMYFUNCTION("""COMPUTED_VALUE"""),738804.0)</f>
        <v>738804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IFERROR(__xludf.DUMMYFUNCTION("""COMPUTED_VALUE"""),29.84)</f>
        <v>29.84</v>
      </c>
      <c r="C536" s="1">
        <f>IFERROR(__xludf.DUMMYFUNCTION("""COMPUTED_VALUE"""),29.84)</f>
        <v>29.84</v>
      </c>
      <c r="D536" s="1">
        <f>IFERROR(__xludf.DUMMYFUNCTION("""COMPUTED_VALUE"""),29.03)</f>
        <v>29.03</v>
      </c>
      <c r="E536" s="1">
        <f>IFERROR(__xludf.DUMMYFUNCTION("""COMPUTED_VALUE"""),29.09)</f>
        <v>29.09</v>
      </c>
      <c r="F536" s="1">
        <f>IFERROR(__xludf.DUMMYFUNCTION("""COMPUTED_VALUE"""),1831917.0)</f>
        <v>1831917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IFERROR(__xludf.DUMMYFUNCTION("""COMPUTED_VALUE"""),29.07)</f>
        <v>29.07</v>
      </c>
      <c r="C537" s="1">
        <f>IFERROR(__xludf.DUMMYFUNCTION("""COMPUTED_VALUE"""),29.76)</f>
        <v>29.76</v>
      </c>
      <c r="D537" s="1">
        <f>IFERROR(__xludf.DUMMYFUNCTION("""COMPUTED_VALUE"""),29.07)</f>
        <v>29.07</v>
      </c>
      <c r="E537" s="1">
        <f>IFERROR(__xludf.DUMMYFUNCTION("""COMPUTED_VALUE"""),29.66)</f>
        <v>29.66</v>
      </c>
      <c r="F537" s="1">
        <f>IFERROR(__xludf.DUMMYFUNCTION("""COMPUTED_VALUE"""),1600488.0)</f>
        <v>1600488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IFERROR(__xludf.DUMMYFUNCTION("""COMPUTED_VALUE"""),29.85)</f>
        <v>29.85</v>
      </c>
      <c r="C538" s="1">
        <f>IFERROR(__xludf.DUMMYFUNCTION("""COMPUTED_VALUE"""),30.3)</f>
        <v>30.3</v>
      </c>
      <c r="D538" s="1">
        <f>IFERROR(__xludf.DUMMYFUNCTION("""COMPUTED_VALUE"""),29.81)</f>
        <v>29.81</v>
      </c>
      <c r="E538" s="1">
        <f>IFERROR(__xludf.DUMMYFUNCTION("""COMPUTED_VALUE"""),30.18)</f>
        <v>30.18</v>
      </c>
      <c r="F538" s="1">
        <f>IFERROR(__xludf.DUMMYFUNCTION("""COMPUTED_VALUE"""),1429244.0)</f>
        <v>1429244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IFERROR(__xludf.DUMMYFUNCTION("""COMPUTED_VALUE"""),30.2)</f>
        <v>30.2</v>
      </c>
      <c r="C539" s="1">
        <f>IFERROR(__xludf.DUMMYFUNCTION("""COMPUTED_VALUE"""),30.35)</f>
        <v>30.35</v>
      </c>
      <c r="D539" s="1">
        <f>IFERROR(__xludf.DUMMYFUNCTION("""COMPUTED_VALUE"""),29.88)</f>
        <v>29.88</v>
      </c>
      <c r="E539" s="1">
        <f>IFERROR(__xludf.DUMMYFUNCTION("""COMPUTED_VALUE"""),29.95)</f>
        <v>29.95</v>
      </c>
      <c r="F539" s="1">
        <f>IFERROR(__xludf.DUMMYFUNCTION("""COMPUTED_VALUE"""),1111636.0)</f>
        <v>1111636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IFERROR(__xludf.DUMMYFUNCTION("""COMPUTED_VALUE"""),30.01)</f>
        <v>30.01</v>
      </c>
      <c r="C540" s="1">
        <f>IFERROR(__xludf.DUMMYFUNCTION("""COMPUTED_VALUE"""),30.8)</f>
        <v>30.8</v>
      </c>
      <c r="D540" s="1">
        <f>IFERROR(__xludf.DUMMYFUNCTION("""COMPUTED_VALUE"""),30.01)</f>
        <v>30.01</v>
      </c>
      <c r="E540" s="1">
        <f>IFERROR(__xludf.DUMMYFUNCTION("""COMPUTED_VALUE"""),30.39)</f>
        <v>30.39</v>
      </c>
      <c r="F540" s="1">
        <f>IFERROR(__xludf.DUMMYFUNCTION("""COMPUTED_VALUE"""),2014326.0)</f>
        <v>2014326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IFERROR(__xludf.DUMMYFUNCTION("""COMPUTED_VALUE"""),30.34)</f>
        <v>30.34</v>
      </c>
      <c r="C541" s="1">
        <f>IFERROR(__xludf.DUMMYFUNCTION("""COMPUTED_VALUE"""),30.51)</f>
        <v>30.51</v>
      </c>
      <c r="D541" s="1">
        <f>IFERROR(__xludf.DUMMYFUNCTION("""COMPUTED_VALUE"""),30.07)</f>
        <v>30.07</v>
      </c>
      <c r="E541" s="1">
        <f>IFERROR(__xludf.DUMMYFUNCTION("""COMPUTED_VALUE"""),30.22)</f>
        <v>30.22</v>
      </c>
      <c r="F541" s="1">
        <f>IFERROR(__xludf.DUMMYFUNCTION("""COMPUTED_VALUE"""),1324000.0)</f>
        <v>1324000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IFERROR(__xludf.DUMMYFUNCTION("""COMPUTED_VALUE"""),30.16)</f>
        <v>30.16</v>
      </c>
      <c r="C542" s="1">
        <f>IFERROR(__xludf.DUMMYFUNCTION("""COMPUTED_VALUE"""),30.49)</f>
        <v>30.49</v>
      </c>
      <c r="D542" s="1">
        <f>IFERROR(__xludf.DUMMYFUNCTION("""COMPUTED_VALUE"""),29.8)</f>
        <v>29.8</v>
      </c>
      <c r="E542" s="1">
        <f>IFERROR(__xludf.DUMMYFUNCTION("""COMPUTED_VALUE"""),30.18)</f>
        <v>30.18</v>
      </c>
      <c r="F542" s="1">
        <f>IFERROR(__xludf.DUMMYFUNCTION("""COMPUTED_VALUE"""),1020428.0)</f>
        <v>1020428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IFERROR(__xludf.DUMMYFUNCTION("""COMPUTED_VALUE"""),29.97)</f>
        <v>29.97</v>
      </c>
      <c r="C543" s="1">
        <f>IFERROR(__xludf.DUMMYFUNCTION("""COMPUTED_VALUE"""),30.78)</f>
        <v>30.78</v>
      </c>
      <c r="D543" s="1">
        <f>IFERROR(__xludf.DUMMYFUNCTION("""COMPUTED_VALUE"""),29.84)</f>
        <v>29.84</v>
      </c>
      <c r="E543" s="1">
        <f>IFERROR(__xludf.DUMMYFUNCTION("""COMPUTED_VALUE"""),30.67)</f>
        <v>30.67</v>
      </c>
      <c r="F543" s="1">
        <f>IFERROR(__xludf.DUMMYFUNCTION("""COMPUTED_VALUE"""),1024179.0)</f>
        <v>1024179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IFERROR(__xludf.DUMMYFUNCTION("""COMPUTED_VALUE"""),30.74)</f>
        <v>30.74</v>
      </c>
      <c r="C544" s="1">
        <f>IFERROR(__xludf.DUMMYFUNCTION("""COMPUTED_VALUE"""),31.11)</f>
        <v>31.11</v>
      </c>
      <c r="D544" s="1">
        <f>IFERROR(__xludf.DUMMYFUNCTION("""COMPUTED_VALUE"""),30.56)</f>
        <v>30.56</v>
      </c>
      <c r="E544" s="1">
        <f>IFERROR(__xludf.DUMMYFUNCTION("""COMPUTED_VALUE"""),31.09)</f>
        <v>31.09</v>
      </c>
      <c r="F544" s="1">
        <f>IFERROR(__xludf.DUMMYFUNCTION("""COMPUTED_VALUE"""),1265856.0)</f>
        <v>1265856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IFERROR(__xludf.DUMMYFUNCTION("""COMPUTED_VALUE"""),31.08)</f>
        <v>31.08</v>
      </c>
      <c r="C545" s="1">
        <f>IFERROR(__xludf.DUMMYFUNCTION("""COMPUTED_VALUE"""),31.22)</f>
        <v>31.22</v>
      </c>
      <c r="D545" s="1">
        <f>IFERROR(__xludf.DUMMYFUNCTION("""COMPUTED_VALUE"""),30.68)</f>
        <v>30.68</v>
      </c>
      <c r="E545" s="1">
        <f>IFERROR(__xludf.DUMMYFUNCTION("""COMPUTED_VALUE"""),30.69)</f>
        <v>30.69</v>
      </c>
      <c r="F545" s="1">
        <f>IFERROR(__xludf.DUMMYFUNCTION("""COMPUTED_VALUE"""),1189143.0)</f>
        <v>1189143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IFERROR(__xludf.DUMMYFUNCTION("""COMPUTED_VALUE"""),30.73)</f>
        <v>30.73</v>
      </c>
      <c r="C546" s="1">
        <f>IFERROR(__xludf.DUMMYFUNCTION("""COMPUTED_VALUE"""),31.21)</f>
        <v>31.21</v>
      </c>
      <c r="D546" s="1">
        <f>IFERROR(__xludf.DUMMYFUNCTION("""COMPUTED_VALUE"""),30.71)</f>
        <v>30.71</v>
      </c>
      <c r="E546" s="1">
        <f>IFERROR(__xludf.DUMMYFUNCTION("""COMPUTED_VALUE"""),31.12)</f>
        <v>31.12</v>
      </c>
      <c r="F546" s="1">
        <f>IFERROR(__xludf.DUMMYFUNCTION("""COMPUTED_VALUE"""),1092250.0)</f>
        <v>1092250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IFERROR(__xludf.DUMMYFUNCTION("""COMPUTED_VALUE"""),32.59)</f>
        <v>32.59</v>
      </c>
      <c r="C547" s="1">
        <f>IFERROR(__xludf.DUMMYFUNCTION("""COMPUTED_VALUE"""),33.15)</f>
        <v>33.15</v>
      </c>
      <c r="D547" s="1">
        <f>IFERROR(__xludf.DUMMYFUNCTION("""COMPUTED_VALUE"""),32.15)</f>
        <v>32.15</v>
      </c>
      <c r="E547" s="1">
        <f>IFERROR(__xludf.DUMMYFUNCTION("""COMPUTED_VALUE"""),32.24)</f>
        <v>32.24</v>
      </c>
      <c r="F547" s="1">
        <f>IFERROR(__xludf.DUMMYFUNCTION("""COMPUTED_VALUE"""),4930311.0)</f>
        <v>4930311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IFERROR(__xludf.DUMMYFUNCTION("""COMPUTED_VALUE"""),32.1)</f>
        <v>32.1</v>
      </c>
      <c r="C548" s="1">
        <f>IFERROR(__xludf.DUMMYFUNCTION("""COMPUTED_VALUE"""),32.17)</f>
        <v>32.17</v>
      </c>
      <c r="D548" s="1">
        <f>IFERROR(__xludf.DUMMYFUNCTION("""COMPUTED_VALUE"""),31.73)</f>
        <v>31.73</v>
      </c>
      <c r="E548" s="1">
        <f>IFERROR(__xludf.DUMMYFUNCTION("""COMPUTED_VALUE"""),32.1)</f>
        <v>32.1</v>
      </c>
      <c r="F548" s="1">
        <f>IFERROR(__xludf.DUMMYFUNCTION("""COMPUTED_VALUE"""),1890959.0)</f>
        <v>1890959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IFERROR(__xludf.DUMMYFUNCTION("""COMPUTED_VALUE"""),31.69)</f>
        <v>31.69</v>
      </c>
      <c r="C549" s="1">
        <f>IFERROR(__xludf.DUMMYFUNCTION("""COMPUTED_VALUE"""),32.24)</f>
        <v>32.24</v>
      </c>
      <c r="D549" s="1">
        <f>IFERROR(__xludf.DUMMYFUNCTION("""COMPUTED_VALUE"""),31.51)</f>
        <v>31.51</v>
      </c>
      <c r="E549" s="1">
        <f>IFERROR(__xludf.DUMMYFUNCTION("""COMPUTED_VALUE"""),32.07)</f>
        <v>32.07</v>
      </c>
      <c r="F549" s="1">
        <f>IFERROR(__xludf.DUMMYFUNCTION("""COMPUTED_VALUE"""),2350319.0)</f>
        <v>2350319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IFERROR(__xludf.DUMMYFUNCTION("""COMPUTED_VALUE"""),32.13)</f>
        <v>32.13</v>
      </c>
      <c r="C550" s="1">
        <f>IFERROR(__xludf.DUMMYFUNCTION("""COMPUTED_VALUE"""),32.75)</f>
        <v>32.75</v>
      </c>
      <c r="D550" s="1">
        <f>IFERROR(__xludf.DUMMYFUNCTION("""COMPUTED_VALUE"""),32.0)</f>
        <v>32</v>
      </c>
      <c r="E550" s="1">
        <f>IFERROR(__xludf.DUMMYFUNCTION("""COMPUTED_VALUE"""),32.66)</f>
        <v>32.66</v>
      </c>
      <c r="F550" s="1">
        <f>IFERROR(__xludf.DUMMYFUNCTION("""COMPUTED_VALUE"""),1994495.0)</f>
        <v>1994495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IFERROR(__xludf.DUMMYFUNCTION("""COMPUTED_VALUE"""),33.06)</f>
        <v>33.06</v>
      </c>
      <c r="C551" s="1">
        <f>IFERROR(__xludf.DUMMYFUNCTION("""COMPUTED_VALUE"""),33.88)</f>
        <v>33.88</v>
      </c>
      <c r="D551" s="1">
        <f>IFERROR(__xludf.DUMMYFUNCTION("""COMPUTED_VALUE"""),32.83)</f>
        <v>32.83</v>
      </c>
      <c r="E551" s="1">
        <f>IFERROR(__xludf.DUMMYFUNCTION("""COMPUTED_VALUE"""),33.58)</f>
        <v>33.58</v>
      </c>
      <c r="F551" s="1">
        <f>IFERROR(__xludf.DUMMYFUNCTION("""COMPUTED_VALUE"""),2376061.0)</f>
        <v>2376061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IFERROR(__xludf.DUMMYFUNCTION("""COMPUTED_VALUE"""),33.59)</f>
        <v>33.59</v>
      </c>
      <c r="C552" s="1">
        <f>IFERROR(__xludf.DUMMYFUNCTION("""COMPUTED_VALUE"""),33.72)</f>
        <v>33.72</v>
      </c>
      <c r="D552" s="1">
        <f>IFERROR(__xludf.DUMMYFUNCTION("""COMPUTED_VALUE"""),33.15)</f>
        <v>33.15</v>
      </c>
      <c r="E552" s="1">
        <f>IFERROR(__xludf.DUMMYFUNCTION("""COMPUTED_VALUE"""),33.67)</f>
        <v>33.67</v>
      </c>
      <c r="F552" s="1">
        <f>IFERROR(__xludf.DUMMYFUNCTION("""COMPUTED_VALUE"""),1671767.0)</f>
        <v>1671767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IFERROR(__xludf.DUMMYFUNCTION("""COMPUTED_VALUE"""),33.62)</f>
        <v>33.62</v>
      </c>
      <c r="C553" s="1">
        <f>IFERROR(__xludf.DUMMYFUNCTION("""COMPUTED_VALUE"""),33.92)</f>
        <v>33.92</v>
      </c>
      <c r="D553" s="1">
        <f>IFERROR(__xludf.DUMMYFUNCTION("""COMPUTED_VALUE"""),33.26)</f>
        <v>33.26</v>
      </c>
      <c r="E553" s="1">
        <f>IFERROR(__xludf.DUMMYFUNCTION("""COMPUTED_VALUE"""),33.38)</f>
        <v>33.38</v>
      </c>
      <c r="F553" s="1">
        <f>IFERROR(__xludf.DUMMYFUNCTION("""COMPUTED_VALUE"""),1103151.0)</f>
        <v>1103151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IFERROR(__xludf.DUMMYFUNCTION("""COMPUTED_VALUE"""),33.69)</f>
        <v>33.69</v>
      </c>
      <c r="C554" s="1">
        <f>IFERROR(__xludf.DUMMYFUNCTION("""COMPUTED_VALUE"""),34.12)</f>
        <v>34.12</v>
      </c>
      <c r="D554" s="1">
        <f>IFERROR(__xludf.DUMMYFUNCTION("""COMPUTED_VALUE"""),33.46)</f>
        <v>33.46</v>
      </c>
      <c r="E554" s="1">
        <f>IFERROR(__xludf.DUMMYFUNCTION("""COMPUTED_VALUE"""),34.11)</f>
        <v>34.11</v>
      </c>
      <c r="F554" s="1">
        <f>IFERROR(__xludf.DUMMYFUNCTION("""COMPUTED_VALUE"""),1018884.0)</f>
        <v>1018884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IFERROR(__xludf.DUMMYFUNCTION("""COMPUTED_VALUE"""),34.05)</f>
        <v>34.05</v>
      </c>
      <c r="C555" s="1">
        <f>IFERROR(__xludf.DUMMYFUNCTION("""COMPUTED_VALUE"""),34.44)</f>
        <v>34.44</v>
      </c>
      <c r="D555" s="1">
        <f>IFERROR(__xludf.DUMMYFUNCTION("""COMPUTED_VALUE"""),33.96)</f>
        <v>33.96</v>
      </c>
      <c r="E555" s="1">
        <f>IFERROR(__xludf.DUMMYFUNCTION("""COMPUTED_VALUE"""),34.28)</f>
        <v>34.28</v>
      </c>
      <c r="F555" s="1">
        <f>IFERROR(__xludf.DUMMYFUNCTION("""COMPUTED_VALUE"""),842577.0)</f>
        <v>842577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IFERROR(__xludf.DUMMYFUNCTION("""COMPUTED_VALUE"""),34.18)</f>
        <v>34.18</v>
      </c>
      <c r="C556" s="1">
        <f>IFERROR(__xludf.DUMMYFUNCTION("""COMPUTED_VALUE"""),34.57)</f>
        <v>34.57</v>
      </c>
      <c r="D556" s="1">
        <f>IFERROR(__xludf.DUMMYFUNCTION("""COMPUTED_VALUE"""),34.02)</f>
        <v>34.02</v>
      </c>
      <c r="E556" s="1">
        <f>IFERROR(__xludf.DUMMYFUNCTION("""COMPUTED_VALUE"""),34.5)</f>
        <v>34.5</v>
      </c>
      <c r="F556" s="1">
        <f>IFERROR(__xludf.DUMMYFUNCTION("""COMPUTED_VALUE"""),817242.0)</f>
        <v>817242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IFERROR(__xludf.DUMMYFUNCTION("""COMPUTED_VALUE"""),34.57)</f>
        <v>34.57</v>
      </c>
      <c r="C557" s="1">
        <f>IFERROR(__xludf.DUMMYFUNCTION("""COMPUTED_VALUE"""),34.76)</f>
        <v>34.76</v>
      </c>
      <c r="D557" s="1">
        <f>IFERROR(__xludf.DUMMYFUNCTION("""COMPUTED_VALUE"""),34.18)</f>
        <v>34.18</v>
      </c>
      <c r="E557" s="1">
        <f>IFERROR(__xludf.DUMMYFUNCTION("""COMPUTED_VALUE"""),34.21)</f>
        <v>34.21</v>
      </c>
      <c r="F557" s="1">
        <f>IFERROR(__xludf.DUMMYFUNCTION("""COMPUTED_VALUE"""),1292421.0)</f>
        <v>1292421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IFERROR(__xludf.DUMMYFUNCTION("""COMPUTED_VALUE"""),34.33)</f>
        <v>34.33</v>
      </c>
      <c r="C558" s="1">
        <f>IFERROR(__xludf.DUMMYFUNCTION("""COMPUTED_VALUE"""),34.65)</f>
        <v>34.65</v>
      </c>
      <c r="D558" s="1">
        <f>IFERROR(__xludf.DUMMYFUNCTION("""COMPUTED_VALUE"""),33.91)</f>
        <v>33.91</v>
      </c>
      <c r="E558" s="1">
        <f>IFERROR(__xludf.DUMMYFUNCTION("""COMPUTED_VALUE"""),34.56)</f>
        <v>34.56</v>
      </c>
      <c r="F558" s="1">
        <f>IFERROR(__xludf.DUMMYFUNCTION("""COMPUTED_VALUE"""),869607.0)</f>
        <v>869607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IFERROR(__xludf.DUMMYFUNCTION("""COMPUTED_VALUE"""),34.32)</f>
        <v>34.32</v>
      </c>
      <c r="C559" s="1">
        <f>IFERROR(__xludf.DUMMYFUNCTION("""COMPUTED_VALUE"""),34.65)</f>
        <v>34.65</v>
      </c>
      <c r="D559" s="1">
        <f>IFERROR(__xludf.DUMMYFUNCTION("""COMPUTED_VALUE"""),34.17)</f>
        <v>34.17</v>
      </c>
      <c r="E559" s="1">
        <f>IFERROR(__xludf.DUMMYFUNCTION("""COMPUTED_VALUE"""),34.54)</f>
        <v>34.54</v>
      </c>
      <c r="F559" s="1">
        <f>IFERROR(__xludf.DUMMYFUNCTION("""COMPUTED_VALUE"""),822442.0)</f>
        <v>822442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IFERROR(__xludf.DUMMYFUNCTION("""COMPUTED_VALUE"""),34.53)</f>
        <v>34.53</v>
      </c>
      <c r="C560" s="1">
        <f>IFERROR(__xludf.DUMMYFUNCTION("""COMPUTED_VALUE"""),34.69)</f>
        <v>34.69</v>
      </c>
      <c r="D560" s="1">
        <f>IFERROR(__xludf.DUMMYFUNCTION("""COMPUTED_VALUE"""),34.19)</f>
        <v>34.19</v>
      </c>
      <c r="E560" s="1">
        <f>IFERROR(__xludf.DUMMYFUNCTION("""COMPUTED_VALUE"""),34.46)</f>
        <v>34.46</v>
      </c>
      <c r="F560" s="1">
        <f>IFERROR(__xludf.DUMMYFUNCTION("""COMPUTED_VALUE"""),979564.0)</f>
        <v>979564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IFERROR(__xludf.DUMMYFUNCTION("""COMPUTED_VALUE"""),34.25)</f>
        <v>34.25</v>
      </c>
      <c r="C561" s="1">
        <f>IFERROR(__xludf.DUMMYFUNCTION("""COMPUTED_VALUE"""),34.59)</f>
        <v>34.59</v>
      </c>
      <c r="D561" s="1">
        <f>IFERROR(__xludf.DUMMYFUNCTION("""COMPUTED_VALUE"""),34.1)</f>
        <v>34.1</v>
      </c>
      <c r="E561" s="1">
        <f>IFERROR(__xludf.DUMMYFUNCTION("""COMPUTED_VALUE"""),34.22)</f>
        <v>34.22</v>
      </c>
      <c r="F561" s="1">
        <f>IFERROR(__xludf.DUMMYFUNCTION("""COMPUTED_VALUE"""),874979.0)</f>
        <v>874979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IFERROR(__xludf.DUMMYFUNCTION("""COMPUTED_VALUE"""),34.23)</f>
        <v>34.23</v>
      </c>
      <c r="C562" s="1">
        <f>IFERROR(__xludf.DUMMYFUNCTION("""COMPUTED_VALUE"""),34.33)</f>
        <v>34.33</v>
      </c>
      <c r="D562" s="1">
        <f>IFERROR(__xludf.DUMMYFUNCTION("""COMPUTED_VALUE"""),33.65)</f>
        <v>33.65</v>
      </c>
      <c r="E562" s="1">
        <f>IFERROR(__xludf.DUMMYFUNCTION("""COMPUTED_VALUE"""),34.15)</f>
        <v>34.15</v>
      </c>
      <c r="F562" s="1">
        <f>IFERROR(__xludf.DUMMYFUNCTION("""COMPUTED_VALUE"""),1312833.0)</f>
        <v>1312833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IFERROR(__xludf.DUMMYFUNCTION("""COMPUTED_VALUE"""),34.42)</f>
        <v>34.42</v>
      </c>
      <c r="C563" s="1">
        <f>IFERROR(__xludf.DUMMYFUNCTION("""COMPUTED_VALUE"""),34.98)</f>
        <v>34.98</v>
      </c>
      <c r="D563" s="1">
        <f>IFERROR(__xludf.DUMMYFUNCTION("""COMPUTED_VALUE"""),34.21)</f>
        <v>34.21</v>
      </c>
      <c r="E563" s="1">
        <f>IFERROR(__xludf.DUMMYFUNCTION("""COMPUTED_VALUE"""),34.98)</f>
        <v>34.98</v>
      </c>
      <c r="F563" s="1">
        <f>IFERROR(__xludf.DUMMYFUNCTION("""COMPUTED_VALUE"""),1165335.0)</f>
        <v>1165335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IFERROR(__xludf.DUMMYFUNCTION("""COMPUTED_VALUE"""),35.0)</f>
        <v>35</v>
      </c>
      <c r="C564" s="1">
        <f>IFERROR(__xludf.DUMMYFUNCTION("""COMPUTED_VALUE"""),35.17)</f>
        <v>35.17</v>
      </c>
      <c r="D564" s="1">
        <f>IFERROR(__xludf.DUMMYFUNCTION("""COMPUTED_VALUE"""),34.76)</f>
        <v>34.76</v>
      </c>
      <c r="E564" s="1">
        <f>IFERROR(__xludf.DUMMYFUNCTION("""COMPUTED_VALUE"""),34.8)</f>
        <v>34.8</v>
      </c>
      <c r="F564" s="1">
        <f>IFERROR(__xludf.DUMMYFUNCTION("""COMPUTED_VALUE"""),1027201.0)</f>
        <v>1027201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IFERROR(__xludf.DUMMYFUNCTION("""COMPUTED_VALUE"""),34.77)</f>
        <v>34.77</v>
      </c>
      <c r="C565" s="1">
        <f>IFERROR(__xludf.DUMMYFUNCTION("""COMPUTED_VALUE"""),34.87)</f>
        <v>34.87</v>
      </c>
      <c r="D565" s="1">
        <f>IFERROR(__xludf.DUMMYFUNCTION("""COMPUTED_VALUE"""),34.0)</f>
        <v>34</v>
      </c>
      <c r="E565" s="1">
        <f>IFERROR(__xludf.DUMMYFUNCTION("""COMPUTED_VALUE"""),34.17)</f>
        <v>34.17</v>
      </c>
      <c r="F565" s="1">
        <f>IFERROR(__xludf.DUMMYFUNCTION("""COMPUTED_VALUE"""),963544.0)</f>
        <v>963544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IFERROR(__xludf.DUMMYFUNCTION("""COMPUTED_VALUE"""),33.85)</f>
        <v>33.85</v>
      </c>
      <c r="C566" s="1">
        <f>IFERROR(__xludf.DUMMYFUNCTION("""COMPUTED_VALUE"""),34.27)</f>
        <v>34.27</v>
      </c>
      <c r="D566" s="1">
        <f>IFERROR(__xludf.DUMMYFUNCTION("""COMPUTED_VALUE"""),33.69)</f>
        <v>33.69</v>
      </c>
      <c r="E566" s="1">
        <f>IFERROR(__xludf.DUMMYFUNCTION("""COMPUTED_VALUE"""),34.19)</f>
        <v>34.19</v>
      </c>
      <c r="F566" s="1">
        <f>IFERROR(__xludf.DUMMYFUNCTION("""COMPUTED_VALUE"""),1016519.0)</f>
        <v>1016519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IFERROR(__xludf.DUMMYFUNCTION("""COMPUTED_VALUE"""),34.32)</f>
        <v>34.32</v>
      </c>
      <c r="C567" s="1">
        <f>IFERROR(__xludf.DUMMYFUNCTION("""COMPUTED_VALUE"""),34.82)</f>
        <v>34.82</v>
      </c>
      <c r="D567" s="1">
        <f>IFERROR(__xludf.DUMMYFUNCTION("""COMPUTED_VALUE"""),34.03)</f>
        <v>34.03</v>
      </c>
      <c r="E567" s="1">
        <f>IFERROR(__xludf.DUMMYFUNCTION("""COMPUTED_VALUE"""),34.65)</f>
        <v>34.65</v>
      </c>
      <c r="F567" s="1">
        <f>IFERROR(__xludf.DUMMYFUNCTION("""COMPUTED_VALUE"""),1603704.0)</f>
        <v>1603704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IFERROR(__xludf.DUMMYFUNCTION("""COMPUTED_VALUE"""),34.53)</f>
        <v>34.53</v>
      </c>
      <c r="C568" s="1">
        <f>IFERROR(__xludf.DUMMYFUNCTION("""COMPUTED_VALUE"""),34.99)</f>
        <v>34.99</v>
      </c>
      <c r="D568" s="1">
        <f>IFERROR(__xludf.DUMMYFUNCTION("""COMPUTED_VALUE"""),34.37)</f>
        <v>34.37</v>
      </c>
      <c r="E568" s="1">
        <f>IFERROR(__xludf.DUMMYFUNCTION("""COMPUTED_VALUE"""),34.5)</f>
        <v>34.5</v>
      </c>
      <c r="F568" s="1">
        <f>IFERROR(__xludf.DUMMYFUNCTION("""COMPUTED_VALUE"""),2519731.0)</f>
        <v>2519731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IFERROR(__xludf.DUMMYFUNCTION("""COMPUTED_VALUE"""),34.44)</f>
        <v>34.44</v>
      </c>
      <c r="C569" s="1">
        <f>IFERROR(__xludf.DUMMYFUNCTION("""COMPUTED_VALUE"""),34.93)</f>
        <v>34.93</v>
      </c>
      <c r="D569" s="1">
        <f>IFERROR(__xludf.DUMMYFUNCTION("""COMPUTED_VALUE"""),34.32)</f>
        <v>34.32</v>
      </c>
      <c r="E569" s="1">
        <f>IFERROR(__xludf.DUMMYFUNCTION("""COMPUTED_VALUE"""),34.63)</f>
        <v>34.63</v>
      </c>
      <c r="F569" s="1">
        <f>IFERROR(__xludf.DUMMYFUNCTION("""COMPUTED_VALUE"""),1292038.0)</f>
        <v>1292038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IFERROR(__xludf.DUMMYFUNCTION("""COMPUTED_VALUE"""),34.3)</f>
        <v>34.3</v>
      </c>
      <c r="C570" s="1">
        <f>IFERROR(__xludf.DUMMYFUNCTION("""COMPUTED_VALUE"""),35.13)</f>
        <v>35.13</v>
      </c>
      <c r="D570" s="1">
        <f>IFERROR(__xludf.DUMMYFUNCTION("""COMPUTED_VALUE"""),34.3)</f>
        <v>34.3</v>
      </c>
      <c r="E570" s="1">
        <f>IFERROR(__xludf.DUMMYFUNCTION("""COMPUTED_VALUE"""),34.92)</f>
        <v>34.92</v>
      </c>
      <c r="F570" s="1">
        <f>IFERROR(__xludf.DUMMYFUNCTION("""COMPUTED_VALUE"""),1746582.0)</f>
        <v>1746582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IFERROR(__xludf.DUMMYFUNCTION("""COMPUTED_VALUE"""),33.96)</f>
        <v>33.96</v>
      </c>
      <c r="C571" s="1">
        <f>IFERROR(__xludf.DUMMYFUNCTION("""COMPUTED_VALUE"""),34.48)</f>
        <v>34.48</v>
      </c>
      <c r="D571" s="1">
        <f>IFERROR(__xludf.DUMMYFUNCTION("""COMPUTED_VALUE"""),33.11)</f>
        <v>33.11</v>
      </c>
      <c r="E571" s="1">
        <f>IFERROR(__xludf.DUMMYFUNCTION("""COMPUTED_VALUE"""),33.23)</f>
        <v>33.23</v>
      </c>
      <c r="F571" s="1">
        <f>IFERROR(__xludf.DUMMYFUNCTION("""COMPUTED_VALUE"""),4465502.0)</f>
        <v>4465502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IFERROR(__xludf.DUMMYFUNCTION("""COMPUTED_VALUE"""),32.75)</f>
        <v>32.75</v>
      </c>
      <c r="C572" s="1">
        <f>IFERROR(__xludf.DUMMYFUNCTION("""COMPUTED_VALUE"""),33.0)</f>
        <v>33</v>
      </c>
      <c r="D572" s="1">
        <f>IFERROR(__xludf.DUMMYFUNCTION("""COMPUTED_VALUE"""),32.29)</f>
        <v>32.29</v>
      </c>
      <c r="E572" s="1">
        <f>IFERROR(__xludf.DUMMYFUNCTION("""COMPUTED_VALUE"""),32.78)</f>
        <v>32.78</v>
      </c>
      <c r="F572" s="1">
        <f>IFERROR(__xludf.DUMMYFUNCTION("""COMPUTED_VALUE"""),2461008.0)</f>
        <v>2461008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IFERROR(__xludf.DUMMYFUNCTION("""COMPUTED_VALUE"""),32.22)</f>
        <v>32.22</v>
      </c>
      <c r="C573" s="1">
        <f>IFERROR(__xludf.DUMMYFUNCTION("""COMPUTED_VALUE"""),32.32)</f>
        <v>32.32</v>
      </c>
      <c r="D573" s="1">
        <f>IFERROR(__xludf.DUMMYFUNCTION("""COMPUTED_VALUE"""),31.35)</f>
        <v>31.35</v>
      </c>
      <c r="E573" s="1">
        <f>IFERROR(__xludf.DUMMYFUNCTION("""COMPUTED_VALUE"""),31.36)</f>
        <v>31.36</v>
      </c>
      <c r="F573" s="1">
        <f>IFERROR(__xludf.DUMMYFUNCTION("""COMPUTED_VALUE"""),3312854.0)</f>
        <v>3312854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IFERROR(__xludf.DUMMYFUNCTION("""COMPUTED_VALUE"""),31.46)</f>
        <v>31.46</v>
      </c>
      <c r="C574" s="1">
        <f>IFERROR(__xludf.DUMMYFUNCTION("""COMPUTED_VALUE"""),31.85)</f>
        <v>31.85</v>
      </c>
      <c r="D574" s="1">
        <f>IFERROR(__xludf.DUMMYFUNCTION("""COMPUTED_VALUE"""),31.38)</f>
        <v>31.38</v>
      </c>
      <c r="E574" s="1">
        <f>IFERROR(__xludf.DUMMYFUNCTION("""COMPUTED_VALUE"""),31.74)</f>
        <v>31.74</v>
      </c>
      <c r="F574" s="1">
        <f>IFERROR(__xludf.DUMMYFUNCTION("""COMPUTED_VALUE"""),2223342.0)</f>
        <v>2223342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IFERROR(__xludf.DUMMYFUNCTION("""COMPUTED_VALUE"""),31.73)</f>
        <v>31.73</v>
      </c>
      <c r="C575" s="1">
        <f>IFERROR(__xludf.DUMMYFUNCTION("""COMPUTED_VALUE"""),31.94)</f>
        <v>31.94</v>
      </c>
      <c r="D575" s="1">
        <f>IFERROR(__xludf.DUMMYFUNCTION("""COMPUTED_VALUE"""),31.56)</f>
        <v>31.56</v>
      </c>
      <c r="E575" s="1">
        <f>IFERROR(__xludf.DUMMYFUNCTION("""COMPUTED_VALUE"""),31.81)</f>
        <v>31.81</v>
      </c>
      <c r="F575" s="1">
        <f>IFERROR(__xludf.DUMMYFUNCTION("""COMPUTED_VALUE"""),2021850.0)</f>
        <v>2021850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IFERROR(__xludf.DUMMYFUNCTION("""COMPUTED_VALUE"""),31.72)</f>
        <v>31.72</v>
      </c>
      <c r="C576" s="1">
        <f>IFERROR(__xludf.DUMMYFUNCTION("""COMPUTED_VALUE"""),31.9)</f>
        <v>31.9</v>
      </c>
      <c r="D576" s="1">
        <f>IFERROR(__xludf.DUMMYFUNCTION("""COMPUTED_VALUE"""),31.24)</f>
        <v>31.24</v>
      </c>
      <c r="E576" s="1">
        <f>IFERROR(__xludf.DUMMYFUNCTION("""COMPUTED_VALUE"""),31.31)</f>
        <v>31.31</v>
      </c>
      <c r="F576" s="1">
        <f>IFERROR(__xludf.DUMMYFUNCTION("""COMPUTED_VALUE"""),1754541.0)</f>
        <v>1754541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IFERROR(__xludf.DUMMYFUNCTION("""COMPUTED_VALUE"""),31.47)</f>
        <v>31.47</v>
      </c>
      <c r="C577" s="1">
        <f>IFERROR(__xludf.DUMMYFUNCTION("""COMPUTED_VALUE"""),31.84)</f>
        <v>31.84</v>
      </c>
      <c r="D577" s="1">
        <f>IFERROR(__xludf.DUMMYFUNCTION("""COMPUTED_VALUE"""),31.12)</f>
        <v>31.12</v>
      </c>
      <c r="E577" s="1">
        <f>IFERROR(__xludf.DUMMYFUNCTION("""COMPUTED_VALUE"""),31.63)</f>
        <v>31.63</v>
      </c>
      <c r="F577" s="1">
        <f>IFERROR(__xludf.DUMMYFUNCTION("""COMPUTED_VALUE"""),1156179.0)</f>
        <v>1156179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IFERROR(__xludf.DUMMYFUNCTION("""COMPUTED_VALUE"""),31.83)</f>
        <v>31.83</v>
      </c>
      <c r="C578" s="1">
        <f>IFERROR(__xludf.DUMMYFUNCTION("""COMPUTED_VALUE"""),32.39)</f>
        <v>32.39</v>
      </c>
      <c r="D578" s="1">
        <f>IFERROR(__xludf.DUMMYFUNCTION("""COMPUTED_VALUE"""),31.65)</f>
        <v>31.65</v>
      </c>
      <c r="E578" s="1">
        <f>IFERROR(__xludf.DUMMYFUNCTION("""COMPUTED_VALUE"""),32.24)</f>
        <v>32.24</v>
      </c>
      <c r="F578" s="1">
        <f>IFERROR(__xludf.DUMMYFUNCTION("""COMPUTED_VALUE"""),1504695.0)</f>
        <v>1504695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IFERROR(__xludf.DUMMYFUNCTION("""COMPUTED_VALUE"""),32.15)</f>
        <v>32.15</v>
      </c>
      <c r="C579" s="1">
        <f>IFERROR(__xludf.DUMMYFUNCTION("""COMPUTED_VALUE"""),32.26)</f>
        <v>32.26</v>
      </c>
      <c r="D579" s="1">
        <f>IFERROR(__xludf.DUMMYFUNCTION("""COMPUTED_VALUE"""),31.71)</f>
        <v>31.71</v>
      </c>
      <c r="E579" s="1">
        <f>IFERROR(__xludf.DUMMYFUNCTION("""COMPUTED_VALUE"""),31.74)</f>
        <v>31.74</v>
      </c>
      <c r="F579" s="1">
        <f>IFERROR(__xludf.DUMMYFUNCTION("""COMPUTED_VALUE"""),1429812.0)</f>
        <v>1429812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IFERROR(__xludf.DUMMYFUNCTION("""COMPUTED_VALUE"""),31.74)</f>
        <v>31.74</v>
      </c>
      <c r="C580" s="1">
        <f>IFERROR(__xludf.DUMMYFUNCTION("""COMPUTED_VALUE"""),31.89)</f>
        <v>31.89</v>
      </c>
      <c r="D580" s="1">
        <f>IFERROR(__xludf.DUMMYFUNCTION("""COMPUTED_VALUE"""),30.89)</f>
        <v>30.89</v>
      </c>
      <c r="E580" s="1">
        <f>IFERROR(__xludf.DUMMYFUNCTION("""COMPUTED_VALUE"""),31.26)</f>
        <v>31.26</v>
      </c>
      <c r="F580" s="1">
        <f>IFERROR(__xludf.DUMMYFUNCTION("""COMPUTED_VALUE"""),1558497.0)</f>
        <v>1558497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IFERROR(__xludf.DUMMYFUNCTION("""COMPUTED_VALUE"""),31.35)</f>
        <v>31.35</v>
      </c>
      <c r="C581" s="1">
        <f>IFERROR(__xludf.DUMMYFUNCTION("""COMPUTED_VALUE"""),31.58)</f>
        <v>31.58</v>
      </c>
      <c r="D581" s="1">
        <f>IFERROR(__xludf.DUMMYFUNCTION("""COMPUTED_VALUE"""),31.11)</f>
        <v>31.11</v>
      </c>
      <c r="E581" s="1">
        <f>IFERROR(__xludf.DUMMYFUNCTION("""COMPUTED_VALUE"""),31.49)</f>
        <v>31.49</v>
      </c>
      <c r="F581" s="1">
        <f>IFERROR(__xludf.DUMMYFUNCTION("""COMPUTED_VALUE"""),1494479.0)</f>
        <v>1494479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IFERROR(__xludf.DUMMYFUNCTION("""COMPUTED_VALUE"""),31.21)</f>
        <v>31.21</v>
      </c>
      <c r="C582" s="1">
        <f>IFERROR(__xludf.DUMMYFUNCTION("""COMPUTED_VALUE"""),31.33)</f>
        <v>31.33</v>
      </c>
      <c r="D582" s="1">
        <f>IFERROR(__xludf.DUMMYFUNCTION("""COMPUTED_VALUE"""),30.85)</f>
        <v>30.85</v>
      </c>
      <c r="E582" s="1">
        <f>IFERROR(__xludf.DUMMYFUNCTION("""COMPUTED_VALUE"""),31.17)</f>
        <v>31.17</v>
      </c>
      <c r="F582" s="1">
        <f>IFERROR(__xludf.DUMMYFUNCTION("""COMPUTED_VALUE"""),1201810.0)</f>
        <v>1201810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IFERROR(__xludf.DUMMYFUNCTION("""COMPUTED_VALUE"""),31.25)</f>
        <v>31.25</v>
      </c>
      <c r="C583" s="1">
        <f>IFERROR(__xludf.DUMMYFUNCTION("""COMPUTED_VALUE"""),31.37)</f>
        <v>31.37</v>
      </c>
      <c r="D583" s="1">
        <f>IFERROR(__xludf.DUMMYFUNCTION("""COMPUTED_VALUE"""),30.61)</f>
        <v>30.61</v>
      </c>
      <c r="E583" s="1">
        <f>IFERROR(__xludf.DUMMYFUNCTION("""COMPUTED_VALUE"""),30.93)</f>
        <v>30.93</v>
      </c>
      <c r="F583" s="1">
        <f>IFERROR(__xludf.DUMMYFUNCTION("""COMPUTED_VALUE"""),1490588.0)</f>
        <v>1490588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IFERROR(__xludf.DUMMYFUNCTION("""COMPUTED_VALUE"""),31.26)</f>
        <v>31.26</v>
      </c>
      <c r="C584" s="1">
        <f>IFERROR(__xludf.DUMMYFUNCTION("""COMPUTED_VALUE"""),31.58)</f>
        <v>31.58</v>
      </c>
      <c r="D584" s="1">
        <f>IFERROR(__xludf.DUMMYFUNCTION("""COMPUTED_VALUE"""),30.91)</f>
        <v>30.91</v>
      </c>
      <c r="E584" s="1">
        <f>IFERROR(__xludf.DUMMYFUNCTION("""COMPUTED_VALUE"""),31.25)</f>
        <v>31.25</v>
      </c>
      <c r="F584" s="1">
        <f>IFERROR(__xludf.DUMMYFUNCTION("""COMPUTED_VALUE"""),1757141.0)</f>
        <v>1757141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IFERROR(__xludf.DUMMYFUNCTION("""COMPUTED_VALUE"""),31.29)</f>
        <v>31.29</v>
      </c>
      <c r="C585" s="1">
        <f>IFERROR(__xludf.DUMMYFUNCTION("""COMPUTED_VALUE"""),31.46)</f>
        <v>31.46</v>
      </c>
      <c r="D585" s="1">
        <f>IFERROR(__xludf.DUMMYFUNCTION("""COMPUTED_VALUE"""),30.98)</f>
        <v>30.98</v>
      </c>
      <c r="E585" s="1">
        <f>IFERROR(__xludf.DUMMYFUNCTION("""COMPUTED_VALUE"""),31.29)</f>
        <v>31.29</v>
      </c>
      <c r="F585" s="1">
        <f>IFERROR(__xludf.DUMMYFUNCTION("""COMPUTED_VALUE"""),2316337.0)</f>
        <v>2316337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IFERROR(__xludf.DUMMYFUNCTION("""COMPUTED_VALUE"""),31.35)</f>
        <v>31.35</v>
      </c>
      <c r="C586" s="1">
        <f>IFERROR(__xludf.DUMMYFUNCTION("""COMPUTED_VALUE"""),31.5)</f>
        <v>31.5</v>
      </c>
      <c r="D586" s="1">
        <f>IFERROR(__xludf.DUMMYFUNCTION("""COMPUTED_VALUE"""),31.15)</f>
        <v>31.15</v>
      </c>
      <c r="E586" s="1">
        <f>IFERROR(__xludf.DUMMYFUNCTION("""COMPUTED_VALUE"""),31.29)</f>
        <v>31.29</v>
      </c>
      <c r="F586" s="1">
        <f>IFERROR(__xludf.DUMMYFUNCTION("""COMPUTED_VALUE"""),1444063.0)</f>
        <v>1444063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IFERROR(__xludf.DUMMYFUNCTION("""COMPUTED_VALUE"""),31.27)</f>
        <v>31.27</v>
      </c>
      <c r="C587" s="1">
        <f>IFERROR(__xludf.DUMMYFUNCTION("""COMPUTED_VALUE"""),31.27)</f>
        <v>31.27</v>
      </c>
      <c r="D587" s="1">
        <f>IFERROR(__xludf.DUMMYFUNCTION("""COMPUTED_VALUE"""),30.86)</f>
        <v>30.86</v>
      </c>
      <c r="E587" s="1">
        <f>IFERROR(__xludf.DUMMYFUNCTION("""COMPUTED_VALUE"""),30.87)</f>
        <v>30.87</v>
      </c>
      <c r="F587" s="1">
        <f>IFERROR(__xludf.DUMMYFUNCTION("""COMPUTED_VALUE"""),1976702.0)</f>
        <v>1976702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IFERROR(__xludf.DUMMYFUNCTION("""COMPUTED_VALUE"""),30.87)</f>
        <v>30.87</v>
      </c>
      <c r="C588" s="1">
        <f>IFERROR(__xludf.DUMMYFUNCTION("""COMPUTED_VALUE"""),31.51)</f>
        <v>31.51</v>
      </c>
      <c r="D588" s="1">
        <f>IFERROR(__xludf.DUMMYFUNCTION("""COMPUTED_VALUE"""),30.84)</f>
        <v>30.84</v>
      </c>
      <c r="E588" s="1">
        <f>IFERROR(__xludf.DUMMYFUNCTION("""COMPUTED_VALUE"""),30.99)</f>
        <v>30.99</v>
      </c>
      <c r="F588" s="1">
        <f>IFERROR(__xludf.DUMMYFUNCTION("""COMPUTED_VALUE"""),2744789.0)</f>
        <v>2744789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IFERROR(__xludf.DUMMYFUNCTION("""COMPUTED_VALUE"""),30.9)</f>
        <v>30.9</v>
      </c>
      <c r="C589" s="1">
        <f>IFERROR(__xludf.DUMMYFUNCTION("""COMPUTED_VALUE"""),31.73)</f>
        <v>31.73</v>
      </c>
      <c r="D589" s="1">
        <f>IFERROR(__xludf.DUMMYFUNCTION("""COMPUTED_VALUE"""),30.7)</f>
        <v>30.7</v>
      </c>
      <c r="E589" s="1">
        <f>IFERROR(__xludf.DUMMYFUNCTION("""COMPUTED_VALUE"""),31.62)</f>
        <v>31.62</v>
      </c>
      <c r="F589" s="1">
        <f>IFERROR(__xludf.DUMMYFUNCTION("""COMPUTED_VALUE"""),2544945.0)</f>
        <v>2544945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IFERROR(__xludf.DUMMYFUNCTION("""COMPUTED_VALUE"""),30.93)</f>
        <v>30.93</v>
      </c>
      <c r="C590" s="1">
        <f>IFERROR(__xludf.DUMMYFUNCTION("""COMPUTED_VALUE"""),30.93)</f>
        <v>30.93</v>
      </c>
      <c r="D590" s="1">
        <f>IFERROR(__xludf.DUMMYFUNCTION("""COMPUTED_VALUE"""),30.09)</f>
        <v>30.09</v>
      </c>
      <c r="E590" s="1">
        <f>IFERROR(__xludf.DUMMYFUNCTION("""COMPUTED_VALUE"""),30.43)</f>
        <v>30.43</v>
      </c>
      <c r="F590" s="1">
        <f>IFERROR(__xludf.DUMMYFUNCTION("""COMPUTED_VALUE"""),3590085.0)</f>
        <v>3590085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IFERROR(__xludf.DUMMYFUNCTION("""COMPUTED_VALUE"""),30.29)</f>
        <v>30.29</v>
      </c>
      <c r="C591" s="1">
        <f>IFERROR(__xludf.DUMMYFUNCTION("""COMPUTED_VALUE"""),30.63)</f>
        <v>30.63</v>
      </c>
      <c r="D591" s="1">
        <f>IFERROR(__xludf.DUMMYFUNCTION("""COMPUTED_VALUE"""),29.72)</f>
        <v>29.72</v>
      </c>
      <c r="E591" s="1">
        <f>IFERROR(__xludf.DUMMYFUNCTION("""COMPUTED_VALUE"""),29.84)</f>
        <v>29.84</v>
      </c>
      <c r="F591" s="1">
        <f>IFERROR(__xludf.DUMMYFUNCTION("""COMPUTED_VALUE"""),1607438.0)</f>
        <v>1607438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IFERROR(__xludf.DUMMYFUNCTION("""COMPUTED_VALUE"""),29.79)</f>
        <v>29.79</v>
      </c>
      <c r="C592" s="1">
        <f>IFERROR(__xludf.DUMMYFUNCTION("""COMPUTED_VALUE"""),29.97)</f>
        <v>29.97</v>
      </c>
      <c r="D592" s="1">
        <f>IFERROR(__xludf.DUMMYFUNCTION("""COMPUTED_VALUE"""),29.6)</f>
        <v>29.6</v>
      </c>
      <c r="E592" s="1">
        <f>IFERROR(__xludf.DUMMYFUNCTION("""COMPUTED_VALUE"""),29.84)</f>
        <v>29.84</v>
      </c>
      <c r="F592" s="1">
        <f>IFERROR(__xludf.DUMMYFUNCTION("""COMPUTED_VALUE"""),1516838.0)</f>
        <v>1516838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IFERROR(__xludf.DUMMYFUNCTION("""COMPUTED_VALUE"""),29.68)</f>
        <v>29.68</v>
      </c>
      <c r="C593" s="1">
        <f>IFERROR(__xludf.DUMMYFUNCTION("""COMPUTED_VALUE"""),29.85)</f>
        <v>29.85</v>
      </c>
      <c r="D593" s="1">
        <f>IFERROR(__xludf.DUMMYFUNCTION("""COMPUTED_VALUE"""),29.25)</f>
        <v>29.25</v>
      </c>
      <c r="E593" s="1">
        <f>IFERROR(__xludf.DUMMYFUNCTION("""COMPUTED_VALUE"""),29.75)</f>
        <v>29.75</v>
      </c>
      <c r="F593" s="1">
        <f>IFERROR(__xludf.DUMMYFUNCTION("""COMPUTED_VALUE"""),2632678.0)</f>
        <v>2632678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IFERROR(__xludf.DUMMYFUNCTION("""COMPUTED_VALUE"""),29.39)</f>
        <v>29.39</v>
      </c>
      <c r="C594" s="1">
        <f>IFERROR(__xludf.DUMMYFUNCTION("""COMPUTED_VALUE"""),29.81)</f>
        <v>29.81</v>
      </c>
      <c r="D594" s="1">
        <f>IFERROR(__xludf.DUMMYFUNCTION("""COMPUTED_VALUE"""),29.16)</f>
        <v>29.16</v>
      </c>
      <c r="E594" s="1">
        <f>IFERROR(__xludf.DUMMYFUNCTION("""COMPUTED_VALUE"""),29.42)</f>
        <v>29.42</v>
      </c>
      <c r="F594" s="1">
        <f>IFERROR(__xludf.DUMMYFUNCTION("""COMPUTED_VALUE"""),1408026.0)</f>
        <v>1408026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IFERROR(__xludf.DUMMYFUNCTION("""COMPUTED_VALUE"""),29.67)</f>
        <v>29.67</v>
      </c>
      <c r="C595" s="1">
        <f>IFERROR(__xludf.DUMMYFUNCTION("""COMPUTED_VALUE"""),30.2)</f>
        <v>30.2</v>
      </c>
      <c r="D595" s="1">
        <f>IFERROR(__xludf.DUMMYFUNCTION("""COMPUTED_VALUE"""),29.63)</f>
        <v>29.63</v>
      </c>
      <c r="E595" s="1">
        <f>IFERROR(__xludf.DUMMYFUNCTION("""COMPUTED_VALUE"""),30.04)</f>
        <v>30.04</v>
      </c>
      <c r="F595" s="1">
        <f>IFERROR(__xludf.DUMMYFUNCTION("""COMPUTED_VALUE"""),2114582.0)</f>
        <v>2114582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IFERROR(__xludf.DUMMYFUNCTION("""COMPUTED_VALUE"""),29.78)</f>
        <v>29.78</v>
      </c>
      <c r="C596" s="1">
        <f>IFERROR(__xludf.DUMMYFUNCTION("""COMPUTED_VALUE"""),30.11)</f>
        <v>30.11</v>
      </c>
      <c r="D596" s="1">
        <f>IFERROR(__xludf.DUMMYFUNCTION("""COMPUTED_VALUE"""),29.59)</f>
        <v>29.59</v>
      </c>
      <c r="E596" s="1">
        <f>IFERROR(__xludf.DUMMYFUNCTION("""COMPUTED_VALUE"""),29.59)</f>
        <v>29.59</v>
      </c>
      <c r="F596" s="1">
        <f>IFERROR(__xludf.DUMMYFUNCTION("""COMPUTED_VALUE"""),1480301.0)</f>
        <v>1480301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IFERROR(__xludf.DUMMYFUNCTION("""COMPUTED_VALUE"""),29.31)</f>
        <v>29.31</v>
      </c>
      <c r="C597" s="1">
        <f>IFERROR(__xludf.DUMMYFUNCTION("""COMPUTED_VALUE"""),29.38)</f>
        <v>29.38</v>
      </c>
      <c r="D597" s="1">
        <f>IFERROR(__xludf.DUMMYFUNCTION("""COMPUTED_VALUE"""),28.64)</f>
        <v>28.64</v>
      </c>
      <c r="E597" s="1">
        <f>IFERROR(__xludf.DUMMYFUNCTION("""COMPUTED_VALUE"""),28.7)</f>
        <v>28.7</v>
      </c>
      <c r="F597" s="1">
        <f>IFERROR(__xludf.DUMMYFUNCTION("""COMPUTED_VALUE"""),1363398.0)</f>
        <v>1363398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IFERROR(__xludf.DUMMYFUNCTION("""COMPUTED_VALUE"""),28.63)</f>
        <v>28.63</v>
      </c>
      <c r="C598" s="1">
        <f>IFERROR(__xludf.DUMMYFUNCTION("""COMPUTED_VALUE"""),28.93)</f>
        <v>28.93</v>
      </c>
      <c r="D598" s="1">
        <f>IFERROR(__xludf.DUMMYFUNCTION("""COMPUTED_VALUE"""),28.43)</f>
        <v>28.43</v>
      </c>
      <c r="E598" s="1">
        <f>IFERROR(__xludf.DUMMYFUNCTION("""COMPUTED_VALUE"""),28.48)</f>
        <v>28.48</v>
      </c>
      <c r="F598" s="1">
        <f>IFERROR(__xludf.DUMMYFUNCTION("""COMPUTED_VALUE"""),2045426.0)</f>
        <v>2045426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IFERROR(__xludf.DUMMYFUNCTION("""COMPUTED_VALUE"""),28.59)</f>
        <v>28.59</v>
      </c>
      <c r="C599" s="1">
        <f>IFERROR(__xludf.DUMMYFUNCTION("""COMPUTED_VALUE"""),29.01)</f>
        <v>29.01</v>
      </c>
      <c r="D599" s="1">
        <f>IFERROR(__xludf.DUMMYFUNCTION("""COMPUTED_VALUE"""),28.46)</f>
        <v>28.46</v>
      </c>
      <c r="E599" s="1">
        <f>IFERROR(__xludf.DUMMYFUNCTION("""COMPUTED_VALUE"""),28.65)</f>
        <v>28.65</v>
      </c>
      <c r="F599" s="1">
        <f>IFERROR(__xludf.DUMMYFUNCTION("""COMPUTED_VALUE"""),2574064.0)</f>
        <v>2574064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IFERROR(__xludf.DUMMYFUNCTION("""COMPUTED_VALUE"""),28.68)</f>
        <v>28.68</v>
      </c>
      <c r="C600" s="1">
        <f>IFERROR(__xludf.DUMMYFUNCTION("""COMPUTED_VALUE"""),28.72)</f>
        <v>28.72</v>
      </c>
      <c r="D600" s="1">
        <f>IFERROR(__xludf.DUMMYFUNCTION("""COMPUTED_VALUE"""),28.02)</f>
        <v>28.02</v>
      </c>
      <c r="E600" s="1">
        <f>IFERROR(__xludf.DUMMYFUNCTION("""COMPUTED_VALUE"""),28.02)</f>
        <v>28.02</v>
      </c>
      <c r="F600" s="1">
        <f>IFERROR(__xludf.DUMMYFUNCTION("""COMPUTED_VALUE"""),2764153.0)</f>
        <v>2764153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IFERROR(__xludf.DUMMYFUNCTION("""COMPUTED_VALUE"""),28.19)</f>
        <v>28.19</v>
      </c>
      <c r="C601" s="1">
        <f>IFERROR(__xludf.DUMMYFUNCTION("""COMPUTED_VALUE"""),28.48)</f>
        <v>28.48</v>
      </c>
      <c r="D601" s="1">
        <f>IFERROR(__xludf.DUMMYFUNCTION("""COMPUTED_VALUE"""),27.91)</f>
        <v>27.91</v>
      </c>
      <c r="E601" s="1">
        <f>IFERROR(__xludf.DUMMYFUNCTION("""COMPUTED_VALUE"""),27.99)</f>
        <v>27.99</v>
      </c>
      <c r="F601" s="1">
        <f>IFERROR(__xludf.DUMMYFUNCTION("""COMPUTED_VALUE"""),2075032.0)</f>
        <v>2075032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IFERROR(__xludf.DUMMYFUNCTION("""COMPUTED_VALUE"""),28.04)</f>
        <v>28.04</v>
      </c>
      <c r="C602" s="1">
        <f>IFERROR(__xludf.DUMMYFUNCTION("""COMPUTED_VALUE"""),28.58)</f>
        <v>28.58</v>
      </c>
      <c r="D602" s="1">
        <f>IFERROR(__xludf.DUMMYFUNCTION("""COMPUTED_VALUE"""),27.75)</f>
        <v>27.75</v>
      </c>
      <c r="E602" s="1">
        <f>IFERROR(__xludf.DUMMYFUNCTION("""COMPUTED_VALUE"""),28.47)</f>
        <v>28.47</v>
      </c>
      <c r="F602" s="1">
        <f>IFERROR(__xludf.DUMMYFUNCTION("""COMPUTED_VALUE"""),1605257.0)</f>
        <v>1605257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IFERROR(__xludf.DUMMYFUNCTION("""COMPUTED_VALUE"""),28.6)</f>
        <v>28.6</v>
      </c>
      <c r="C603" s="1">
        <f>IFERROR(__xludf.DUMMYFUNCTION("""COMPUTED_VALUE"""),29.0)</f>
        <v>29</v>
      </c>
      <c r="D603" s="1">
        <f>IFERROR(__xludf.DUMMYFUNCTION("""COMPUTED_VALUE"""),28.38)</f>
        <v>28.38</v>
      </c>
      <c r="E603" s="1">
        <f>IFERROR(__xludf.DUMMYFUNCTION("""COMPUTED_VALUE"""),28.47)</f>
        <v>28.47</v>
      </c>
      <c r="F603" s="1">
        <f>IFERROR(__xludf.DUMMYFUNCTION("""COMPUTED_VALUE"""),2077011.0)</f>
        <v>2077011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IFERROR(__xludf.DUMMYFUNCTION("""COMPUTED_VALUE"""),28.33)</f>
        <v>28.33</v>
      </c>
      <c r="C604" s="1">
        <f>IFERROR(__xludf.DUMMYFUNCTION("""COMPUTED_VALUE"""),28.94)</f>
        <v>28.94</v>
      </c>
      <c r="D604" s="1">
        <f>IFERROR(__xludf.DUMMYFUNCTION("""COMPUTED_VALUE"""),28.05)</f>
        <v>28.05</v>
      </c>
      <c r="E604" s="1">
        <f>IFERROR(__xludf.DUMMYFUNCTION("""COMPUTED_VALUE"""),28.47)</f>
        <v>28.47</v>
      </c>
      <c r="F604" s="1">
        <f>IFERROR(__xludf.DUMMYFUNCTION("""COMPUTED_VALUE"""),1419777.0)</f>
        <v>1419777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IFERROR(__xludf.DUMMYFUNCTION("""COMPUTED_VALUE"""),28.95)</f>
        <v>28.95</v>
      </c>
      <c r="C605" s="1">
        <f>IFERROR(__xludf.DUMMYFUNCTION("""COMPUTED_VALUE"""),29.21)</f>
        <v>29.21</v>
      </c>
      <c r="D605" s="1">
        <f>IFERROR(__xludf.DUMMYFUNCTION("""COMPUTED_VALUE"""),28.82)</f>
        <v>28.82</v>
      </c>
      <c r="E605" s="1">
        <f>IFERROR(__xludf.DUMMYFUNCTION("""COMPUTED_VALUE"""),29.02)</f>
        <v>29.02</v>
      </c>
      <c r="F605" s="1">
        <f>IFERROR(__xludf.DUMMYFUNCTION("""COMPUTED_VALUE"""),1837645.0)</f>
        <v>1837645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IFERROR(__xludf.DUMMYFUNCTION("""COMPUTED_VALUE"""),29.07)</f>
        <v>29.07</v>
      </c>
      <c r="C606" s="1">
        <f>IFERROR(__xludf.DUMMYFUNCTION("""COMPUTED_VALUE"""),29.3)</f>
        <v>29.3</v>
      </c>
      <c r="D606" s="1">
        <f>IFERROR(__xludf.DUMMYFUNCTION("""COMPUTED_VALUE"""),29.0)</f>
        <v>29</v>
      </c>
      <c r="E606" s="1">
        <f>IFERROR(__xludf.DUMMYFUNCTION("""COMPUTED_VALUE"""),29.11)</f>
        <v>29.11</v>
      </c>
      <c r="F606" s="1">
        <f>IFERROR(__xludf.DUMMYFUNCTION("""COMPUTED_VALUE"""),1058578.0)</f>
        <v>1058578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IFERROR(__xludf.DUMMYFUNCTION("""COMPUTED_VALUE"""),29.29)</f>
        <v>29.29</v>
      </c>
      <c r="C607" s="1">
        <f>IFERROR(__xludf.DUMMYFUNCTION("""COMPUTED_VALUE"""),29.46)</f>
        <v>29.46</v>
      </c>
      <c r="D607" s="1">
        <f>IFERROR(__xludf.DUMMYFUNCTION("""COMPUTED_VALUE"""),29.03)</f>
        <v>29.03</v>
      </c>
      <c r="E607" s="1">
        <f>IFERROR(__xludf.DUMMYFUNCTION("""COMPUTED_VALUE"""),29.46)</f>
        <v>29.46</v>
      </c>
      <c r="F607" s="1">
        <f>IFERROR(__xludf.DUMMYFUNCTION("""COMPUTED_VALUE"""),998762.0)</f>
        <v>998762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IFERROR(__xludf.DUMMYFUNCTION("""COMPUTED_VALUE"""),29.21)</f>
        <v>29.21</v>
      </c>
      <c r="C608" s="1">
        <f>IFERROR(__xludf.DUMMYFUNCTION("""COMPUTED_VALUE"""),29.25)</f>
        <v>29.25</v>
      </c>
      <c r="D608" s="1">
        <f>IFERROR(__xludf.DUMMYFUNCTION("""COMPUTED_VALUE"""),27.28)</f>
        <v>27.28</v>
      </c>
      <c r="E608" s="1">
        <f>IFERROR(__xludf.DUMMYFUNCTION("""COMPUTED_VALUE"""),28.14)</f>
        <v>28.14</v>
      </c>
      <c r="F608" s="1">
        <f>IFERROR(__xludf.DUMMYFUNCTION("""COMPUTED_VALUE"""),5244326.0)</f>
        <v>5244326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IFERROR(__xludf.DUMMYFUNCTION("""COMPUTED_VALUE"""),28.07)</f>
        <v>28.07</v>
      </c>
      <c r="C609" s="1">
        <f>IFERROR(__xludf.DUMMYFUNCTION("""COMPUTED_VALUE"""),28.41)</f>
        <v>28.41</v>
      </c>
      <c r="D609" s="1">
        <f>IFERROR(__xludf.DUMMYFUNCTION("""COMPUTED_VALUE"""),27.75)</f>
        <v>27.75</v>
      </c>
      <c r="E609" s="1">
        <f>IFERROR(__xludf.DUMMYFUNCTION("""COMPUTED_VALUE"""),28.21)</f>
        <v>28.21</v>
      </c>
      <c r="F609" s="1">
        <f>IFERROR(__xludf.DUMMYFUNCTION("""COMPUTED_VALUE"""),2283682.0)</f>
        <v>2283682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IFERROR(__xludf.DUMMYFUNCTION("""COMPUTED_VALUE"""),27.62)</f>
        <v>27.62</v>
      </c>
      <c r="C610" s="1">
        <f>IFERROR(__xludf.DUMMYFUNCTION("""COMPUTED_VALUE"""),27.9)</f>
        <v>27.9</v>
      </c>
      <c r="D610" s="1">
        <f>IFERROR(__xludf.DUMMYFUNCTION("""COMPUTED_VALUE"""),27.14)</f>
        <v>27.14</v>
      </c>
      <c r="E610" s="1">
        <f>IFERROR(__xludf.DUMMYFUNCTION("""COMPUTED_VALUE"""),27.33)</f>
        <v>27.33</v>
      </c>
      <c r="F610" s="1">
        <f>IFERROR(__xludf.DUMMYFUNCTION("""COMPUTED_VALUE"""),2404081.0)</f>
        <v>2404081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IFERROR(__xludf.DUMMYFUNCTION("""COMPUTED_VALUE"""),27.46)</f>
        <v>27.46</v>
      </c>
      <c r="C611" s="1">
        <f>IFERROR(__xludf.DUMMYFUNCTION("""COMPUTED_VALUE"""),27.54)</f>
        <v>27.54</v>
      </c>
      <c r="D611" s="1">
        <f>IFERROR(__xludf.DUMMYFUNCTION("""COMPUTED_VALUE"""),26.79)</f>
        <v>26.79</v>
      </c>
      <c r="E611" s="1">
        <f>IFERROR(__xludf.DUMMYFUNCTION("""COMPUTED_VALUE"""),27.38)</f>
        <v>27.38</v>
      </c>
      <c r="F611" s="1">
        <f>IFERROR(__xludf.DUMMYFUNCTION("""COMPUTED_VALUE"""),1691009.0)</f>
        <v>1691009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IFERROR(__xludf.DUMMYFUNCTION("""COMPUTED_VALUE"""),27.22)</f>
        <v>27.22</v>
      </c>
      <c r="C612" s="1">
        <f>IFERROR(__xludf.DUMMYFUNCTION("""COMPUTED_VALUE"""),27.68)</f>
        <v>27.68</v>
      </c>
      <c r="D612" s="1">
        <f>IFERROR(__xludf.DUMMYFUNCTION("""COMPUTED_VALUE"""),27.07)</f>
        <v>27.07</v>
      </c>
      <c r="E612" s="1">
        <f>IFERROR(__xludf.DUMMYFUNCTION("""COMPUTED_VALUE"""),27.63)</f>
        <v>27.63</v>
      </c>
      <c r="F612" s="1">
        <f>IFERROR(__xludf.DUMMYFUNCTION("""COMPUTED_VALUE"""),1498542.0)</f>
        <v>1498542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IFERROR(__xludf.DUMMYFUNCTION("""COMPUTED_VALUE"""),27.84)</f>
        <v>27.84</v>
      </c>
      <c r="C613" s="1">
        <f>IFERROR(__xludf.DUMMYFUNCTION("""COMPUTED_VALUE"""),28.46)</f>
        <v>28.46</v>
      </c>
      <c r="D613" s="1">
        <f>IFERROR(__xludf.DUMMYFUNCTION("""COMPUTED_VALUE"""),27.8)</f>
        <v>27.8</v>
      </c>
      <c r="E613" s="1">
        <f>IFERROR(__xludf.DUMMYFUNCTION("""COMPUTED_VALUE"""),28.46)</f>
        <v>28.46</v>
      </c>
      <c r="F613" s="1">
        <f>IFERROR(__xludf.DUMMYFUNCTION("""COMPUTED_VALUE"""),1086312.0)</f>
        <v>1086312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IFERROR(__xludf.DUMMYFUNCTION("""COMPUTED_VALUE"""),28.84)</f>
        <v>28.84</v>
      </c>
      <c r="C614" s="1">
        <f>IFERROR(__xludf.DUMMYFUNCTION("""COMPUTED_VALUE"""),28.88)</f>
        <v>28.88</v>
      </c>
      <c r="D614" s="1">
        <f>IFERROR(__xludf.DUMMYFUNCTION("""COMPUTED_VALUE"""),27.81)</f>
        <v>27.81</v>
      </c>
      <c r="E614" s="1">
        <f>IFERROR(__xludf.DUMMYFUNCTION("""COMPUTED_VALUE"""),27.86)</f>
        <v>27.86</v>
      </c>
      <c r="F614" s="1">
        <f>IFERROR(__xludf.DUMMYFUNCTION("""COMPUTED_VALUE"""),1796482.0)</f>
        <v>1796482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IFERROR(__xludf.DUMMYFUNCTION("""COMPUTED_VALUE"""),27.72)</f>
        <v>27.72</v>
      </c>
      <c r="C615" s="1">
        <f>IFERROR(__xludf.DUMMYFUNCTION("""COMPUTED_VALUE"""),28.24)</f>
        <v>28.24</v>
      </c>
      <c r="D615" s="1">
        <f>IFERROR(__xludf.DUMMYFUNCTION("""COMPUTED_VALUE"""),27.46)</f>
        <v>27.46</v>
      </c>
      <c r="E615" s="1">
        <f>IFERROR(__xludf.DUMMYFUNCTION("""COMPUTED_VALUE"""),28.15)</f>
        <v>28.15</v>
      </c>
      <c r="F615" s="1">
        <f>IFERROR(__xludf.DUMMYFUNCTION("""COMPUTED_VALUE"""),3142539.0)</f>
        <v>3142539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IFERROR(__xludf.DUMMYFUNCTION("""COMPUTED_VALUE"""),28.47)</f>
        <v>28.47</v>
      </c>
      <c r="C616" s="1">
        <f>IFERROR(__xludf.DUMMYFUNCTION("""COMPUTED_VALUE"""),28.47)</f>
        <v>28.47</v>
      </c>
      <c r="D616" s="1">
        <f>IFERROR(__xludf.DUMMYFUNCTION("""COMPUTED_VALUE"""),27.39)</f>
        <v>27.39</v>
      </c>
      <c r="E616" s="1">
        <f>IFERROR(__xludf.DUMMYFUNCTION("""COMPUTED_VALUE"""),27.47)</f>
        <v>27.47</v>
      </c>
      <c r="F616" s="1">
        <f>IFERROR(__xludf.DUMMYFUNCTION("""COMPUTED_VALUE"""),2638113.0)</f>
        <v>2638113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IFERROR(__xludf.DUMMYFUNCTION("""COMPUTED_VALUE"""),27.59)</f>
        <v>27.59</v>
      </c>
      <c r="C617" s="1">
        <f>IFERROR(__xludf.DUMMYFUNCTION("""COMPUTED_VALUE"""),27.75)</f>
        <v>27.75</v>
      </c>
      <c r="D617" s="1">
        <f>IFERROR(__xludf.DUMMYFUNCTION("""COMPUTED_VALUE"""),26.85)</f>
        <v>26.85</v>
      </c>
      <c r="E617" s="1">
        <f>IFERROR(__xludf.DUMMYFUNCTION("""COMPUTED_VALUE"""),27.5)</f>
        <v>27.5</v>
      </c>
      <c r="F617" s="1">
        <f>IFERROR(__xludf.DUMMYFUNCTION("""COMPUTED_VALUE"""),2180383.0)</f>
        <v>2180383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IFERROR(__xludf.DUMMYFUNCTION("""COMPUTED_VALUE"""),27.38)</f>
        <v>27.38</v>
      </c>
      <c r="C618" s="1">
        <f>IFERROR(__xludf.DUMMYFUNCTION("""COMPUTED_VALUE"""),27.51)</f>
        <v>27.51</v>
      </c>
      <c r="D618" s="1">
        <f>IFERROR(__xludf.DUMMYFUNCTION("""COMPUTED_VALUE"""),26.83)</f>
        <v>26.83</v>
      </c>
      <c r="E618" s="1">
        <f>IFERROR(__xludf.DUMMYFUNCTION("""COMPUTED_VALUE"""),26.92)</f>
        <v>26.92</v>
      </c>
      <c r="F618" s="1">
        <f>IFERROR(__xludf.DUMMYFUNCTION("""COMPUTED_VALUE"""),1492575.0)</f>
        <v>1492575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IFERROR(__xludf.DUMMYFUNCTION("""COMPUTED_VALUE"""),27.03)</f>
        <v>27.03</v>
      </c>
      <c r="C619" s="1">
        <f>IFERROR(__xludf.DUMMYFUNCTION("""COMPUTED_VALUE"""),27.52)</f>
        <v>27.52</v>
      </c>
      <c r="D619" s="1">
        <f>IFERROR(__xludf.DUMMYFUNCTION("""COMPUTED_VALUE"""),26.89)</f>
        <v>26.89</v>
      </c>
      <c r="E619" s="1">
        <f>IFERROR(__xludf.DUMMYFUNCTION("""COMPUTED_VALUE"""),27.34)</f>
        <v>27.34</v>
      </c>
      <c r="F619" s="1">
        <f>IFERROR(__xludf.DUMMYFUNCTION("""COMPUTED_VALUE"""),1438018.0)</f>
        <v>1438018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IFERROR(__xludf.DUMMYFUNCTION("""COMPUTED_VALUE"""),27.51)</f>
        <v>27.51</v>
      </c>
      <c r="C620" s="1">
        <f>IFERROR(__xludf.DUMMYFUNCTION("""COMPUTED_VALUE"""),27.85)</f>
        <v>27.85</v>
      </c>
      <c r="D620" s="1">
        <f>IFERROR(__xludf.DUMMYFUNCTION("""COMPUTED_VALUE"""),27.37)</f>
        <v>27.37</v>
      </c>
      <c r="E620" s="1">
        <f>IFERROR(__xludf.DUMMYFUNCTION("""COMPUTED_VALUE"""),27.68)</f>
        <v>27.68</v>
      </c>
      <c r="F620" s="1">
        <f>IFERROR(__xludf.DUMMYFUNCTION("""COMPUTED_VALUE"""),2382621.0)</f>
        <v>2382621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IFERROR(__xludf.DUMMYFUNCTION("""COMPUTED_VALUE"""),27.43)</f>
        <v>27.43</v>
      </c>
      <c r="C621" s="1">
        <f>IFERROR(__xludf.DUMMYFUNCTION("""COMPUTED_VALUE"""),27.76)</f>
        <v>27.76</v>
      </c>
      <c r="D621" s="1">
        <f>IFERROR(__xludf.DUMMYFUNCTION("""COMPUTED_VALUE"""),27.04)</f>
        <v>27.04</v>
      </c>
      <c r="E621" s="1">
        <f>IFERROR(__xludf.DUMMYFUNCTION("""COMPUTED_VALUE"""),27.63)</f>
        <v>27.63</v>
      </c>
      <c r="F621" s="1">
        <f>IFERROR(__xludf.DUMMYFUNCTION("""COMPUTED_VALUE"""),1858717.0)</f>
        <v>1858717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IFERROR(__xludf.DUMMYFUNCTION("""COMPUTED_VALUE"""),27.68)</f>
        <v>27.68</v>
      </c>
      <c r="C622" s="1">
        <f>IFERROR(__xludf.DUMMYFUNCTION("""COMPUTED_VALUE"""),28.71)</f>
        <v>28.71</v>
      </c>
      <c r="D622" s="1">
        <f>IFERROR(__xludf.DUMMYFUNCTION("""COMPUTED_VALUE"""),27.68)</f>
        <v>27.68</v>
      </c>
      <c r="E622" s="1">
        <f>IFERROR(__xludf.DUMMYFUNCTION("""COMPUTED_VALUE"""),28.52)</f>
        <v>28.52</v>
      </c>
      <c r="F622" s="1">
        <f>IFERROR(__xludf.DUMMYFUNCTION("""COMPUTED_VALUE"""),2211533.0)</f>
        <v>2211533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IFERROR(__xludf.DUMMYFUNCTION("""COMPUTED_VALUE"""),28.49)</f>
        <v>28.49</v>
      </c>
      <c r="C623" s="1">
        <f>IFERROR(__xludf.DUMMYFUNCTION("""COMPUTED_VALUE"""),28.59)</f>
        <v>28.59</v>
      </c>
      <c r="D623" s="1">
        <f>IFERROR(__xludf.DUMMYFUNCTION("""COMPUTED_VALUE"""),27.89)</f>
        <v>27.89</v>
      </c>
      <c r="E623" s="1">
        <f>IFERROR(__xludf.DUMMYFUNCTION("""COMPUTED_VALUE"""),27.9)</f>
        <v>27.9</v>
      </c>
      <c r="F623" s="1">
        <f>IFERROR(__xludf.DUMMYFUNCTION("""COMPUTED_VALUE"""),2251090.0)</f>
        <v>2251090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IFERROR(__xludf.DUMMYFUNCTION("""COMPUTED_VALUE"""),26.08)</f>
        <v>26.08</v>
      </c>
      <c r="C624" s="1">
        <f>IFERROR(__xludf.DUMMYFUNCTION("""COMPUTED_VALUE"""),26.79)</f>
        <v>26.79</v>
      </c>
      <c r="D624" s="1">
        <f>IFERROR(__xludf.DUMMYFUNCTION("""COMPUTED_VALUE"""),25.76)</f>
        <v>25.76</v>
      </c>
      <c r="E624" s="1">
        <f>IFERROR(__xludf.DUMMYFUNCTION("""COMPUTED_VALUE"""),25.88)</f>
        <v>25.88</v>
      </c>
      <c r="F624" s="1">
        <f>IFERROR(__xludf.DUMMYFUNCTION("""COMPUTED_VALUE"""),6993774.0)</f>
        <v>6993774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IFERROR(__xludf.DUMMYFUNCTION("""COMPUTED_VALUE"""),25.76)</f>
        <v>25.76</v>
      </c>
      <c r="C625" s="1">
        <f>IFERROR(__xludf.DUMMYFUNCTION("""COMPUTED_VALUE"""),26.01)</f>
        <v>26.01</v>
      </c>
      <c r="D625" s="1">
        <f>IFERROR(__xludf.DUMMYFUNCTION("""COMPUTED_VALUE"""),25.47)</f>
        <v>25.47</v>
      </c>
      <c r="E625" s="1">
        <f>IFERROR(__xludf.DUMMYFUNCTION("""COMPUTED_VALUE"""),25.73)</f>
        <v>25.73</v>
      </c>
      <c r="F625" s="1">
        <f>IFERROR(__xludf.DUMMYFUNCTION("""COMPUTED_VALUE"""),4252342.0)</f>
        <v>4252342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IFERROR(__xludf.DUMMYFUNCTION("""COMPUTED_VALUE"""),25.5)</f>
        <v>25.5</v>
      </c>
      <c r="C626" s="1">
        <f>IFERROR(__xludf.DUMMYFUNCTION("""COMPUTED_VALUE"""),25.67)</f>
        <v>25.67</v>
      </c>
      <c r="D626" s="1">
        <f>IFERROR(__xludf.DUMMYFUNCTION("""COMPUTED_VALUE"""),25.21)</f>
        <v>25.21</v>
      </c>
      <c r="E626" s="1">
        <f>IFERROR(__xludf.DUMMYFUNCTION("""COMPUTED_VALUE"""),25.34)</f>
        <v>25.34</v>
      </c>
      <c r="F626" s="1">
        <f>IFERROR(__xludf.DUMMYFUNCTION("""COMPUTED_VALUE"""),2853313.0)</f>
        <v>2853313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IFERROR(__xludf.DUMMYFUNCTION("""COMPUTED_VALUE"""),25.34)</f>
        <v>25.34</v>
      </c>
      <c r="C627" s="1">
        <f>IFERROR(__xludf.DUMMYFUNCTION("""COMPUTED_VALUE"""),25.73)</f>
        <v>25.73</v>
      </c>
      <c r="D627" s="1">
        <f>IFERROR(__xludf.DUMMYFUNCTION("""COMPUTED_VALUE"""),25.23)</f>
        <v>25.23</v>
      </c>
      <c r="E627" s="1">
        <f>IFERROR(__xludf.DUMMYFUNCTION("""COMPUTED_VALUE"""),25.49)</f>
        <v>25.49</v>
      </c>
      <c r="F627" s="1">
        <f>IFERROR(__xludf.DUMMYFUNCTION("""COMPUTED_VALUE"""),2784876.0)</f>
        <v>2784876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IFERROR(__xludf.DUMMYFUNCTION("""COMPUTED_VALUE"""),25.52)</f>
        <v>25.52</v>
      </c>
      <c r="C628" s="1">
        <f>IFERROR(__xludf.DUMMYFUNCTION("""COMPUTED_VALUE"""),25.63)</f>
        <v>25.63</v>
      </c>
      <c r="D628" s="1">
        <f>IFERROR(__xludf.DUMMYFUNCTION("""COMPUTED_VALUE"""),25.22)</f>
        <v>25.22</v>
      </c>
      <c r="E628" s="1">
        <f>IFERROR(__xludf.DUMMYFUNCTION("""COMPUTED_VALUE"""),25.38)</f>
        <v>25.38</v>
      </c>
      <c r="F628" s="1">
        <f>IFERROR(__xludf.DUMMYFUNCTION("""COMPUTED_VALUE"""),3135015.0)</f>
        <v>3135015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IFERROR(__xludf.DUMMYFUNCTION("""COMPUTED_VALUE"""),25.39)</f>
        <v>25.39</v>
      </c>
      <c r="C629" s="1">
        <f>IFERROR(__xludf.DUMMYFUNCTION("""COMPUTED_VALUE"""),25.41)</f>
        <v>25.41</v>
      </c>
      <c r="D629" s="1">
        <f>IFERROR(__xludf.DUMMYFUNCTION("""COMPUTED_VALUE"""),24.83)</f>
        <v>24.83</v>
      </c>
      <c r="E629" s="1">
        <f>IFERROR(__xludf.DUMMYFUNCTION("""COMPUTED_VALUE"""),25.22)</f>
        <v>25.22</v>
      </c>
      <c r="F629" s="1">
        <f>IFERROR(__xludf.DUMMYFUNCTION("""COMPUTED_VALUE"""),4069701.0)</f>
        <v>4069701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IFERROR(__xludf.DUMMYFUNCTION("""COMPUTED_VALUE"""),25.99)</f>
        <v>25.99</v>
      </c>
      <c r="C630" s="1">
        <f>IFERROR(__xludf.DUMMYFUNCTION("""COMPUTED_VALUE"""),26.18)</f>
        <v>26.18</v>
      </c>
      <c r="D630" s="1">
        <f>IFERROR(__xludf.DUMMYFUNCTION("""COMPUTED_VALUE"""),25.8)</f>
        <v>25.8</v>
      </c>
      <c r="E630" s="1">
        <f>IFERROR(__xludf.DUMMYFUNCTION("""COMPUTED_VALUE"""),25.94)</f>
        <v>25.94</v>
      </c>
      <c r="F630" s="1">
        <f>IFERROR(__xludf.DUMMYFUNCTION("""COMPUTED_VALUE"""),4653066.0)</f>
        <v>4653066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IFERROR(__xludf.DUMMYFUNCTION("""COMPUTED_VALUE"""),26.05)</f>
        <v>26.05</v>
      </c>
      <c r="C631" s="1">
        <f>IFERROR(__xludf.DUMMYFUNCTION("""COMPUTED_VALUE"""),26.19)</f>
        <v>26.19</v>
      </c>
      <c r="D631" s="1">
        <f>IFERROR(__xludf.DUMMYFUNCTION("""COMPUTED_VALUE"""),25.79)</f>
        <v>25.79</v>
      </c>
      <c r="E631" s="1">
        <f>IFERROR(__xludf.DUMMYFUNCTION("""COMPUTED_VALUE"""),26.1)</f>
        <v>26.1</v>
      </c>
      <c r="F631" s="1">
        <f>IFERROR(__xludf.DUMMYFUNCTION("""COMPUTED_VALUE"""),2921841.0)</f>
        <v>2921841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IFERROR(__xludf.DUMMYFUNCTION("""COMPUTED_VALUE"""),26.27)</f>
        <v>26.27</v>
      </c>
      <c r="C632" s="1">
        <f>IFERROR(__xludf.DUMMYFUNCTION("""COMPUTED_VALUE"""),26.49)</f>
        <v>26.49</v>
      </c>
      <c r="D632" s="1">
        <f>IFERROR(__xludf.DUMMYFUNCTION("""COMPUTED_VALUE"""),26.03)</f>
        <v>26.03</v>
      </c>
      <c r="E632" s="1">
        <f>IFERROR(__xludf.DUMMYFUNCTION("""COMPUTED_VALUE"""),26.33)</f>
        <v>26.33</v>
      </c>
      <c r="F632" s="1">
        <f>IFERROR(__xludf.DUMMYFUNCTION("""COMPUTED_VALUE"""),2898104.0)</f>
        <v>2898104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IFERROR(__xludf.DUMMYFUNCTION("""COMPUTED_VALUE"""),26.37)</f>
        <v>26.37</v>
      </c>
      <c r="C633" s="1">
        <f>IFERROR(__xludf.DUMMYFUNCTION("""COMPUTED_VALUE"""),26.97)</f>
        <v>26.97</v>
      </c>
      <c r="D633" s="1">
        <f>IFERROR(__xludf.DUMMYFUNCTION("""COMPUTED_VALUE"""),26.17)</f>
        <v>26.17</v>
      </c>
      <c r="E633" s="1">
        <f>IFERROR(__xludf.DUMMYFUNCTION("""COMPUTED_VALUE"""),26.79)</f>
        <v>26.79</v>
      </c>
      <c r="F633" s="1">
        <f>IFERROR(__xludf.DUMMYFUNCTION("""COMPUTED_VALUE"""),2627599.0)</f>
        <v>2627599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IFERROR(__xludf.DUMMYFUNCTION("""COMPUTED_VALUE"""),26.54)</f>
        <v>26.54</v>
      </c>
      <c r="C634" s="1">
        <f>IFERROR(__xludf.DUMMYFUNCTION("""COMPUTED_VALUE"""),26.7)</f>
        <v>26.7</v>
      </c>
      <c r="D634" s="1">
        <f>IFERROR(__xludf.DUMMYFUNCTION("""COMPUTED_VALUE"""),26.32)</f>
        <v>26.32</v>
      </c>
      <c r="E634" s="1">
        <f>IFERROR(__xludf.DUMMYFUNCTION("""COMPUTED_VALUE"""),26.54)</f>
        <v>26.54</v>
      </c>
      <c r="F634" s="1">
        <f>IFERROR(__xludf.DUMMYFUNCTION("""COMPUTED_VALUE"""),2218213.0)</f>
        <v>2218213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IFERROR(__xludf.DUMMYFUNCTION("""COMPUTED_VALUE"""),26.5)</f>
        <v>26.5</v>
      </c>
      <c r="C635" s="1">
        <f>IFERROR(__xludf.DUMMYFUNCTION("""COMPUTED_VALUE"""),26.57)</f>
        <v>26.57</v>
      </c>
      <c r="D635" s="1">
        <f>IFERROR(__xludf.DUMMYFUNCTION("""COMPUTED_VALUE"""),26.18)</f>
        <v>26.18</v>
      </c>
      <c r="E635" s="1">
        <f>IFERROR(__xludf.DUMMYFUNCTION("""COMPUTED_VALUE"""),26.35)</f>
        <v>26.35</v>
      </c>
      <c r="F635" s="1">
        <f>IFERROR(__xludf.DUMMYFUNCTION("""COMPUTED_VALUE"""),1598988.0)</f>
        <v>1598988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IFERROR(__xludf.DUMMYFUNCTION("""COMPUTED_VALUE"""),26.59)</f>
        <v>26.59</v>
      </c>
      <c r="C636" s="1">
        <f>IFERROR(__xludf.DUMMYFUNCTION("""COMPUTED_VALUE"""),26.86)</f>
        <v>26.86</v>
      </c>
      <c r="D636" s="1">
        <f>IFERROR(__xludf.DUMMYFUNCTION("""COMPUTED_VALUE"""),26.38)</f>
        <v>26.38</v>
      </c>
      <c r="E636" s="1">
        <f>IFERROR(__xludf.DUMMYFUNCTION("""COMPUTED_VALUE"""),26.5)</f>
        <v>26.5</v>
      </c>
      <c r="F636" s="1">
        <f>IFERROR(__xludf.DUMMYFUNCTION("""COMPUTED_VALUE"""),2151324.0)</f>
        <v>2151324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IFERROR(__xludf.DUMMYFUNCTION("""COMPUTED_VALUE"""),26.44)</f>
        <v>26.44</v>
      </c>
      <c r="C637" s="1">
        <f>IFERROR(__xludf.DUMMYFUNCTION("""COMPUTED_VALUE"""),26.5)</f>
        <v>26.5</v>
      </c>
      <c r="D637" s="1">
        <f>IFERROR(__xludf.DUMMYFUNCTION("""COMPUTED_VALUE"""),26.02)</f>
        <v>26.02</v>
      </c>
      <c r="E637" s="1">
        <f>IFERROR(__xludf.DUMMYFUNCTION("""COMPUTED_VALUE"""),26.13)</f>
        <v>26.13</v>
      </c>
      <c r="F637" s="1">
        <f>IFERROR(__xludf.DUMMYFUNCTION("""COMPUTED_VALUE"""),1619249.0)</f>
        <v>1619249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IFERROR(__xludf.DUMMYFUNCTION("""COMPUTED_VALUE"""),26.06)</f>
        <v>26.06</v>
      </c>
      <c r="C638" s="1">
        <f>IFERROR(__xludf.DUMMYFUNCTION("""COMPUTED_VALUE"""),26.12)</f>
        <v>26.12</v>
      </c>
      <c r="D638" s="1">
        <f>IFERROR(__xludf.DUMMYFUNCTION("""COMPUTED_VALUE"""),25.84)</f>
        <v>25.84</v>
      </c>
      <c r="E638" s="1">
        <f>IFERROR(__xludf.DUMMYFUNCTION("""COMPUTED_VALUE"""),25.99)</f>
        <v>25.99</v>
      </c>
      <c r="F638" s="1">
        <f>IFERROR(__xludf.DUMMYFUNCTION("""COMPUTED_VALUE"""),2145528.0)</f>
        <v>2145528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IFERROR(__xludf.DUMMYFUNCTION("""COMPUTED_VALUE"""),26.04)</f>
        <v>26.04</v>
      </c>
      <c r="C639" s="1">
        <f>IFERROR(__xludf.DUMMYFUNCTION("""COMPUTED_VALUE"""),26.37)</f>
        <v>26.37</v>
      </c>
      <c r="D639" s="1">
        <f>IFERROR(__xludf.DUMMYFUNCTION("""COMPUTED_VALUE"""),25.97)</f>
        <v>25.97</v>
      </c>
      <c r="E639" s="1">
        <f>IFERROR(__xludf.DUMMYFUNCTION("""COMPUTED_VALUE"""),26.3)</f>
        <v>26.3</v>
      </c>
      <c r="F639" s="1">
        <f>IFERROR(__xludf.DUMMYFUNCTION("""COMPUTED_VALUE"""),1423020.0)</f>
        <v>1423020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IFERROR(__xludf.DUMMYFUNCTION("""COMPUTED_VALUE"""),26.18)</f>
        <v>26.18</v>
      </c>
      <c r="C640" s="1">
        <f>IFERROR(__xludf.DUMMYFUNCTION("""COMPUTED_VALUE"""),26.27)</f>
        <v>26.27</v>
      </c>
      <c r="D640" s="1">
        <f>IFERROR(__xludf.DUMMYFUNCTION("""COMPUTED_VALUE"""),25.94)</f>
        <v>25.94</v>
      </c>
      <c r="E640" s="1">
        <f>IFERROR(__xludf.DUMMYFUNCTION("""COMPUTED_VALUE"""),26.05)</f>
        <v>26.05</v>
      </c>
      <c r="F640" s="1">
        <f>IFERROR(__xludf.DUMMYFUNCTION("""COMPUTED_VALUE"""),1091767.0)</f>
        <v>1091767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IFERROR(__xludf.DUMMYFUNCTION("""COMPUTED_VALUE"""),26.07)</f>
        <v>26.07</v>
      </c>
      <c r="C641" s="1">
        <f>IFERROR(__xludf.DUMMYFUNCTION("""COMPUTED_VALUE"""),26.32)</f>
        <v>26.32</v>
      </c>
      <c r="D641" s="1">
        <f>IFERROR(__xludf.DUMMYFUNCTION("""COMPUTED_VALUE"""),25.91)</f>
        <v>25.91</v>
      </c>
      <c r="E641" s="1">
        <f>IFERROR(__xludf.DUMMYFUNCTION("""COMPUTED_VALUE"""),26.25)</f>
        <v>26.25</v>
      </c>
      <c r="F641" s="1">
        <f>IFERROR(__xludf.DUMMYFUNCTION("""COMPUTED_VALUE"""),1357586.0)</f>
        <v>1357586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IFERROR(__xludf.DUMMYFUNCTION("""COMPUTED_VALUE"""),26.15)</f>
        <v>26.15</v>
      </c>
      <c r="C642" s="1">
        <f>IFERROR(__xludf.DUMMYFUNCTION("""COMPUTED_VALUE"""),27.01)</f>
        <v>27.01</v>
      </c>
      <c r="D642" s="1">
        <f>IFERROR(__xludf.DUMMYFUNCTION("""COMPUTED_VALUE"""),26.11)</f>
        <v>26.11</v>
      </c>
      <c r="E642" s="1">
        <f>IFERROR(__xludf.DUMMYFUNCTION("""COMPUTED_VALUE"""),26.75)</f>
        <v>26.75</v>
      </c>
      <c r="F642" s="1">
        <f>IFERROR(__xludf.DUMMYFUNCTION("""COMPUTED_VALUE"""),2381557.0)</f>
        <v>2381557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IFERROR(__xludf.DUMMYFUNCTION("""COMPUTED_VALUE"""),26.8)</f>
        <v>26.8</v>
      </c>
      <c r="C643" s="1">
        <f>IFERROR(__xludf.DUMMYFUNCTION("""COMPUTED_VALUE"""),27.56)</f>
        <v>27.56</v>
      </c>
      <c r="D643" s="1">
        <f>IFERROR(__xludf.DUMMYFUNCTION("""COMPUTED_VALUE"""),26.69)</f>
        <v>26.69</v>
      </c>
      <c r="E643" s="1">
        <f>IFERROR(__xludf.DUMMYFUNCTION("""COMPUTED_VALUE"""),27.28)</f>
        <v>27.28</v>
      </c>
      <c r="F643" s="1">
        <f>IFERROR(__xludf.DUMMYFUNCTION("""COMPUTED_VALUE"""),2398477.0)</f>
        <v>2398477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IFERROR(__xludf.DUMMYFUNCTION("""COMPUTED_VALUE"""),27.06)</f>
        <v>27.06</v>
      </c>
      <c r="C644" s="1">
        <f>IFERROR(__xludf.DUMMYFUNCTION("""COMPUTED_VALUE"""),27.35)</f>
        <v>27.35</v>
      </c>
      <c r="D644" s="1">
        <f>IFERROR(__xludf.DUMMYFUNCTION("""COMPUTED_VALUE"""),26.83)</f>
        <v>26.83</v>
      </c>
      <c r="E644" s="1">
        <f>IFERROR(__xludf.DUMMYFUNCTION("""COMPUTED_VALUE"""),26.94)</f>
        <v>26.94</v>
      </c>
      <c r="F644" s="1">
        <f>IFERROR(__xludf.DUMMYFUNCTION("""COMPUTED_VALUE"""),1775245.0)</f>
        <v>1775245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IFERROR(__xludf.DUMMYFUNCTION("""COMPUTED_VALUE"""),26.44)</f>
        <v>26.44</v>
      </c>
      <c r="C645" s="1">
        <f>IFERROR(__xludf.DUMMYFUNCTION("""COMPUTED_VALUE"""),27.3)</f>
        <v>27.3</v>
      </c>
      <c r="D645" s="1">
        <f>IFERROR(__xludf.DUMMYFUNCTION("""COMPUTED_VALUE"""),26.22)</f>
        <v>26.22</v>
      </c>
      <c r="E645" s="1">
        <f>IFERROR(__xludf.DUMMYFUNCTION("""COMPUTED_VALUE"""),27.21)</f>
        <v>27.21</v>
      </c>
      <c r="F645" s="1">
        <f>IFERROR(__xludf.DUMMYFUNCTION("""COMPUTED_VALUE"""),1873600.0)</f>
        <v>1873600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IFERROR(__xludf.DUMMYFUNCTION("""COMPUTED_VALUE"""),27.21)</f>
        <v>27.21</v>
      </c>
      <c r="C646" s="1">
        <f>IFERROR(__xludf.DUMMYFUNCTION("""COMPUTED_VALUE"""),27.4)</f>
        <v>27.4</v>
      </c>
      <c r="D646" s="1">
        <f>IFERROR(__xludf.DUMMYFUNCTION("""COMPUTED_VALUE"""),26.72)</f>
        <v>26.72</v>
      </c>
      <c r="E646" s="1">
        <f>IFERROR(__xludf.DUMMYFUNCTION("""COMPUTED_VALUE"""),27.0)</f>
        <v>27</v>
      </c>
      <c r="F646" s="1">
        <f>IFERROR(__xludf.DUMMYFUNCTION("""COMPUTED_VALUE"""),2550542.0)</f>
        <v>2550542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IFERROR(__xludf.DUMMYFUNCTION("""COMPUTED_VALUE"""),27.14)</f>
        <v>27.14</v>
      </c>
      <c r="C647" s="1">
        <f>IFERROR(__xludf.DUMMYFUNCTION("""COMPUTED_VALUE"""),27.22)</f>
        <v>27.22</v>
      </c>
      <c r="D647" s="1">
        <f>IFERROR(__xludf.DUMMYFUNCTION("""COMPUTED_VALUE"""),26.68)</f>
        <v>26.68</v>
      </c>
      <c r="E647" s="1">
        <f>IFERROR(__xludf.DUMMYFUNCTION("""COMPUTED_VALUE"""),26.75)</f>
        <v>26.75</v>
      </c>
      <c r="F647" s="1">
        <f>IFERROR(__xludf.DUMMYFUNCTION("""COMPUTED_VALUE"""),2224010.0)</f>
        <v>2224010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IFERROR(__xludf.DUMMYFUNCTION("""COMPUTED_VALUE"""),27.23)</f>
        <v>27.23</v>
      </c>
      <c r="C648" s="1">
        <f>IFERROR(__xludf.DUMMYFUNCTION("""COMPUTED_VALUE"""),27.42)</f>
        <v>27.42</v>
      </c>
      <c r="D648" s="1">
        <f>IFERROR(__xludf.DUMMYFUNCTION("""COMPUTED_VALUE"""),26.88)</f>
        <v>26.88</v>
      </c>
      <c r="E648" s="1">
        <f>IFERROR(__xludf.DUMMYFUNCTION("""COMPUTED_VALUE"""),27.03)</f>
        <v>27.03</v>
      </c>
      <c r="F648" s="1">
        <f>IFERROR(__xludf.DUMMYFUNCTION("""COMPUTED_VALUE"""),2007934.0)</f>
        <v>2007934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IFERROR(__xludf.DUMMYFUNCTION("""COMPUTED_VALUE"""),27.28)</f>
        <v>27.28</v>
      </c>
      <c r="C649" s="1">
        <f>IFERROR(__xludf.DUMMYFUNCTION("""COMPUTED_VALUE"""),28.1)</f>
        <v>28.1</v>
      </c>
      <c r="D649" s="1">
        <f>IFERROR(__xludf.DUMMYFUNCTION("""COMPUTED_VALUE"""),27.19)</f>
        <v>27.19</v>
      </c>
      <c r="E649" s="1">
        <f>IFERROR(__xludf.DUMMYFUNCTION("""COMPUTED_VALUE"""),28.0)</f>
        <v>28</v>
      </c>
      <c r="F649" s="1">
        <f>IFERROR(__xludf.DUMMYFUNCTION("""COMPUTED_VALUE"""),1835475.0)</f>
        <v>1835475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IFERROR(__xludf.DUMMYFUNCTION("""COMPUTED_VALUE"""),27.89)</f>
        <v>27.89</v>
      </c>
      <c r="C650" s="1">
        <f>IFERROR(__xludf.DUMMYFUNCTION("""COMPUTED_VALUE"""),28.17)</f>
        <v>28.17</v>
      </c>
      <c r="D650" s="1">
        <f>IFERROR(__xludf.DUMMYFUNCTION("""COMPUTED_VALUE"""),27.7)</f>
        <v>27.7</v>
      </c>
      <c r="E650" s="1">
        <f>IFERROR(__xludf.DUMMYFUNCTION("""COMPUTED_VALUE"""),27.97)</f>
        <v>27.97</v>
      </c>
      <c r="F650" s="1">
        <f>IFERROR(__xludf.DUMMYFUNCTION("""COMPUTED_VALUE"""),1765948.0)</f>
        <v>1765948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IFERROR(__xludf.DUMMYFUNCTION("""COMPUTED_VALUE"""),27.86)</f>
        <v>27.86</v>
      </c>
      <c r="C651" s="1">
        <f>IFERROR(__xludf.DUMMYFUNCTION("""COMPUTED_VALUE"""),27.92)</f>
        <v>27.92</v>
      </c>
      <c r="D651" s="1">
        <f>IFERROR(__xludf.DUMMYFUNCTION("""COMPUTED_VALUE"""),27.57)</f>
        <v>27.57</v>
      </c>
      <c r="E651" s="1">
        <f>IFERROR(__xludf.DUMMYFUNCTION("""COMPUTED_VALUE"""),27.83)</f>
        <v>27.83</v>
      </c>
      <c r="F651" s="1">
        <f>IFERROR(__xludf.DUMMYFUNCTION("""COMPUTED_VALUE"""),2483501.0)</f>
        <v>2483501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IFERROR(__xludf.DUMMYFUNCTION("""COMPUTED_VALUE"""),28.04)</f>
        <v>28.04</v>
      </c>
      <c r="C652" s="1">
        <f>IFERROR(__xludf.DUMMYFUNCTION("""COMPUTED_VALUE"""),28.22)</f>
        <v>28.22</v>
      </c>
      <c r="D652" s="1">
        <f>IFERROR(__xludf.DUMMYFUNCTION("""COMPUTED_VALUE"""),27.57)</f>
        <v>27.57</v>
      </c>
      <c r="E652" s="1">
        <f>IFERROR(__xludf.DUMMYFUNCTION("""COMPUTED_VALUE"""),27.69)</f>
        <v>27.69</v>
      </c>
      <c r="F652" s="1">
        <f>IFERROR(__xludf.DUMMYFUNCTION("""COMPUTED_VALUE"""),2506959.0)</f>
        <v>2506959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IFERROR(__xludf.DUMMYFUNCTION("""COMPUTED_VALUE"""),27.36)</f>
        <v>27.36</v>
      </c>
      <c r="C653" s="1">
        <f>IFERROR(__xludf.DUMMYFUNCTION("""COMPUTED_VALUE"""),27.69)</f>
        <v>27.69</v>
      </c>
      <c r="D653" s="1">
        <f>IFERROR(__xludf.DUMMYFUNCTION("""COMPUTED_VALUE"""),26.6)</f>
        <v>26.6</v>
      </c>
      <c r="E653" s="1">
        <f>IFERROR(__xludf.DUMMYFUNCTION("""COMPUTED_VALUE"""),26.94)</f>
        <v>26.94</v>
      </c>
      <c r="F653" s="1">
        <f>IFERROR(__xludf.DUMMYFUNCTION("""COMPUTED_VALUE"""),2168050.0)</f>
        <v>2168050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IFERROR(__xludf.DUMMYFUNCTION("""COMPUTED_VALUE"""),27.41)</f>
        <v>27.41</v>
      </c>
      <c r="C654" s="1">
        <f>IFERROR(__xludf.DUMMYFUNCTION("""COMPUTED_VALUE"""),27.9)</f>
        <v>27.9</v>
      </c>
      <c r="D654" s="1">
        <f>IFERROR(__xludf.DUMMYFUNCTION("""COMPUTED_VALUE"""),27.39)</f>
        <v>27.39</v>
      </c>
      <c r="E654" s="1">
        <f>IFERROR(__xludf.DUMMYFUNCTION("""COMPUTED_VALUE"""),27.86)</f>
        <v>27.86</v>
      </c>
      <c r="F654" s="1">
        <f>IFERROR(__xludf.DUMMYFUNCTION("""COMPUTED_VALUE"""),1147665.0)</f>
        <v>1147665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IFERROR(__xludf.DUMMYFUNCTION("""COMPUTED_VALUE"""),28.04)</f>
        <v>28.04</v>
      </c>
      <c r="C655" s="1">
        <f>IFERROR(__xludf.DUMMYFUNCTION("""COMPUTED_VALUE"""),28.5)</f>
        <v>28.5</v>
      </c>
      <c r="D655" s="1">
        <f>IFERROR(__xludf.DUMMYFUNCTION("""COMPUTED_VALUE"""),27.98)</f>
        <v>27.98</v>
      </c>
      <c r="E655" s="1">
        <f>IFERROR(__xludf.DUMMYFUNCTION("""COMPUTED_VALUE"""),28.44)</f>
        <v>28.44</v>
      </c>
      <c r="F655" s="1">
        <f>IFERROR(__xludf.DUMMYFUNCTION("""COMPUTED_VALUE"""),1028362.0)</f>
        <v>1028362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IFERROR(__xludf.DUMMYFUNCTION("""COMPUTED_VALUE"""),28.52)</f>
        <v>28.52</v>
      </c>
      <c r="C656" s="1">
        <f>IFERROR(__xludf.DUMMYFUNCTION("""COMPUTED_VALUE"""),29.1)</f>
        <v>29.1</v>
      </c>
      <c r="D656" s="1">
        <f>IFERROR(__xludf.DUMMYFUNCTION("""COMPUTED_VALUE"""),28.52)</f>
        <v>28.52</v>
      </c>
      <c r="E656" s="1">
        <f>IFERROR(__xludf.DUMMYFUNCTION("""COMPUTED_VALUE"""),28.94)</f>
        <v>28.94</v>
      </c>
      <c r="F656" s="1">
        <f>IFERROR(__xludf.DUMMYFUNCTION("""COMPUTED_VALUE"""),1367027.0)</f>
        <v>1367027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IFERROR(__xludf.DUMMYFUNCTION("""COMPUTED_VALUE"""),28.74)</f>
        <v>28.74</v>
      </c>
      <c r="C657" s="1">
        <f>IFERROR(__xludf.DUMMYFUNCTION("""COMPUTED_VALUE"""),29.14)</f>
        <v>29.14</v>
      </c>
      <c r="D657" s="1">
        <f>IFERROR(__xludf.DUMMYFUNCTION("""COMPUTED_VALUE"""),28.74)</f>
        <v>28.74</v>
      </c>
      <c r="E657" s="1">
        <f>IFERROR(__xludf.DUMMYFUNCTION("""COMPUTED_VALUE"""),28.91)</f>
        <v>28.91</v>
      </c>
      <c r="F657" s="1">
        <f>IFERROR(__xludf.DUMMYFUNCTION("""COMPUTED_VALUE"""),1163100.0)</f>
        <v>1163100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IFERROR(__xludf.DUMMYFUNCTION("""COMPUTED_VALUE"""),28.87)</f>
        <v>28.87</v>
      </c>
      <c r="C658" s="1">
        <f>IFERROR(__xludf.DUMMYFUNCTION("""COMPUTED_VALUE"""),29.05)</f>
        <v>29.05</v>
      </c>
      <c r="D658" s="1">
        <f>IFERROR(__xludf.DUMMYFUNCTION("""COMPUTED_VALUE"""),28.65)</f>
        <v>28.65</v>
      </c>
      <c r="E658" s="1">
        <f>IFERROR(__xludf.DUMMYFUNCTION("""COMPUTED_VALUE"""),29.03)</f>
        <v>29.03</v>
      </c>
      <c r="F658" s="1">
        <f>IFERROR(__xludf.DUMMYFUNCTION("""COMPUTED_VALUE"""),1397455.0)</f>
        <v>1397455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IFERROR(__xludf.DUMMYFUNCTION("""COMPUTED_VALUE"""),28.97)</f>
        <v>28.97</v>
      </c>
      <c r="C659" s="1">
        <f>IFERROR(__xludf.DUMMYFUNCTION("""COMPUTED_VALUE"""),28.99)</f>
        <v>28.99</v>
      </c>
      <c r="D659" s="1">
        <f>IFERROR(__xludf.DUMMYFUNCTION("""COMPUTED_VALUE"""),28.67)</f>
        <v>28.67</v>
      </c>
      <c r="E659" s="1">
        <f>IFERROR(__xludf.DUMMYFUNCTION("""COMPUTED_VALUE"""),28.99)</f>
        <v>28.99</v>
      </c>
      <c r="F659" s="1">
        <f>IFERROR(__xludf.DUMMYFUNCTION("""COMPUTED_VALUE"""),741890.0)</f>
        <v>741890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IFERROR(__xludf.DUMMYFUNCTION("""COMPUTED_VALUE"""),28.91)</f>
        <v>28.91</v>
      </c>
      <c r="C660" s="1">
        <f>IFERROR(__xludf.DUMMYFUNCTION("""COMPUTED_VALUE"""),28.95)</f>
        <v>28.95</v>
      </c>
      <c r="D660" s="1">
        <f>IFERROR(__xludf.DUMMYFUNCTION("""COMPUTED_VALUE"""),28.6)</f>
        <v>28.6</v>
      </c>
      <c r="E660" s="1">
        <f>IFERROR(__xludf.DUMMYFUNCTION("""COMPUTED_VALUE"""),28.86)</f>
        <v>28.86</v>
      </c>
      <c r="F660" s="1">
        <f>IFERROR(__xludf.DUMMYFUNCTION("""COMPUTED_VALUE"""),1122686.0)</f>
        <v>1122686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IFERROR(__xludf.DUMMYFUNCTION("""COMPUTED_VALUE"""),29.07)</f>
        <v>29.07</v>
      </c>
      <c r="C661" s="1">
        <f>IFERROR(__xludf.DUMMYFUNCTION("""COMPUTED_VALUE"""),29.15)</f>
        <v>29.15</v>
      </c>
      <c r="D661" s="1">
        <f>IFERROR(__xludf.DUMMYFUNCTION("""COMPUTED_VALUE"""),28.75)</f>
        <v>28.75</v>
      </c>
      <c r="E661" s="1">
        <f>IFERROR(__xludf.DUMMYFUNCTION("""COMPUTED_VALUE"""),28.81)</f>
        <v>28.81</v>
      </c>
      <c r="F661" s="1">
        <f>IFERROR(__xludf.DUMMYFUNCTION("""COMPUTED_VALUE"""),1435820.0)</f>
        <v>1435820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IFERROR(__xludf.DUMMYFUNCTION("""COMPUTED_VALUE"""),28.81)</f>
        <v>28.81</v>
      </c>
      <c r="C662" s="1">
        <f>IFERROR(__xludf.DUMMYFUNCTION("""COMPUTED_VALUE"""),29.33)</f>
        <v>29.33</v>
      </c>
      <c r="D662" s="1">
        <f>IFERROR(__xludf.DUMMYFUNCTION("""COMPUTED_VALUE"""),28.77)</f>
        <v>28.77</v>
      </c>
      <c r="E662" s="1">
        <f>IFERROR(__xludf.DUMMYFUNCTION("""COMPUTED_VALUE"""),29.3)</f>
        <v>29.3</v>
      </c>
      <c r="F662" s="1">
        <f>IFERROR(__xludf.DUMMYFUNCTION("""COMPUTED_VALUE"""),1217308.0)</f>
        <v>1217308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IFERROR(__xludf.DUMMYFUNCTION("""COMPUTED_VALUE"""),29.38)</f>
        <v>29.38</v>
      </c>
      <c r="C663" s="1">
        <f>IFERROR(__xludf.DUMMYFUNCTION("""COMPUTED_VALUE"""),29.88)</f>
        <v>29.88</v>
      </c>
      <c r="D663" s="1">
        <f>IFERROR(__xludf.DUMMYFUNCTION("""COMPUTED_VALUE"""),29.19)</f>
        <v>29.19</v>
      </c>
      <c r="E663" s="1">
        <f>IFERROR(__xludf.DUMMYFUNCTION("""COMPUTED_VALUE"""),29.76)</f>
        <v>29.76</v>
      </c>
      <c r="F663" s="1">
        <f>IFERROR(__xludf.DUMMYFUNCTION("""COMPUTED_VALUE"""),1217778.0)</f>
        <v>1217778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IFERROR(__xludf.DUMMYFUNCTION("""COMPUTED_VALUE"""),29.8)</f>
        <v>29.8</v>
      </c>
      <c r="C664" s="1">
        <f>IFERROR(__xludf.DUMMYFUNCTION("""COMPUTED_VALUE"""),30.06)</f>
        <v>30.06</v>
      </c>
      <c r="D664" s="1">
        <f>IFERROR(__xludf.DUMMYFUNCTION("""COMPUTED_VALUE"""),29.72)</f>
        <v>29.72</v>
      </c>
      <c r="E664" s="1">
        <f>IFERROR(__xludf.DUMMYFUNCTION("""COMPUTED_VALUE"""),29.98)</f>
        <v>29.98</v>
      </c>
      <c r="F664" s="1">
        <f>IFERROR(__xludf.DUMMYFUNCTION("""COMPUTED_VALUE"""),1168171.0)</f>
        <v>1168171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IFERROR(__xludf.DUMMYFUNCTION("""COMPUTED_VALUE"""),29.88)</f>
        <v>29.88</v>
      </c>
      <c r="C665" s="1">
        <f>IFERROR(__xludf.DUMMYFUNCTION("""COMPUTED_VALUE"""),29.95)</f>
        <v>29.95</v>
      </c>
      <c r="D665" s="1">
        <f>IFERROR(__xludf.DUMMYFUNCTION("""COMPUTED_VALUE"""),29.57)</f>
        <v>29.57</v>
      </c>
      <c r="E665" s="1">
        <f>IFERROR(__xludf.DUMMYFUNCTION("""COMPUTED_VALUE"""),29.7)</f>
        <v>29.7</v>
      </c>
      <c r="F665" s="1">
        <f>IFERROR(__xludf.DUMMYFUNCTION("""COMPUTED_VALUE"""),832255.0)</f>
        <v>832255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IFERROR(__xludf.DUMMYFUNCTION("""COMPUTED_VALUE"""),29.79)</f>
        <v>29.79</v>
      </c>
      <c r="C666" s="1">
        <f>IFERROR(__xludf.DUMMYFUNCTION("""COMPUTED_VALUE"""),30.01)</f>
        <v>30.01</v>
      </c>
      <c r="D666" s="1">
        <f>IFERROR(__xludf.DUMMYFUNCTION("""COMPUTED_VALUE"""),29.6)</f>
        <v>29.6</v>
      </c>
      <c r="E666" s="1">
        <f>IFERROR(__xludf.DUMMYFUNCTION("""COMPUTED_VALUE"""),29.81)</f>
        <v>29.81</v>
      </c>
      <c r="F666" s="1">
        <f>IFERROR(__xludf.DUMMYFUNCTION("""COMPUTED_VALUE"""),1585421.0)</f>
        <v>1585421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IFERROR(__xludf.DUMMYFUNCTION("""COMPUTED_VALUE"""),29.79)</f>
        <v>29.79</v>
      </c>
      <c r="C667" s="1">
        <f>IFERROR(__xludf.DUMMYFUNCTION("""COMPUTED_VALUE"""),30.02)</f>
        <v>30.02</v>
      </c>
      <c r="D667" s="1">
        <f>IFERROR(__xludf.DUMMYFUNCTION("""COMPUTED_VALUE"""),29.65)</f>
        <v>29.65</v>
      </c>
      <c r="E667" s="1">
        <f>IFERROR(__xludf.DUMMYFUNCTION("""COMPUTED_VALUE"""),29.9)</f>
        <v>29.9</v>
      </c>
      <c r="F667" s="1">
        <f>IFERROR(__xludf.DUMMYFUNCTION("""COMPUTED_VALUE"""),1859379.0)</f>
        <v>1859379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IFERROR(__xludf.DUMMYFUNCTION("""COMPUTED_VALUE"""),29.81)</f>
        <v>29.81</v>
      </c>
      <c r="C668" s="1">
        <f>IFERROR(__xludf.DUMMYFUNCTION("""COMPUTED_VALUE"""),29.81)</f>
        <v>29.81</v>
      </c>
      <c r="D668" s="1">
        <f>IFERROR(__xludf.DUMMYFUNCTION("""COMPUTED_VALUE"""),29.42)</f>
        <v>29.42</v>
      </c>
      <c r="E668" s="1">
        <f>IFERROR(__xludf.DUMMYFUNCTION("""COMPUTED_VALUE"""),29.55)</f>
        <v>29.55</v>
      </c>
      <c r="F668" s="1">
        <f>IFERROR(__xludf.DUMMYFUNCTION("""COMPUTED_VALUE"""),981625.0)</f>
        <v>981625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IFERROR(__xludf.DUMMYFUNCTION("""COMPUTED_VALUE"""),29.41)</f>
        <v>29.41</v>
      </c>
      <c r="C669" s="1">
        <f>IFERROR(__xludf.DUMMYFUNCTION("""COMPUTED_VALUE"""),29.87)</f>
        <v>29.87</v>
      </c>
      <c r="D669" s="1">
        <f>IFERROR(__xludf.DUMMYFUNCTION("""COMPUTED_VALUE"""),29.33)</f>
        <v>29.33</v>
      </c>
      <c r="E669" s="1">
        <f>IFERROR(__xludf.DUMMYFUNCTION("""COMPUTED_VALUE"""),29.81)</f>
        <v>29.81</v>
      </c>
      <c r="F669" s="1">
        <f>IFERROR(__xludf.DUMMYFUNCTION("""COMPUTED_VALUE"""),1000243.0)</f>
        <v>1000243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IFERROR(__xludf.DUMMYFUNCTION("""COMPUTED_VALUE"""),29.95)</f>
        <v>29.95</v>
      </c>
      <c r="C670" s="1">
        <f>IFERROR(__xludf.DUMMYFUNCTION("""COMPUTED_VALUE"""),29.99)</f>
        <v>29.99</v>
      </c>
      <c r="D670" s="1">
        <f>IFERROR(__xludf.DUMMYFUNCTION("""COMPUTED_VALUE"""),29.58)</f>
        <v>29.58</v>
      </c>
      <c r="E670" s="1">
        <f>IFERROR(__xludf.DUMMYFUNCTION("""COMPUTED_VALUE"""),29.67)</f>
        <v>29.67</v>
      </c>
      <c r="F670" s="1">
        <f>IFERROR(__xludf.DUMMYFUNCTION("""COMPUTED_VALUE"""),856363.0)</f>
        <v>856363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IFERROR(__xludf.DUMMYFUNCTION("""COMPUTED_VALUE"""),29.57)</f>
        <v>29.57</v>
      </c>
      <c r="C671" s="1">
        <f>IFERROR(__xludf.DUMMYFUNCTION("""COMPUTED_VALUE"""),29.81)</f>
        <v>29.81</v>
      </c>
      <c r="D671" s="1">
        <f>IFERROR(__xludf.DUMMYFUNCTION("""COMPUTED_VALUE"""),29.36)</f>
        <v>29.36</v>
      </c>
      <c r="E671" s="1">
        <f>IFERROR(__xludf.DUMMYFUNCTION("""COMPUTED_VALUE"""),29.68)</f>
        <v>29.68</v>
      </c>
      <c r="F671" s="1">
        <f>IFERROR(__xludf.DUMMYFUNCTION("""COMPUTED_VALUE"""),1010262.0)</f>
        <v>1010262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IFERROR(__xludf.DUMMYFUNCTION("""COMPUTED_VALUE"""),29.78)</f>
        <v>29.78</v>
      </c>
      <c r="C672" s="1">
        <f>IFERROR(__xludf.DUMMYFUNCTION("""COMPUTED_VALUE"""),30.33)</f>
        <v>30.33</v>
      </c>
      <c r="D672" s="1">
        <f>IFERROR(__xludf.DUMMYFUNCTION("""COMPUTED_VALUE"""),29.69)</f>
        <v>29.69</v>
      </c>
      <c r="E672" s="1">
        <f>IFERROR(__xludf.DUMMYFUNCTION("""COMPUTED_VALUE"""),30.33)</f>
        <v>30.33</v>
      </c>
      <c r="F672" s="1">
        <f>IFERROR(__xludf.DUMMYFUNCTION("""COMPUTED_VALUE"""),977306.0)</f>
        <v>977306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IFERROR(__xludf.DUMMYFUNCTION("""COMPUTED_VALUE"""),30.1)</f>
        <v>30.1</v>
      </c>
      <c r="C673" s="1">
        <f>IFERROR(__xludf.DUMMYFUNCTION("""COMPUTED_VALUE"""),30.44)</f>
        <v>30.44</v>
      </c>
      <c r="D673" s="1">
        <f>IFERROR(__xludf.DUMMYFUNCTION("""COMPUTED_VALUE"""),29.92)</f>
        <v>29.92</v>
      </c>
      <c r="E673" s="1">
        <f>IFERROR(__xludf.DUMMYFUNCTION("""COMPUTED_VALUE"""),30.29)</f>
        <v>30.29</v>
      </c>
      <c r="F673" s="1">
        <f>IFERROR(__xludf.DUMMYFUNCTION("""COMPUTED_VALUE"""),1182313.0)</f>
        <v>1182313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IFERROR(__xludf.DUMMYFUNCTION("""COMPUTED_VALUE"""),30.54)</f>
        <v>30.54</v>
      </c>
      <c r="C674" s="1">
        <f>IFERROR(__xludf.DUMMYFUNCTION("""COMPUTED_VALUE"""),30.68)</f>
        <v>30.68</v>
      </c>
      <c r="D674" s="1">
        <f>IFERROR(__xludf.DUMMYFUNCTION("""COMPUTED_VALUE"""),30.38)</f>
        <v>30.38</v>
      </c>
      <c r="E674" s="1">
        <f>IFERROR(__xludf.DUMMYFUNCTION("""COMPUTED_VALUE"""),30.59)</f>
        <v>30.59</v>
      </c>
      <c r="F674" s="1">
        <f>IFERROR(__xludf.DUMMYFUNCTION("""COMPUTED_VALUE"""),1092700.0)</f>
        <v>1092700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IFERROR(__xludf.DUMMYFUNCTION("""COMPUTED_VALUE"""),30.57)</f>
        <v>30.57</v>
      </c>
      <c r="C675" s="1">
        <f>IFERROR(__xludf.DUMMYFUNCTION("""COMPUTED_VALUE"""),30.77)</f>
        <v>30.77</v>
      </c>
      <c r="D675" s="1">
        <f>IFERROR(__xludf.DUMMYFUNCTION("""COMPUTED_VALUE"""),30.28)</f>
        <v>30.28</v>
      </c>
      <c r="E675" s="1">
        <f>IFERROR(__xludf.DUMMYFUNCTION("""COMPUTED_VALUE"""),30.65)</f>
        <v>30.65</v>
      </c>
      <c r="F675" s="1">
        <f>IFERROR(__xludf.DUMMYFUNCTION("""COMPUTED_VALUE"""),1301501.0)</f>
        <v>1301501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IFERROR(__xludf.DUMMYFUNCTION("""COMPUTED_VALUE"""),30.62)</f>
        <v>30.62</v>
      </c>
      <c r="C676" s="1">
        <f>IFERROR(__xludf.DUMMYFUNCTION("""COMPUTED_VALUE"""),31.63)</f>
        <v>31.63</v>
      </c>
      <c r="D676" s="1">
        <f>IFERROR(__xludf.DUMMYFUNCTION("""COMPUTED_VALUE"""),30.42)</f>
        <v>30.42</v>
      </c>
      <c r="E676" s="1">
        <f>IFERROR(__xludf.DUMMYFUNCTION("""COMPUTED_VALUE"""),31.62)</f>
        <v>31.62</v>
      </c>
      <c r="F676" s="1">
        <f>IFERROR(__xludf.DUMMYFUNCTION("""COMPUTED_VALUE"""),2076878.0)</f>
        <v>2076878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IFERROR(__xludf.DUMMYFUNCTION("""COMPUTED_VALUE"""),31.87)</f>
        <v>31.87</v>
      </c>
      <c r="C677" s="1">
        <f>IFERROR(__xludf.DUMMYFUNCTION("""COMPUTED_VALUE"""),32.77)</f>
        <v>32.77</v>
      </c>
      <c r="D677" s="1">
        <f>IFERROR(__xludf.DUMMYFUNCTION("""COMPUTED_VALUE"""),31.75)</f>
        <v>31.75</v>
      </c>
      <c r="E677" s="1">
        <f>IFERROR(__xludf.DUMMYFUNCTION("""COMPUTED_VALUE"""),32.76)</f>
        <v>32.76</v>
      </c>
      <c r="F677" s="1">
        <f>IFERROR(__xludf.DUMMYFUNCTION("""COMPUTED_VALUE"""),2925782.0)</f>
        <v>2925782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IFERROR(__xludf.DUMMYFUNCTION("""COMPUTED_VALUE"""),32.78)</f>
        <v>32.78</v>
      </c>
      <c r="C678" s="1">
        <f>IFERROR(__xludf.DUMMYFUNCTION("""COMPUTED_VALUE"""),33.28)</f>
        <v>33.28</v>
      </c>
      <c r="D678" s="1">
        <f>IFERROR(__xludf.DUMMYFUNCTION("""COMPUTED_VALUE"""),32.23)</f>
        <v>32.23</v>
      </c>
      <c r="E678" s="1">
        <f>IFERROR(__xludf.DUMMYFUNCTION("""COMPUTED_VALUE"""),32.24)</f>
        <v>32.24</v>
      </c>
      <c r="F678" s="1">
        <f>IFERROR(__xludf.DUMMYFUNCTION("""COMPUTED_VALUE"""),2260213.0)</f>
        <v>2260213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IFERROR(__xludf.DUMMYFUNCTION("""COMPUTED_VALUE"""),32.31)</f>
        <v>32.31</v>
      </c>
      <c r="C679" s="1">
        <f>IFERROR(__xludf.DUMMYFUNCTION("""COMPUTED_VALUE"""),32.58)</f>
        <v>32.58</v>
      </c>
      <c r="D679" s="1">
        <f>IFERROR(__xludf.DUMMYFUNCTION("""COMPUTED_VALUE"""),32.18)</f>
        <v>32.18</v>
      </c>
      <c r="E679" s="1">
        <f>IFERROR(__xludf.DUMMYFUNCTION("""COMPUTED_VALUE"""),32.22)</f>
        <v>32.22</v>
      </c>
      <c r="F679" s="1">
        <f>IFERROR(__xludf.DUMMYFUNCTION("""COMPUTED_VALUE"""),1912304.0)</f>
        <v>1912304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IFERROR(__xludf.DUMMYFUNCTION("""COMPUTED_VALUE"""),32.21)</f>
        <v>32.21</v>
      </c>
      <c r="C680" s="1">
        <f>IFERROR(__xludf.DUMMYFUNCTION("""COMPUTED_VALUE"""),32.56)</f>
        <v>32.56</v>
      </c>
      <c r="D680" s="1">
        <f>IFERROR(__xludf.DUMMYFUNCTION("""COMPUTED_VALUE"""),32.12)</f>
        <v>32.12</v>
      </c>
      <c r="E680" s="1">
        <f>IFERROR(__xludf.DUMMYFUNCTION("""COMPUTED_VALUE"""),32.21)</f>
        <v>32.21</v>
      </c>
      <c r="F680" s="1">
        <f>IFERROR(__xludf.DUMMYFUNCTION("""COMPUTED_VALUE"""),1403256.0)</f>
        <v>1403256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IFERROR(__xludf.DUMMYFUNCTION("""COMPUTED_VALUE"""),32.35)</f>
        <v>32.35</v>
      </c>
      <c r="C681" s="1">
        <f>IFERROR(__xludf.DUMMYFUNCTION("""COMPUTED_VALUE"""),32.77)</f>
        <v>32.77</v>
      </c>
      <c r="D681" s="1">
        <f>IFERROR(__xludf.DUMMYFUNCTION("""COMPUTED_VALUE"""),32.23)</f>
        <v>32.23</v>
      </c>
      <c r="E681" s="1">
        <f>IFERROR(__xludf.DUMMYFUNCTION("""COMPUTED_VALUE"""),32.73)</f>
        <v>32.73</v>
      </c>
      <c r="F681" s="1">
        <f>IFERROR(__xludf.DUMMYFUNCTION("""COMPUTED_VALUE"""),2137769.0)</f>
        <v>2137769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IFERROR(__xludf.DUMMYFUNCTION("""COMPUTED_VALUE"""),32.74)</f>
        <v>32.74</v>
      </c>
      <c r="C682" s="1">
        <f>IFERROR(__xludf.DUMMYFUNCTION("""COMPUTED_VALUE"""),33.38)</f>
        <v>33.38</v>
      </c>
      <c r="D682" s="1">
        <f>IFERROR(__xludf.DUMMYFUNCTION("""COMPUTED_VALUE"""),32.44)</f>
        <v>32.44</v>
      </c>
      <c r="E682" s="1">
        <f>IFERROR(__xludf.DUMMYFUNCTION("""COMPUTED_VALUE"""),33.34)</f>
        <v>33.34</v>
      </c>
      <c r="F682" s="1">
        <f>IFERROR(__xludf.DUMMYFUNCTION("""COMPUTED_VALUE"""),1249786.0)</f>
        <v>1249786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IFERROR(__xludf.DUMMYFUNCTION("""COMPUTED_VALUE"""),33.27)</f>
        <v>33.27</v>
      </c>
      <c r="C683" s="1">
        <f>IFERROR(__xludf.DUMMYFUNCTION("""COMPUTED_VALUE"""),33.27)</f>
        <v>33.27</v>
      </c>
      <c r="D683" s="1">
        <f>IFERROR(__xludf.DUMMYFUNCTION("""COMPUTED_VALUE"""),32.08)</f>
        <v>32.08</v>
      </c>
      <c r="E683" s="1">
        <f>IFERROR(__xludf.DUMMYFUNCTION("""COMPUTED_VALUE"""),32.34)</f>
        <v>32.34</v>
      </c>
      <c r="F683" s="1">
        <f>IFERROR(__xludf.DUMMYFUNCTION("""COMPUTED_VALUE"""),2972522.0)</f>
        <v>2972522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IFERROR(__xludf.DUMMYFUNCTION("""COMPUTED_VALUE"""),32.25)</f>
        <v>32.25</v>
      </c>
      <c r="C684" s="1">
        <f>IFERROR(__xludf.DUMMYFUNCTION("""COMPUTED_VALUE"""),32.29)</f>
        <v>32.29</v>
      </c>
      <c r="D684" s="1">
        <f>IFERROR(__xludf.DUMMYFUNCTION("""COMPUTED_VALUE"""),31.72)</f>
        <v>31.72</v>
      </c>
      <c r="E684" s="1">
        <f>IFERROR(__xludf.DUMMYFUNCTION("""COMPUTED_VALUE"""),31.93)</f>
        <v>31.93</v>
      </c>
      <c r="F684" s="1">
        <f>IFERROR(__xludf.DUMMYFUNCTION("""COMPUTED_VALUE"""),2147615.0)</f>
        <v>2147615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IFERROR(__xludf.DUMMYFUNCTION("""COMPUTED_VALUE"""),31.86)</f>
        <v>31.86</v>
      </c>
      <c r="C685" s="1">
        <f>IFERROR(__xludf.DUMMYFUNCTION("""COMPUTED_VALUE"""),31.92)</f>
        <v>31.92</v>
      </c>
      <c r="D685" s="1">
        <f>IFERROR(__xludf.DUMMYFUNCTION("""COMPUTED_VALUE"""),31.2)</f>
        <v>31.2</v>
      </c>
      <c r="E685" s="1">
        <f>IFERROR(__xludf.DUMMYFUNCTION("""COMPUTED_VALUE"""),31.36)</f>
        <v>31.36</v>
      </c>
      <c r="F685" s="1">
        <f>IFERROR(__xludf.DUMMYFUNCTION("""COMPUTED_VALUE"""),2553596.0)</f>
        <v>2553596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IFERROR(__xludf.DUMMYFUNCTION("""COMPUTED_VALUE"""),31.51)</f>
        <v>31.51</v>
      </c>
      <c r="C686" s="1">
        <f>IFERROR(__xludf.DUMMYFUNCTION("""COMPUTED_VALUE"""),32.09)</f>
        <v>32.09</v>
      </c>
      <c r="D686" s="1">
        <f>IFERROR(__xludf.DUMMYFUNCTION("""COMPUTED_VALUE"""),31.38)</f>
        <v>31.38</v>
      </c>
      <c r="E686" s="1">
        <f>IFERROR(__xludf.DUMMYFUNCTION("""COMPUTED_VALUE"""),31.97)</f>
        <v>31.97</v>
      </c>
      <c r="F686" s="1">
        <f>IFERROR(__xludf.DUMMYFUNCTION("""COMPUTED_VALUE"""),2620055.0)</f>
        <v>2620055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IFERROR(__xludf.DUMMYFUNCTION("""COMPUTED_VALUE"""),31.16)</f>
        <v>31.16</v>
      </c>
      <c r="C687" s="1">
        <f>IFERROR(__xludf.DUMMYFUNCTION("""COMPUTED_VALUE"""),31.19)</f>
        <v>31.19</v>
      </c>
      <c r="D687" s="1">
        <f>IFERROR(__xludf.DUMMYFUNCTION("""COMPUTED_VALUE"""),29.38)</f>
        <v>29.38</v>
      </c>
      <c r="E687" s="1">
        <f>IFERROR(__xludf.DUMMYFUNCTION("""COMPUTED_VALUE"""),29.96)</f>
        <v>29.96</v>
      </c>
      <c r="F687" s="1">
        <f>IFERROR(__xludf.DUMMYFUNCTION("""COMPUTED_VALUE"""),6454642.0)</f>
        <v>6454642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IFERROR(__xludf.DUMMYFUNCTION("""COMPUTED_VALUE"""),30.06)</f>
        <v>30.06</v>
      </c>
      <c r="C688" s="1">
        <f>IFERROR(__xludf.DUMMYFUNCTION("""COMPUTED_VALUE"""),30.15)</f>
        <v>30.15</v>
      </c>
      <c r="D688" s="1">
        <f>IFERROR(__xludf.DUMMYFUNCTION("""COMPUTED_VALUE"""),29.22)</f>
        <v>29.22</v>
      </c>
      <c r="E688" s="1">
        <f>IFERROR(__xludf.DUMMYFUNCTION("""COMPUTED_VALUE"""),29.28)</f>
        <v>29.28</v>
      </c>
      <c r="F688" s="1">
        <f>IFERROR(__xludf.DUMMYFUNCTION("""COMPUTED_VALUE"""),3486446.0)</f>
        <v>3486446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IFERROR(__xludf.DUMMYFUNCTION("""COMPUTED_VALUE"""),29.02)</f>
        <v>29.02</v>
      </c>
      <c r="C689" s="1">
        <f>IFERROR(__xludf.DUMMYFUNCTION("""COMPUTED_VALUE"""),29.34)</f>
        <v>29.34</v>
      </c>
      <c r="D689" s="1">
        <f>IFERROR(__xludf.DUMMYFUNCTION("""COMPUTED_VALUE"""),28.87)</f>
        <v>28.87</v>
      </c>
      <c r="E689" s="1">
        <f>IFERROR(__xludf.DUMMYFUNCTION("""COMPUTED_VALUE"""),28.95)</f>
        <v>28.95</v>
      </c>
      <c r="F689" s="1">
        <f>IFERROR(__xludf.DUMMYFUNCTION("""COMPUTED_VALUE"""),2023197.0)</f>
        <v>2023197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IFERROR(__xludf.DUMMYFUNCTION("""COMPUTED_VALUE"""),29.0)</f>
        <v>29</v>
      </c>
      <c r="C690" s="1">
        <f>IFERROR(__xludf.DUMMYFUNCTION("""COMPUTED_VALUE"""),29.32)</f>
        <v>29.32</v>
      </c>
      <c r="D690" s="1">
        <f>IFERROR(__xludf.DUMMYFUNCTION("""COMPUTED_VALUE"""),28.45)</f>
        <v>28.45</v>
      </c>
      <c r="E690" s="1">
        <f>IFERROR(__xludf.DUMMYFUNCTION("""COMPUTED_VALUE"""),28.45)</f>
        <v>28.45</v>
      </c>
      <c r="F690" s="1">
        <f>IFERROR(__xludf.DUMMYFUNCTION("""COMPUTED_VALUE"""),2434375.0)</f>
        <v>2434375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IFERROR(__xludf.DUMMYFUNCTION("""COMPUTED_VALUE"""),28.4)</f>
        <v>28.4</v>
      </c>
      <c r="C691" s="1">
        <f>IFERROR(__xludf.DUMMYFUNCTION("""COMPUTED_VALUE"""),28.62)</f>
        <v>28.62</v>
      </c>
      <c r="D691" s="1">
        <f>IFERROR(__xludf.DUMMYFUNCTION("""COMPUTED_VALUE"""),28.1)</f>
        <v>28.1</v>
      </c>
      <c r="E691" s="1">
        <f>IFERROR(__xludf.DUMMYFUNCTION("""COMPUTED_VALUE"""),28.4)</f>
        <v>28.4</v>
      </c>
      <c r="F691" s="1">
        <f>IFERROR(__xludf.DUMMYFUNCTION("""COMPUTED_VALUE"""),1530462.0)</f>
        <v>1530462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IFERROR(__xludf.DUMMYFUNCTION("""COMPUTED_VALUE"""),28.44)</f>
        <v>28.44</v>
      </c>
      <c r="C692" s="1">
        <f>IFERROR(__xludf.DUMMYFUNCTION("""COMPUTED_VALUE"""),28.59)</f>
        <v>28.59</v>
      </c>
      <c r="D692" s="1">
        <f>IFERROR(__xludf.DUMMYFUNCTION("""COMPUTED_VALUE"""),28.21)</f>
        <v>28.21</v>
      </c>
      <c r="E692" s="1">
        <f>IFERROR(__xludf.DUMMYFUNCTION("""COMPUTED_VALUE"""),28.38)</f>
        <v>28.38</v>
      </c>
      <c r="F692" s="1">
        <f>IFERROR(__xludf.DUMMYFUNCTION("""COMPUTED_VALUE"""),1165586.0)</f>
        <v>1165586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IFERROR(__xludf.DUMMYFUNCTION("""COMPUTED_VALUE"""),28.21)</f>
        <v>28.21</v>
      </c>
      <c r="C693" s="1">
        <f>IFERROR(__xludf.DUMMYFUNCTION("""COMPUTED_VALUE"""),28.38)</f>
        <v>28.38</v>
      </c>
      <c r="D693" s="1">
        <f>IFERROR(__xludf.DUMMYFUNCTION("""COMPUTED_VALUE"""),28.04)</f>
        <v>28.04</v>
      </c>
      <c r="E693" s="1">
        <f>IFERROR(__xludf.DUMMYFUNCTION("""COMPUTED_VALUE"""),28.3)</f>
        <v>28.3</v>
      </c>
      <c r="F693" s="1">
        <f>IFERROR(__xludf.DUMMYFUNCTION("""COMPUTED_VALUE"""),1741442.0)</f>
        <v>1741442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IFERROR(__xludf.DUMMYFUNCTION("""COMPUTED_VALUE"""),28.36)</f>
        <v>28.36</v>
      </c>
      <c r="C694" s="1">
        <f>IFERROR(__xludf.DUMMYFUNCTION("""COMPUTED_VALUE"""),28.91)</f>
        <v>28.91</v>
      </c>
      <c r="D694" s="1">
        <f>IFERROR(__xludf.DUMMYFUNCTION("""COMPUTED_VALUE"""),28.35)</f>
        <v>28.35</v>
      </c>
      <c r="E694" s="1">
        <f>IFERROR(__xludf.DUMMYFUNCTION("""COMPUTED_VALUE"""),28.42)</f>
        <v>28.42</v>
      </c>
      <c r="F694" s="1">
        <f>IFERROR(__xludf.DUMMYFUNCTION("""COMPUTED_VALUE"""),1869068.0)</f>
        <v>1869068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IFERROR(__xludf.DUMMYFUNCTION("""COMPUTED_VALUE"""),28.47)</f>
        <v>28.47</v>
      </c>
      <c r="C695" s="1">
        <f>IFERROR(__xludf.DUMMYFUNCTION("""COMPUTED_VALUE"""),28.92)</f>
        <v>28.92</v>
      </c>
      <c r="D695" s="1">
        <f>IFERROR(__xludf.DUMMYFUNCTION("""COMPUTED_VALUE"""),28.33)</f>
        <v>28.33</v>
      </c>
      <c r="E695" s="1">
        <f>IFERROR(__xludf.DUMMYFUNCTION("""COMPUTED_VALUE"""),28.68)</f>
        <v>28.68</v>
      </c>
      <c r="F695" s="1">
        <f>IFERROR(__xludf.DUMMYFUNCTION("""COMPUTED_VALUE"""),2302900.0)</f>
        <v>2302900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IFERROR(__xludf.DUMMYFUNCTION("""COMPUTED_VALUE"""),28.71)</f>
        <v>28.71</v>
      </c>
      <c r="C696" s="1">
        <f>IFERROR(__xludf.DUMMYFUNCTION("""COMPUTED_VALUE"""),28.82)</f>
        <v>28.82</v>
      </c>
      <c r="D696" s="1">
        <f>IFERROR(__xludf.DUMMYFUNCTION("""COMPUTED_VALUE"""),28.29)</f>
        <v>28.29</v>
      </c>
      <c r="E696" s="1">
        <f>IFERROR(__xludf.DUMMYFUNCTION("""COMPUTED_VALUE"""),28.32)</f>
        <v>28.32</v>
      </c>
      <c r="F696" s="1">
        <f>IFERROR(__xludf.DUMMYFUNCTION("""COMPUTED_VALUE"""),1334761.0)</f>
        <v>1334761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IFERROR(__xludf.DUMMYFUNCTION("""COMPUTED_VALUE"""),28.51)</f>
        <v>28.51</v>
      </c>
      <c r="C697" s="1">
        <f>IFERROR(__xludf.DUMMYFUNCTION("""COMPUTED_VALUE"""),29.03)</f>
        <v>29.03</v>
      </c>
      <c r="D697" s="1">
        <f>IFERROR(__xludf.DUMMYFUNCTION("""COMPUTED_VALUE"""),28.39)</f>
        <v>28.39</v>
      </c>
      <c r="E697" s="1">
        <f>IFERROR(__xludf.DUMMYFUNCTION("""COMPUTED_VALUE"""),28.85)</f>
        <v>28.85</v>
      </c>
      <c r="F697" s="1">
        <f>IFERROR(__xludf.DUMMYFUNCTION("""COMPUTED_VALUE"""),1848292.0)</f>
        <v>1848292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IFERROR(__xludf.DUMMYFUNCTION("""COMPUTED_VALUE"""),29.06)</f>
        <v>29.06</v>
      </c>
      <c r="C698" s="1">
        <f>IFERROR(__xludf.DUMMYFUNCTION("""COMPUTED_VALUE"""),29.69)</f>
        <v>29.69</v>
      </c>
      <c r="D698" s="1">
        <f>IFERROR(__xludf.DUMMYFUNCTION("""COMPUTED_VALUE"""),29.05)</f>
        <v>29.05</v>
      </c>
      <c r="E698" s="1">
        <f>IFERROR(__xludf.DUMMYFUNCTION("""COMPUTED_VALUE"""),29.19)</f>
        <v>29.19</v>
      </c>
      <c r="F698" s="1">
        <f>IFERROR(__xludf.DUMMYFUNCTION("""COMPUTED_VALUE"""),1837391.0)</f>
        <v>1837391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IFERROR(__xludf.DUMMYFUNCTION("""COMPUTED_VALUE"""),30.05)</f>
        <v>30.05</v>
      </c>
      <c r="C699" s="1">
        <f>IFERROR(__xludf.DUMMYFUNCTION("""COMPUTED_VALUE"""),33.0)</f>
        <v>33</v>
      </c>
      <c r="D699" s="1">
        <f>IFERROR(__xludf.DUMMYFUNCTION("""COMPUTED_VALUE"""),29.8)</f>
        <v>29.8</v>
      </c>
      <c r="E699" s="1">
        <f>IFERROR(__xludf.DUMMYFUNCTION("""COMPUTED_VALUE"""),31.86)</f>
        <v>31.86</v>
      </c>
      <c r="F699" s="1">
        <f>IFERROR(__xludf.DUMMYFUNCTION("""COMPUTED_VALUE"""),1.0037637E7)</f>
        <v>10037637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IFERROR(__xludf.DUMMYFUNCTION("""COMPUTED_VALUE"""),31.79)</f>
        <v>31.79</v>
      </c>
      <c r="C700" s="1">
        <f>IFERROR(__xludf.DUMMYFUNCTION("""COMPUTED_VALUE"""),32.21)</f>
        <v>32.21</v>
      </c>
      <c r="D700" s="1">
        <f>IFERROR(__xludf.DUMMYFUNCTION("""COMPUTED_VALUE"""),31.53)</f>
        <v>31.53</v>
      </c>
      <c r="E700" s="1">
        <f>IFERROR(__xludf.DUMMYFUNCTION("""COMPUTED_VALUE"""),31.62)</f>
        <v>31.62</v>
      </c>
      <c r="F700" s="1">
        <f>IFERROR(__xludf.DUMMYFUNCTION("""COMPUTED_VALUE"""),3372504.0)</f>
        <v>3372504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IFERROR(__xludf.DUMMYFUNCTION("""COMPUTED_VALUE"""),31.05)</f>
        <v>31.05</v>
      </c>
      <c r="C701" s="1">
        <f>IFERROR(__xludf.DUMMYFUNCTION("""COMPUTED_VALUE"""),31.68)</f>
        <v>31.68</v>
      </c>
      <c r="D701" s="1">
        <f>IFERROR(__xludf.DUMMYFUNCTION("""COMPUTED_VALUE"""),31.0)</f>
        <v>31</v>
      </c>
      <c r="E701" s="1">
        <f>IFERROR(__xludf.DUMMYFUNCTION("""COMPUTED_VALUE"""),31.34)</f>
        <v>31.34</v>
      </c>
      <c r="F701" s="1">
        <f>IFERROR(__xludf.DUMMYFUNCTION("""COMPUTED_VALUE"""),2408800.0)</f>
        <v>2408800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IFERROR(__xludf.DUMMYFUNCTION("""COMPUTED_VALUE"""),31.58)</f>
        <v>31.58</v>
      </c>
      <c r="C702" s="1">
        <f>IFERROR(__xludf.DUMMYFUNCTION("""COMPUTED_VALUE"""),31.87)</f>
        <v>31.87</v>
      </c>
      <c r="D702" s="1">
        <f>IFERROR(__xludf.DUMMYFUNCTION("""COMPUTED_VALUE"""),31.19)</f>
        <v>31.19</v>
      </c>
      <c r="E702" s="1">
        <f>IFERROR(__xludf.DUMMYFUNCTION("""COMPUTED_VALUE"""),31.25)</f>
        <v>31.25</v>
      </c>
      <c r="F702" s="1">
        <f>IFERROR(__xludf.DUMMYFUNCTION("""COMPUTED_VALUE"""),1525922.0)</f>
        <v>1525922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IFERROR(__xludf.DUMMYFUNCTION("""COMPUTED_VALUE"""),31.44)</f>
        <v>31.44</v>
      </c>
      <c r="C703" s="1">
        <f>IFERROR(__xludf.DUMMYFUNCTION("""COMPUTED_VALUE"""),32.78)</f>
        <v>32.78</v>
      </c>
      <c r="D703" s="1">
        <f>IFERROR(__xludf.DUMMYFUNCTION("""COMPUTED_VALUE"""),31.36)</f>
        <v>31.36</v>
      </c>
      <c r="E703" s="1">
        <f>IFERROR(__xludf.DUMMYFUNCTION("""COMPUTED_VALUE"""),32.55)</f>
        <v>32.55</v>
      </c>
      <c r="F703" s="1">
        <f>IFERROR(__xludf.DUMMYFUNCTION("""COMPUTED_VALUE"""),3728734.0)</f>
        <v>3728734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IFERROR(__xludf.DUMMYFUNCTION("""COMPUTED_VALUE"""),32.65)</f>
        <v>32.65</v>
      </c>
      <c r="C704" s="1">
        <f>IFERROR(__xludf.DUMMYFUNCTION("""COMPUTED_VALUE"""),33.0)</f>
        <v>33</v>
      </c>
      <c r="D704" s="1">
        <f>IFERROR(__xludf.DUMMYFUNCTION("""COMPUTED_VALUE"""),32.14)</f>
        <v>32.14</v>
      </c>
      <c r="E704" s="1">
        <f>IFERROR(__xludf.DUMMYFUNCTION("""COMPUTED_VALUE"""),32.99)</f>
        <v>32.99</v>
      </c>
      <c r="F704" s="1">
        <f>IFERROR(__xludf.DUMMYFUNCTION("""COMPUTED_VALUE"""),2906317.0)</f>
        <v>2906317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IFERROR(__xludf.DUMMYFUNCTION("""COMPUTED_VALUE"""),33.0)</f>
        <v>33</v>
      </c>
      <c r="C705" s="1">
        <f>IFERROR(__xludf.DUMMYFUNCTION("""COMPUTED_VALUE"""),33.29)</f>
        <v>33.29</v>
      </c>
      <c r="D705" s="1">
        <f>IFERROR(__xludf.DUMMYFUNCTION("""COMPUTED_VALUE"""),32.68)</f>
        <v>32.68</v>
      </c>
      <c r="E705" s="1">
        <f>IFERROR(__xludf.DUMMYFUNCTION("""COMPUTED_VALUE"""),33.21)</f>
        <v>33.21</v>
      </c>
      <c r="F705" s="1">
        <f>IFERROR(__xludf.DUMMYFUNCTION("""COMPUTED_VALUE"""),2955201.0)</f>
        <v>2955201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IFERROR(__xludf.DUMMYFUNCTION("""COMPUTED_VALUE"""),33.13)</f>
        <v>33.13</v>
      </c>
      <c r="C706" s="1">
        <f>IFERROR(__xludf.DUMMYFUNCTION("""COMPUTED_VALUE"""),33.66)</f>
        <v>33.66</v>
      </c>
      <c r="D706" s="1">
        <f>IFERROR(__xludf.DUMMYFUNCTION("""COMPUTED_VALUE"""),32.97)</f>
        <v>32.97</v>
      </c>
      <c r="E706" s="1">
        <f>IFERROR(__xludf.DUMMYFUNCTION("""COMPUTED_VALUE"""),33.55)</f>
        <v>33.55</v>
      </c>
      <c r="F706" s="1">
        <f>IFERROR(__xludf.DUMMYFUNCTION("""COMPUTED_VALUE"""),2685921.0)</f>
        <v>2685921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IFERROR(__xludf.DUMMYFUNCTION("""COMPUTED_VALUE"""),33.55)</f>
        <v>33.55</v>
      </c>
      <c r="C707" s="1">
        <f>IFERROR(__xludf.DUMMYFUNCTION("""COMPUTED_VALUE"""),33.7)</f>
        <v>33.7</v>
      </c>
      <c r="D707" s="1">
        <f>IFERROR(__xludf.DUMMYFUNCTION("""COMPUTED_VALUE"""),33.21)</f>
        <v>33.21</v>
      </c>
      <c r="E707" s="1">
        <f>IFERROR(__xludf.DUMMYFUNCTION("""COMPUTED_VALUE"""),33.39)</f>
        <v>33.39</v>
      </c>
      <c r="F707" s="1">
        <f>IFERROR(__xludf.DUMMYFUNCTION("""COMPUTED_VALUE"""),1356735.0)</f>
        <v>1356735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IFERROR(__xludf.DUMMYFUNCTION("""COMPUTED_VALUE"""),33.56)</f>
        <v>33.56</v>
      </c>
      <c r="C708" s="1">
        <f>IFERROR(__xludf.DUMMYFUNCTION("""COMPUTED_VALUE"""),33.98)</f>
        <v>33.98</v>
      </c>
      <c r="D708" s="1">
        <f>IFERROR(__xludf.DUMMYFUNCTION("""COMPUTED_VALUE"""),33.27)</f>
        <v>33.27</v>
      </c>
      <c r="E708" s="1">
        <f>IFERROR(__xludf.DUMMYFUNCTION("""COMPUTED_VALUE"""),33.3)</f>
        <v>33.3</v>
      </c>
      <c r="F708" s="1">
        <f>IFERROR(__xludf.DUMMYFUNCTION("""COMPUTED_VALUE"""),3685132.0)</f>
        <v>3685132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IFERROR(__xludf.DUMMYFUNCTION("""COMPUTED_VALUE"""),33.43)</f>
        <v>33.43</v>
      </c>
      <c r="C709" s="1">
        <f>IFERROR(__xludf.DUMMYFUNCTION("""COMPUTED_VALUE"""),33.44)</f>
        <v>33.44</v>
      </c>
      <c r="D709" s="1">
        <f>IFERROR(__xludf.DUMMYFUNCTION("""COMPUTED_VALUE"""),32.66)</f>
        <v>32.66</v>
      </c>
      <c r="E709" s="1">
        <f>IFERROR(__xludf.DUMMYFUNCTION("""COMPUTED_VALUE"""),33.15)</f>
        <v>33.15</v>
      </c>
      <c r="F709" s="1">
        <f>IFERROR(__xludf.DUMMYFUNCTION("""COMPUTED_VALUE"""),2384165.0)</f>
        <v>2384165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IFERROR(__xludf.DUMMYFUNCTION("""COMPUTED_VALUE"""),32.86)</f>
        <v>32.86</v>
      </c>
      <c r="C710" s="1">
        <f>IFERROR(__xludf.DUMMYFUNCTION("""COMPUTED_VALUE"""),33.28)</f>
        <v>33.28</v>
      </c>
      <c r="D710" s="1">
        <f>IFERROR(__xludf.DUMMYFUNCTION("""COMPUTED_VALUE"""),32.67)</f>
        <v>32.67</v>
      </c>
      <c r="E710" s="1">
        <f>IFERROR(__xludf.DUMMYFUNCTION("""COMPUTED_VALUE"""),33.06)</f>
        <v>33.06</v>
      </c>
      <c r="F710" s="1">
        <f>IFERROR(__xludf.DUMMYFUNCTION("""COMPUTED_VALUE"""),2558343.0)</f>
        <v>2558343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IFERROR(__xludf.DUMMYFUNCTION("""COMPUTED_VALUE"""),33.17)</f>
        <v>33.17</v>
      </c>
      <c r="C711" s="1">
        <f>IFERROR(__xludf.DUMMYFUNCTION("""COMPUTED_VALUE"""),33.28)</f>
        <v>33.28</v>
      </c>
      <c r="D711" s="1">
        <f>IFERROR(__xludf.DUMMYFUNCTION("""COMPUTED_VALUE"""),32.56)</f>
        <v>32.56</v>
      </c>
      <c r="E711" s="1">
        <f>IFERROR(__xludf.DUMMYFUNCTION("""COMPUTED_VALUE"""),32.67)</f>
        <v>32.67</v>
      </c>
      <c r="F711" s="1">
        <f>IFERROR(__xludf.DUMMYFUNCTION("""COMPUTED_VALUE"""),1610559.0)</f>
        <v>1610559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IFERROR(__xludf.DUMMYFUNCTION("""COMPUTED_VALUE"""),33.0)</f>
        <v>33</v>
      </c>
      <c r="C712" s="1">
        <f>IFERROR(__xludf.DUMMYFUNCTION("""COMPUTED_VALUE"""),33.09)</f>
        <v>33.09</v>
      </c>
      <c r="D712" s="1">
        <f>IFERROR(__xludf.DUMMYFUNCTION("""COMPUTED_VALUE"""),32.35)</f>
        <v>32.35</v>
      </c>
      <c r="E712" s="1">
        <f>IFERROR(__xludf.DUMMYFUNCTION("""COMPUTED_VALUE"""),32.78)</f>
        <v>32.78</v>
      </c>
      <c r="F712" s="1">
        <f>IFERROR(__xludf.DUMMYFUNCTION("""COMPUTED_VALUE"""),1584848.0)</f>
        <v>1584848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IFERROR(__xludf.DUMMYFUNCTION("""COMPUTED_VALUE"""),33.07)</f>
        <v>33.07</v>
      </c>
      <c r="C713" s="1">
        <f>IFERROR(__xludf.DUMMYFUNCTION("""COMPUTED_VALUE"""),33.84)</f>
        <v>33.84</v>
      </c>
      <c r="D713" s="1">
        <f>IFERROR(__xludf.DUMMYFUNCTION("""COMPUTED_VALUE"""),32.97)</f>
        <v>32.97</v>
      </c>
      <c r="E713" s="1">
        <f>IFERROR(__xludf.DUMMYFUNCTION("""COMPUTED_VALUE"""),33.57)</f>
        <v>33.57</v>
      </c>
      <c r="F713" s="1">
        <f>IFERROR(__xludf.DUMMYFUNCTION("""COMPUTED_VALUE"""),3169916.0)</f>
        <v>3169916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IFERROR(__xludf.DUMMYFUNCTION("""COMPUTED_VALUE"""),33.57)</f>
        <v>33.57</v>
      </c>
      <c r="C714" s="1">
        <f>IFERROR(__xludf.DUMMYFUNCTION("""COMPUTED_VALUE"""),34.0)</f>
        <v>34</v>
      </c>
      <c r="D714" s="1">
        <f>IFERROR(__xludf.DUMMYFUNCTION("""COMPUTED_VALUE"""),33.31)</f>
        <v>33.31</v>
      </c>
      <c r="E714" s="1">
        <f>IFERROR(__xludf.DUMMYFUNCTION("""COMPUTED_VALUE"""),33.75)</f>
        <v>33.75</v>
      </c>
      <c r="F714" s="1">
        <f>IFERROR(__xludf.DUMMYFUNCTION("""COMPUTED_VALUE"""),1492436.0)</f>
        <v>1492436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IFERROR(__xludf.DUMMYFUNCTION("""COMPUTED_VALUE"""),33.81)</f>
        <v>33.81</v>
      </c>
      <c r="C715" s="1">
        <f>IFERROR(__xludf.DUMMYFUNCTION("""COMPUTED_VALUE"""),35.12)</f>
        <v>35.12</v>
      </c>
      <c r="D715" s="1">
        <f>IFERROR(__xludf.DUMMYFUNCTION("""COMPUTED_VALUE"""),33.72)</f>
        <v>33.72</v>
      </c>
      <c r="E715" s="1">
        <f>IFERROR(__xludf.DUMMYFUNCTION("""COMPUTED_VALUE"""),34.96)</f>
        <v>34.96</v>
      </c>
      <c r="F715" s="1">
        <f>IFERROR(__xludf.DUMMYFUNCTION("""COMPUTED_VALUE"""),2615302.0)</f>
        <v>2615302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IFERROR(__xludf.DUMMYFUNCTION("""COMPUTED_VALUE"""),35.5)</f>
        <v>35.5</v>
      </c>
      <c r="C716" s="1">
        <f>IFERROR(__xludf.DUMMYFUNCTION("""COMPUTED_VALUE"""),36.0)</f>
        <v>36</v>
      </c>
      <c r="D716" s="1">
        <f>IFERROR(__xludf.DUMMYFUNCTION("""COMPUTED_VALUE"""),34.54)</f>
        <v>34.54</v>
      </c>
      <c r="E716" s="1">
        <f>IFERROR(__xludf.DUMMYFUNCTION("""COMPUTED_VALUE"""),34.68)</f>
        <v>34.68</v>
      </c>
      <c r="F716" s="1">
        <f>IFERROR(__xludf.DUMMYFUNCTION("""COMPUTED_VALUE"""),2538995.0)</f>
        <v>2538995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IFERROR(__xludf.DUMMYFUNCTION("""COMPUTED_VALUE"""),34.69)</f>
        <v>34.69</v>
      </c>
      <c r="C717" s="1">
        <f>IFERROR(__xludf.DUMMYFUNCTION("""COMPUTED_VALUE"""),34.91)</f>
        <v>34.91</v>
      </c>
      <c r="D717" s="1">
        <f>IFERROR(__xludf.DUMMYFUNCTION("""COMPUTED_VALUE"""),34.35)</f>
        <v>34.35</v>
      </c>
      <c r="E717" s="1">
        <f>IFERROR(__xludf.DUMMYFUNCTION("""COMPUTED_VALUE"""),34.53)</f>
        <v>34.53</v>
      </c>
      <c r="F717" s="1">
        <f>IFERROR(__xludf.DUMMYFUNCTION("""COMPUTED_VALUE"""),1478574.0)</f>
        <v>1478574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IFERROR(__xludf.DUMMYFUNCTION("""COMPUTED_VALUE"""),35.39)</f>
        <v>35.39</v>
      </c>
      <c r="C718" s="1">
        <f>IFERROR(__xludf.DUMMYFUNCTION("""COMPUTED_VALUE"""),36.15)</f>
        <v>36.15</v>
      </c>
      <c r="D718" s="1">
        <f>IFERROR(__xludf.DUMMYFUNCTION("""COMPUTED_VALUE"""),34.63)</f>
        <v>34.63</v>
      </c>
      <c r="E718" s="1">
        <f>IFERROR(__xludf.DUMMYFUNCTION("""COMPUTED_VALUE"""),34.73)</f>
        <v>34.73</v>
      </c>
      <c r="F718" s="1">
        <f>IFERROR(__xludf.DUMMYFUNCTION("""COMPUTED_VALUE"""),3288812.0)</f>
        <v>3288812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IFERROR(__xludf.DUMMYFUNCTION("""COMPUTED_VALUE"""),34.27)</f>
        <v>34.27</v>
      </c>
      <c r="C719" s="1">
        <f>IFERROR(__xludf.DUMMYFUNCTION("""COMPUTED_VALUE"""),34.92)</f>
        <v>34.92</v>
      </c>
      <c r="D719" s="1">
        <f>IFERROR(__xludf.DUMMYFUNCTION("""COMPUTED_VALUE"""),34.05)</f>
        <v>34.05</v>
      </c>
      <c r="E719" s="1">
        <f>IFERROR(__xludf.DUMMYFUNCTION("""COMPUTED_VALUE"""),34.1)</f>
        <v>34.1</v>
      </c>
      <c r="F719" s="1">
        <f>IFERROR(__xludf.DUMMYFUNCTION("""COMPUTED_VALUE"""),1714315.0)</f>
        <v>1714315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IFERROR(__xludf.DUMMYFUNCTION("""COMPUTED_VALUE"""),34.1)</f>
        <v>34.1</v>
      </c>
      <c r="C720" s="1">
        <f>IFERROR(__xludf.DUMMYFUNCTION("""COMPUTED_VALUE"""),34.55)</f>
        <v>34.55</v>
      </c>
      <c r="D720" s="1">
        <f>IFERROR(__xludf.DUMMYFUNCTION("""COMPUTED_VALUE"""),33.78)</f>
        <v>33.78</v>
      </c>
      <c r="E720" s="1">
        <f>IFERROR(__xludf.DUMMYFUNCTION("""COMPUTED_VALUE"""),33.88)</f>
        <v>33.88</v>
      </c>
      <c r="F720" s="1">
        <f>IFERROR(__xludf.DUMMYFUNCTION("""COMPUTED_VALUE"""),2230164.0)</f>
        <v>2230164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IFERROR(__xludf.DUMMYFUNCTION("""COMPUTED_VALUE"""),33.71)</f>
        <v>33.71</v>
      </c>
      <c r="C721" s="1">
        <f>IFERROR(__xludf.DUMMYFUNCTION("""COMPUTED_VALUE"""),34.5)</f>
        <v>34.5</v>
      </c>
      <c r="D721" s="1">
        <f>IFERROR(__xludf.DUMMYFUNCTION("""COMPUTED_VALUE"""),33.62)</f>
        <v>33.62</v>
      </c>
      <c r="E721" s="1">
        <f>IFERROR(__xludf.DUMMYFUNCTION("""COMPUTED_VALUE"""),34.04)</f>
        <v>34.04</v>
      </c>
      <c r="F721" s="1">
        <f>IFERROR(__xludf.DUMMYFUNCTION("""COMPUTED_VALUE"""),1740547.0)</f>
        <v>1740547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IFERROR(__xludf.DUMMYFUNCTION("""COMPUTED_VALUE"""),34.11)</f>
        <v>34.11</v>
      </c>
      <c r="C722" s="1">
        <f>IFERROR(__xludf.DUMMYFUNCTION("""COMPUTED_VALUE"""),34.61)</f>
        <v>34.61</v>
      </c>
      <c r="D722" s="1">
        <f>IFERROR(__xludf.DUMMYFUNCTION("""COMPUTED_VALUE"""),33.79)</f>
        <v>33.79</v>
      </c>
      <c r="E722" s="1">
        <f>IFERROR(__xludf.DUMMYFUNCTION("""COMPUTED_VALUE"""),33.88)</f>
        <v>33.88</v>
      </c>
      <c r="F722" s="1">
        <f>IFERROR(__xludf.DUMMYFUNCTION("""COMPUTED_VALUE"""),1728955.0)</f>
        <v>1728955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IFERROR(__xludf.DUMMYFUNCTION("""COMPUTED_VALUE"""),33.76)</f>
        <v>33.76</v>
      </c>
      <c r="C723" s="1">
        <f>IFERROR(__xludf.DUMMYFUNCTION("""COMPUTED_VALUE"""),34.25)</f>
        <v>34.25</v>
      </c>
      <c r="D723" s="1">
        <f>IFERROR(__xludf.DUMMYFUNCTION("""COMPUTED_VALUE"""),33.69)</f>
        <v>33.69</v>
      </c>
      <c r="E723" s="1">
        <f>IFERROR(__xludf.DUMMYFUNCTION("""COMPUTED_VALUE"""),33.69)</f>
        <v>33.69</v>
      </c>
      <c r="F723" s="1">
        <f>IFERROR(__xludf.DUMMYFUNCTION("""COMPUTED_VALUE"""),1676969.0)</f>
        <v>1676969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IFERROR(__xludf.DUMMYFUNCTION("""COMPUTED_VALUE"""),33.88)</f>
        <v>33.88</v>
      </c>
      <c r="C724" s="1">
        <f>IFERROR(__xludf.DUMMYFUNCTION("""COMPUTED_VALUE"""),34.17)</f>
        <v>34.17</v>
      </c>
      <c r="D724" s="1">
        <f>IFERROR(__xludf.DUMMYFUNCTION("""COMPUTED_VALUE"""),32.96)</f>
        <v>32.96</v>
      </c>
      <c r="E724" s="1">
        <f>IFERROR(__xludf.DUMMYFUNCTION("""COMPUTED_VALUE"""),33.04)</f>
        <v>33.04</v>
      </c>
      <c r="F724" s="1">
        <f>IFERROR(__xludf.DUMMYFUNCTION("""COMPUTED_VALUE"""),1644852.0)</f>
        <v>1644852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IFERROR(__xludf.DUMMYFUNCTION("""COMPUTED_VALUE"""),33.13)</f>
        <v>33.13</v>
      </c>
      <c r="C725" s="1">
        <f>IFERROR(__xludf.DUMMYFUNCTION("""COMPUTED_VALUE"""),33.5)</f>
        <v>33.5</v>
      </c>
      <c r="D725" s="1">
        <f>IFERROR(__xludf.DUMMYFUNCTION("""COMPUTED_VALUE"""),32.79)</f>
        <v>32.79</v>
      </c>
      <c r="E725" s="1">
        <f>IFERROR(__xludf.DUMMYFUNCTION("""COMPUTED_VALUE"""),33.35)</f>
        <v>33.35</v>
      </c>
      <c r="F725" s="1">
        <f>IFERROR(__xludf.DUMMYFUNCTION("""COMPUTED_VALUE"""),1575336.0)</f>
        <v>1575336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IFERROR(__xludf.DUMMYFUNCTION("""COMPUTED_VALUE"""),33.4)</f>
        <v>33.4</v>
      </c>
      <c r="C726" s="1">
        <f>IFERROR(__xludf.DUMMYFUNCTION("""COMPUTED_VALUE"""),33.74)</f>
        <v>33.74</v>
      </c>
      <c r="D726" s="1">
        <f>IFERROR(__xludf.DUMMYFUNCTION("""COMPUTED_VALUE"""),33.1)</f>
        <v>33.1</v>
      </c>
      <c r="E726" s="1">
        <f>IFERROR(__xludf.DUMMYFUNCTION("""COMPUTED_VALUE"""),33.31)</f>
        <v>33.31</v>
      </c>
      <c r="F726" s="1">
        <f>IFERROR(__xludf.DUMMYFUNCTION("""COMPUTED_VALUE"""),2062724.0)</f>
        <v>2062724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IFERROR(__xludf.DUMMYFUNCTION("""COMPUTED_VALUE"""),33.85)</f>
        <v>33.85</v>
      </c>
      <c r="C727" s="1">
        <f>IFERROR(__xludf.DUMMYFUNCTION("""COMPUTED_VALUE"""),34.31)</f>
        <v>34.31</v>
      </c>
      <c r="D727" s="1">
        <f>IFERROR(__xludf.DUMMYFUNCTION("""COMPUTED_VALUE"""),33.61)</f>
        <v>33.61</v>
      </c>
      <c r="E727" s="1">
        <f>IFERROR(__xludf.DUMMYFUNCTION("""COMPUTED_VALUE"""),34.22)</f>
        <v>34.22</v>
      </c>
      <c r="F727" s="1">
        <f>IFERROR(__xludf.DUMMYFUNCTION("""COMPUTED_VALUE"""),1776219.0)</f>
        <v>1776219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IFERROR(__xludf.DUMMYFUNCTION("""COMPUTED_VALUE"""),34.16)</f>
        <v>34.16</v>
      </c>
      <c r="C728" s="1">
        <f>IFERROR(__xludf.DUMMYFUNCTION("""COMPUTED_VALUE"""),34.44)</f>
        <v>34.44</v>
      </c>
      <c r="D728" s="1">
        <f>IFERROR(__xludf.DUMMYFUNCTION("""COMPUTED_VALUE"""),33.74)</f>
        <v>33.74</v>
      </c>
      <c r="E728" s="1">
        <f>IFERROR(__xludf.DUMMYFUNCTION("""COMPUTED_VALUE"""),34.25)</f>
        <v>34.25</v>
      </c>
      <c r="F728" s="1">
        <f>IFERROR(__xludf.DUMMYFUNCTION("""COMPUTED_VALUE"""),1087875.0)</f>
        <v>1087875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IFERROR(__xludf.DUMMYFUNCTION("""COMPUTED_VALUE"""),34.22)</f>
        <v>34.22</v>
      </c>
      <c r="C729" s="1">
        <f>IFERROR(__xludf.DUMMYFUNCTION("""COMPUTED_VALUE"""),34.71)</f>
        <v>34.71</v>
      </c>
      <c r="D729" s="1">
        <f>IFERROR(__xludf.DUMMYFUNCTION("""COMPUTED_VALUE"""),33.94)</f>
        <v>33.94</v>
      </c>
      <c r="E729" s="1">
        <f>IFERROR(__xludf.DUMMYFUNCTION("""COMPUTED_VALUE"""),34.62)</f>
        <v>34.62</v>
      </c>
      <c r="F729" s="1">
        <f>IFERROR(__xludf.DUMMYFUNCTION("""COMPUTED_VALUE"""),922297.0)</f>
        <v>922297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IFERROR(__xludf.DUMMYFUNCTION("""COMPUTED_VALUE"""),34.74)</f>
        <v>34.74</v>
      </c>
      <c r="C730" s="1">
        <f>IFERROR(__xludf.DUMMYFUNCTION("""COMPUTED_VALUE"""),35.2)</f>
        <v>35.2</v>
      </c>
      <c r="D730" s="1">
        <f>IFERROR(__xludf.DUMMYFUNCTION("""COMPUTED_VALUE"""),34.63)</f>
        <v>34.63</v>
      </c>
      <c r="E730" s="1">
        <f>IFERROR(__xludf.DUMMYFUNCTION("""COMPUTED_VALUE"""),35.14)</f>
        <v>35.14</v>
      </c>
      <c r="F730" s="1">
        <f>IFERROR(__xludf.DUMMYFUNCTION("""COMPUTED_VALUE"""),552312.0)</f>
        <v>552312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IFERROR(__xludf.DUMMYFUNCTION("""COMPUTED_VALUE"""),34.99)</f>
        <v>34.99</v>
      </c>
      <c r="C731" s="1">
        <f>IFERROR(__xludf.DUMMYFUNCTION("""COMPUTED_VALUE"""),35.25)</f>
        <v>35.25</v>
      </c>
      <c r="D731" s="1">
        <f>IFERROR(__xludf.DUMMYFUNCTION("""COMPUTED_VALUE"""),34.66)</f>
        <v>34.66</v>
      </c>
      <c r="E731" s="1">
        <f>IFERROR(__xludf.DUMMYFUNCTION("""COMPUTED_VALUE"""),34.87)</f>
        <v>34.87</v>
      </c>
      <c r="F731" s="1">
        <f>IFERROR(__xludf.DUMMYFUNCTION("""COMPUTED_VALUE"""),1184825.0)</f>
        <v>1184825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IFERROR(__xludf.DUMMYFUNCTION("""COMPUTED_VALUE"""),34.75)</f>
        <v>34.75</v>
      </c>
      <c r="C732" s="1">
        <f>IFERROR(__xludf.DUMMYFUNCTION("""COMPUTED_VALUE"""),35.74)</f>
        <v>35.74</v>
      </c>
      <c r="D732" s="1">
        <f>IFERROR(__xludf.DUMMYFUNCTION("""COMPUTED_VALUE"""),34.62)</f>
        <v>34.62</v>
      </c>
      <c r="E732" s="1">
        <f>IFERROR(__xludf.DUMMYFUNCTION("""COMPUTED_VALUE"""),35.27)</f>
        <v>35.27</v>
      </c>
      <c r="F732" s="1">
        <f>IFERROR(__xludf.DUMMYFUNCTION("""COMPUTED_VALUE"""),1515503.0)</f>
        <v>1515503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IFERROR(__xludf.DUMMYFUNCTION("""COMPUTED_VALUE"""),35.1)</f>
        <v>35.1</v>
      </c>
      <c r="C733" s="1">
        <f>IFERROR(__xludf.DUMMYFUNCTION("""COMPUTED_VALUE"""),35.9)</f>
        <v>35.9</v>
      </c>
      <c r="D733" s="1">
        <f>IFERROR(__xludf.DUMMYFUNCTION("""COMPUTED_VALUE"""),34.84)</f>
        <v>34.84</v>
      </c>
      <c r="E733" s="1">
        <f>IFERROR(__xludf.DUMMYFUNCTION("""COMPUTED_VALUE"""),35.88)</f>
        <v>35.88</v>
      </c>
      <c r="F733" s="1">
        <f>IFERROR(__xludf.DUMMYFUNCTION("""COMPUTED_VALUE"""),1566930.0)</f>
        <v>1566930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IFERROR(__xludf.DUMMYFUNCTION("""COMPUTED_VALUE"""),36.33)</f>
        <v>36.33</v>
      </c>
      <c r="C734" s="1">
        <f>IFERROR(__xludf.DUMMYFUNCTION("""COMPUTED_VALUE"""),36.39)</f>
        <v>36.39</v>
      </c>
      <c r="D734" s="1">
        <f>IFERROR(__xludf.DUMMYFUNCTION("""COMPUTED_VALUE"""),35.89)</f>
        <v>35.89</v>
      </c>
      <c r="E734" s="1">
        <f>IFERROR(__xludf.DUMMYFUNCTION("""COMPUTED_VALUE"""),36.24)</f>
        <v>36.24</v>
      </c>
      <c r="F734" s="1">
        <f>IFERROR(__xludf.DUMMYFUNCTION("""COMPUTED_VALUE"""),1949469.0)</f>
        <v>1949469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IFERROR(__xludf.DUMMYFUNCTION("""COMPUTED_VALUE"""),36.43)</f>
        <v>36.43</v>
      </c>
      <c r="C735" s="1">
        <f>IFERROR(__xludf.DUMMYFUNCTION("""COMPUTED_VALUE"""),36.55)</f>
        <v>36.55</v>
      </c>
      <c r="D735" s="1">
        <f>IFERROR(__xludf.DUMMYFUNCTION("""COMPUTED_VALUE"""),35.94)</f>
        <v>35.94</v>
      </c>
      <c r="E735" s="1">
        <f>IFERROR(__xludf.DUMMYFUNCTION("""COMPUTED_VALUE"""),36.26)</f>
        <v>36.26</v>
      </c>
      <c r="F735" s="1">
        <f>IFERROR(__xludf.DUMMYFUNCTION("""COMPUTED_VALUE"""),3141227.0)</f>
        <v>3141227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IFERROR(__xludf.DUMMYFUNCTION("""COMPUTED_VALUE"""),36.6)</f>
        <v>36.6</v>
      </c>
      <c r="C736" s="1">
        <f>IFERROR(__xludf.DUMMYFUNCTION("""COMPUTED_VALUE"""),36.65)</f>
        <v>36.65</v>
      </c>
      <c r="D736" s="1">
        <f>IFERROR(__xludf.DUMMYFUNCTION("""COMPUTED_VALUE"""),35.96)</f>
        <v>35.96</v>
      </c>
      <c r="E736" s="1">
        <f>IFERROR(__xludf.DUMMYFUNCTION("""COMPUTED_VALUE"""),35.99)</f>
        <v>35.99</v>
      </c>
      <c r="F736" s="1">
        <f>IFERROR(__xludf.DUMMYFUNCTION("""COMPUTED_VALUE"""),2009346.0)</f>
        <v>2009346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IFERROR(__xludf.DUMMYFUNCTION("""COMPUTED_VALUE"""),35.87)</f>
        <v>35.87</v>
      </c>
      <c r="C737" s="1">
        <f>IFERROR(__xludf.DUMMYFUNCTION("""COMPUTED_VALUE"""),36.2)</f>
        <v>36.2</v>
      </c>
      <c r="D737" s="1">
        <f>IFERROR(__xludf.DUMMYFUNCTION("""COMPUTED_VALUE"""),35.62)</f>
        <v>35.62</v>
      </c>
      <c r="E737" s="1">
        <f>IFERROR(__xludf.DUMMYFUNCTION("""COMPUTED_VALUE"""),35.89)</f>
        <v>35.89</v>
      </c>
      <c r="F737" s="1">
        <f>IFERROR(__xludf.DUMMYFUNCTION("""COMPUTED_VALUE"""),1359475.0)</f>
        <v>1359475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IFERROR(__xludf.DUMMYFUNCTION("""COMPUTED_VALUE"""),35.86)</f>
        <v>35.86</v>
      </c>
      <c r="C738" s="1">
        <f>IFERROR(__xludf.DUMMYFUNCTION("""COMPUTED_VALUE"""),35.96)</f>
        <v>35.96</v>
      </c>
      <c r="D738" s="1">
        <f>IFERROR(__xludf.DUMMYFUNCTION("""COMPUTED_VALUE"""),34.58)</f>
        <v>34.58</v>
      </c>
      <c r="E738" s="1">
        <f>IFERROR(__xludf.DUMMYFUNCTION("""COMPUTED_VALUE"""),35.39)</f>
        <v>35.39</v>
      </c>
      <c r="F738" s="1">
        <f>IFERROR(__xludf.DUMMYFUNCTION("""COMPUTED_VALUE"""),2000673.0)</f>
        <v>2000673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IFERROR(__xludf.DUMMYFUNCTION("""COMPUTED_VALUE"""),35.39)</f>
        <v>35.39</v>
      </c>
      <c r="C739" s="1">
        <f>IFERROR(__xludf.DUMMYFUNCTION("""COMPUTED_VALUE"""),36.05)</f>
        <v>36.05</v>
      </c>
      <c r="D739" s="1">
        <f>IFERROR(__xludf.DUMMYFUNCTION("""COMPUTED_VALUE"""),35.32)</f>
        <v>35.32</v>
      </c>
      <c r="E739" s="1">
        <f>IFERROR(__xludf.DUMMYFUNCTION("""COMPUTED_VALUE"""),35.9)</f>
        <v>35.9</v>
      </c>
      <c r="F739" s="1">
        <f>IFERROR(__xludf.DUMMYFUNCTION("""COMPUTED_VALUE"""),985885.0)</f>
        <v>985885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IFERROR(__xludf.DUMMYFUNCTION("""COMPUTED_VALUE"""),36.17)</f>
        <v>36.17</v>
      </c>
      <c r="C740" s="1">
        <f>IFERROR(__xludf.DUMMYFUNCTION("""COMPUTED_VALUE"""),36.49)</f>
        <v>36.49</v>
      </c>
      <c r="D740" s="1">
        <f>IFERROR(__xludf.DUMMYFUNCTION("""COMPUTED_VALUE"""),35.64)</f>
        <v>35.64</v>
      </c>
      <c r="E740" s="1">
        <f>IFERROR(__xludf.DUMMYFUNCTION("""COMPUTED_VALUE"""),36.24)</f>
        <v>36.24</v>
      </c>
      <c r="F740" s="1">
        <f>IFERROR(__xludf.DUMMYFUNCTION("""COMPUTED_VALUE"""),1914274.0)</f>
        <v>1914274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IFERROR(__xludf.DUMMYFUNCTION("""COMPUTED_VALUE"""),36.16)</f>
        <v>36.16</v>
      </c>
      <c r="C741" s="1">
        <f>IFERROR(__xludf.DUMMYFUNCTION("""COMPUTED_VALUE"""),36.51)</f>
        <v>36.51</v>
      </c>
      <c r="D741" s="1">
        <f>IFERROR(__xludf.DUMMYFUNCTION("""COMPUTED_VALUE"""),36.0)</f>
        <v>36</v>
      </c>
      <c r="E741" s="1">
        <f>IFERROR(__xludf.DUMMYFUNCTION("""COMPUTED_VALUE"""),36.24)</f>
        <v>36.24</v>
      </c>
      <c r="F741" s="1">
        <f>IFERROR(__xludf.DUMMYFUNCTION("""COMPUTED_VALUE"""),1452590.0)</f>
        <v>1452590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IFERROR(__xludf.DUMMYFUNCTION("""COMPUTED_VALUE"""),36.41)</f>
        <v>36.41</v>
      </c>
      <c r="C742" s="1">
        <f>IFERROR(__xludf.DUMMYFUNCTION("""COMPUTED_VALUE"""),36.48)</f>
        <v>36.48</v>
      </c>
      <c r="D742" s="1">
        <f>IFERROR(__xludf.DUMMYFUNCTION("""COMPUTED_VALUE"""),35.37)</f>
        <v>35.37</v>
      </c>
      <c r="E742" s="1">
        <f>IFERROR(__xludf.DUMMYFUNCTION("""COMPUTED_VALUE"""),35.57)</f>
        <v>35.57</v>
      </c>
      <c r="F742" s="1">
        <f>IFERROR(__xludf.DUMMYFUNCTION("""COMPUTED_VALUE"""),2485672.0)</f>
        <v>2485672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IFERROR(__xludf.DUMMYFUNCTION("""COMPUTED_VALUE"""),35.82)</f>
        <v>35.82</v>
      </c>
      <c r="C743" s="1">
        <f>IFERROR(__xludf.DUMMYFUNCTION("""COMPUTED_VALUE"""),35.97)</f>
        <v>35.97</v>
      </c>
      <c r="D743" s="1">
        <f>IFERROR(__xludf.DUMMYFUNCTION("""COMPUTED_VALUE"""),35.01)</f>
        <v>35.01</v>
      </c>
      <c r="E743" s="1">
        <f>IFERROR(__xludf.DUMMYFUNCTION("""COMPUTED_VALUE"""),35.26)</f>
        <v>35.26</v>
      </c>
      <c r="F743" s="1">
        <f>IFERROR(__xludf.DUMMYFUNCTION("""COMPUTED_VALUE"""),2355513.0)</f>
        <v>2355513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IFERROR(__xludf.DUMMYFUNCTION("""COMPUTED_VALUE"""),35.25)</f>
        <v>35.25</v>
      </c>
      <c r="C744" s="1">
        <f>IFERROR(__xludf.DUMMYFUNCTION("""COMPUTED_VALUE"""),35.48)</f>
        <v>35.48</v>
      </c>
      <c r="D744" s="1">
        <f>IFERROR(__xludf.DUMMYFUNCTION("""COMPUTED_VALUE"""),34.99)</f>
        <v>34.99</v>
      </c>
      <c r="E744" s="1">
        <f>IFERROR(__xludf.DUMMYFUNCTION("""COMPUTED_VALUE"""),35.15)</f>
        <v>35.15</v>
      </c>
      <c r="F744" s="1">
        <f>IFERROR(__xludf.DUMMYFUNCTION("""COMPUTED_VALUE"""),1507622.0)</f>
        <v>1507622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IFERROR(__xludf.DUMMYFUNCTION("""COMPUTED_VALUE"""),34.95)</f>
        <v>34.95</v>
      </c>
      <c r="C745" s="1">
        <f>IFERROR(__xludf.DUMMYFUNCTION("""COMPUTED_VALUE"""),35.28)</f>
        <v>35.28</v>
      </c>
      <c r="D745" s="1">
        <f>IFERROR(__xludf.DUMMYFUNCTION("""COMPUTED_VALUE"""),34.88)</f>
        <v>34.88</v>
      </c>
      <c r="E745" s="1">
        <f>IFERROR(__xludf.DUMMYFUNCTION("""COMPUTED_VALUE"""),35.07)</f>
        <v>35.07</v>
      </c>
      <c r="F745" s="1">
        <f>IFERROR(__xludf.DUMMYFUNCTION("""COMPUTED_VALUE"""),1677558.0)</f>
        <v>1677558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IFERROR(__xludf.DUMMYFUNCTION("""COMPUTED_VALUE"""),35.1)</f>
        <v>35.1</v>
      </c>
      <c r="C746" s="1">
        <f>IFERROR(__xludf.DUMMYFUNCTION("""COMPUTED_VALUE"""),35.1)</f>
        <v>35.1</v>
      </c>
      <c r="D746" s="1">
        <f>IFERROR(__xludf.DUMMYFUNCTION("""COMPUTED_VALUE"""),34.21)</f>
        <v>34.21</v>
      </c>
      <c r="E746" s="1">
        <f>IFERROR(__xludf.DUMMYFUNCTION("""COMPUTED_VALUE"""),34.82)</f>
        <v>34.82</v>
      </c>
      <c r="F746" s="1">
        <f>IFERROR(__xludf.DUMMYFUNCTION("""COMPUTED_VALUE"""),2397240.0)</f>
        <v>2397240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IFERROR(__xludf.DUMMYFUNCTION("""COMPUTED_VALUE"""),34.97)</f>
        <v>34.97</v>
      </c>
      <c r="C747" s="1">
        <f>IFERROR(__xludf.DUMMYFUNCTION("""COMPUTED_VALUE"""),35.49)</f>
        <v>35.49</v>
      </c>
      <c r="D747" s="1">
        <f>IFERROR(__xludf.DUMMYFUNCTION("""COMPUTED_VALUE"""),34.81)</f>
        <v>34.81</v>
      </c>
      <c r="E747" s="1">
        <f>IFERROR(__xludf.DUMMYFUNCTION("""COMPUTED_VALUE"""),35.12)</f>
        <v>35.12</v>
      </c>
      <c r="F747" s="1">
        <f>IFERROR(__xludf.DUMMYFUNCTION("""COMPUTED_VALUE"""),2917420.0)</f>
        <v>2917420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IFERROR(__xludf.DUMMYFUNCTION("""COMPUTED_VALUE"""),35.16)</f>
        <v>35.16</v>
      </c>
      <c r="C748" s="1">
        <f>IFERROR(__xludf.DUMMYFUNCTION("""COMPUTED_VALUE"""),35.34)</f>
        <v>35.34</v>
      </c>
      <c r="D748" s="1">
        <f>IFERROR(__xludf.DUMMYFUNCTION("""COMPUTED_VALUE"""),34.76)</f>
        <v>34.76</v>
      </c>
      <c r="E748" s="1">
        <f>IFERROR(__xludf.DUMMYFUNCTION("""COMPUTED_VALUE"""),34.84)</f>
        <v>34.84</v>
      </c>
      <c r="F748" s="1">
        <f>IFERROR(__xludf.DUMMYFUNCTION("""COMPUTED_VALUE"""),3181328.0)</f>
        <v>3181328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IFERROR(__xludf.DUMMYFUNCTION("""COMPUTED_VALUE"""),36.78)</f>
        <v>36.78</v>
      </c>
      <c r="C749" s="1">
        <f>IFERROR(__xludf.DUMMYFUNCTION("""COMPUTED_VALUE"""),38.24)</f>
        <v>38.24</v>
      </c>
      <c r="D749" s="1">
        <f>IFERROR(__xludf.DUMMYFUNCTION("""COMPUTED_VALUE"""),36.55)</f>
        <v>36.55</v>
      </c>
      <c r="E749" s="1">
        <f>IFERROR(__xludf.DUMMYFUNCTION("""COMPUTED_VALUE"""),37.97)</f>
        <v>37.97</v>
      </c>
      <c r="F749" s="1">
        <f>IFERROR(__xludf.DUMMYFUNCTION("""COMPUTED_VALUE"""),7088636.0)</f>
        <v>7088636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IFERROR(__xludf.DUMMYFUNCTION("""COMPUTED_VALUE"""),37.6)</f>
        <v>37.6</v>
      </c>
      <c r="C750" s="1">
        <f>IFERROR(__xludf.DUMMYFUNCTION("""COMPUTED_VALUE"""),37.88)</f>
        <v>37.88</v>
      </c>
      <c r="D750" s="1">
        <f>IFERROR(__xludf.DUMMYFUNCTION("""COMPUTED_VALUE"""),37.19)</f>
        <v>37.19</v>
      </c>
      <c r="E750" s="1">
        <f>IFERROR(__xludf.DUMMYFUNCTION("""COMPUTED_VALUE"""),37.79)</f>
        <v>37.79</v>
      </c>
      <c r="F750" s="1">
        <f>IFERROR(__xludf.DUMMYFUNCTION("""COMPUTED_VALUE"""),3112017.0)</f>
        <v>3112017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IFERROR(__xludf.DUMMYFUNCTION("""COMPUTED_VALUE"""),37.41)</f>
        <v>37.41</v>
      </c>
      <c r="C751" s="1">
        <f>IFERROR(__xludf.DUMMYFUNCTION("""COMPUTED_VALUE"""),37.56)</f>
        <v>37.56</v>
      </c>
      <c r="D751" s="1">
        <f>IFERROR(__xludf.DUMMYFUNCTION("""COMPUTED_VALUE"""),37.0)</f>
        <v>37</v>
      </c>
      <c r="E751" s="1">
        <f>IFERROR(__xludf.DUMMYFUNCTION("""COMPUTED_VALUE"""),37.5)</f>
        <v>37.5</v>
      </c>
      <c r="F751" s="1">
        <f>IFERROR(__xludf.DUMMYFUNCTION("""COMPUTED_VALUE"""),1763931.0)</f>
        <v>1763931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IFERROR(__xludf.DUMMYFUNCTION("""COMPUTED_VALUE"""),37.47)</f>
        <v>37.47</v>
      </c>
      <c r="C752" s="1">
        <f>IFERROR(__xludf.DUMMYFUNCTION("""COMPUTED_VALUE"""),37.99)</f>
        <v>37.99</v>
      </c>
      <c r="D752" s="1">
        <f>IFERROR(__xludf.DUMMYFUNCTION("""COMPUTED_VALUE"""),37.06)</f>
        <v>37.06</v>
      </c>
      <c r="E752" s="1">
        <f>IFERROR(__xludf.DUMMYFUNCTION("""COMPUTED_VALUE"""),37.46)</f>
        <v>37.46</v>
      </c>
      <c r="F752" s="1">
        <f>IFERROR(__xludf.DUMMYFUNCTION("""COMPUTED_VALUE"""),2586350.0)</f>
        <v>2586350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IFERROR(__xludf.DUMMYFUNCTION("""COMPUTED_VALUE"""),37.46)</f>
        <v>37.46</v>
      </c>
      <c r="C753" s="1">
        <f>IFERROR(__xludf.DUMMYFUNCTION("""COMPUTED_VALUE"""),37.6)</f>
        <v>37.6</v>
      </c>
      <c r="D753" s="1">
        <f>IFERROR(__xludf.DUMMYFUNCTION("""COMPUTED_VALUE"""),37.03)</f>
        <v>37.03</v>
      </c>
      <c r="E753" s="1">
        <f>IFERROR(__xludf.DUMMYFUNCTION("""COMPUTED_VALUE"""),37.29)</f>
        <v>37.29</v>
      </c>
      <c r="F753" s="1">
        <f>IFERROR(__xludf.DUMMYFUNCTION("""COMPUTED_VALUE"""),2018765.0)</f>
        <v>2018765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IFERROR(__xludf.DUMMYFUNCTION("""COMPUTED_VALUE"""),37.01)</f>
        <v>37.01</v>
      </c>
      <c r="C754" s="1">
        <f>IFERROR(__xludf.DUMMYFUNCTION("""COMPUTED_VALUE"""),37.04)</f>
        <v>37.04</v>
      </c>
      <c r="D754" s="1">
        <f>IFERROR(__xludf.DUMMYFUNCTION("""COMPUTED_VALUE"""),36.6)</f>
        <v>36.6</v>
      </c>
      <c r="E754" s="1">
        <f>IFERROR(__xludf.DUMMYFUNCTION("""COMPUTED_VALUE"""),36.69)</f>
        <v>36.69</v>
      </c>
      <c r="F754" s="1">
        <f>IFERROR(__xludf.DUMMYFUNCTION("""COMPUTED_VALUE"""),1704625.0)</f>
        <v>1704625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IFERROR(__xludf.DUMMYFUNCTION("""COMPUTED_VALUE"""),36.57)</f>
        <v>36.57</v>
      </c>
      <c r="C755" s="1">
        <f>IFERROR(__xludf.DUMMYFUNCTION("""COMPUTED_VALUE"""),37.61)</f>
        <v>37.61</v>
      </c>
      <c r="D755" s="1">
        <f>IFERROR(__xludf.DUMMYFUNCTION("""COMPUTED_VALUE"""),36.41)</f>
        <v>36.41</v>
      </c>
      <c r="E755" s="1">
        <f>IFERROR(__xludf.DUMMYFUNCTION("""COMPUTED_VALUE"""),37.54)</f>
        <v>37.54</v>
      </c>
      <c r="F755" s="1">
        <f>IFERROR(__xludf.DUMMYFUNCTION("""COMPUTED_VALUE"""),2183630.0)</f>
        <v>2183630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IFERROR(__xludf.DUMMYFUNCTION("""COMPUTED_VALUE"""),38.2)</f>
        <v>38.2</v>
      </c>
      <c r="C756" s="1">
        <f>IFERROR(__xludf.DUMMYFUNCTION("""COMPUTED_VALUE"""),38.32)</f>
        <v>38.32</v>
      </c>
      <c r="D756" s="1">
        <f>IFERROR(__xludf.DUMMYFUNCTION("""COMPUTED_VALUE"""),37.38)</f>
        <v>37.38</v>
      </c>
      <c r="E756" s="1">
        <f>IFERROR(__xludf.DUMMYFUNCTION("""COMPUTED_VALUE"""),37.72)</f>
        <v>37.72</v>
      </c>
      <c r="F756" s="1">
        <f>IFERROR(__xludf.DUMMYFUNCTION("""COMPUTED_VALUE"""),2597748.0)</f>
        <v>2597748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IFERROR(__xludf.DUMMYFUNCTION("""COMPUTED_VALUE"""),37.82)</f>
        <v>37.82</v>
      </c>
      <c r="C757" s="1">
        <f>IFERROR(__xludf.DUMMYFUNCTION("""COMPUTED_VALUE"""),38.31)</f>
        <v>38.31</v>
      </c>
      <c r="D757" s="1">
        <f>IFERROR(__xludf.DUMMYFUNCTION("""COMPUTED_VALUE"""),37.52)</f>
        <v>37.52</v>
      </c>
      <c r="E757" s="1">
        <f>IFERROR(__xludf.DUMMYFUNCTION("""COMPUTED_VALUE"""),37.94)</f>
        <v>37.94</v>
      </c>
      <c r="F757" s="1">
        <f>IFERROR(__xludf.DUMMYFUNCTION("""COMPUTED_VALUE"""),2118846.0)</f>
        <v>2118846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IFERROR(__xludf.DUMMYFUNCTION("""COMPUTED_VALUE"""),37.91)</f>
        <v>37.91</v>
      </c>
      <c r="C758" s="1">
        <f>IFERROR(__xludf.DUMMYFUNCTION("""COMPUTED_VALUE"""),38.22)</f>
        <v>38.22</v>
      </c>
      <c r="D758" s="1">
        <f>IFERROR(__xludf.DUMMYFUNCTION("""COMPUTED_VALUE"""),36.95)</f>
        <v>36.95</v>
      </c>
      <c r="E758" s="1">
        <f>IFERROR(__xludf.DUMMYFUNCTION("""COMPUTED_VALUE"""),37.86)</f>
        <v>37.86</v>
      </c>
      <c r="F758" s="1">
        <f>IFERROR(__xludf.DUMMYFUNCTION("""COMPUTED_VALUE"""),2194790.0)</f>
        <v>2194790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IFERROR(__xludf.DUMMYFUNCTION("""COMPUTED_VALUE"""),37.57)</f>
        <v>37.57</v>
      </c>
      <c r="C759" s="1">
        <f>IFERROR(__xludf.DUMMYFUNCTION("""COMPUTED_VALUE"""),37.75)</f>
        <v>37.75</v>
      </c>
      <c r="D759" s="1">
        <f>IFERROR(__xludf.DUMMYFUNCTION("""COMPUTED_VALUE"""),37.14)</f>
        <v>37.14</v>
      </c>
      <c r="E759" s="1">
        <f>IFERROR(__xludf.DUMMYFUNCTION("""COMPUTED_VALUE"""),37.21)</f>
        <v>37.21</v>
      </c>
      <c r="F759" s="1">
        <f>IFERROR(__xludf.DUMMYFUNCTION("""COMPUTED_VALUE"""),1522534.0)</f>
        <v>1522534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IFERROR(__xludf.DUMMYFUNCTION("""COMPUTED_VALUE"""),37.22)</f>
        <v>37.22</v>
      </c>
      <c r="C760" s="1">
        <f>IFERROR(__xludf.DUMMYFUNCTION("""COMPUTED_VALUE"""),37.39)</f>
        <v>37.39</v>
      </c>
      <c r="D760" s="1">
        <f>IFERROR(__xludf.DUMMYFUNCTION("""COMPUTED_VALUE"""),36.99)</f>
        <v>36.99</v>
      </c>
      <c r="E760" s="1">
        <f>IFERROR(__xludf.DUMMYFUNCTION("""COMPUTED_VALUE"""),37.32)</f>
        <v>37.32</v>
      </c>
      <c r="F760" s="1">
        <f>IFERROR(__xludf.DUMMYFUNCTION("""COMPUTED_VALUE"""),1137879.0)</f>
        <v>1137879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IFERROR(__xludf.DUMMYFUNCTION("""COMPUTED_VALUE"""),37.34)</f>
        <v>37.34</v>
      </c>
      <c r="C761" s="1">
        <f>IFERROR(__xludf.DUMMYFUNCTION("""COMPUTED_VALUE"""),37.77)</f>
        <v>37.77</v>
      </c>
      <c r="D761" s="1">
        <f>IFERROR(__xludf.DUMMYFUNCTION("""COMPUTED_VALUE"""),37.34)</f>
        <v>37.34</v>
      </c>
      <c r="E761" s="1">
        <f>IFERROR(__xludf.DUMMYFUNCTION("""COMPUTED_VALUE"""),37.67)</f>
        <v>37.67</v>
      </c>
      <c r="F761" s="1">
        <f>IFERROR(__xludf.DUMMYFUNCTION("""COMPUTED_VALUE"""),1696151.0)</f>
        <v>1696151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IFERROR(__xludf.DUMMYFUNCTION("""COMPUTED_VALUE"""),37.73)</f>
        <v>37.73</v>
      </c>
      <c r="C762" s="1">
        <f>IFERROR(__xludf.DUMMYFUNCTION("""COMPUTED_VALUE"""),37.86)</f>
        <v>37.86</v>
      </c>
      <c r="D762" s="1">
        <f>IFERROR(__xludf.DUMMYFUNCTION("""COMPUTED_VALUE"""),37.27)</f>
        <v>37.27</v>
      </c>
      <c r="E762" s="1">
        <f>IFERROR(__xludf.DUMMYFUNCTION("""COMPUTED_VALUE"""),37.73)</f>
        <v>37.73</v>
      </c>
      <c r="F762" s="1">
        <f>IFERROR(__xludf.DUMMYFUNCTION("""COMPUTED_VALUE"""),1900487.0)</f>
        <v>1900487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IFERROR(__xludf.DUMMYFUNCTION("""COMPUTED_VALUE"""),37.69)</f>
        <v>37.69</v>
      </c>
      <c r="C763" s="1">
        <f>IFERROR(__xludf.DUMMYFUNCTION("""COMPUTED_VALUE"""),37.77)</f>
        <v>37.77</v>
      </c>
      <c r="D763" s="1">
        <f>IFERROR(__xludf.DUMMYFUNCTION("""COMPUTED_VALUE"""),37.18)</f>
        <v>37.18</v>
      </c>
      <c r="E763" s="1">
        <f>IFERROR(__xludf.DUMMYFUNCTION("""COMPUTED_VALUE"""),37.5)</f>
        <v>37.5</v>
      </c>
      <c r="F763" s="1">
        <f>IFERROR(__xludf.DUMMYFUNCTION("""COMPUTED_VALUE"""),945771.0)</f>
        <v>945771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IFERROR(__xludf.DUMMYFUNCTION("""COMPUTED_VALUE"""),37.5)</f>
        <v>37.5</v>
      </c>
      <c r="C764" s="1">
        <f>IFERROR(__xludf.DUMMYFUNCTION("""COMPUTED_VALUE"""),37.69)</f>
        <v>37.69</v>
      </c>
      <c r="D764" s="1">
        <f>IFERROR(__xludf.DUMMYFUNCTION("""COMPUTED_VALUE"""),37.02)</f>
        <v>37.02</v>
      </c>
      <c r="E764" s="1">
        <f>IFERROR(__xludf.DUMMYFUNCTION("""COMPUTED_VALUE"""),37.48)</f>
        <v>37.48</v>
      </c>
      <c r="F764" s="1">
        <f>IFERROR(__xludf.DUMMYFUNCTION("""COMPUTED_VALUE"""),672217.0)</f>
        <v>672217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IFERROR(__xludf.DUMMYFUNCTION("""COMPUTED_VALUE"""),37.27)</f>
        <v>37.27</v>
      </c>
      <c r="C765" s="1">
        <f>IFERROR(__xludf.DUMMYFUNCTION("""COMPUTED_VALUE"""),38.2)</f>
        <v>38.2</v>
      </c>
      <c r="D765" s="1">
        <f>IFERROR(__xludf.DUMMYFUNCTION("""COMPUTED_VALUE"""),37.22)</f>
        <v>37.22</v>
      </c>
      <c r="E765" s="1">
        <f>IFERROR(__xludf.DUMMYFUNCTION("""COMPUTED_VALUE"""),37.91)</f>
        <v>37.91</v>
      </c>
      <c r="F765" s="1">
        <f>IFERROR(__xludf.DUMMYFUNCTION("""COMPUTED_VALUE"""),2076196.0)</f>
        <v>2076196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IFERROR(__xludf.DUMMYFUNCTION("""COMPUTED_VALUE"""),37.85)</f>
        <v>37.85</v>
      </c>
      <c r="C766" s="1">
        <f>IFERROR(__xludf.DUMMYFUNCTION("""COMPUTED_VALUE"""),37.92)</f>
        <v>37.92</v>
      </c>
      <c r="D766" s="1">
        <f>IFERROR(__xludf.DUMMYFUNCTION("""COMPUTED_VALUE"""),37.52)</f>
        <v>37.52</v>
      </c>
      <c r="E766" s="1">
        <f>IFERROR(__xludf.DUMMYFUNCTION("""COMPUTED_VALUE"""),37.8)</f>
        <v>37.8</v>
      </c>
      <c r="F766" s="1">
        <f>IFERROR(__xludf.DUMMYFUNCTION("""COMPUTED_VALUE"""),1274392.0)</f>
        <v>1274392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IFERROR(__xludf.DUMMYFUNCTION("""COMPUTED_VALUE"""),37.96)</f>
        <v>37.96</v>
      </c>
      <c r="C767" s="1">
        <f>IFERROR(__xludf.DUMMYFUNCTION("""COMPUTED_VALUE"""),38.51)</f>
        <v>38.51</v>
      </c>
      <c r="D767" s="1">
        <f>IFERROR(__xludf.DUMMYFUNCTION("""COMPUTED_VALUE"""),37.94)</f>
        <v>37.94</v>
      </c>
      <c r="E767" s="1">
        <f>IFERROR(__xludf.DUMMYFUNCTION("""COMPUTED_VALUE"""),38.3)</f>
        <v>38.3</v>
      </c>
      <c r="F767" s="1">
        <f>IFERROR(__xludf.DUMMYFUNCTION("""COMPUTED_VALUE"""),1534426.0)</f>
        <v>1534426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IFERROR(__xludf.DUMMYFUNCTION("""COMPUTED_VALUE"""),38.32)</f>
        <v>38.32</v>
      </c>
      <c r="C768" s="1">
        <f>IFERROR(__xludf.DUMMYFUNCTION("""COMPUTED_VALUE"""),38.83)</f>
        <v>38.83</v>
      </c>
      <c r="D768" s="1">
        <f>IFERROR(__xludf.DUMMYFUNCTION("""COMPUTED_VALUE"""),38.32)</f>
        <v>38.32</v>
      </c>
      <c r="E768" s="1">
        <f>IFERROR(__xludf.DUMMYFUNCTION("""COMPUTED_VALUE"""),38.5)</f>
        <v>38.5</v>
      </c>
      <c r="F768" s="1">
        <f>IFERROR(__xludf.DUMMYFUNCTION("""COMPUTED_VALUE"""),1832151.0)</f>
        <v>1832151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IFERROR(__xludf.DUMMYFUNCTION("""COMPUTED_VALUE"""),38.44)</f>
        <v>38.44</v>
      </c>
      <c r="C769" s="1">
        <f>IFERROR(__xludf.DUMMYFUNCTION("""COMPUTED_VALUE"""),38.56)</f>
        <v>38.56</v>
      </c>
      <c r="D769" s="1">
        <f>IFERROR(__xludf.DUMMYFUNCTION("""COMPUTED_VALUE"""),37.95)</f>
        <v>37.95</v>
      </c>
      <c r="E769" s="1">
        <f>IFERROR(__xludf.DUMMYFUNCTION("""COMPUTED_VALUE"""),38.55)</f>
        <v>38.55</v>
      </c>
      <c r="F769" s="1">
        <f>IFERROR(__xludf.DUMMYFUNCTION("""COMPUTED_VALUE"""),1256335.0)</f>
        <v>1256335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IFERROR(__xludf.DUMMYFUNCTION("""COMPUTED_VALUE"""),38.32)</f>
        <v>38.32</v>
      </c>
      <c r="C770" s="1">
        <f>IFERROR(__xludf.DUMMYFUNCTION("""COMPUTED_VALUE"""),38.63)</f>
        <v>38.63</v>
      </c>
      <c r="D770" s="1">
        <f>IFERROR(__xludf.DUMMYFUNCTION("""COMPUTED_VALUE"""),38.11)</f>
        <v>38.11</v>
      </c>
      <c r="E770" s="1">
        <f>IFERROR(__xludf.DUMMYFUNCTION("""COMPUTED_VALUE"""),38.54)</f>
        <v>38.54</v>
      </c>
      <c r="F770" s="1">
        <f>IFERROR(__xludf.DUMMYFUNCTION("""COMPUTED_VALUE"""),1192507.0)</f>
        <v>1192507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IFERROR(__xludf.DUMMYFUNCTION("""COMPUTED_VALUE"""),38.69)</f>
        <v>38.69</v>
      </c>
      <c r="C771" s="1">
        <f>IFERROR(__xludf.DUMMYFUNCTION("""COMPUTED_VALUE"""),39.5)</f>
        <v>39.5</v>
      </c>
      <c r="D771" s="1">
        <f>IFERROR(__xludf.DUMMYFUNCTION("""COMPUTED_VALUE"""),38.44)</f>
        <v>38.44</v>
      </c>
      <c r="E771" s="1">
        <f>IFERROR(__xludf.DUMMYFUNCTION("""COMPUTED_VALUE"""),38.74)</f>
        <v>38.74</v>
      </c>
      <c r="F771" s="1">
        <f>IFERROR(__xludf.DUMMYFUNCTION("""COMPUTED_VALUE"""),1804885.0)</f>
        <v>1804885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IFERROR(__xludf.DUMMYFUNCTION("""COMPUTED_VALUE"""),38.78)</f>
        <v>38.78</v>
      </c>
      <c r="C772" s="1">
        <f>IFERROR(__xludf.DUMMYFUNCTION("""COMPUTED_VALUE"""),39.79)</f>
        <v>39.79</v>
      </c>
      <c r="D772" s="1">
        <f>IFERROR(__xludf.DUMMYFUNCTION("""COMPUTED_VALUE"""),38.67)</f>
        <v>38.67</v>
      </c>
      <c r="E772" s="1">
        <f>IFERROR(__xludf.DUMMYFUNCTION("""COMPUTED_VALUE"""),39.69)</f>
        <v>39.69</v>
      </c>
      <c r="F772" s="1">
        <f>IFERROR(__xludf.DUMMYFUNCTION("""COMPUTED_VALUE"""),2030669.0)</f>
        <v>2030669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IFERROR(__xludf.DUMMYFUNCTION("""COMPUTED_VALUE"""),39.67)</f>
        <v>39.67</v>
      </c>
      <c r="C773" s="1">
        <f>IFERROR(__xludf.DUMMYFUNCTION("""COMPUTED_VALUE"""),40.11)</f>
        <v>40.11</v>
      </c>
      <c r="D773" s="1">
        <f>IFERROR(__xludf.DUMMYFUNCTION("""COMPUTED_VALUE"""),39.42)</f>
        <v>39.42</v>
      </c>
      <c r="E773" s="1">
        <f>IFERROR(__xludf.DUMMYFUNCTION("""COMPUTED_VALUE"""),39.78)</f>
        <v>39.78</v>
      </c>
      <c r="F773" s="1">
        <f>IFERROR(__xludf.DUMMYFUNCTION("""COMPUTED_VALUE"""),1767590.0)</f>
        <v>1767590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IFERROR(__xludf.DUMMYFUNCTION("""COMPUTED_VALUE"""),39.57)</f>
        <v>39.57</v>
      </c>
      <c r="C774" s="1">
        <f>IFERROR(__xludf.DUMMYFUNCTION("""COMPUTED_VALUE"""),40.0)</f>
        <v>40</v>
      </c>
      <c r="D774" s="1">
        <f>IFERROR(__xludf.DUMMYFUNCTION("""COMPUTED_VALUE"""),39.47)</f>
        <v>39.47</v>
      </c>
      <c r="E774" s="1">
        <f>IFERROR(__xludf.DUMMYFUNCTION("""COMPUTED_VALUE"""),39.94)</f>
        <v>39.94</v>
      </c>
      <c r="F774" s="1">
        <f>IFERROR(__xludf.DUMMYFUNCTION("""COMPUTED_VALUE"""),1835182.0)</f>
        <v>1835182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IFERROR(__xludf.DUMMYFUNCTION("""COMPUTED_VALUE"""),39.85)</f>
        <v>39.85</v>
      </c>
      <c r="C775" s="1">
        <f>IFERROR(__xludf.DUMMYFUNCTION("""COMPUTED_VALUE"""),39.95)</f>
        <v>39.95</v>
      </c>
      <c r="D775" s="1">
        <f>IFERROR(__xludf.DUMMYFUNCTION("""COMPUTED_VALUE"""),38.99)</f>
        <v>38.99</v>
      </c>
      <c r="E775" s="1">
        <f>IFERROR(__xludf.DUMMYFUNCTION("""COMPUTED_VALUE"""),39.13)</f>
        <v>39.13</v>
      </c>
      <c r="F775" s="1">
        <f>IFERROR(__xludf.DUMMYFUNCTION("""COMPUTED_VALUE"""),1391432.0)</f>
        <v>1391432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IFERROR(__xludf.DUMMYFUNCTION("""COMPUTED_VALUE"""),39.14)</f>
        <v>39.14</v>
      </c>
      <c r="C776" s="1">
        <f>IFERROR(__xludf.DUMMYFUNCTION("""COMPUTED_VALUE"""),39.59)</f>
        <v>39.59</v>
      </c>
      <c r="D776" s="1">
        <f>IFERROR(__xludf.DUMMYFUNCTION("""COMPUTED_VALUE"""),38.9)</f>
        <v>38.9</v>
      </c>
      <c r="E776" s="1">
        <f>IFERROR(__xludf.DUMMYFUNCTION("""COMPUTED_VALUE"""),39.42)</f>
        <v>39.42</v>
      </c>
      <c r="F776" s="1">
        <f>IFERROR(__xludf.DUMMYFUNCTION("""COMPUTED_VALUE"""),1055995.0)</f>
        <v>1055995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IFERROR(__xludf.DUMMYFUNCTION("""COMPUTED_VALUE"""),39.46)</f>
        <v>39.46</v>
      </c>
      <c r="C777" s="1">
        <f>IFERROR(__xludf.DUMMYFUNCTION("""COMPUTED_VALUE"""),39.59)</f>
        <v>39.59</v>
      </c>
      <c r="D777" s="1">
        <f>IFERROR(__xludf.DUMMYFUNCTION("""COMPUTED_VALUE"""),38.93)</f>
        <v>38.93</v>
      </c>
      <c r="E777" s="1">
        <f>IFERROR(__xludf.DUMMYFUNCTION("""COMPUTED_VALUE"""),39.25)</f>
        <v>39.25</v>
      </c>
      <c r="F777" s="1">
        <f>IFERROR(__xludf.DUMMYFUNCTION("""COMPUTED_VALUE"""),1981637.0)</f>
        <v>1981637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IFERROR(__xludf.DUMMYFUNCTION("""COMPUTED_VALUE"""),39.25)</f>
        <v>39.25</v>
      </c>
      <c r="C778" s="1">
        <f>IFERROR(__xludf.DUMMYFUNCTION("""COMPUTED_VALUE"""),39.25)</f>
        <v>39.25</v>
      </c>
      <c r="D778" s="1">
        <f>IFERROR(__xludf.DUMMYFUNCTION("""COMPUTED_VALUE"""),38.55)</f>
        <v>38.55</v>
      </c>
      <c r="E778" s="1">
        <f>IFERROR(__xludf.DUMMYFUNCTION("""COMPUTED_VALUE"""),38.8)</f>
        <v>38.8</v>
      </c>
      <c r="F778" s="1">
        <f>IFERROR(__xludf.DUMMYFUNCTION("""COMPUTED_VALUE"""),2413473.0)</f>
        <v>2413473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IFERROR(__xludf.DUMMYFUNCTION("""COMPUTED_VALUE"""),39.0)</f>
        <v>39</v>
      </c>
      <c r="C779" s="1">
        <f>IFERROR(__xludf.DUMMYFUNCTION("""COMPUTED_VALUE"""),39.99)</f>
        <v>39.99</v>
      </c>
      <c r="D779" s="1">
        <f>IFERROR(__xludf.DUMMYFUNCTION("""COMPUTED_VALUE"""),38.94)</f>
        <v>38.94</v>
      </c>
      <c r="E779" s="1">
        <f>IFERROR(__xludf.DUMMYFUNCTION("""COMPUTED_VALUE"""),39.78)</f>
        <v>39.78</v>
      </c>
      <c r="F779" s="1">
        <f>IFERROR(__xludf.DUMMYFUNCTION("""COMPUTED_VALUE"""),1795015.0)</f>
        <v>1795015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IFERROR(__xludf.DUMMYFUNCTION("""COMPUTED_VALUE"""),39.77)</f>
        <v>39.77</v>
      </c>
      <c r="C780" s="1">
        <f>IFERROR(__xludf.DUMMYFUNCTION("""COMPUTED_VALUE"""),40.22)</f>
        <v>40.22</v>
      </c>
      <c r="D780" s="1">
        <f>IFERROR(__xludf.DUMMYFUNCTION("""COMPUTED_VALUE"""),39.56)</f>
        <v>39.56</v>
      </c>
      <c r="E780" s="1">
        <f>IFERROR(__xludf.DUMMYFUNCTION("""COMPUTED_VALUE"""),40.1)</f>
        <v>40.1</v>
      </c>
      <c r="F780" s="1">
        <f>IFERROR(__xludf.DUMMYFUNCTION("""COMPUTED_VALUE"""),1500492.0)</f>
        <v>1500492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IFERROR(__xludf.DUMMYFUNCTION("""COMPUTED_VALUE"""),39.42)</f>
        <v>39.42</v>
      </c>
      <c r="C781" s="1">
        <f>IFERROR(__xludf.DUMMYFUNCTION("""COMPUTED_VALUE"""),39.75)</f>
        <v>39.75</v>
      </c>
      <c r="D781" s="1">
        <f>IFERROR(__xludf.DUMMYFUNCTION("""COMPUTED_VALUE"""),38.76)</f>
        <v>38.76</v>
      </c>
      <c r="E781" s="1">
        <f>IFERROR(__xludf.DUMMYFUNCTION("""COMPUTED_VALUE"""),39.39)</f>
        <v>39.39</v>
      </c>
      <c r="F781" s="1">
        <f>IFERROR(__xludf.DUMMYFUNCTION("""COMPUTED_VALUE"""),2134733.0)</f>
        <v>2134733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IFERROR(__xludf.DUMMYFUNCTION("""COMPUTED_VALUE"""),39.55)</f>
        <v>39.55</v>
      </c>
      <c r="C782" s="1">
        <f>IFERROR(__xludf.DUMMYFUNCTION("""COMPUTED_VALUE"""),40.1)</f>
        <v>40.1</v>
      </c>
      <c r="D782" s="1">
        <f>IFERROR(__xludf.DUMMYFUNCTION("""COMPUTED_VALUE"""),39.46)</f>
        <v>39.46</v>
      </c>
      <c r="E782" s="1">
        <f>IFERROR(__xludf.DUMMYFUNCTION("""COMPUTED_VALUE"""),39.77)</f>
        <v>39.77</v>
      </c>
      <c r="F782" s="1">
        <f>IFERROR(__xludf.DUMMYFUNCTION("""COMPUTED_VALUE"""),1398929.0)</f>
        <v>1398929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IFERROR(__xludf.DUMMYFUNCTION("""COMPUTED_VALUE"""),40.0)</f>
        <v>40</v>
      </c>
      <c r="C783" s="1">
        <f>IFERROR(__xludf.DUMMYFUNCTION("""COMPUTED_VALUE"""),40.02)</f>
        <v>40.02</v>
      </c>
      <c r="D783" s="1">
        <f>IFERROR(__xludf.DUMMYFUNCTION("""COMPUTED_VALUE"""),39.44)</f>
        <v>39.44</v>
      </c>
      <c r="E783" s="1">
        <f>IFERROR(__xludf.DUMMYFUNCTION("""COMPUTED_VALUE"""),39.61)</f>
        <v>39.61</v>
      </c>
      <c r="F783" s="1">
        <f>IFERROR(__xludf.DUMMYFUNCTION("""COMPUTED_VALUE"""),982774.0)</f>
        <v>982774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IFERROR(__xludf.DUMMYFUNCTION("""COMPUTED_VALUE"""),39.55)</f>
        <v>39.55</v>
      </c>
      <c r="C784" s="1">
        <f>IFERROR(__xludf.DUMMYFUNCTION("""COMPUTED_VALUE"""),39.65)</f>
        <v>39.65</v>
      </c>
      <c r="D784" s="1">
        <f>IFERROR(__xludf.DUMMYFUNCTION("""COMPUTED_VALUE"""),39.34)</f>
        <v>39.34</v>
      </c>
      <c r="E784" s="1">
        <f>IFERROR(__xludf.DUMMYFUNCTION("""COMPUTED_VALUE"""),39.62)</f>
        <v>39.62</v>
      </c>
      <c r="F784" s="1">
        <f>IFERROR(__xludf.DUMMYFUNCTION("""COMPUTED_VALUE"""),1081139.0)</f>
        <v>1081139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IFERROR(__xludf.DUMMYFUNCTION("""COMPUTED_VALUE"""),39.62)</f>
        <v>39.62</v>
      </c>
      <c r="C785" s="1">
        <f>IFERROR(__xludf.DUMMYFUNCTION("""COMPUTED_VALUE"""),39.91)</f>
        <v>39.91</v>
      </c>
      <c r="D785" s="1">
        <f>IFERROR(__xludf.DUMMYFUNCTION("""COMPUTED_VALUE"""),39.21)</f>
        <v>39.21</v>
      </c>
      <c r="E785" s="1">
        <f>IFERROR(__xludf.DUMMYFUNCTION("""COMPUTED_VALUE"""),39.4)</f>
        <v>39.4</v>
      </c>
      <c r="F785" s="1">
        <f>IFERROR(__xludf.DUMMYFUNCTION("""COMPUTED_VALUE"""),1165435.0)</f>
        <v>1165435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IFERROR(__xludf.DUMMYFUNCTION("""COMPUTED_VALUE"""),39.23)</f>
        <v>39.23</v>
      </c>
      <c r="C786" s="1">
        <f>IFERROR(__xludf.DUMMYFUNCTION("""COMPUTED_VALUE"""),39.95)</f>
        <v>39.95</v>
      </c>
      <c r="D786" s="1">
        <f>IFERROR(__xludf.DUMMYFUNCTION("""COMPUTED_VALUE"""),39.17)</f>
        <v>39.17</v>
      </c>
      <c r="E786" s="1">
        <f>IFERROR(__xludf.DUMMYFUNCTION("""COMPUTED_VALUE"""),39.72)</f>
        <v>39.72</v>
      </c>
      <c r="F786" s="1">
        <f>IFERROR(__xludf.DUMMYFUNCTION("""COMPUTED_VALUE"""),1141655.0)</f>
        <v>1141655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IFERROR(__xludf.DUMMYFUNCTION("""COMPUTED_VALUE"""),39.67)</f>
        <v>39.67</v>
      </c>
      <c r="C787" s="1">
        <f>IFERROR(__xludf.DUMMYFUNCTION("""COMPUTED_VALUE"""),40.18)</f>
        <v>40.18</v>
      </c>
      <c r="D787" s="1">
        <f>IFERROR(__xludf.DUMMYFUNCTION("""COMPUTED_VALUE"""),39.05)</f>
        <v>39.05</v>
      </c>
      <c r="E787" s="1">
        <f>IFERROR(__xludf.DUMMYFUNCTION("""COMPUTED_VALUE"""),39.36)</f>
        <v>39.36</v>
      </c>
      <c r="F787" s="1">
        <f>IFERROR(__xludf.DUMMYFUNCTION("""COMPUTED_VALUE"""),1999908.0)</f>
        <v>1999908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IFERROR(__xludf.DUMMYFUNCTION("""COMPUTED_VALUE"""),39.51)</f>
        <v>39.51</v>
      </c>
      <c r="C788" s="1">
        <f>IFERROR(__xludf.DUMMYFUNCTION("""COMPUTED_VALUE"""),40.16)</f>
        <v>40.16</v>
      </c>
      <c r="D788" s="1">
        <f>IFERROR(__xludf.DUMMYFUNCTION("""COMPUTED_VALUE"""),39.36)</f>
        <v>39.36</v>
      </c>
      <c r="E788" s="1">
        <f>IFERROR(__xludf.DUMMYFUNCTION("""COMPUTED_VALUE"""),40.05)</f>
        <v>40.05</v>
      </c>
      <c r="F788" s="1">
        <f>IFERROR(__xludf.DUMMYFUNCTION("""COMPUTED_VALUE"""),1939517.0)</f>
        <v>1939517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IFERROR(__xludf.DUMMYFUNCTION("""COMPUTED_VALUE"""),40.08)</f>
        <v>40.08</v>
      </c>
      <c r="C789" s="1">
        <f>IFERROR(__xludf.DUMMYFUNCTION("""COMPUTED_VALUE"""),40.1)</f>
        <v>40.1</v>
      </c>
      <c r="D789" s="1">
        <f>IFERROR(__xludf.DUMMYFUNCTION("""COMPUTED_VALUE"""),39.38)</f>
        <v>39.38</v>
      </c>
      <c r="E789" s="1">
        <f>IFERROR(__xludf.DUMMYFUNCTION("""COMPUTED_VALUE"""),39.48)</f>
        <v>39.48</v>
      </c>
      <c r="F789" s="1">
        <f>IFERROR(__xludf.DUMMYFUNCTION("""COMPUTED_VALUE"""),1680520.0)</f>
        <v>1680520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IFERROR(__xludf.DUMMYFUNCTION("""COMPUTED_VALUE"""),39.33)</f>
        <v>39.33</v>
      </c>
      <c r="C790" s="1">
        <f>IFERROR(__xludf.DUMMYFUNCTION("""COMPUTED_VALUE"""),39.33)</f>
        <v>39.33</v>
      </c>
      <c r="D790" s="1">
        <f>IFERROR(__xludf.DUMMYFUNCTION("""COMPUTED_VALUE"""),38.43)</f>
        <v>38.43</v>
      </c>
      <c r="E790" s="1">
        <f>IFERROR(__xludf.DUMMYFUNCTION("""COMPUTED_VALUE"""),38.5)</f>
        <v>38.5</v>
      </c>
      <c r="F790" s="1">
        <f>IFERROR(__xludf.DUMMYFUNCTION("""COMPUTED_VALUE"""),1407771.0)</f>
        <v>1407771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IFERROR(__xludf.DUMMYFUNCTION("""COMPUTED_VALUE"""),38.64)</f>
        <v>38.64</v>
      </c>
      <c r="C791" s="1">
        <f>IFERROR(__xludf.DUMMYFUNCTION("""COMPUTED_VALUE"""),38.95)</f>
        <v>38.95</v>
      </c>
      <c r="D791" s="1">
        <f>IFERROR(__xludf.DUMMYFUNCTION("""COMPUTED_VALUE"""),38.51)</f>
        <v>38.51</v>
      </c>
      <c r="E791" s="1">
        <f>IFERROR(__xludf.DUMMYFUNCTION("""COMPUTED_VALUE"""),38.92)</f>
        <v>38.92</v>
      </c>
      <c r="F791" s="1">
        <f>IFERROR(__xludf.DUMMYFUNCTION("""COMPUTED_VALUE"""),813139.0)</f>
        <v>813139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IFERROR(__xludf.DUMMYFUNCTION("""COMPUTED_VALUE"""),39.11)</f>
        <v>39.11</v>
      </c>
      <c r="C792" s="1">
        <f>IFERROR(__xludf.DUMMYFUNCTION("""COMPUTED_VALUE"""),39.87)</f>
        <v>39.87</v>
      </c>
      <c r="D792" s="1">
        <f>IFERROR(__xludf.DUMMYFUNCTION("""COMPUTED_VALUE"""),38.21)</f>
        <v>38.21</v>
      </c>
      <c r="E792" s="1">
        <f>IFERROR(__xludf.DUMMYFUNCTION("""COMPUTED_VALUE"""),38.24)</f>
        <v>38.24</v>
      </c>
      <c r="F792" s="1">
        <f>IFERROR(__xludf.DUMMYFUNCTION("""COMPUTED_VALUE"""),2636373.0)</f>
        <v>2636373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IFERROR(__xludf.DUMMYFUNCTION("""COMPUTED_VALUE"""),38.35)</f>
        <v>38.35</v>
      </c>
      <c r="C793" s="1">
        <f>IFERROR(__xludf.DUMMYFUNCTION("""COMPUTED_VALUE"""),38.58)</f>
        <v>38.58</v>
      </c>
      <c r="D793" s="1">
        <f>IFERROR(__xludf.DUMMYFUNCTION("""COMPUTED_VALUE"""),37.81)</f>
        <v>37.81</v>
      </c>
      <c r="E793" s="1">
        <f>IFERROR(__xludf.DUMMYFUNCTION("""COMPUTED_VALUE"""),38.32)</f>
        <v>38.32</v>
      </c>
      <c r="F793" s="1">
        <f>IFERROR(__xludf.DUMMYFUNCTION("""COMPUTED_VALUE"""),1264083.0)</f>
        <v>1264083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IFERROR(__xludf.DUMMYFUNCTION("""COMPUTED_VALUE"""),38.25)</f>
        <v>38.25</v>
      </c>
      <c r="C794" s="1">
        <f>IFERROR(__xludf.DUMMYFUNCTION("""COMPUTED_VALUE"""),38.74)</f>
        <v>38.74</v>
      </c>
      <c r="D794" s="1">
        <f>IFERROR(__xludf.DUMMYFUNCTION("""COMPUTED_VALUE"""),38.24)</f>
        <v>38.24</v>
      </c>
      <c r="E794" s="1">
        <f>IFERROR(__xludf.DUMMYFUNCTION("""COMPUTED_VALUE"""),38.59)</f>
        <v>38.59</v>
      </c>
      <c r="F794" s="1">
        <f>IFERROR(__xludf.DUMMYFUNCTION("""COMPUTED_VALUE"""),1207687.0)</f>
        <v>1207687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IFERROR(__xludf.DUMMYFUNCTION("""COMPUTED_VALUE"""),38.62)</f>
        <v>38.62</v>
      </c>
      <c r="C795" s="1">
        <f>IFERROR(__xludf.DUMMYFUNCTION("""COMPUTED_VALUE"""),39.08)</f>
        <v>39.08</v>
      </c>
      <c r="D795" s="1">
        <f>IFERROR(__xludf.DUMMYFUNCTION("""COMPUTED_VALUE"""),38.4)</f>
        <v>38.4</v>
      </c>
      <c r="E795" s="1">
        <f>IFERROR(__xludf.DUMMYFUNCTION("""COMPUTED_VALUE"""),38.41)</f>
        <v>38.41</v>
      </c>
      <c r="F795" s="1">
        <f>IFERROR(__xludf.DUMMYFUNCTION("""COMPUTED_VALUE"""),1393890.0)</f>
        <v>1393890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IFERROR(__xludf.DUMMYFUNCTION("""COMPUTED_VALUE"""),38.15)</f>
        <v>38.15</v>
      </c>
      <c r="C796" s="1">
        <f>IFERROR(__xludf.DUMMYFUNCTION("""COMPUTED_VALUE"""),38.67)</f>
        <v>38.67</v>
      </c>
      <c r="D796" s="1">
        <f>IFERROR(__xludf.DUMMYFUNCTION("""COMPUTED_VALUE"""),38.13)</f>
        <v>38.13</v>
      </c>
      <c r="E796" s="1">
        <f>IFERROR(__xludf.DUMMYFUNCTION("""COMPUTED_VALUE"""),38.38)</f>
        <v>38.38</v>
      </c>
      <c r="F796" s="1">
        <f>IFERROR(__xludf.DUMMYFUNCTION("""COMPUTED_VALUE"""),1179907.0)</f>
        <v>1179907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IFERROR(__xludf.DUMMYFUNCTION("""COMPUTED_VALUE"""),38.42)</f>
        <v>38.42</v>
      </c>
      <c r="C797" s="1">
        <f>IFERROR(__xludf.DUMMYFUNCTION("""COMPUTED_VALUE"""),39.95)</f>
        <v>39.95</v>
      </c>
      <c r="D797" s="1">
        <f>IFERROR(__xludf.DUMMYFUNCTION("""COMPUTED_VALUE"""),38.39)</f>
        <v>38.39</v>
      </c>
      <c r="E797" s="1">
        <f>IFERROR(__xludf.DUMMYFUNCTION("""COMPUTED_VALUE"""),39.41)</f>
        <v>39.41</v>
      </c>
      <c r="F797" s="1">
        <f>IFERROR(__xludf.DUMMYFUNCTION("""COMPUTED_VALUE"""),1625045.0)</f>
        <v>1625045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IFERROR(__xludf.DUMMYFUNCTION("""COMPUTED_VALUE"""),39.61)</f>
        <v>39.61</v>
      </c>
      <c r="C798" s="1">
        <f>IFERROR(__xludf.DUMMYFUNCTION("""COMPUTED_VALUE"""),40.36)</f>
        <v>40.36</v>
      </c>
      <c r="D798" s="1">
        <f>IFERROR(__xludf.DUMMYFUNCTION("""COMPUTED_VALUE"""),39.61)</f>
        <v>39.61</v>
      </c>
      <c r="E798" s="1">
        <f>IFERROR(__xludf.DUMMYFUNCTION("""COMPUTED_VALUE"""),40.24)</f>
        <v>40.24</v>
      </c>
      <c r="F798" s="1">
        <f>IFERROR(__xludf.DUMMYFUNCTION("""COMPUTED_VALUE"""),998844.0)</f>
        <v>998844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IFERROR(__xludf.DUMMYFUNCTION("""COMPUTED_VALUE"""),40.4)</f>
        <v>40.4</v>
      </c>
      <c r="C799" s="1">
        <f>IFERROR(__xludf.DUMMYFUNCTION("""COMPUTED_VALUE"""),41.65)</f>
        <v>41.65</v>
      </c>
      <c r="D799" s="1">
        <f>IFERROR(__xludf.DUMMYFUNCTION("""COMPUTED_VALUE"""),40.34)</f>
        <v>40.34</v>
      </c>
      <c r="E799" s="1">
        <f>IFERROR(__xludf.DUMMYFUNCTION("""COMPUTED_VALUE"""),40.65)</f>
        <v>40.65</v>
      </c>
      <c r="F799" s="1">
        <f>IFERROR(__xludf.DUMMYFUNCTION("""COMPUTED_VALUE"""),2321892.0)</f>
        <v>2321892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IFERROR(__xludf.DUMMYFUNCTION("""COMPUTED_VALUE"""),40.73)</f>
        <v>40.73</v>
      </c>
      <c r="C800" s="1">
        <f>IFERROR(__xludf.DUMMYFUNCTION("""COMPUTED_VALUE"""),41.0)</f>
        <v>41</v>
      </c>
      <c r="D800" s="1">
        <f>IFERROR(__xludf.DUMMYFUNCTION("""COMPUTED_VALUE"""),40.57)</f>
        <v>40.57</v>
      </c>
      <c r="E800" s="1">
        <f>IFERROR(__xludf.DUMMYFUNCTION("""COMPUTED_VALUE"""),40.91)</f>
        <v>40.91</v>
      </c>
      <c r="F800" s="1">
        <f>IFERROR(__xludf.DUMMYFUNCTION("""COMPUTED_VALUE"""),1091930.0)</f>
        <v>1091930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IFERROR(__xludf.DUMMYFUNCTION("""COMPUTED_VALUE"""),41.15)</f>
        <v>41.15</v>
      </c>
      <c r="C801" s="1">
        <f>IFERROR(__xludf.DUMMYFUNCTION("""COMPUTED_VALUE"""),41.44)</f>
        <v>41.44</v>
      </c>
      <c r="D801" s="1">
        <f>IFERROR(__xludf.DUMMYFUNCTION("""COMPUTED_VALUE"""),40.86)</f>
        <v>40.86</v>
      </c>
      <c r="E801" s="1">
        <f>IFERROR(__xludf.DUMMYFUNCTION("""COMPUTED_VALUE"""),41.41)</f>
        <v>41.41</v>
      </c>
      <c r="F801" s="1">
        <f>IFERROR(__xludf.DUMMYFUNCTION("""COMPUTED_VALUE"""),1073426.0)</f>
        <v>1073426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IFERROR(__xludf.DUMMYFUNCTION("""COMPUTED_VALUE"""),41.29)</f>
        <v>41.29</v>
      </c>
      <c r="C802" s="1">
        <f>IFERROR(__xludf.DUMMYFUNCTION("""COMPUTED_VALUE"""),41.55)</f>
        <v>41.55</v>
      </c>
      <c r="D802" s="1">
        <f>IFERROR(__xludf.DUMMYFUNCTION("""COMPUTED_VALUE"""),41.18)</f>
        <v>41.18</v>
      </c>
      <c r="E802" s="1">
        <f>IFERROR(__xludf.DUMMYFUNCTION("""COMPUTED_VALUE"""),41.37)</f>
        <v>41.37</v>
      </c>
      <c r="F802" s="1">
        <f>IFERROR(__xludf.DUMMYFUNCTION("""COMPUTED_VALUE"""),1177780.0)</f>
        <v>1177780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IFERROR(__xludf.DUMMYFUNCTION("""COMPUTED_VALUE"""),41.35)</f>
        <v>41.35</v>
      </c>
      <c r="C803" s="1">
        <f>IFERROR(__xludf.DUMMYFUNCTION("""COMPUTED_VALUE"""),41.55)</f>
        <v>41.55</v>
      </c>
      <c r="D803" s="1">
        <f>IFERROR(__xludf.DUMMYFUNCTION("""COMPUTED_VALUE"""),41.11)</f>
        <v>41.11</v>
      </c>
      <c r="E803" s="1">
        <f>IFERROR(__xludf.DUMMYFUNCTION("""COMPUTED_VALUE"""),41.22)</f>
        <v>41.22</v>
      </c>
      <c r="F803" s="1">
        <f>IFERROR(__xludf.DUMMYFUNCTION("""COMPUTED_VALUE"""),929666.0)</f>
        <v>929666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IFERROR(__xludf.DUMMYFUNCTION("""COMPUTED_VALUE"""),41.26)</f>
        <v>41.26</v>
      </c>
      <c r="C804" s="1">
        <f>IFERROR(__xludf.DUMMYFUNCTION("""COMPUTED_VALUE"""),41.69)</f>
        <v>41.69</v>
      </c>
      <c r="D804" s="1">
        <f>IFERROR(__xludf.DUMMYFUNCTION("""COMPUTED_VALUE"""),41.13)</f>
        <v>41.13</v>
      </c>
      <c r="E804" s="1">
        <f>IFERROR(__xludf.DUMMYFUNCTION("""COMPUTED_VALUE"""),41.33)</f>
        <v>41.33</v>
      </c>
      <c r="F804" s="1">
        <f>IFERROR(__xludf.DUMMYFUNCTION("""COMPUTED_VALUE"""),1037278.0)</f>
        <v>1037278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IFERROR(__xludf.DUMMYFUNCTION("""COMPUTED_VALUE"""),41.39)</f>
        <v>41.39</v>
      </c>
      <c r="C805" s="1">
        <f>IFERROR(__xludf.DUMMYFUNCTION("""COMPUTED_VALUE"""),41.59)</f>
        <v>41.59</v>
      </c>
      <c r="D805" s="1">
        <f>IFERROR(__xludf.DUMMYFUNCTION("""COMPUTED_VALUE"""),41.2)</f>
        <v>41.2</v>
      </c>
      <c r="E805" s="1">
        <f>IFERROR(__xludf.DUMMYFUNCTION("""COMPUTED_VALUE"""),41.47)</f>
        <v>41.47</v>
      </c>
      <c r="F805" s="1">
        <f>IFERROR(__xludf.DUMMYFUNCTION("""COMPUTED_VALUE"""),699148.0)</f>
        <v>699148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IFERROR(__xludf.DUMMYFUNCTION("""COMPUTED_VALUE"""),41.3)</f>
        <v>41.3</v>
      </c>
      <c r="C806" s="1">
        <f>IFERROR(__xludf.DUMMYFUNCTION("""COMPUTED_VALUE"""),41.94)</f>
        <v>41.94</v>
      </c>
      <c r="D806" s="1">
        <f>IFERROR(__xludf.DUMMYFUNCTION("""COMPUTED_VALUE"""),40.9)</f>
        <v>40.9</v>
      </c>
      <c r="E806" s="1">
        <f>IFERROR(__xludf.DUMMYFUNCTION("""COMPUTED_VALUE"""),41.66)</f>
        <v>41.66</v>
      </c>
      <c r="F806" s="1">
        <f>IFERROR(__xludf.DUMMYFUNCTION("""COMPUTED_VALUE"""),1709235.0)</f>
        <v>1709235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IFERROR(__xludf.DUMMYFUNCTION("""COMPUTED_VALUE"""),41.33)</f>
        <v>41.33</v>
      </c>
      <c r="C807" s="1">
        <f>IFERROR(__xludf.DUMMYFUNCTION("""COMPUTED_VALUE"""),41.82)</f>
        <v>41.82</v>
      </c>
      <c r="D807" s="1">
        <f>IFERROR(__xludf.DUMMYFUNCTION("""COMPUTED_VALUE"""),41.21)</f>
        <v>41.21</v>
      </c>
      <c r="E807" s="1">
        <f>IFERROR(__xludf.DUMMYFUNCTION("""COMPUTED_VALUE"""),41.56)</f>
        <v>41.56</v>
      </c>
      <c r="F807" s="1">
        <f>IFERROR(__xludf.DUMMYFUNCTION("""COMPUTED_VALUE"""),1078886.0)</f>
        <v>1078886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IFERROR(__xludf.DUMMYFUNCTION("""COMPUTED_VALUE"""),41.58)</f>
        <v>41.58</v>
      </c>
      <c r="C808" s="1">
        <f>IFERROR(__xludf.DUMMYFUNCTION("""COMPUTED_VALUE"""),41.77)</f>
        <v>41.77</v>
      </c>
      <c r="D808" s="1">
        <f>IFERROR(__xludf.DUMMYFUNCTION("""COMPUTED_VALUE"""),40.79)</f>
        <v>40.79</v>
      </c>
      <c r="E808" s="1">
        <f>IFERROR(__xludf.DUMMYFUNCTION("""COMPUTED_VALUE"""),41.04)</f>
        <v>41.04</v>
      </c>
      <c r="F808" s="1">
        <f>IFERROR(__xludf.DUMMYFUNCTION("""COMPUTED_VALUE"""),1098675.0)</f>
        <v>1098675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IFERROR(__xludf.DUMMYFUNCTION("""COMPUTED_VALUE"""),41.31)</f>
        <v>41.31</v>
      </c>
      <c r="C809" s="1">
        <f>IFERROR(__xludf.DUMMYFUNCTION("""COMPUTED_VALUE"""),41.77)</f>
        <v>41.77</v>
      </c>
      <c r="D809" s="1">
        <f>IFERROR(__xludf.DUMMYFUNCTION("""COMPUTED_VALUE"""),40.83)</f>
        <v>40.83</v>
      </c>
      <c r="E809" s="1">
        <f>IFERROR(__xludf.DUMMYFUNCTION("""COMPUTED_VALUE"""),41.07)</f>
        <v>41.07</v>
      </c>
      <c r="F809" s="1">
        <f>IFERROR(__xludf.DUMMYFUNCTION("""COMPUTED_VALUE"""),1550416.0)</f>
        <v>1550416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IFERROR(__xludf.DUMMYFUNCTION("""COMPUTED_VALUE"""),40.9)</f>
        <v>40.9</v>
      </c>
      <c r="C810" s="1">
        <f>IFERROR(__xludf.DUMMYFUNCTION("""COMPUTED_VALUE"""),41.08)</f>
        <v>41.08</v>
      </c>
      <c r="D810" s="1">
        <f>IFERROR(__xludf.DUMMYFUNCTION("""COMPUTED_VALUE"""),40.1)</f>
        <v>40.1</v>
      </c>
      <c r="E810" s="1">
        <f>IFERROR(__xludf.DUMMYFUNCTION("""COMPUTED_VALUE"""),40.18)</f>
        <v>40.18</v>
      </c>
      <c r="F810" s="1">
        <f>IFERROR(__xludf.DUMMYFUNCTION("""COMPUTED_VALUE"""),1092038.0)</f>
        <v>1092038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IFERROR(__xludf.DUMMYFUNCTION("""COMPUTED_VALUE"""),40.37)</f>
        <v>40.37</v>
      </c>
      <c r="C811" s="1">
        <f>IFERROR(__xludf.DUMMYFUNCTION("""COMPUTED_VALUE"""),40.52)</f>
        <v>40.52</v>
      </c>
      <c r="D811" s="1">
        <f>IFERROR(__xludf.DUMMYFUNCTION("""COMPUTED_VALUE"""),40.14)</f>
        <v>40.14</v>
      </c>
      <c r="E811" s="1">
        <f>IFERROR(__xludf.DUMMYFUNCTION("""COMPUTED_VALUE"""),40.35)</f>
        <v>40.35</v>
      </c>
      <c r="F811" s="1">
        <f>IFERROR(__xludf.DUMMYFUNCTION("""COMPUTED_VALUE"""),960949.0)</f>
        <v>960949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IFERROR(__xludf.DUMMYFUNCTION("""COMPUTED_VALUE"""),40.5)</f>
        <v>40.5</v>
      </c>
      <c r="C812" s="1">
        <f>IFERROR(__xludf.DUMMYFUNCTION("""COMPUTED_VALUE"""),40.66)</f>
        <v>40.66</v>
      </c>
      <c r="D812" s="1">
        <f>IFERROR(__xludf.DUMMYFUNCTION("""COMPUTED_VALUE"""),40.21)</f>
        <v>40.21</v>
      </c>
      <c r="E812" s="1">
        <f>IFERROR(__xludf.DUMMYFUNCTION("""COMPUTED_VALUE"""),40.31)</f>
        <v>40.31</v>
      </c>
      <c r="F812" s="1">
        <f>IFERROR(__xludf.DUMMYFUNCTION("""COMPUTED_VALUE"""),807096.0)</f>
        <v>807096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IFERROR(__xludf.DUMMYFUNCTION("""COMPUTED_VALUE"""),40.46)</f>
        <v>40.46</v>
      </c>
      <c r="C813" s="1">
        <f>IFERROR(__xludf.DUMMYFUNCTION("""COMPUTED_VALUE"""),40.87)</f>
        <v>40.87</v>
      </c>
      <c r="D813" s="1">
        <f>IFERROR(__xludf.DUMMYFUNCTION("""COMPUTED_VALUE"""),40.33)</f>
        <v>40.33</v>
      </c>
      <c r="E813" s="1">
        <f>IFERROR(__xludf.DUMMYFUNCTION("""COMPUTED_VALUE"""),40.84)</f>
        <v>40.84</v>
      </c>
      <c r="F813" s="1">
        <f>IFERROR(__xludf.DUMMYFUNCTION("""COMPUTED_VALUE"""),927815.0)</f>
        <v>927815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IFERROR(__xludf.DUMMYFUNCTION("""COMPUTED_VALUE"""),40.63)</f>
        <v>40.63</v>
      </c>
      <c r="C814" s="1">
        <f>IFERROR(__xludf.DUMMYFUNCTION("""COMPUTED_VALUE"""),41.16)</f>
        <v>41.16</v>
      </c>
      <c r="D814" s="1">
        <f>IFERROR(__xludf.DUMMYFUNCTION("""COMPUTED_VALUE"""),40.4)</f>
        <v>40.4</v>
      </c>
      <c r="E814" s="1">
        <f>IFERROR(__xludf.DUMMYFUNCTION("""COMPUTED_VALUE"""),41.12)</f>
        <v>41.12</v>
      </c>
      <c r="F814" s="1">
        <f>IFERROR(__xludf.DUMMYFUNCTION("""COMPUTED_VALUE"""),885005.0)</f>
        <v>885005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IFERROR(__xludf.DUMMYFUNCTION("""COMPUTED_VALUE"""),41.14)</f>
        <v>41.14</v>
      </c>
      <c r="C815" s="1">
        <f>IFERROR(__xludf.DUMMYFUNCTION("""COMPUTED_VALUE"""),41.72)</f>
        <v>41.72</v>
      </c>
      <c r="D815" s="1">
        <f>IFERROR(__xludf.DUMMYFUNCTION("""COMPUTED_VALUE"""),41.04)</f>
        <v>41.04</v>
      </c>
      <c r="E815" s="1">
        <f>IFERROR(__xludf.DUMMYFUNCTION("""COMPUTED_VALUE"""),41.7)</f>
        <v>41.7</v>
      </c>
      <c r="F815" s="1">
        <f>IFERROR(__xludf.DUMMYFUNCTION("""COMPUTED_VALUE"""),1659435.0)</f>
        <v>1659435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IFERROR(__xludf.DUMMYFUNCTION("""COMPUTED_VALUE"""),41.67)</f>
        <v>41.67</v>
      </c>
      <c r="C816" s="1">
        <f>IFERROR(__xludf.DUMMYFUNCTION("""COMPUTED_VALUE"""),41.84)</f>
        <v>41.84</v>
      </c>
      <c r="D816" s="1">
        <f>IFERROR(__xludf.DUMMYFUNCTION("""COMPUTED_VALUE"""),40.94)</f>
        <v>40.94</v>
      </c>
      <c r="E816" s="1">
        <f>IFERROR(__xludf.DUMMYFUNCTION("""COMPUTED_VALUE"""),41.18)</f>
        <v>41.18</v>
      </c>
      <c r="F816" s="1">
        <f>IFERROR(__xludf.DUMMYFUNCTION("""COMPUTED_VALUE"""),1469560.0)</f>
        <v>1469560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IFERROR(__xludf.DUMMYFUNCTION("""COMPUTED_VALUE"""),41.5)</f>
        <v>41.5</v>
      </c>
      <c r="C817" s="1">
        <f>IFERROR(__xludf.DUMMYFUNCTION("""COMPUTED_VALUE"""),41.81)</f>
        <v>41.81</v>
      </c>
      <c r="D817" s="1">
        <f>IFERROR(__xludf.DUMMYFUNCTION("""COMPUTED_VALUE"""),41.3)</f>
        <v>41.3</v>
      </c>
      <c r="E817" s="1">
        <f>IFERROR(__xludf.DUMMYFUNCTION("""COMPUTED_VALUE"""),41.49)</f>
        <v>41.49</v>
      </c>
      <c r="F817" s="1">
        <f>IFERROR(__xludf.DUMMYFUNCTION("""COMPUTED_VALUE"""),1500246.0)</f>
        <v>1500246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IFERROR(__xludf.DUMMYFUNCTION("""COMPUTED_VALUE"""),42.0)</f>
        <v>42</v>
      </c>
      <c r="C818" s="1">
        <f>IFERROR(__xludf.DUMMYFUNCTION("""COMPUTED_VALUE"""),42.45)</f>
        <v>42.45</v>
      </c>
      <c r="D818" s="1">
        <f>IFERROR(__xludf.DUMMYFUNCTION("""COMPUTED_VALUE"""),40.7)</f>
        <v>40.7</v>
      </c>
      <c r="E818" s="1">
        <f>IFERROR(__xludf.DUMMYFUNCTION("""COMPUTED_VALUE"""),40.7)</f>
        <v>40.7</v>
      </c>
      <c r="F818" s="1">
        <f>IFERROR(__xludf.DUMMYFUNCTION("""COMPUTED_VALUE"""),2686320.0)</f>
        <v>2686320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IFERROR(__xludf.DUMMYFUNCTION("""COMPUTED_VALUE"""),40.53)</f>
        <v>40.53</v>
      </c>
      <c r="C819" s="1">
        <f>IFERROR(__xludf.DUMMYFUNCTION("""COMPUTED_VALUE"""),41.11)</f>
        <v>41.11</v>
      </c>
      <c r="D819" s="1">
        <f>IFERROR(__xludf.DUMMYFUNCTION("""COMPUTED_VALUE"""),40.48)</f>
        <v>40.48</v>
      </c>
      <c r="E819" s="1">
        <f>IFERROR(__xludf.DUMMYFUNCTION("""COMPUTED_VALUE"""),41.11)</f>
        <v>41.11</v>
      </c>
      <c r="F819" s="1">
        <f>IFERROR(__xludf.DUMMYFUNCTION("""COMPUTED_VALUE"""),1160189.0)</f>
        <v>1160189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IFERROR(__xludf.DUMMYFUNCTION("""COMPUTED_VALUE"""),40.59)</f>
        <v>40.59</v>
      </c>
      <c r="C820" s="1">
        <f>IFERROR(__xludf.DUMMYFUNCTION("""COMPUTED_VALUE"""),41.43)</f>
        <v>41.43</v>
      </c>
      <c r="D820" s="1">
        <f>IFERROR(__xludf.DUMMYFUNCTION("""COMPUTED_VALUE"""),40.34)</f>
        <v>40.34</v>
      </c>
      <c r="E820" s="1">
        <f>IFERROR(__xludf.DUMMYFUNCTION("""COMPUTED_VALUE"""),41.35)</f>
        <v>41.35</v>
      </c>
      <c r="F820" s="1">
        <f>IFERROR(__xludf.DUMMYFUNCTION("""COMPUTED_VALUE"""),1079639.0)</f>
        <v>1079639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IFERROR(__xludf.DUMMYFUNCTION("""COMPUTED_VALUE"""),41.37)</f>
        <v>41.37</v>
      </c>
      <c r="C821" s="1">
        <f>IFERROR(__xludf.DUMMYFUNCTION("""COMPUTED_VALUE"""),42.45)</f>
        <v>42.45</v>
      </c>
      <c r="D821" s="1">
        <f>IFERROR(__xludf.DUMMYFUNCTION("""COMPUTED_VALUE"""),41.37)</f>
        <v>41.37</v>
      </c>
      <c r="E821" s="1">
        <f>IFERROR(__xludf.DUMMYFUNCTION("""COMPUTED_VALUE"""),42.38)</f>
        <v>42.38</v>
      </c>
      <c r="F821" s="1">
        <f>IFERROR(__xludf.DUMMYFUNCTION("""COMPUTED_VALUE"""),1486076.0)</f>
        <v>1486076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IFERROR(__xludf.DUMMYFUNCTION("""COMPUTED_VALUE"""),42.56)</f>
        <v>42.56</v>
      </c>
      <c r="C822" s="1">
        <f>IFERROR(__xludf.DUMMYFUNCTION("""COMPUTED_VALUE"""),42.79)</f>
        <v>42.79</v>
      </c>
      <c r="D822" s="1">
        <f>IFERROR(__xludf.DUMMYFUNCTION("""COMPUTED_VALUE"""),41.6)</f>
        <v>41.6</v>
      </c>
      <c r="E822" s="1">
        <f>IFERROR(__xludf.DUMMYFUNCTION("""COMPUTED_VALUE"""),41.68)</f>
        <v>41.68</v>
      </c>
      <c r="F822" s="1">
        <f>IFERROR(__xludf.DUMMYFUNCTION("""COMPUTED_VALUE"""),2023385.0)</f>
        <v>2023385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IFERROR(__xludf.DUMMYFUNCTION("""COMPUTED_VALUE"""),42.07)</f>
        <v>42.07</v>
      </c>
      <c r="C823" s="1">
        <f>IFERROR(__xludf.DUMMYFUNCTION("""COMPUTED_VALUE"""),43.42)</f>
        <v>43.42</v>
      </c>
      <c r="D823" s="1">
        <f>IFERROR(__xludf.DUMMYFUNCTION("""COMPUTED_VALUE"""),41.75)</f>
        <v>41.75</v>
      </c>
      <c r="E823" s="1">
        <f>IFERROR(__xludf.DUMMYFUNCTION("""COMPUTED_VALUE"""),43.31)</f>
        <v>43.31</v>
      </c>
      <c r="F823" s="1">
        <f>IFERROR(__xludf.DUMMYFUNCTION("""COMPUTED_VALUE"""),3658350.0)</f>
        <v>3658350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IFERROR(__xludf.DUMMYFUNCTION("""COMPUTED_VALUE"""),43.72)</f>
        <v>43.72</v>
      </c>
      <c r="C824" s="1">
        <f>IFERROR(__xludf.DUMMYFUNCTION("""COMPUTED_VALUE"""),45.28)</f>
        <v>45.28</v>
      </c>
      <c r="D824" s="1">
        <f>IFERROR(__xludf.DUMMYFUNCTION("""COMPUTED_VALUE"""),43.72)</f>
        <v>43.72</v>
      </c>
      <c r="E824" s="1">
        <f>IFERROR(__xludf.DUMMYFUNCTION("""COMPUTED_VALUE"""),45.2)</f>
        <v>45.2</v>
      </c>
      <c r="F824" s="1">
        <f>IFERROR(__xludf.DUMMYFUNCTION("""COMPUTED_VALUE"""),2923510.0)</f>
        <v>2923510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IFERROR(__xludf.DUMMYFUNCTION("""COMPUTED_VALUE"""),44.53)</f>
        <v>44.53</v>
      </c>
      <c r="C825" s="1">
        <f>IFERROR(__xludf.DUMMYFUNCTION("""COMPUTED_VALUE"""),44.53)</f>
        <v>44.53</v>
      </c>
      <c r="D825" s="1">
        <f>IFERROR(__xludf.DUMMYFUNCTION("""COMPUTED_VALUE"""),43.59)</f>
        <v>43.59</v>
      </c>
      <c r="E825" s="1">
        <f>IFERROR(__xludf.DUMMYFUNCTION("""COMPUTED_VALUE"""),43.99)</f>
        <v>43.99</v>
      </c>
      <c r="F825" s="1">
        <f>IFERROR(__xludf.DUMMYFUNCTION("""COMPUTED_VALUE"""),2763085.0)</f>
        <v>2763085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IFERROR(__xludf.DUMMYFUNCTION("""COMPUTED_VALUE"""),43.85)</f>
        <v>43.85</v>
      </c>
      <c r="C826" s="1">
        <f>IFERROR(__xludf.DUMMYFUNCTION("""COMPUTED_VALUE"""),43.91)</f>
        <v>43.91</v>
      </c>
      <c r="D826" s="1">
        <f>IFERROR(__xludf.DUMMYFUNCTION("""COMPUTED_VALUE"""),42.09)</f>
        <v>42.09</v>
      </c>
      <c r="E826" s="1">
        <f>IFERROR(__xludf.DUMMYFUNCTION("""COMPUTED_VALUE"""),42.09)</f>
        <v>42.09</v>
      </c>
      <c r="F826" s="1">
        <f>IFERROR(__xludf.DUMMYFUNCTION("""COMPUTED_VALUE"""),2683473.0)</f>
        <v>2683473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IFERROR(__xludf.DUMMYFUNCTION("""COMPUTED_VALUE"""),42.48)</f>
        <v>42.48</v>
      </c>
      <c r="C827" s="1">
        <f>IFERROR(__xludf.DUMMYFUNCTION("""COMPUTED_VALUE"""),42.72)</f>
        <v>42.72</v>
      </c>
      <c r="D827" s="1">
        <f>IFERROR(__xludf.DUMMYFUNCTION("""COMPUTED_VALUE"""),42.1)</f>
        <v>42.1</v>
      </c>
      <c r="E827" s="1">
        <f>IFERROR(__xludf.DUMMYFUNCTION("""COMPUTED_VALUE"""),42.45)</f>
        <v>42.45</v>
      </c>
      <c r="F827" s="1">
        <f>IFERROR(__xludf.DUMMYFUNCTION("""COMPUTED_VALUE"""),2820785.0)</f>
        <v>2820785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IFERROR(__xludf.DUMMYFUNCTION("""COMPUTED_VALUE"""),42.03)</f>
        <v>42.03</v>
      </c>
      <c r="C828" s="1">
        <f>IFERROR(__xludf.DUMMYFUNCTION("""COMPUTED_VALUE"""),42.03)</f>
        <v>42.03</v>
      </c>
      <c r="D828" s="1">
        <f>IFERROR(__xludf.DUMMYFUNCTION("""COMPUTED_VALUE"""),40.52)</f>
        <v>40.52</v>
      </c>
      <c r="E828" s="1">
        <f>IFERROR(__xludf.DUMMYFUNCTION("""COMPUTED_VALUE"""),41.53)</f>
        <v>41.53</v>
      </c>
      <c r="F828" s="1">
        <f>IFERROR(__xludf.DUMMYFUNCTION("""COMPUTED_VALUE"""),4117496.0)</f>
        <v>4117496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IFERROR(__xludf.DUMMYFUNCTION("""COMPUTED_VALUE"""),41.73)</f>
        <v>41.73</v>
      </c>
      <c r="C829" s="1">
        <f>IFERROR(__xludf.DUMMYFUNCTION("""COMPUTED_VALUE"""),41.92)</f>
        <v>41.92</v>
      </c>
      <c r="D829" s="1">
        <f>IFERROR(__xludf.DUMMYFUNCTION("""COMPUTED_VALUE"""),40.68)</f>
        <v>40.68</v>
      </c>
      <c r="E829" s="1">
        <f>IFERROR(__xludf.DUMMYFUNCTION("""COMPUTED_VALUE"""),41.17)</f>
        <v>41.17</v>
      </c>
      <c r="F829" s="1">
        <f>IFERROR(__xludf.DUMMYFUNCTION("""COMPUTED_VALUE"""),2312511.0)</f>
        <v>2312511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IFERROR(__xludf.DUMMYFUNCTION("""COMPUTED_VALUE"""),41.37)</f>
        <v>41.37</v>
      </c>
      <c r="C830" s="1">
        <f>IFERROR(__xludf.DUMMYFUNCTION("""COMPUTED_VALUE"""),42.79)</f>
        <v>42.79</v>
      </c>
      <c r="D830" s="1">
        <f>IFERROR(__xludf.DUMMYFUNCTION("""COMPUTED_VALUE"""),40.93)</f>
        <v>40.93</v>
      </c>
      <c r="E830" s="1">
        <f>IFERROR(__xludf.DUMMYFUNCTION("""COMPUTED_VALUE"""),42.76)</f>
        <v>42.76</v>
      </c>
      <c r="F830" s="1">
        <f>IFERROR(__xludf.DUMMYFUNCTION("""COMPUTED_VALUE"""),3387903.0)</f>
        <v>3387903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IFERROR(__xludf.DUMMYFUNCTION("""COMPUTED_VALUE"""),42.88)</f>
        <v>42.88</v>
      </c>
      <c r="C831" s="1">
        <f>IFERROR(__xludf.DUMMYFUNCTION("""COMPUTED_VALUE"""),43.43)</f>
        <v>43.43</v>
      </c>
      <c r="D831" s="1">
        <f>IFERROR(__xludf.DUMMYFUNCTION("""COMPUTED_VALUE"""),42.48)</f>
        <v>42.48</v>
      </c>
      <c r="E831" s="1">
        <f>IFERROR(__xludf.DUMMYFUNCTION("""COMPUTED_VALUE"""),43.39)</f>
        <v>43.39</v>
      </c>
      <c r="F831" s="1">
        <f>IFERROR(__xludf.DUMMYFUNCTION("""COMPUTED_VALUE"""),1938747.0)</f>
        <v>1938747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IFERROR(__xludf.DUMMYFUNCTION("""COMPUTED_VALUE"""),43.73)</f>
        <v>43.73</v>
      </c>
      <c r="C832" s="1">
        <f>IFERROR(__xludf.DUMMYFUNCTION("""COMPUTED_VALUE"""),44.17)</f>
        <v>44.17</v>
      </c>
      <c r="D832" s="1">
        <f>IFERROR(__xludf.DUMMYFUNCTION("""COMPUTED_VALUE"""),43.5)</f>
        <v>43.5</v>
      </c>
      <c r="E832" s="1">
        <f>IFERROR(__xludf.DUMMYFUNCTION("""COMPUTED_VALUE"""),44.1)</f>
        <v>44.1</v>
      </c>
      <c r="F832" s="1">
        <f>IFERROR(__xludf.DUMMYFUNCTION("""COMPUTED_VALUE"""),1715054.0)</f>
        <v>1715054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IFERROR(__xludf.DUMMYFUNCTION("""COMPUTED_VALUE"""),44.29)</f>
        <v>44.29</v>
      </c>
      <c r="C833" s="1">
        <f>IFERROR(__xludf.DUMMYFUNCTION("""COMPUTED_VALUE"""),44.61)</f>
        <v>44.61</v>
      </c>
      <c r="D833" s="1">
        <f>IFERROR(__xludf.DUMMYFUNCTION("""COMPUTED_VALUE"""),43.96)</f>
        <v>43.96</v>
      </c>
      <c r="E833" s="1">
        <f>IFERROR(__xludf.DUMMYFUNCTION("""COMPUTED_VALUE"""),44.49)</f>
        <v>44.49</v>
      </c>
      <c r="F833" s="1">
        <f>IFERROR(__xludf.DUMMYFUNCTION("""COMPUTED_VALUE"""),1267260.0)</f>
        <v>1267260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IFERROR(__xludf.DUMMYFUNCTION("""COMPUTED_VALUE"""),44.76)</f>
        <v>44.76</v>
      </c>
      <c r="C834" s="1">
        <f>IFERROR(__xludf.DUMMYFUNCTION("""COMPUTED_VALUE"""),45.3)</f>
        <v>45.3</v>
      </c>
      <c r="D834" s="1">
        <f>IFERROR(__xludf.DUMMYFUNCTION("""COMPUTED_VALUE"""),44.76)</f>
        <v>44.76</v>
      </c>
      <c r="E834" s="1">
        <f>IFERROR(__xludf.DUMMYFUNCTION("""COMPUTED_VALUE"""),45.0)</f>
        <v>45</v>
      </c>
      <c r="F834" s="1">
        <f>IFERROR(__xludf.DUMMYFUNCTION("""COMPUTED_VALUE"""),2351426.0)</f>
        <v>2351426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IFERROR(__xludf.DUMMYFUNCTION("""COMPUTED_VALUE"""),45.0)</f>
        <v>45</v>
      </c>
      <c r="C835" s="1">
        <f>IFERROR(__xludf.DUMMYFUNCTION("""COMPUTED_VALUE"""),45.06)</f>
        <v>45.06</v>
      </c>
      <c r="D835" s="1">
        <f>IFERROR(__xludf.DUMMYFUNCTION("""COMPUTED_VALUE"""),44.59)</f>
        <v>44.59</v>
      </c>
      <c r="E835" s="1">
        <f>IFERROR(__xludf.DUMMYFUNCTION("""COMPUTED_VALUE"""),44.82)</f>
        <v>44.82</v>
      </c>
      <c r="F835" s="1">
        <f>IFERROR(__xludf.DUMMYFUNCTION("""COMPUTED_VALUE"""),925183.0)</f>
        <v>925183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IFERROR(__xludf.DUMMYFUNCTION("""COMPUTED_VALUE"""),45.0)</f>
        <v>45</v>
      </c>
      <c r="C836" s="1">
        <f>IFERROR(__xludf.DUMMYFUNCTION("""COMPUTED_VALUE"""),45.16)</f>
        <v>45.16</v>
      </c>
      <c r="D836" s="1">
        <f>IFERROR(__xludf.DUMMYFUNCTION("""COMPUTED_VALUE"""),44.77)</f>
        <v>44.77</v>
      </c>
      <c r="E836" s="1">
        <f>IFERROR(__xludf.DUMMYFUNCTION("""COMPUTED_VALUE"""),45.12)</f>
        <v>45.12</v>
      </c>
      <c r="F836" s="1">
        <f>IFERROR(__xludf.DUMMYFUNCTION("""COMPUTED_VALUE"""),1682777.0)</f>
        <v>1682777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IFERROR(__xludf.DUMMYFUNCTION("""COMPUTED_VALUE"""),45.96)</f>
        <v>45.96</v>
      </c>
      <c r="C837" s="1">
        <f>IFERROR(__xludf.DUMMYFUNCTION("""COMPUTED_VALUE"""),46.84)</f>
        <v>46.84</v>
      </c>
      <c r="D837" s="1">
        <f>IFERROR(__xludf.DUMMYFUNCTION("""COMPUTED_VALUE"""),45.75)</f>
        <v>45.75</v>
      </c>
      <c r="E837" s="1">
        <f>IFERROR(__xludf.DUMMYFUNCTION("""COMPUTED_VALUE"""),46.04)</f>
        <v>46.04</v>
      </c>
      <c r="F837" s="1">
        <f>IFERROR(__xludf.DUMMYFUNCTION("""COMPUTED_VALUE"""),3733530.0)</f>
        <v>3733530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IFERROR(__xludf.DUMMYFUNCTION("""COMPUTED_VALUE"""),45.82)</f>
        <v>45.82</v>
      </c>
      <c r="C838" s="1">
        <f>IFERROR(__xludf.DUMMYFUNCTION("""COMPUTED_VALUE"""),46.16)</f>
        <v>46.16</v>
      </c>
      <c r="D838" s="1">
        <f>IFERROR(__xludf.DUMMYFUNCTION("""COMPUTED_VALUE"""),45.14)</f>
        <v>45.14</v>
      </c>
      <c r="E838" s="1">
        <f>IFERROR(__xludf.DUMMYFUNCTION("""COMPUTED_VALUE"""),45.2)</f>
        <v>45.2</v>
      </c>
      <c r="F838" s="1">
        <f>IFERROR(__xludf.DUMMYFUNCTION("""COMPUTED_VALUE"""),1609220.0)</f>
        <v>1609220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IFERROR(__xludf.DUMMYFUNCTION("""COMPUTED_VALUE"""),45.32)</f>
        <v>45.32</v>
      </c>
      <c r="C839" s="1">
        <f>IFERROR(__xludf.DUMMYFUNCTION("""COMPUTED_VALUE"""),46.04)</f>
        <v>46.04</v>
      </c>
      <c r="D839" s="1">
        <f>IFERROR(__xludf.DUMMYFUNCTION("""COMPUTED_VALUE"""),45.1)</f>
        <v>45.1</v>
      </c>
      <c r="E839" s="1">
        <f>IFERROR(__xludf.DUMMYFUNCTION("""COMPUTED_VALUE"""),46.0)</f>
        <v>46</v>
      </c>
      <c r="F839" s="1">
        <f>IFERROR(__xludf.DUMMYFUNCTION("""COMPUTED_VALUE"""),1100007.0)</f>
        <v>1100007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IFERROR(__xludf.DUMMYFUNCTION("""COMPUTED_VALUE"""),46.47)</f>
        <v>46.47</v>
      </c>
      <c r="C840" s="1">
        <f>IFERROR(__xludf.DUMMYFUNCTION("""COMPUTED_VALUE"""),46.66)</f>
        <v>46.66</v>
      </c>
      <c r="D840" s="1">
        <f>IFERROR(__xludf.DUMMYFUNCTION("""COMPUTED_VALUE"""),45.98)</f>
        <v>45.98</v>
      </c>
      <c r="E840" s="1">
        <f>IFERROR(__xludf.DUMMYFUNCTION("""COMPUTED_VALUE"""),46.23)</f>
        <v>46.23</v>
      </c>
      <c r="F840" s="1">
        <f>IFERROR(__xludf.DUMMYFUNCTION("""COMPUTED_VALUE"""),1468033.0)</f>
        <v>1468033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IFERROR(__xludf.DUMMYFUNCTION("""COMPUTED_VALUE"""),46.22)</f>
        <v>46.22</v>
      </c>
      <c r="C841" s="1">
        <f>IFERROR(__xludf.DUMMYFUNCTION("""COMPUTED_VALUE"""),46.43)</f>
        <v>46.43</v>
      </c>
      <c r="D841" s="1">
        <f>IFERROR(__xludf.DUMMYFUNCTION("""COMPUTED_VALUE"""),45.93)</f>
        <v>45.93</v>
      </c>
      <c r="E841" s="1">
        <f>IFERROR(__xludf.DUMMYFUNCTION("""COMPUTED_VALUE"""),46.25)</f>
        <v>46.25</v>
      </c>
      <c r="F841" s="1">
        <f>IFERROR(__xludf.DUMMYFUNCTION("""COMPUTED_VALUE"""),1075892.0)</f>
        <v>1075892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IFERROR(__xludf.DUMMYFUNCTION("""COMPUTED_VALUE"""),46.18)</f>
        <v>46.18</v>
      </c>
      <c r="C842" s="1">
        <f>IFERROR(__xludf.DUMMYFUNCTION("""COMPUTED_VALUE"""),46.86)</f>
        <v>46.86</v>
      </c>
      <c r="D842" s="1">
        <f>IFERROR(__xludf.DUMMYFUNCTION("""COMPUTED_VALUE"""),45.8)</f>
        <v>45.8</v>
      </c>
      <c r="E842" s="1">
        <f>IFERROR(__xludf.DUMMYFUNCTION("""COMPUTED_VALUE"""),46.82)</f>
        <v>46.82</v>
      </c>
      <c r="F842" s="1">
        <f>IFERROR(__xludf.DUMMYFUNCTION("""COMPUTED_VALUE"""),1163362.0)</f>
        <v>1163362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IFERROR(__xludf.DUMMYFUNCTION("""COMPUTED_VALUE"""),46.66)</f>
        <v>46.66</v>
      </c>
      <c r="C843" s="1">
        <f>IFERROR(__xludf.DUMMYFUNCTION("""COMPUTED_VALUE"""),47.14)</f>
        <v>47.14</v>
      </c>
      <c r="D843" s="1">
        <f>IFERROR(__xludf.DUMMYFUNCTION("""COMPUTED_VALUE"""),46.56)</f>
        <v>46.56</v>
      </c>
      <c r="E843" s="1">
        <f>IFERROR(__xludf.DUMMYFUNCTION("""COMPUTED_VALUE"""),47.09)</f>
        <v>47.09</v>
      </c>
      <c r="F843" s="1">
        <f>IFERROR(__xludf.DUMMYFUNCTION("""COMPUTED_VALUE"""),1223411.0)</f>
        <v>1223411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IFERROR(__xludf.DUMMYFUNCTION("""COMPUTED_VALUE"""),47.04)</f>
        <v>47.04</v>
      </c>
      <c r="C844" s="1">
        <f>IFERROR(__xludf.DUMMYFUNCTION("""COMPUTED_VALUE"""),47.22)</f>
        <v>47.22</v>
      </c>
      <c r="D844" s="1">
        <f>IFERROR(__xludf.DUMMYFUNCTION("""COMPUTED_VALUE"""),46.56)</f>
        <v>46.56</v>
      </c>
      <c r="E844" s="1">
        <f>IFERROR(__xludf.DUMMYFUNCTION("""COMPUTED_VALUE"""),47.11)</f>
        <v>47.11</v>
      </c>
      <c r="F844" s="1">
        <f>IFERROR(__xludf.DUMMYFUNCTION("""COMPUTED_VALUE"""),967018.0)</f>
        <v>967018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IFERROR(__xludf.DUMMYFUNCTION("""COMPUTED_VALUE"""),47.18)</f>
        <v>47.18</v>
      </c>
      <c r="C845" s="1">
        <f>IFERROR(__xludf.DUMMYFUNCTION("""COMPUTED_VALUE"""),47.51)</f>
        <v>47.51</v>
      </c>
      <c r="D845" s="1">
        <f>IFERROR(__xludf.DUMMYFUNCTION("""COMPUTED_VALUE"""),46.72)</f>
        <v>46.72</v>
      </c>
      <c r="E845" s="1">
        <f>IFERROR(__xludf.DUMMYFUNCTION("""COMPUTED_VALUE"""),46.98)</f>
        <v>46.98</v>
      </c>
      <c r="F845" s="1">
        <f>IFERROR(__xludf.DUMMYFUNCTION("""COMPUTED_VALUE"""),1127217.0)</f>
        <v>1127217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IFERROR(__xludf.DUMMYFUNCTION("""COMPUTED_VALUE"""),46.88)</f>
        <v>46.88</v>
      </c>
      <c r="C846" s="1">
        <f>IFERROR(__xludf.DUMMYFUNCTION("""COMPUTED_VALUE"""),47.21)</f>
        <v>47.21</v>
      </c>
      <c r="D846" s="1">
        <f>IFERROR(__xludf.DUMMYFUNCTION("""COMPUTED_VALUE"""),46.65)</f>
        <v>46.65</v>
      </c>
      <c r="E846" s="1">
        <f>IFERROR(__xludf.DUMMYFUNCTION("""COMPUTED_VALUE"""),47.07)</f>
        <v>47.07</v>
      </c>
      <c r="F846" s="1">
        <f>IFERROR(__xludf.DUMMYFUNCTION("""COMPUTED_VALUE"""),915501.0)</f>
        <v>915501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IFERROR(__xludf.DUMMYFUNCTION("""COMPUTED_VALUE"""),47.36)</f>
        <v>47.36</v>
      </c>
      <c r="C847" s="1">
        <f>IFERROR(__xludf.DUMMYFUNCTION("""COMPUTED_VALUE"""),48.22)</f>
        <v>48.22</v>
      </c>
      <c r="D847" s="1">
        <f>IFERROR(__xludf.DUMMYFUNCTION("""COMPUTED_VALUE"""),47.36)</f>
        <v>47.36</v>
      </c>
      <c r="E847" s="1">
        <f>IFERROR(__xludf.DUMMYFUNCTION("""COMPUTED_VALUE"""),48.07)</f>
        <v>48.07</v>
      </c>
      <c r="F847" s="1">
        <f>IFERROR(__xludf.DUMMYFUNCTION("""COMPUTED_VALUE"""),1390290.0)</f>
        <v>1390290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IFERROR(__xludf.DUMMYFUNCTION("""COMPUTED_VALUE"""),48.01)</f>
        <v>48.01</v>
      </c>
      <c r="C848" s="1">
        <f>IFERROR(__xludf.DUMMYFUNCTION("""COMPUTED_VALUE"""),48.71)</f>
        <v>48.71</v>
      </c>
      <c r="D848" s="1">
        <f>IFERROR(__xludf.DUMMYFUNCTION("""COMPUTED_VALUE"""),47.97)</f>
        <v>47.97</v>
      </c>
      <c r="E848" s="1">
        <f>IFERROR(__xludf.DUMMYFUNCTION("""COMPUTED_VALUE"""),48.42)</f>
        <v>48.42</v>
      </c>
      <c r="F848" s="1">
        <f>IFERROR(__xludf.DUMMYFUNCTION("""COMPUTED_VALUE"""),1472447.0)</f>
        <v>1472447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IFERROR(__xludf.DUMMYFUNCTION("""COMPUTED_VALUE"""),48.3)</f>
        <v>48.3</v>
      </c>
      <c r="C849" s="1">
        <f>IFERROR(__xludf.DUMMYFUNCTION("""COMPUTED_VALUE"""),48.86)</f>
        <v>48.86</v>
      </c>
      <c r="D849" s="1">
        <f>IFERROR(__xludf.DUMMYFUNCTION("""COMPUTED_VALUE"""),47.57)</f>
        <v>47.57</v>
      </c>
      <c r="E849" s="1">
        <f>IFERROR(__xludf.DUMMYFUNCTION("""COMPUTED_VALUE"""),47.72)</f>
        <v>47.72</v>
      </c>
      <c r="F849" s="1">
        <f>IFERROR(__xludf.DUMMYFUNCTION("""COMPUTED_VALUE"""),1638942.0)</f>
        <v>1638942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IFERROR(__xludf.DUMMYFUNCTION("""COMPUTED_VALUE"""),47.87)</f>
        <v>47.87</v>
      </c>
      <c r="C850" s="1">
        <f>IFERROR(__xludf.DUMMYFUNCTION("""COMPUTED_VALUE"""),48.71)</f>
        <v>48.71</v>
      </c>
      <c r="D850" s="1">
        <f>IFERROR(__xludf.DUMMYFUNCTION("""COMPUTED_VALUE"""),47.78)</f>
        <v>47.78</v>
      </c>
      <c r="E850" s="1">
        <f>IFERROR(__xludf.DUMMYFUNCTION("""COMPUTED_VALUE"""),48.67)</f>
        <v>48.67</v>
      </c>
      <c r="F850" s="1">
        <f>IFERROR(__xludf.DUMMYFUNCTION("""COMPUTED_VALUE"""),1062912.0)</f>
        <v>1062912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IFERROR(__xludf.DUMMYFUNCTION("""COMPUTED_VALUE"""),47.84)</f>
        <v>47.84</v>
      </c>
      <c r="C851" s="1">
        <f>IFERROR(__xludf.DUMMYFUNCTION("""COMPUTED_VALUE"""),48.02)</f>
        <v>48.02</v>
      </c>
      <c r="D851" s="1">
        <f>IFERROR(__xludf.DUMMYFUNCTION("""COMPUTED_VALUE"""),47.5)</f>
        <v>47.5</v>
      </c>
      <c r="E851" s="1">
        <f>IFERROR(__xludf.DUMMYFUNCTION("""COMPUTED_VALUE"""),47.84)</f>
        <v>47.84</v>
      </c>
      <c r="F851" s="1">
        <f>IFERROR(__xludf.DUMMYFUNCTION("""COMPUTED_VALUE"""),1973230.0)</f>
        <v>1973230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IFERROR(__xludf.DUMMYFUNCTION("""COMPUTED_VALUE"""),47.91)</f>
        <v>47.91</v>
      </c>
      <c r="C852" s="1">
        <f>IFERROR(__xludf.DUMMYFUNCTION("""COMPUTED_VALUE"""),48.54)</f>
        <v>48.54</v>
      </c>
      <c r="D852" s="1">
        <f>IFERROR(__xludf.DUMMYFUNCTION("""COMPUTED_VALUE"""),47.84)</f>
        <v>47.84</v>
      </c>
      <c r="E852" s="1">
        <f>IFERROR(__xludf.DUMMYFUNCTION("""COMPUTED_VALUE"""),48.28)</f>
        <v>48.28</v>
      </c>
      <c r="F852" s="1">
        <f>IFERROR(__xludf.DUMMYFUNCTION("""COMPUTED_VALUE"""),1326978.0)</f>
        <v>1326978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IFERROR(__xludf.DUMMYFUNCTION("""COMPUTED_VALUE"""),48.27)</f>
        <v>48.27</v>
      </c>
      <c r="C853" s="1">
        <f>IFERROR(__xludf.DUMMYFUNCTION("""COMPUTED_VALUE"""),48.63)</f>
        <v>48.63</v>
      </c>
      <c r="D853" s="1">
        <f>IFERROR(__xludf.DUMMYFUNCTION("""COMPUTED_VALUE"""),47.13)</f>
        <v>47.13</v>
      </c>
      <c r="E853" s="1">
        <f>IFERROR(__xludf.DUMMYFUNCTION("""COMPUTED_VALUE"""),47.42)</f>
        <v>47.42</v>
      </c>
      <c r="F853" s="1">
        <f>IFERROR(__xludf.DUMMYFUNCTION("""COMPUTED_VALUE"""),1106886.0)</f>
        <v>1106886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IFERROR(__xludf.DUMMYFUNCTION("""COMPUTED_VALUE"""),46.92)</f>
        <v>46.92</v>
      </c>
      <c r="C854" s="1">
        <f>IFERROR(__xludf.DUMMYFUNCTION("""COMPUTED_VALUE"""),47.14)</f>
        <v>47.14</v>
      </c>
      <c r="D854" s="1">
        <f>IFERROR(__xludf.DUMMYFUNCTION("""COMPUTED_VALUE"""),46.5)</f>
        <v>46.5</v>
      </c>
      <c r="E854" s="1">
        <f>IFERROR(__xludf.DUMMYFUNCTION("""COMPUTED_VALUE"""),47.05)</f>
        <v>47.05</v>
      </c>
      <c r="F854" s="1">
        <f>IFERROR(__xludf.DUMMYFUNCTION("""COMPUTED_VALUE"""),1282681.0)</f>
        <v>1282681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IFERROR(__xludf.DUMMYFUNCTION("""COMPUTED_VALUE"""),46.67)</f>
        <v>46.67</v>
      </c>
      <c r="C855" s="1">
        <f>IFERROR(__xludf.DUMMYFUNCTION("""COMPUTED_VALUE"""),47.01)</f>
        <v>47.01</v>
      </c>
      <c r="D855" s="1">
        <f>IFERROR(__xludf.DUMMYFUNCTION("""COMPUTED_VALUE"""),46.43)</f>
        <v>46.43</v>
      </c>
      <c r="E855" s="1">
        <f>IFERROR(__xludf.DUMMYFUNCTION("""COMPUTED_VALUE"""),46.71)</f>
        <v>46.71</v>
      </c>
      <c r="F855" s="1">
        <f>IFERROR(__xludf.DUMMYFUNCTION("""COMPUTED_VALUE"""),1619929.0)</f>
        <v>1619929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IFERROR(__xludf.DUMMYFUNCTION("""COMPUTED_VALUE"""),47.42)</f>
        <v>47.42</v>
      </c>
      <c r="C856" s="1">
        <f>IFERROR(__xludf.DUMMYFUNCTION("""COMPUTED_VALUE"""),48.1)</f>
        <v>48.1</v>
      </c>
      <c r="D856" s="1">
        <f>IFERROR(__xludf.DUMMYFUNCTION("""COMPUTED_VALUE"""),46.84)</f>
        <v>46.84</v>
      </c>
      <c r="E856" s="1">
        <f>IFERROR(__xludf.DUMMYFUNCTION("""COMPUTED_VALUE"""),46.94)</f>
        <v>46.94</v>
      </c>
      <c r="F856" s="1">
        <f>IFERROR(__xludf.DUMMYFUNCTION("""COMPUTED_VALUE"""),1726712.0)</f>
        <v>1726712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IFERROR(__xludf.DUMMYFUNCTION("""COMPUTED_VALUE"""),46.59)</f>
        <v>46.59</v>
      </c>
      <c r="C857" s="1">
        <f>IFERROR(__xludf.DUMMYFUNCTION("""COMPUTED_VALUE"""),46.94)</f>
        <v>46.94</v>
      </c>
      <c r="D857" s="1">
        <f>IFERROR(__xludf.DUMMYFUNCTION("""COMPUTED_VALUE"""),46.31)</f>
        <v>46.31</v>
      </c>
      <c r="E857" s="1">
        <f>IFERROR(__xludf.DUMMYFUNCTION("""COMPUTED_VALUE"""),46.67)</f>
        <v>46.67</v>
      </c>
      <c r="F857" s="1">
        <f>IFERROR(__xludf.DUMMYFUNCTION("""COMPUTED_VALUE"""),1289723.0)</f>
        <v>1289723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IFERROR(__xludf.DUMMYFUNCTION("""COMPUTED_VALUE"""),46.99)</f>
        <v>46.99</v>
      </c>
      <c r="C858" s="1">
        <f>IFERROR(__xludf.DUMMYFUNCTION("""COMPUTED_VALUE"""),47.45)</f>
        <v>47.45</v>
      </c>
      <c r="D858" s="1">
        <f>IFERROR(__xludf.DUMMYFUNCTION("""COMPUTED_VALUE"""),46.72)</f>
        <v>46.72</v>
      </c>
      <c r="E858" s="1">
        <f>IFERROR(__xludf.DUMMYFUNCTION("""COMPUTED_VALUE"""),46.91)</f>
        <v>46.91</v>
      </c>
      <c r="F858" s="1">
        <f>IFERROR(__xludf.DUMMYFUNCTION("""COMPUTED_VALUE"""),1470617.0)</f>
        <v>1470617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IFERROR(__xludf.DUMMYFUNCTION("""COMPUTED_VALUE"""),46.82)</f>
        <v>46.82</v>
      </c>
      <c r="C859" s="1">
        <f>IFERROR(__xludf.DUMMYFUNCTION("""COMPUTED_VALUE"""),47.68)</f>
        <v>47.68</v>
      </c>
      <c r="D859" s="1">
        <f>IFERROR(__xludf.DUMMYFUNCTION("""COMPUTED_VALUE"""),46.61)</f>
        <v>46.61</v>
      </c>
      <c r="E859" s="1">
        <f>IFERROR(__xludf.DUMMYFUNCTION("""COMPUTED_VALUE"""),46.77)</f>
        <v>46.77</v>
      </c>
      <c r="F859" s="1">
        <f>IFERROR(__xludf.DUMMYFUNCTION("""COMPUTED_VALUE"""),1661051.0)</f>
        <v>1661051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IFERROR(__xludf.DUMMYFUNCTION("""COMPUTED_VALUE"""),46.7)</f>
        <v>46.7</v>
      </c>
      <c r="C860" s="1">
        <f>IFERROR(__xludf.DUMMYFUNCTION("""COMPUTED_VALUE"""),46.9)</f>
        <v>46.9</v>
      </c>
      <c r="D860" s="1">
        <f>IFERROR(__xludf.DUMMYFUNCTION("""COMPUTED_VALUE"""),45.69)</f>
        <v>45.69</v>
      </c>
      <c r="E860" s="1">
        <f>IFERROR(__xludf.DUMMYFUNCTION("""COMPUTED_VALUE"""),46.89)</f>
        <v>46.89</v>
      </c>
      <c r="F860" s="1">
        <f>IFERROR(__xludf.DUMMYFUNCTION("""COMPUTED_VALUE"""),1284197.0)</f>
        <v>1284197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IFERROR(__xludf.DUMMYFUNCTION("""COMPUTED_VALUE"""),46.78)</f>
        <v>46.78</v>
      </c>
      <c r="C861" s="1">
        <f>IFERROR(__xludf.DUMMYFUNCTION("""COMPUTED_VALUE"""),47.56)</f>
        <v>47.56</v>
      </c>
      <c r="D861" s="1">
        <f>IFERROR(__xludf.DUMMYFUNCTION("""COMPUTED_VALUE"""),45.83)</f>
        <v>45.83</v>
      </c>
      <c r="E861" s="1">
        <f>IFERROR(__xludf.DUMMYFUNCTION("""COMPUTED_VALUE"""),46.12)</f>
        <v>46.12</v>
      </c>
      <c r="F861" s="1">
        <f>IFERROR(__xludf.DUMMYFUNCTION("""COMPUTED_VALUE"""),1540292.0)</f>
        <v>1540292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IFERROR(__xludf.DUMMYFUNCTION("""COMPUTED_VALUE"""),46.05)</f>
        <v>46.05</v>
      </c>
      <c r="C862" s="1">
        <f>IFERROR(__xludf.DUMMYFUNCTION("""COMPUTED_VALUE"""),46.45)</f>
        <v>46.45</v>
      </c>
      <c r="D862" s="1">
        <f>IFERROR(__xludf.DUMMYFUNCTION("""COMPUTED_VALUE"""),45.37)</f>
        <v>45.37</v>
      </c>
      <c r="E862" s="1">
        <f>IFERROR(__xludf.DUMMYFUNCTION("""COMPUTED_VALUE"""),45.53)</f>
        <v>45.53</v>
      </c>
      <c r="F862" s="1">
        <f>IFERROR(__xludf.DUMMYFUNCTION("""COMPUTED_VALUE"""),1228195.0)</f>
        <v>1228195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IFERROR(__xludf.DUMMYFUNCTION("""COMPUTED_VALUE"""),45.59)</f>
        <v>45.59</v>
      </c>
      <c r="C863" s="1">
        <f>IFERROR(__xludf.DUMMYFUNCTION("""COMPUTED_VALUE"""),46.55)</f>
        <v>46.55</v>
      </c>
      <c r="D863" s="1">
        <f>IFERROR(__xludf.DUMMYFUNCTION("""COMPUTED_VALUE"""),45.37)</f>
        <v>45.37</v>
      </c>
      <c r="E863" s="1">
        <f>IFERROR(__xludf.DUMMYFUNCTION("""COMPUTED_VALUE"""),46.53)</f>
        <v>46.53</v>
      </c>
      <c r="F863" s="1">
        <f>IFERROR(__xludf.DUMMYFUNCTION("""COMPUTED_VALUE"""),1327050.0)</f>
        <v>1327050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IFERROR(__xludf.DUMMYFUNCTION("""COMPUTED_VALUE"""),46.89)</f>
        <v>46.89</v>
      </c>
      <c r="C864" s="1">
        <f>IFERROR(__xludf.DUMMYFUNCTION("""COMPUTED_VALUE"""),47.24)</f>
        <v>47.24</v>
      </c>
      <c r="D864" s="1">
        <f>IFERROR(__xludf.DUMMYFUNCTION("""COMPUTED_VALUE"""),46.69)</f>
        <v>46.69</v>
      </c>
      <c r="E864" s="1">
        <f>IFERROR(__xludf.DUMMYFUNCTION("""COMPUTED_VALUE"""),47.2)</f>
        <v>47.2</v>
      </c>
      <c r="F864" s="1">
        <f>IFERROR(__xludf.DUMMYFUNCTION("""COMPUTED_VALUE"""),1337055.0)</f>
        <v>1337055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IFERROR(__xludf.DUMMYFUNCTION("""COMPUTED_VALUE"""),47.2)</f>
        <v>47.2</v>
      </c>
      <c r="C865" s="1">
        <f>IFERROR(__xludf.DUMMYFUNCTION("""COMPUTED_VALUE"""),47.45)</f>
        <v>47.45</v>
      </c>
      <c r="D865" s="1">
        <f>IFERROR(__xludf.DUMMYFUNCTION("""COMPUTED_VALUE"""),46.7)</f>
        <v>46.7</v>
      </c>
      <c r="E865" s="1">
        <f>IFERROR(__xludf.DUMMYFUNCTION("""COMPUTED_VALUE"""),47.09)</f>
        <v>47.09</v>
      </c>
      <c r="F865" s="1">
        <f>IFERROR(__xludf.DUMMYFUNCTION("""COMPUTED_VALUE"""),1458434.0)</f>
        <v>1458434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IFERROR(__xludf.DUMMYFUNCTION("""COMPUTED_VALUE"""),46.61)</f>
        <v>46.61</v>
      </c>
      <c r="C866" s="1">
        <f>IFERROR(__xludf.DUMMYFUNCTION("""COMPUTED_VALUE"""),46.77)</f>
        <v>46.77</v>
      </c>
      <c r="D866" s="1">
        <f>IFERROR(__xludf.DUMMYFUNCTION("""COMPUTED_VALUE"""),46.08)</f>
        <v>46.08</v>
      </c>
      <c r="E866" s="1">
        <f>IFERROR(__xludf.DUMMYFUNCTION("""COMPUTED_VALUE"""),46.6)</f>
        <v>46.6</v>
      </c>
      <c r="F866" s="1">
        <f>IFERROR(__xludf.DUMMYFUNCTION("""COMPUTED_VALUE"""),1086741.0)</f>
        <v>1086741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IFERROR(__xludf.DUMMYFUNCTION("""COMPUTED_VALUE"""),46.96)</f>
        <v>46.96</v>
      </c>
      <c r="C867" s="1">
        <f>IFERROR(__xludf.DUMMYFUNCTION("""COMPUTED_VALUE"""),47.1)</f>
        <v>47.1</v>
      </c>
      <c r="D867" s="1">
        <f>IFERROR(__xludf.DUMMYFUNCTION("""COMPUTED_VALUE"""),45.85)</f>
        <v>45.85</v>
      </c>
      <c r="E867" s="1">
        <f>IFERROR(__xludf.DUMMYFUNCTION("""COMPUTED_VALUE"""),45.88)</f>
        <v>45.88</v>
      </c>
      <c r="F867" s="1">
        <f>IFERROR(__xludf.DUMMYFUNCTION("""COMPUTED_VALUE"""),782848.0)</f>
        <v>782848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IFERROR(__xludf.DUMMYFUNCTION("""COMPUTED_VALUE"""),45.85)</f>
        <v>45.85</v>
      </c>
      <c r="C868" s="1">
        <f>IFERROR(__xludf.DUMMYFUNCTION("""COMPUTED_VALUE"""),47.09)</f>
        <v>47.09</v>
      </c>
      <c r="D868" s="1">
        <f>IFERROR(__xludf.DUMMYFUNCTION("""COMPUTED_VALUE"""),45.78)</f>
        <v>45.78</v>
      </c>
      <c r="E868" s="1">
        <f>IFERROR(__xludf.DUMMYFUNCTION("""COMPUTED_VALUE"""),46.99)</f>
        <v>46.99</v>
      </c>
      <c r="F868" s="1">
        <f>IFERROR(__xludf.DUMMYFUNCTION("""COMPUTED_VALUE"""),993209.0)</f>
        <v>993209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IFERROR(__xludf.DUMMYFUNCTION("""COMPUTED_VALUE"""),46.82)</f>
        <v>46.82</v>
      </c>
      <c r="C869" s="1">
        <f>IFERROR(__xludf.DUMMYFUNCTION("""COMPUTED_VALUE"""),47.31)</f>
        <v>47.31</v>
      </c>
      <c r="D869" s="1">
        <f>IFERROR(__xludf.DUMMYFUNCTION("""COMPUTED_VALUE"""),46.37)</f>
        <v>46.37</v>
      </c>
      <c r="E869" s="1">
        <f>IFERROR(__xludf.DUMMYFUNCTION("""COMPUTED_VALUE"""),46.41)</f>
        <v>46.41</v>
      </c>
      <c r="F869" s="1">
        <f>IFERROR(__xludf.DUMMYFUNCTION("""COMPUTED_VALUE"""),1145091.0)</f>
        <v>1145091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IFERROR(__xludf.DUMMYFUNCTION("""COMPUTED_VALUE"""),46.88)</f>
        <v>46.88</v>
      </c>
      <c r="C870" s="1">
        <f>IFERROR(__xludf.DUMMYFUNCTION("""COMPUTED_VALUE"""),47.33)</f>
        <v>47.33</v>
      </c>
      <c r="D870" s="1">
        <f>IFERROR(__xludf.DUMMYFUNCTION("""COMPUTED_VALUE"""),46.69)</f>
        <v>46.69</v>
      </c>
      <c r="E870" s="1">
        <f>IFERROR(__xludf.DUMMYFUNCTION("""COMPUTED_VALUE"""),47.12)</f>
        <v>47.12</v>
      </c>
      <c r="F870" s="1">
        <f>IFERROR(__xludf.DUMMYFUNCTION("""COMPUTED_VALUE"""),1118572.0)</f>
        <v>1118572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IFERROR(__xludf.DUMMYFUNCTION("""COMPUTED_VALUE"""),47.18)</f>
        <v>47.18</v>
      </c>
      <c r="C871" s="1">
        <f>IFERROR(__xludf.DUMMYFUNCTION("""COMPUTED_VALUE"""),48.3)</f>
        <v>48.3</v>
      </c>
      <c r="D871" s="1">
        <f>IFERROR(__xludf.DUMMYFUNCTION("""COMPUTED_VALUE"""),46.81)</f>
        <v>46.81</v>
      </c>
      <c r="E871" s="1">
        <f>IFERROR(__xludf.DUMMYFUNCTION("""COMPUTED_VALUE"""),48.21)</f>
        <v>48.21</v>
      </c>
      <c r="F871" s="1">
        <f>IFERROR(__xludf.DUMMYFUNCTION("""COMPUTED_VALUE"""),1120866.0)</f>
        <v>1120866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IFERROR(__xludf.DUMMYFUNCTION("""COMPUTED_VALUE"""),48.22)</f>
        <v>48.22</v>
      </c>
      <c r="C872" s="1">
        <f>IFERROR(__xludf.DUMMYFUNCTION("""COMPUTED_VALUE"""),48.41)</f>
        <v>48.41</v>
      </c>
      <c r="D872" s="1">
        <f>IFERROR(__xludf.DUMMYFUNCTION("""COMPUTED_VALUE"""),47.44)</f>
        <v>47.44</v>
      </c>
      <c r="E872" s="1">
        <f>IFERROR(__xludf.DUMMYFUNCTION("""COMPUTED_VALUE"""),47.47)</f>
        <v>47.47</v>
      </c>
      <c r="F872" s="1">
        <f>IFERROR(__xludf.DUMMYFUNCTION("""COMPUTED_VALUE"""),1211154.0)</f>
        <v>1211154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IFERROR(__xludf.DUMMYFUNCTION("""COMPUTED_VALUE"""),47.07)</f>
        <v>47.07</v>
      </c>
      <c r="C873" s="1">
        <f>IFERROR(__xludf.DUMMYFUNCTION("""COMPUTED_VALUE"""),47.19)</f>
        <v>47.19</v>
      </c>
      <c r="D873" s="1">
        <f>IFERROR(__xludf.DUMMYFUNCTION("""COMPUTED_VALUE"""),44.25)</f>
        <v>44.25</v>
      </c>
      <c r="E873" s="1">
        <f>IFERROR(__xludf.DUMMYFUNCTION("""COMPUTED_VALUE"""),44.57)</f>
        <v>44.57</v>
      </c>
      <c r="F873" s="1">
        <f>IFERROR(__xludf.DUMMYFUNCTION("""COMPUTED_VALUE"""),3446515.0)</f>
        <v>3446515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IFERROR(__xludf.DUMMYFUNCTION("""COMPUTED_VALUE"""),47.6)</f>
        <v>47.6</v>
      </c>
      <c r="C874" s="1">
        <f>IFERROR(__xludf.DUMMYFUNCTION("""COMPUTED_VALUE"""),48.1)</f>
        <v>48.1</v>
      </c>
      <c r="D874" s="1">
        <f>IFERROR(__xludf.DUMMYFUNCTION("""COMPUTED_VALUE"""),42.21)</f>
        <v>42.21</v>
      </c>
      <c r="E874" s="1">
        <f>IFERROR(__xludf.DUMMYFUNCTION("""COMPUTED_VALUE"""),44.59)</f>
        <v>44.59</v>
      </c>
      <c r="F874" s="1">
        <f>IFERROR(__xludf.DUMMYFUNCTION("""COMPUTED_VALUE"""),8563397.0)</f>
        <v>8563397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IFERROR(__xludf.DUMMYFUNCTION("""COMPUTED_VALUE"""),44.0)</f>
        <v>44</v>
      </c>
      <c r="C875" s="1">
        <f>IFERROR(__xludf.DUMMYFUNCTION("""COMPUTED_VALUE"""),44.71)</f>
        <v>44.71</v>
      </c>
      <c r="D875" s="1">
        <f>IFERROR(__xludf.DUMMYFUNCTION("""COMPUTED_VALUE"""),43.42)</f>
        <v>43.42</v>
      </c>
      <c r="E875" s="1">
        <f>IFERROR(__xludf.DUMMYFUNCTION("""COMPUTED_VALUE"""),43.99)</f>
        <v>43.99</v>
      </c>
      <c r="F875" s="1">
        <f>IFERROR(__xludf.DUMMYFUNCTION("""COMPUTED_VALUE"""),2270501.0)</f>
        <v>2270501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IFERROR(__xludf.DUMMYFUNCTION("""COMPUTED_VALUE"""),44.37)</f>
        <v>44.37</v>
      </c>
      <c r="C876" s="1">
        <f>IFERROR(__xludf.DUMMYFUNCTION("""COMPUTED_VALUE"""),44.74)</f>
        <v>44.74</v>
      </c>
      <c r="D876" s="1">
        <f>IFERROR(__xludf.DUMMYFUNCTION("""COMPUTED_VALUE"""),44.04)</f>
        <v>44.04</v>
      </c>
      <c r="E876" s="1">
        <f>IFERROR(__xludf.DUMMYFUNCTION("""COMPUTED_VALUE"""),44.36)</f>
        <v>44.36</v>
      </c>
      <c r="F876" s="1">
        <f>IFERROR(__xludf.DUMMYFUNCTION("""COMPUTED_VALUE"""),1715015.0)</f>
        <v>1715015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IFERROR(__xludf.DUMMYFUNCTION("""COMPUTED_VALUE"""),44.94)</f>
        <v>44.94</v>
      </c>
      <c r="C877" s="1">
        <f>IFERROR(__xludf.DUMMYFUNCTION("""COMPUTED_VALUE"""),45.98)</f>
        <v>45.98</v>
      </c>
      <c r="D877" s="1">
        <f>IFERROR(__xludf.DUMMYFUNCTION("""COMPUTED_VALUE"""),44.87)</f>
        <v>44.87</v>
      </c>
      <c r="E877" s="1">
        <f>IFERROR(__xludf.DUMMYFUNCTION("""COMPUTED_VALUE"""),45.89)</f>
        <v>45.89</v>
      </c>
      <c r="F877" s="1">
        <f>IFERROR(__xludf.DUMMYFUNCTION("""COMPUTED_VALUE"""),2230714.0)</f>
        <v>2230714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IFERROR(__xludf.DUMMYFUNCTION("""COMPUTED_VALUE"""),46.26)</f>
        <v>46.26</v>
      </c>
      <c r="C878" s="1">
        <f>IFERROR(__xludf.DUMMYFUNCTION("""COMPUTED_VALUE"""),46.84)</f>
        <v>46.84</v>
      </c>
      <c r="D878" s="1">
        <f>IFERROR(__xludf.DUMMYFUNCTION("""COMPUTED_VALUE"""),46.22)</f>
        <v>46.22</v>
      </c>
      <c r="E878" s="1">
        <f>IFERROR(__xludf.DUMMYFUNCTION("""COMPUTED_VALUE"""),46.7)</f>
        <v>46.7</v>
      </c>
      <c r="F878" s="1">
        <f>IFERROR(__xludf.DUMMYFUNCTION("""COMPUTED_VALUE"""),1482350.0)</f>
        <v>1482350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IFERROR(__xludf.DUMMYFUNCTION("""COMPUTED_VALUE"""),46.6)</f>
        <v>46.6</v>
      </c>
      <c r="C879" s="1">
        <f>IFERROR(__xludf.DUMMYFUNCTION("""COMPUTED_VALUE"""),46.89)</f>
        <v>46.89</v>
      </c>
      <c r="D879" s="1">
        <f>IFERROR(__xludf.DUMMYFUNCTION("""COMPUTED_VALUE"""),46.16)</f>
        <v>46.16</v>
      </c>
      <c r="E879" s="1">
        <f>IFERROR(__xludf.DUMMYFUNCTION("""COMPUTED_VALUE"""),46.16)</f>
        <v>46.16</v>
      </c>
      <c r="F879" s="1">
        <f>IFERROR(__xludf.DUMMYFUNCTION("""COMPUTED_VALUE"""),2662758.0)</f>
        <v>2662758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IFERROR(__xludf.DUMMYFUNCTION("""COMPUTED_VALUE"""),46.66)</f>
        <v>46.66</v>
      </c>
      <c r="C880" s="1">
        <f>IFERROR(__xludf.DUMMYFUNCTION("""COMPUTED_VALUE"""),47.14)</f>
        <v>47.14</v>
      </c>
      <c r="D880" s="1">
        <f>IFERROR(__xludf.DUMMYFUNCTION("""COMPUTED_VALUE"""),46.27)</f>
        <v>46.27</v>
      </c>
      <c r="E880" s="1">
        <f>IFERROR(__xludf.DUMMYFUNCTION("""COMPUTED_VALUE"""),46.69)</f>
        <v>46.69</v>
      </c>
      <c r="F880" s="1">
        <f>IFERROR(__xludf.DUMMYFUNCTION("""COMPUTED_VALUE"""),1324531.0)</f>
        <v>1324531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IFERROR(__xludf.DUMMYFUNCTION("""COMPUTED_VALUE"""),46.66)</f>
        <v>46.66</v>
      </c>
      <c r="C881" s="1">
        <f>IFERROR(__xludf.DUMMYFUNCTION("""COMPUTED_VALUE"""),47.24)</f>
        <v>47.24</v>
      </c>
      <c r="D881" s="1">
        <f>IFERROR(__xludf.DUMMYFUNCTION("""COMPUTED_VALUE"""),46.28)</f>
        <v>46.28</v>
      </c>
      <c r="E881" s="1">
        <f>IFERROR(__xludf.DUMMYFUNCTION("""COMPUTED_VALUE"""),46.52)</f>
        <v>46.52</v>
      </c>
      <c r="F881" s="1">
        <f>IFERROR(__xludf.DUMMYFUNCTION("""COMPUTED_VALUE"""),837284.0)</f>
        <v>837284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IFERROR(__xludf.DUMMYFUNCTION("""COMPUTED_VALUE"""),46.37)</f>
        <v>46.37</v>
      </c>
      <c r="C882" s="1">
        <f>IFERROR(__xludf.DUMMYFUNCTION("""COMPUTED_VALUE"""),46.99)</f>
        <v>46.99</v>
      </c>
      <c r="D882" s="1">
        <f>IFERROR(__xludf.DUMMYFUNCTION("""COMPUTED_VALUE"""),46.28)</f>
        <v>46.28</v>
      </c>
      <c r="E882" s="1">
        <f>IFERROR(__xludf.DUMMYFUNCTION("""COMPUTED_VALUE"""),46.8)</f>
        <v>46.8</v>
      </c>
      <c r="F882" s="1">
        <f>IFERROR(__xludf.DUMMYFUNCTION("""COMPUTED_VALUE"""),481736.0)</f>
        <v>481736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IFERROR(__xludf.DUMMYFUNCTION("""COMPUTED_VALUE"""),47.16)</f>
        <v>47.16</v>
      </c>
      <c r="C883" s="1">
        <f>IFERROR(__xludf.DUMMYFUNCTION("""COMPUTED_VALUE"""),47.48)</f>
        <v>47.48</v>
      </c>
      <c r="D883" s="1">
        <f>IFERROR(__xludf.DUMMYFUNCTION("""COMPUTED_VALUE"""),46.65)</f>
        <v>46.65</v>
      </c>
      <c r="E883" s="1">
        <f>IFERROR(__xludf.DUMMYFUNCTION("""COMPUTED_VALUE"""),47.33)</f>
        <v>47.33</v>
      </c>
      <c r="F883" s="1">
        <f>IFERROR(__xludf.DUMMYFUNCTION("""COMPUTED_VALUE"""),578057.0)</f>
        <v>578057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IFERROR(__xludf.DUMMYFUNCTION("""COMPUTED_VALUE"""),47.84)</f>
        <v>47.84</v>
      </c>
      <c r="C884" s="1">
        <f>IFERROR(__xludf.DUMMYFUNCTION("""COMPUTED_VALUE"""),48.64)</f>
        <v>48.64</v>
      </c>
      <c r="D884" s="1">
        <f>IFERROR(__xludf.DUMMYFUNCTION("""COMPUTED_VALUE"""),47.79)</f>
        <v>47.79</v>
      </c>
      <c r="E884" s="1">
        <f>IFERROR(__xludf.DUMMYFUNCTION("""COMPUTED_VALUE"""),48.08)</f>
        <v>48.08</v>
      </c>
      <c r="F884" s="1">
        <f>IFERROR(__xludf.DUMMYFUNCTION("""COMPUTED_VALUE"""),1274814.0)</f>
        <v>1274814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IFERROR(__xludf.DUMMYFUNCTION("""COMPUTED_VALUE"""),48.43)</f>
        <v>48.43</v>
      </c>
      <c r="C885" s="1">
        <f>IFERROR(__xludf.DUMMYFUNCTION("""COMPUTED_VALUE"""),48.88)</f>
        <v>48.88</v>
      </c>
      <c r="D885" s="1">
        <f>IFERROR(__xludf.DUMMYFUNCTION("""COMPUTED_VALUE"""),48.13)</f>
        <v>48.13</v>
      </c>
      <c r="E885" s="1">
        <f>IFERROR(__xludf.DUMMYFUNCTION("""COMPUTED_VALUE"""),48.67)</f>
        <v>48.67</v>
      </c>
      <c r="F885" s="1">
        <f>IFERROR(__xludf.DUMMYFUNCTION("""COMPUTED_VALUE"""),1069713.0)</f>
        <v>1069713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IFERROR(__xludf.DUMMYFUNCTION("""COMPUTED_VALUE"""),48.64)</f>
        <v>48.64</v>
      </c>
      <c r="C886" s="1">
        <f>IFERROR(__xludf.DUMMYFUNCTION("""COMPUTED_VALUE"""),48.66)</f>
        <v>48.66</v>
      </c>
      <c r="D886" s="1">
        <f>IFERROR(__xludf.DUMMYFUNCTION("""COMPUTED_VALUE"""),47.99)</f>
        <v>47.99</v>
      </c>
      <c r="E886" s="1">
        <f>IFERROR(__xludf.DUMMYFUNCTION("""COMPUTED_VALUE"""),48.53)</f>
        <v>48.53</v>
      </c>
      <c r="F886" s="1">
        <f>IFERROR(__xludf.DUMMYFUNCTION("""COMPUTED_VALUE"""),1189623.0)</f>
        <v>1189623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IFERROR(__xludf.DUMMYFUNCTION("""COMPUTED_VALUE"""),49.24)</f>
        <v>49.24</v>
      </c>
      <c r="C887" s="1">
        <f>IFERROR(__xludf.DUMMYFUNCTION("""COMPUTED_VALUE"""),49.24)</f>
        <v>49.24</v>
      </c>
      <c r="D887" s="1">
        <f>IFERROR(__xludf.DUMMYFUNCTION("""COMPUTED_VALUE"""),48.31)</f>
        <v>48.31</v>
      </c>
      <c r="E887" s="1">
        <f>IFERROR(__xludf.DUMMYFUNCTION("""COMPUTED_VALUE"""),48.43)</f>
        <v>48.43</v>
      </c>
      <c r="F887" s="1">
        <f>IFERROR(__xludf.DUMMYFUNCTION("""COMPUTED_VALUE"""),1111852.0)</f>
        <v>1111852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IFERROR(__xludf.DUMMYFUNCTION("""COMPUTED_VALUE"""),48.45)</f>
        <v>48.45</v>
      </c>
      <c r="C888" s="1">
        <f>IFERROR(__xludf.DUMMYFUNCTION("""COMPUTED_VALUE"""),48.71)</f>
        <v>48.71</v>
      </c>
      <c r="D888" s="1">
        <f>IFERROR(__xludf.DUMMYFUNCTION("""COMPUTED_VALUE"""),47.95)</f>
        <v>47.95</v>
      </c>
      <c r="E888" s="1">
        <f>IFERROR(__xludf.DUMMYFUNCTION("""COMPUTED_VALUE"""),48.0)</f>
        <v>48</v>
      </c>
      <c r="F888" s="1">
        <f>IFERROR(__xludf.DUMMYFUNCTION("""COMPUTED_VALUE"""),1237278.0)</f>
        <v>1237278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IFERROR(__xludf.DUMMYFUNCTION("""COMPUTED_VALUE"""),47.99)</f>
        <v>47.99</v>
      </c>
      <c r="C889" s="1">
        <f>IFERROR(__xludf.DUMMYFUNCTION("""COMPUTED_VALUE"""),48.44)</f>
        <v>48.44</v>
      </c>
      <c r="D889" s="1">
        <f>IFERROR(__xludf.DUMMYFUNCTION("""COMPUTED_VALUE"""),47.67)</f>
        <v>47.67</v>
      </c>
      <c r="E889" s="1">
        <f>IFERROR(__xludf.DUMMYFUNCTION("""COMPUTED_VALUE"""),47.73)</f>
        <v>47.73</v>
      </c>
      <c r="F889" s="1">
        <f>IFERROR(__xludf.DUMMYFUNCTION("""COMPUTED_VALUE"""),1110191.0)</f>
        <v>1110191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IFERROR(__xludf.DUMMYFUNCTION("""COMPUTED_VALUE"""),47.84)</f>
        <v>47.84</v>
      </c>
      <c r="C890" s="1">
        <f>IFERROR(__xludf.DUMMYFUNCTION("""COMPUTED_VALUE"""),47.99)</f>
        <v>47.99</v>
      </c>
      <c r="D890" s="1">
        <f>IFERROR(__xludf.DUMMYFUNCTION("""COMPUTED_VALUE"""),47.25)</f>
        <v>47.25</v>
      </c>
      <c r="E890" s="1">
        <f>IFERROR(__xludf.DUMMYFUNCTION("""COMPUTED_VALUE"""),47.63)</f>
        <v>47.63</v>
      </c>
      <c r="F890" s="1">
        <f>IFERROR(__xludf.DUMMYFUNCTION("""COMPUTED_VALUE"""),963269.0)</f>
        <v>963269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IFERROR(__xludf.DUMMYFUNCTION("""COMPUTED_VALUE"""),47.85)</f>
        <v>47.85</v>
      </c>
      <c r="C891" s="1">
        <f>IFERROR(__xludf.DUMMYFUNCTION("""COMPUTED_VALUE"""),47.99)</f>
        <v>47.99</v>
      </c>
      <c r="D891" s="1">
        <f>IFERROR(__xludf.DUMMYFUNCTION("""COMPUTED_VALUE"""),47.58)</f>
        <v>47.58</v>
      </c>
      <c r="E891" s="1">
        <f>IFERROR(__xludf.DUMMYFUNCTION("""COMPUTED_VALUE"""),47.86)</f>
        <v>47.86</v>
      </c>
      <c r="F891" s="1">
        <f>IFERROR(__xludf.DUMMYFUNCTION("""COMPUTED_VALUE"""),655129.0)</f>
        <v>655129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IFERROR(__xludf.DUMMYFUNCTION("""COMPUTED_VALUE"""),47.89)</f>
        <v>47.89</v>
      </c>
      <c r="C892" s="1">
        <f>IFERROR(__xludf.DUMMYFUNCTION("""COMPUTED_VALUE"""),48.36)</f>
        <v>48.36</v>
      </c>
      <c r="D892" s="1">
        <f>IFERROR(__xludf.DUMMYFUNCTION("""COMPUTED_VALUE"""),47.86)</f>
        <v>47.86</v>
      </c>
      <c r="E892" s="1">
        <f>IFERROR(__xludf.DUMMYFUNCTION("""COMPUTED_VALUE"""),47.99)</f>
        <v>47.99</v>
      </c>
      <c r="F892" s="1">
        <f>IFERROR(__xludf.DUMMYFUNCTION("""COMPUTED_VALUE"""),701666.0)</f>
        <v>701666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IFERROR(__xludf.DUMMYFUNCTION("""COMPUTED_VALUE"""),48.04)</f>
        <v>48.04</v>
      </c>
      <c r="C893" s="1">
        <f>IFERROR(__xludf.DUMMYFUNCTION("""COMPUTED_VALUE"""),48.11)</f>
        <v>48.11</v>
      </c>
      <c r="D893" s="1">
        <f>IFERROR(__xludf.DUMMYFUNCTION("""COMPUTED_VALUE"""),47.81)</f>
        <v>47.81</v>
      </c>
      <c r="E893" s="1">
        <f>IFERROR(__xludf.DUMMYFUNCTION("""COMPUTED_VALUE"""),47.84)</f>
        <v>47.84</v>
      </c>
      <c r="F893" s="1">
        <f>IFERROR(__xludf.DUMMYFUNCTION("""COMPUTED_VALUE"""),730389.0)</f>
        <v>730389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IFERROR(__xludf.DUMMYFUNCTION("""COMPUTED_VALUE"""),47.9)</f>
        <v>47.9</v>
      </c>
      <c r="C894" s="1">
        <f>IFERROR(__xludf.DUMMYFUNCTION("""COMPUTED_VALUE"""),48.46)</f>
        <v>48.46</v>
      </c>
      <c r="D894" s="1">
        <f>IFERROR(__xludf.DUMMYFUNCTION("""COMPUTED_VALUE"""),47.82)</f>
        <v>47.82</v>
      </c>
      <c r="E894" s="1">
        <f>IFERROR(__xludf.DUMMYFUNCTION("""COMPUTED_VALUE"""),48.39)</f>
        <v>48.39</v>
      </c>
      <c r="F894" s="1">
        <f>IFERROR(__xludf.DUMMYFUNCTION("""COMPUTED_VALUE"""),598520.0)</f>
        <v>598520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IFERROR(__xludf.DUMMYFUNCTION("""COMPUTED_VALUE"""),48.45)</f>
        <v>48.45</v>
      </c>
      <c r="C895" s="1">
        <f>IFERROR(__xludf.DUMMYFUNCTION("""COMPUTED_VALUE"""),48.87)</f>
        <v>48.87</v>
      </c>
      <c r="D895" s="1">
        <f>IFERROR(__xludf.DUMMYFUNCTION("""COMPUTED_VALUE"""),47.88)</f>
        <v>47.88</v>
      </c>
      <c r="E895" s="1">
        <f>IFERROR(__xludf.DUMMYFUNCTION("""COMPUTED_VALUE"""),48.05)</f>
        <v>48.05</v>
      </c>
      <c r="F895" s="1">
        <f>IFERROR(__xludf.DUMMYFUNCTION("""COMPUTED_VALUE"""),609377.0)</f>
        <v>609377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IFERROR(__xludf.DUMMYFUNCTION("""COMPUTED_VALUE"""),48.19)</f>
        <v>48.19</v>
      </c>
      <c r="C896" s="1">
        <f>IFERROR(__xludf.DUMMYFUNCTION("""COMPUTED_VALUE"""),48.3)</f>
        <v>48.3</v>
      </c>
      <c r="D896" s="1">
        <f>IFERROR(__xludf.DUMMYFUNCTION("""COMPUTED_VALUE"""),47.02)</f>
        <v>47.02</v>
      </c>
      <c r="E896" s="1">
        <f>IFERROR(__xludf.DUMMYFUNCTION("""COMPUTED_VALUE"""),47.17)</f>
        <v>47.17</v>
      </c>
      <c r="F896" s="1">
        <f>IFERROR(__xludf.DUMMYFUNCTION("""COMPUTED_VALUE"""),986387.0)</f>
        <v>986387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IFERROR(__xludf.DUMMYFUNCTION("""COMPUTED_VALUE"""),47.01)</f>
        <v>47.01</v>
      </c>
      <c r="C897" s="1">
        <f>IFERROR(__xludf.DUMMYFUNCTION("""COMPUTED_VALUE"""),47.39)</f>
        <v>47.39</v>
      </c>
      <c r="D897" s="1">
        <f>IFERROR(__xludf.DUMMYFUNCTION("""COMPUTED_VALUE"""),46.49)</f>
        <v>46.49</v>
      </c>
      <c r="E897" s="1">
        <f>IFERROR(__xludf.DUMMYFUNCTION("""COMPUTED_VALUE"""),46.75)</f>
        <v>46.75</v>
      </c>
      <c r="F897" s="1">
        <f>IFERROR(__xludf.DUMMYFUNCTION("""COMPUTED_VALUE"""),1431569.0)</f>
        <v>1431569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IFERROR(__xludf.DUMMYFUNCTION("""COMPUTED_VALUE"""),46.55)</f>
        <v>46.55</v>
      </c>
      <c r="C898" s="1">
        <f>IFERROR(__xludf.DUMMYFUNCTION("""COMPUTED_VALUE"""),47.81)</f>
        <v>47.81</v>
      </c>
      <c r="D898" s="1">
        <f>IFERROR(__xludf.DUMMYFUNCTION("""COMPUTED_VALUE"""),46.51)</f>
        <v>46.51</v>
      </c>
      <c r="E898" s="1">
        <f>IFERROR(__xludf.DUMMYFUNCTION("""COMPUTED_VALUE"""),47.78)</f>
        <v>47.78</v>
      </c>
      <c r="F898" s="1">
        <f>IFERROR(__xludf.DUMMYFUNCTION("""COMPUTED_VALUE"""),903386.0)</f>
        <v>903386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IFERROR(__xludf.DUMMYFUNCTION("""COMPUTED_VALUE"""),47.67)</f>
        <v>47.67</v>
      </c>
      <c r="C899" s="1">
        <f>IFERROR(__xludf.DUMMYFUNCTION("""COMPUTED_VALUE"""),47.94)</f>
        <v>47.94</v>
      </c>
      <c r="D899" s="1">
        <f>IFERROR(__xludf.DUMMYFUNCTION("""COMPUTED_VALUE"""),47.45)</f>
        <v>47.45</v>
      </c>
      <c r="E899" s="1">
        <f>IFERROR(__xludf.DUMMYFUNCTION("""COMPUTED_VALUE"""),47.66)</f>
        <v>47.66</v>
      </c>
      <c r="F899" s="1">
        <f>IFERROR(__xludf.DUMMYFUNCTION("""COMPUTED_VALUE"""),518445.0)</f>
        <v>518445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IFERROR(__xludf.DUMMYFUNCTION("""COMPUTED_VALUE"""),47.93)</f>
        <v>47.93</v>
      </c>
      <c r="C900" s="1">
        <f>IFERROR(__xludf.DUMMYFUNCTION("""COMPUTED_VALUE"""),48.31)</f>
        <v>48.31</v>
      </c>
      <c r="D900" s="1">
        <f>IFERROR(__xludf.DUMMYFUNCTION("""COMPUTED_VALUE"""),47.78)</f>
        <v>47.78</v>
      </c>
      <c r="E900" s="1">
        <f>IFERROR(__xludf.DUMMYFUNCTION("""COMPUTED_VALUE"""),48.26)</f>
        <v>48.26</v>
      </c>
      <c r="F900" s="1">
        <f>IFERROR(__xludf.DUMMYFUNCTION("""COMPUTED_VALUE"""),886353.0)</f>
        <v>886353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IFERROR(__xludf.DUMMYFUNCTION("""COMPUTED_VALUE"""),48.4)</f>
        <v>48.4</v>
      </c>
      <c r="C901" s="1">
        <f>IFERROR(__xludf.DUMMYFUNCTION("""COMPUTED_VALUE"""),49.81)</f>
        <v>49.81</v>
      </c>
      <c r="D901" s="1">
        <f>IFERROR(__xludf.DUMMYFUNCTION("""COMPUTED_VALUE"""),48.4)</f>
        <v>48.4</v>
      </c>
      <c r="E901" s="1">
        <f>IFERROR(__xludf.DUMMYFUNCTION("""COMPUTED_VALUE"""),49.04)</f>
        <v>49.04</v>
      </c>
      <c r="F901" s="1">
        <f>IFERROR(__xludf.DUMMYFUNCTION("""COMPUTED_VALUE"""),1619201.0)</f>
        <v>1619201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IFERROR(__xludf.DUMMYFUNCTION("""COMPUTED_VALUE"""),49.51)</f>
        <v>49.51</v>
      </c>
      <c r="C902" s="1">
        <f>IFERROR(__xludf.DUMMYFUNCTION("""COMPUTED_VALUE"""),49.84)</f>
        <v>49.84</v>
      </c>
      <c r="D902" s="1">
        <f>IFERROR(__xludf.DUMMYFUNCTION("""COMPUTED_VALUE"""),49.38)</f>
        <v>49.38</v>
      </c>
      <c r="E902" s="1">
        <f>IFERROR(__xludf.DUMMYFUNCTION("""COMPUTED_VALUE"""),49.73)</f>
        <v>49.73</v>
      </c>
      <c r="F902" s="1">
        <f>IFERROR(__xludf.DUMMYFUNCTION("""COMPUTED_VALUE"""),1030612.0)</f>
        <v>1030612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IFERROR(__xludf.DUMMYFUNCTION("""COMPUTED_VALUE"""),49.5)</f>
        <v>49.5</v>
      </c>
      <c r="C903" s="1">
        <f>IFERROR(__xludf.DUMMYFUNCTION("""COMPUTED_VALUE"""),49.57)</f>
        <v>49.57</v>
      </c>
      <c r="D903" s="1">
        <f>IFERROR(__xludf.DUMMYFUNCTION("""COMPUTED_VALUE"""),48.95)</f>
        <v>48.95</v>
      </c>
      <c r="E903" s="1">
        <f>IFERROR(__xludf.DUMMYFUNCTION("""COMPUTED_VALUE"""),49.57)</f>
        <v>49.57</v>
      </c>
      <c r="F903" s="1">
        <f>IFERROR(__xludf.DUMMYFUNCTION("""COMPUTED_VALUE"""),888045.0)</f>
        <v>888045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IFERROR(__xludf.DUMMYFUNCTION("""COMPUTED_VALUE"""),49.46)</f>
        <v>49.46</v>
      </c>
      <c r="C904" s="1">
        <f>IFERROR(__xludf.DUMMYFUNCTION("""COMPUTED_VALUE"""),49.63)</f>
        <v>49.63</v>
      </c>
      <c r="D904" s="1">
        <f>IFERROR(__xludf.DUMMYFUNCTION("""COMPUTED_VALUE"""),49.24)</f>
        <v>49.24</v>
      </c>
      <c r="E904" s="1">
        <f>IFERROR(__xludf.DUMMYFUNCTION("""COMPUTED_VALUE"""),49.4)</f>
        <v>49.4</v>
      </c>
      <c r="F904" s="1">
        <f>IFERROR(__xludf.DUMMYFUNCTION("""COMPUTED_VALUE"""),742681.0)</f>
        <v>742681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IFERROR(__xludf.DUMMYFUNCTION("""COMPUTED_VALUE"""),49.39)</f>
        <v>49.39</v>
      </c>
      <c r="C905" s="1">
        <f>IFERROR(__xludf.DUMMYFUNCTION("""COMPUTED_VALUE"""),49.51)</f>
        <v>49.51</v>
      </c>
      <c r="D905" s="1">
        <f>IFERROR(__xludf.DUMMYFUNCTION("""COMPUTED_VALUE"""),48.82)</f>
        <v>48.82</v>
      </c>
      <c r="E905" s="1">
        <f>IFERROR(__xludf.DUMMYFUNCTION("""COMPUTED_VALUE"""),49.24)</f>
        <v>49.24</v>
      </c>
      <c r="F905" s="1">
        <f>IFERROR(__xludf.DUMMYFUNCTION("""COMPUTED_VALUE"""),769010.0)</f>
        <v>769010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IFERROR(__xludf.DUMMYFUNCTION("""COMPUTED_VALUE"""),49.1)</f>
        <v>49.1</v>
      </c>
      <c r="C906" s="1">
        <f>IFERROR(__xludf.DUMMYFUNCTION("""COMPUTED_VALUE"""),49.13)</f>
        <v>49.13</v>
      </c>
      <c r="D906" s="1">
        <f>IFERROR(__xludf.DUMMYFUNCTION("""COMPUTED_VALUE"""),48.23)</f>
        <v>48.23</v>
      </c>
      <c r="E906" s="1">
        <f>IFERROR(__xludf.DUMMYFUNCTION("""COMPUTED_VALUE"""),48.34)</f>
        <v>48.34</v>
      </c>
      <c r="F906" s="1">
        <f>IFERROR(__xludf.DUMMYFUNCTION("""COMPUTED_VALUE"""),693494.0)</f>
        <v>693494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IFERROR(__xludf.DUMMYFUNCTION("""COMPUTED_VALUE"""),48.66)</f>
        <v>48.66</v>
      </c>
      <c r="C907" s="1">
        <f>IFERROR(__xludf.DUMMYFUNCTION("""COMPUTED_VALUE"""),49.36)</f>
        <v>49.36</v>
      </c>
      <c r="D907" s="1">
        <f>IFERROR(__xludf.DUMMYFUNCTION("""COMPUTED_VALUE"""),48.35)</f>
        <v>48.35</v>
      </c>
      <c r="E907" s="1">
        <f>IFERROR(__xludf.DUMMYFUNCTION("""COMPUTED_VALUE"""),49.27)</f>
        <v>49.27</v>
      </c>
      <c r="F907" s="1">
        <f>IFERROR(__xludf.DUMMYFUNCTION("""COMPUTED_VALUE"""),1012421.0)</f>
        <v>1012421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IFERROR(__xludf.DUMMYFUNCTION("""COMPUTED_VALUE"""),49.17)</f>
        <v>49.17</v>
      </c>
      <c r="C908" s="1">
        <f>IFERROR(__xludf.DUMMYFUNCTION("""COMPUTED_VALUE"""),49.69)</f>
        <v>49.69</v>
      </c>
      <c r="D908" s="1">
        <f>IFERROR(__xludf.DUMMYFUNCTION("""COMPUTED_VALUE"""),48.97)</f>
        <v>48.97</v>
      </c>
      <c r="E908" s="1">
        <f>IFERROR(__xludf.DUMMYFUNCTION("""COMPUTED_VALUE"""),49.38)</f>
        <v>49.38</v>
      </c>
      <c r="F908" s="1">
        <f>IFERROR(__xludf.DUMMYFUNCTION("""COMPUTED_VALUE"""),785975.0)</f>
        <v>785975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IFERROR(__xludf.DUMMYFUNCTION("""COMPUTED_VALUE"""),49.07)</f>
        <v>49.07</v>
      </c>
      <c r="C909" s="1">
        <f>IFERROR(__xludf.DUMMYFUNCTION("""COMPUTED_VALUE"""),49.65)</f>
        <v>49.65</v>
      </c>
      <c r="D909" s="1">
        <f>IFERROR(__xludf.DUMMYFUNCTION("""COMPUTED_VALUE"""),48.81)</f>
        <v>48.81</v>
      </c>
      <c r="E909" s="1">
        <f>IFERROR(__xludf.DUMMYFUNCTION("""COMPUTED_VALUE"""),49.51)</f>
        <v>49.51</v>
      </c>
      <c r="F909" s="1">
        <f>IFERROR(__xludf.DUMMYFUNCTION("""COMPUTED_VALUE"""),660664.0)</f>
        <v>660664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IFERROR(__xludf.DUMMYFUNCTION("""COMPUTED_VALUE"""),49.59)</f>
        <v>49.59</v>
      </c>
      <c r="C910" s="1">
        <f>IFERROR(__xludf.DUMMYFUNCTION("""COMPUTED_VALUE"""),50.0)</f>
        <v>50</v>
      </c>
      <c r="D910" s="1">
        <f>IFERROR(__xludf.DUMMYFUNCTION("""COMPUTED_VALUE"""),49.29)</f>
        <v>49.29</v>
      </c>
      <c r="E910" s="1">
        <f>IFERROR(__xludf.DUMMYFUNCTION("""COMPUTED_VALUE"""),49.74)</f>
        <v>49.74</v>
      </c>
      <c r="F910" s="1">
        <f>IFERROR(__xludf.DUMMYFUNCTION("""COMPUTED_VALUE"""),521308.0)</f>
        <v>521308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IFERROR(__xludf.DUMMYFUNCTION("""COMPUTED_VALUE"""),49.59)</f>
        <v>49.59</v>
      </c>
      <c r="C911" s="1">
        <f>IFERROR(__xludf.DUMMYFUNCTION("""COMPUTED_VALUE"""),50.0)</f>
        <v>50</v>
      </c>
      <c r="D911" s="1">
        <f>IFERROR(__xludf.DUMMYFUNCTION("""COMPUTED_VALUE"""),49.56)</f>
        <v>49.56</v>
      </c>
      <c r="E911" s="1">
        <f>IFERROR(__xludf.DUMMYFUNCTION("""COMPUTED_VALUE"""),49.61)</f>
        <v>49.61</v>
      </c>
      <c r="F911" s="1">
        <f>IFERROR(__xludf.DUMMYFUNCTION("""COMPUTED_VALUE"""),541741.0)</f>
        <v>541741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IFERROR(__xludf.DUMMYFUNCTION("""COMPUTED_VALUE"""),49.12)</f>
        <v>49.12</v>
      </c>
      <c r="C912" s="1">
        <f>IFERROR(__xludf.DUMMYFUNCTION("""COMPUTED_VALUE"""),49.17)</f>
        <v>49.17</v>
      </c>
      <c r="D912" s="1">
        <f>IFERROR(__xludf.DUMMYFUNCTION("""COMPUTED_VALUE"""),48.05)</f>
        <v>48.05</v>
      </c>
      <c r="E912" s="1">
        <f>IFERROR(__xludf.DUMMYFUNCTION("""COMPUTED_VALUE"""),48.08)</f>
        <v>48.08</v>
      </c>
      <c r="F912" s="1">
        <f>IFERROR(__xludf.DUMMYFUNCTION("""COMPUTED_VALUE"""),673148.0)</f>
        <v>673148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IFERROR(__xludf.DUMMYFUNCTION("""COMPUTED_VALUE"""),47.89)</f>
        <v>47.89</v>
      </c>
      <c r="C913" s="1">
        <f>IFERROR(__xludf.DUMMYFUNCTION("""COMPUTED_VALUE"""),48.43)</f>
        <v>48.43</v>
      </c>
      <c r="D913" s="1">
        <f>IFERROR(__xludf.DUMMYFUNCTION("""COMPUTED_VALUE"""),47.48)</f>
        <v>47.48</v>
      </c>
      <c r="E913" s="1">
        <f>IFERROR(__xludf.DUMMYFUNCTION("""COMPUTED_VALUE"""),47.48)</f>
        <v>47.48</v>
      </c>
      <c r="F913" s="1">
        <f>IFERROR(__xludf.DUMMYFUNCTION("""COMPUTED_VALUE"""),918663.0)</f>
        <v>918663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IFERROR(__xludf.DUMMYFUNCTION("""COMPUTED_VALUE"""),47.5)</f>
        <v>47.5</v>
      </c>
      <c r="C914" s="1">
        <f>IFERROR(__xludf.DUMMYFUNCTION("""COMPUTED_VALUE"""),47.88)</f>
        <v>47.88</v>
      </c>
      <c r="D914" s="1">
        <f>IFERROR(__xludf.DUMMYFUNCTION("""COMPUTED_VALUE"""),47.12)</f>
        <v>47.12</v>
      </c>
      <c r="E914" s="1">
        <f>IFERROR(__xludf.DUMMYFUNCTION("""COMPUTED_VALUE"""),47.19)</f>
        <v>47.19</v>
      </c>
      <c r="F914" s="1">
        <f>IFERROR(__xludf.DUMMYFUNCTION("""COMPUTED_VALUE"""),829404.0)</f>
        <v>829404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IFERROR(__xludf.DUMMYFUNCTION("""COMPUTED_VALUE"""),47.26)</f>
        <v>47.26</v>
      </c>
      <c r="C915" s="1">
        <f>IFERROR(__xludf.DUMMYFUNCTION("""COMPUTED_VALUE"""),48.41)</f>
        <v>48.41</v>
      </c>
      <c r="D915" s="1">
        <f>IFERROR(__xludf.DUMMYFUNCTION("""COMPUTED_VALUE"""),47.26)</f>
        <v>47.26</v>
      </c>
      <c r="E915" s="1">
        <f>IFERROR(__xludf.DUMMYFUNCTION("""COMPUTED_VALUE"""),48.28)</f>
        <v>48.28</v>
      </c>
      <c r="F915" s="1">
        <f>IFERROR(__xludf.DUMMYFUNCTION("""COMPUTED_VALUE"""),663115.0)</f>
        <v>663115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IFERROR(__xludf.DUMMYFUNCTION("""COMPUTED_VALUE"""),48.08)</f>
        <v>48.08</v>
      </c>
      <c r="C916" s="1">
        <f>IFERROR(__xludf.DUMMYFUNCTION("""COMPUTED_VALUE"""),48.42)</f>
        <v>48.42</v>
      </c>
      <c r="D916" s="1">
        <f>IFERROR(__xludf.DUMMYFUNCTION("""COMPUTED_VALUE"""),47.51)</f>
        <v>47.51</v>
      </c>
      <c r="E916" s="1">
        <f>IFERROR(__xludf.DUMMYFUNCTION("""COMPUTED_VALUE"""),47.86)</f>
        <v>47.86</v>
      </c>
      <c r="F916" s="1">
        <f>IFERROR(__xludf.DUMMYFUNCTION("""COMPUTED_VALUE"""),636174.0)</f>
        <v>636174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IFERROR(__xludf.DUMMYFUNCTION("""COMPUTED_VALUE"""),47.87)</f>
        <v>47.87</v>
      </c>
      <c r="C917" s="1">
        <f>IFERROR(__xludf.DUMMYFUNCTION("""COMPUTED_VALUE"""),48.81)</f>
        <v>48.81</v>
      </c>
      <c r="D917" s="1">
        <f>IFERROR(__xludf.DUMMYFUNCTION("""COMPUTED_VALUE"""),47.71)</f>
        <v>47.71</v>
      </c>
      <c r="E917" s="1">
        <f>IFERROR(__xludf.DUMMYFUNCTION("""COMPUTED_VALUE"""),48.55)</f>
        <v>48.55</v>
      </c>
      <c r="F917" s="1">
        <f>IFERROR(__xludf.DUMMYFUNCTION("""COMPUTED_VALUE"""),723461.0)</f>
        <v>723461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IFERROR(__xludf.DUMMYFUNCTION("""COMPUTED_VALUE"""),48.75)</f>
        <v>48.75</v>
      </c>
      <c r="C918" s="1">
        <f>IFERROR(__xludf.DUMMYFUNCTION("""COMPUTED_VALUE"""),48.9)</f>
        <v>48.9</v>
      </c>
      <c r="D918" s="1">
        <f>IFERROR(__xludf.DUMMYFUNCTION("""COMPUTED_VALUE"""),48.33)</f>
        <v>48.33</v>
      </c>
      <c r="E918" s="1">
        <f>IFERROR(__xludf.DUMMYFUNCTION("""COMPUTED_VALUE"""),48.86)</f>
        <v>48.86</v>
      </c>
      <c r="F918" s="1">
        <f>IFERROR(__xludf.DUMMYFUNCTION("""COMPUTED_VALUE"""),639417.0)</f>
        <v>639417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IFERROR(__xludf.DUMMYFUNCTION("""COMPUTED_VALUE"""),48.86)</f>
        <v>48.86</v>
      </c>
      <c r="C919" s="1">
        <f>IFERROR(__xludf.DUMMYFUNCTION("""COMPUTED_VALUE"""),49.4)</f>
        <v>49.4</v>
      </c>
      <c r="D919" s="1">
        <f>IFERROR(__xludf.DUMMYFUNCTION("""COMPUTED_VALUE"""),48.8)</f>
        <v>48.8</v>
      </c>
      <c r="E919" s="1">
        <f>IFERROR(__xludf.DUMMYFUNCTION("""COMPUTED_VALUE"""),48.84)</f>
        <v>48.84</v>
      </c>
      <c r="F919" s="1">
        <f>IFERROR(__xludf.DUMMYFUNCTION("""COMPUTED_VALUE"""),685311.0)</f>
        <v>685311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IFERROR(__xludf.DUMMYFUNCTION("""COMPUTED_VALUE"""),48.09)</f>
        <v>48.09</v>
      </c>
      <c r="C920" s="1">
        <f>IFERROR(__xludf.DUMMYFUNCTION("""COMPUTED_VALUE"""),48.17)</f>
        <v>48.17</v>
      </c>
      <c r="D920" s="1">
        <f>IFERROR(__xludf.DUMMYFUNCTION("""COMPUTED_VALUE"""),47.31)</f>
        <v>47.31</v>
      </c>
      <c r="E920" s="1">
        <f>IFERROR(__xludf.DUMMYFUNCTION("""COMPUTED_VALUE"""),47.34)</f>
        <v>47.34</v>
      </c>
      <c r="F920" s="1">
        <f>IFERROR(__xludf.DUMMYFUNCTION("""COMPUTED_VALUE"""),697360.0)</f>
        <v>697360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IFERROR(__xludf.DUMMYFUNCTION("""COMPUTED_VALUE"""),47.34)</f>
        <v>47.34</v>
      </c>
      <c r="C921" s="1">
        <f>IFERROR(__xludf.DUMMYFUNCTION("""COMPUTED_VALUE"""),47.95)</f>
        <v>47.95</v>
      </c>
      <c r="D921" s="1">
        <f>IFERROR(__xludf.DUMMYFUNCTION("""COMPUTED_VALUE"""),47.16)</f>
        <v>47.16</v>
      </c>
      <c r="E921" s="1">
        <f>IFERROR(__xludf.DUMMYFUNCTION("""COMPUTED_VALUE"""),47.72)</f>
        <v>47.72</v>
      </c>
      <c r="F921" s="1">
        <f>IFERROR(__xludf.DUMMYFUNCTION("""COMPUTED_VALUE"""),413787.0)</f>
        <v>413787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IFERROR(__xludf.DUMMYFUNCTION("""COMPUTED_VALUE"""),47.49)</f>
        <v>47.49</v>
      </c>
      <c r="C922" s="1">
        <f>IFERROR(__xludf.DUMMYFUNCTION("""COMPUTED_VALUE"""),48.3)</f>
        <v>48.3</v>
      </c>
      <c r="D922" s="1">
        <f>IFERROR(__xludf.DUMMYFUNCTION("""COMPUTED_VALUE"""),47.25)</f>
        <v>47.25</v>
      </c>
      <c r="E922" s="1">
        <f>IFERROR(__xludf.DUMMYFUNCTION("""COMPUTED_VALUE"""),48.05)</f>
        <v>48.05</v>
      </c>
      <c r="F922" s="1">
        <f>IFERROR(__xludf.DUMMYFUNCTION("""COMPUTED_VALUE"""),404460.0)</f>
        <v>404460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IFERROR(__xludf.DUMMYFUNCTION("""COMPUTED_VALUE"""),48.08)</f>
        <v>48.08</v>
      </c>
      <c r="C923" s="1">
        <f>IFERROR(__xludf.DUMMYFUNCTION("""COMPUTED_VALUE"""),48.21)</f>
        <v>48.21</v>
      </c>
      <c r="D923" s="1">
        <f>IFERROR(__xludf.DUMMYFUNCTION("""COMPUTED_VALUE"""),47.31)</f>
        <v>47.31</v>
      </c>
      <c r="E923" s="1">
        <f>IFERROR(__xludf.DUMMYFUNCTION("""COMPUTED_VALUE"""),47.56)</f>
        <v>47.56</v>
      </c>
      <c r="F923" s="1">
        <f>IFERROR(__xludf.DUMMYFUNCTION("""COMPUTED_VALUE"""),614806.0)</f>
        <v>614806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IFERROR(__xludf.DUMMYFUNCTION("""COMPUTED_VALUE"""),48.25)</f>
        <v>48.25</v>
      </c>
      <c r="C924" s="1">
        <f>IFERROR(__xludf.DUMMYFUNCTION("""COMPUTED_VALUE"""),48.72)</f>
        <v>48.72</v>
      </c>
      <c r="D924" s="1">
        <f>IFERROR(__xludf.DUMMYFUNCTION("""COMPUTED_VALUE"""),47.6)</f>
        <v>47.6</v>
      </c>
      <c r="E924" s="1">
        <f>IFERROR(__xludf.DUMMYFUNCTION("""COMPUTED_VALUE"""),48.02)</f>
        <v>48.02</v>
      </c>
      <c r="F924" s="1">
        <f>IFERROR(__xludf.DUMMYFUNCTION("""COMPUTED_VALUE"""),606576.0)</f>
        <v>606576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IFERROR(__xludf.DUMMYFUNCTION("""COMPUTED_VALUE"""),48.15)</f>
        <v>48.15</v>
      </c>
      <c r="C925" s="1">
        <f>IFERROR(__xludf.DUMMYFUNCTION("""COMPUTED_VALUE"""),49.23)</f>
        <v>49.23</v>
      </c>
      <c r="D925" s="1">
        <f>IFERROR(__xludf.DUMMYFUNCTION("""COMPUTED_VALUE"""),47.84)</f>
        <v>47.84</v>
      </c>
      <c r="E925" s="1">
        <f>IFERROR(__xludf.DUMMYFUNCTION("""COMPUTED_VALUE"""),49.05)</f>
        <v>49.05</v>
      </c>
      <c r="F925" s="1">
        <f>IFERROR(__xludf.DUMMYFUNCTION("""COMPUTED_VALUE"""),887368.0)</f>
        <v>887368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IFERROR(__xludf.DUMMYFUNCTION("""COMPUTED_VALUE"""),49.05)</f>
        <v>49.05</v>
      </c>
      <c r="C926" s="1">
        <f>IFERROR(__xludf.DUMMYFUNCTION("""COMPUTED_VALUE"""),50.64)</f>
        <v>50.64</v>
      </c>
      <c r="D926" s="1">
        <f>IFERROR(__xludf.DUMMYFUNCTION("""COMPUTED_VALUE"""),48.91)</f>
        <v>48.91</v>
      </c>
      <c r="E926" s="1">
        <f>IFERROR(__xludf.DUMMYFUNCTION("""COMPUTED_VALUE"""),49.99)</f>
        <v>49.99</v>
      </c>
      <c r="F926" s="1">
        <f>IFERROR(__xludf.DUMMYFUNCTION("""COMPUTED_VALUE"""),1854694.0)</f>
        <v>1854694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IFERROR(__xludf.DUMMYFUNCTION("""COMPUTED_VALUE"""),50.22)</f>
        <v>50.22</v>
      </c>
      <c r="C927" s="1">
        <f>IFERROR(__xludf.DUMMYFUNCTION("""COMPUTED_VALUE"""),51.72)</f>
        <v>51.72</v>
      </c>
      <c r="D927" s="1">
        <f>IFERROR(__xludf.DUMMYFUNCTION("""COMPUTED_VALUE"""),49.94)</f>
        <v>49.94</v>
      </c>
      <c r="E927" s="1">
        <f>IFERROR(__xludf.DUMMYFUNCTION("""COMPUTED_VALUE"""),51.21)</f>
        <v>51.21</v>
      </c>
      <c r="F927" s="1">
        <f>IFERROR(__xludf.DUMMYFUNCTION("""COMPUTED_VALUE"""),2005465.0)</f>
        <v>2005465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IFERROR(__xludf.DUMMYFUNCTION("""COMPUTED_VALUE"""),51.31)</f>
        <v>51.31</v>
      </c>
      <c r="C928" s="1">
        <f>IFERROR(__xludf.DUMMYFUNCTION("""COMPUTED_VALUE"""),51.48)</f>
        <v>51.48</v>
      </c>
      <c r="D928" s="1">
        <f>IFERROR(__xludf.DUMMYFUNCTION("""COMPUTED_VALUE"""),50.73)</f>
        <v>50.73</v>
      </c>
      <c r="E928" s="1">
        <f>IFERROR(__xludf.DUMMYFUNCTION("""COMPUTED_VALUE"""),51.35)</f>
        <v>51.35</v>
      </c>
      <c r="F928" s="1">
        <f>IFERROR(__xludf.DUMMYFUNCTION("""COMPUTED_VALUE"""),1077540.0)</f>
        <v>1077540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IFERROR(__xludf.DUMMYFUNCTION("""COMPUTED_VALUE"""),51.73)</f>
        <v>51.73</v>
      </c>
      <c r="C929" s="1">
        <f>IFERROR(__xludf.DUMMYFUNCTION("""COMPUTED_VALUE"""),52.27)</f>
        <v>52.27</v>
      </c>
      <c r="D929" s="1">
        <f>IFERROR(__xludf.DUMMYFUNCTION("""COMPUTED_VALUE"""),51.54)</f>
        <v>51.54</v>
      </c>
      <c r="E929" s="1">
        <f>IFERROR(__xludf.DUMMYFUNCTION("""COMPUTED_VALUE"""),52.05)</f>
        <v>52.05</v>
      </c>
      <c r="F929" s="1">
        <f>IFERROR(__xludf.DUMMYFUNCTION("""COMPUTED_VALUE"""),1305681.0)</f>
        <v>1305681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IFERROR(__xludf.DUMMYFUNCTION("""COMPUTED_VALUE"""),52.16)</f>
        <v>52.16</v>
      </c>
      <c r="C930" s="1">
        <f>IFERROR(__xludf.DUMMYFUNCTION("""COMPUTED_VALUE"""),52.25)</f>
        <v>52.25</v>
      </c>
      <c r="D930" s="1">
        <f>IFERROR(__xludf.DUMMYFUNCTION("""COMPUTED_VALUE"""),51.73)</f>
        <v>51.73</v>
      </c>
      <c r="E930" s="1">
        <f>IFERROR(__xludf.DUMMYFUNCTION("""COMPUTED_VALUE"""),51.76)</f>
        <v>51.76</v>
      </c>
      <c r="F930" s="1">
        <f>IFERROR(__xludf.DUMMYFUNCTION("""COMPUTED_VALUE"""),954746.0)</f>
        <v>954746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IFERROR(__xludf.DUMMYFUNCTION("""COMPUTED_VALUE"""),51.62)</f>
        <v>51.62</v>
      </c>
      <c r="C931" s="1">
        <f>IFERROR(__xludf.DUMMYFUNCTION("""COMPUTED_VALUE"""),51.78)</f>
        <v>51.78</v>
      </c>
      <c r="D931" s="1">
        <f>IFERROR(__xludf.DUMMYFUNCTION("""COMPUTED_VALUE"""),50.94)</f>
        <v>50.94</v>
      </c>
      <c r="E931" s="1">
        <f>IFERROR(__xludf.DUMMYFUNCTION("""COMPUTED_VALUE"""),51.12)</f>
        <v>51.12</v>
      </c>
      <c r="F931" s="1">
        <f>IFERROR(__xludf.DUMMYFUNCTION("""COMPUTED_VALUE"""),821923.0)</f>
        <v>821923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IFERROR(__xludf.DUMMYFUNCTION("""COMPUTED_VALUE"""),51.24)</f>
        <v>51.24</v>
      </c>
      <c r="C932" s="1">
        <f>IFERROR(__xludf.DUMMYFUNCTION("""COMPUTED_VALUE"""),51.44)</f>
        <v>51.44</v>
      </c>
      <c r="D932" s="1">
        <f>IFERROR(__xludf.DUMMYFUNCTION("""COMPUTED_VALUE"""),51.04)</f>
        <v>51.04</v>
      </c>
      <c r="E932" s="1">
        <f>IFERROR(__xludf.DUMMYFUNCTION("""COMPUTED_VALUE"""),51.08)</f>
        <v>51.08</v>
      </c>
      <c r="F932" s="1">
        <f>IFERROR(__xludf.DUMMYFUNCTION("""COMPUTED_VALUE"""),554615.0)</f>
        <v>554615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IFERROR(__xludf.DUMMYFUNCTION("""COMPUTED_VALUE"""),51.72)</f>
        <v>51.72</v>
      </c>
      <c r="C933" s="1">
        <f>IFERROR(__xludf.DUMMYFUNCTION("""COMPUTED_VALUE"""),51.81)</f>
        <v>51.81</v>
      </c>
      <c r="D933" s="1">
        <f>IFERROR(__xludf.DUMMYFUNCTION("""COMPUTED_VALUE"""),50.78)</f>
        <v>50.78</v>
      </c>
      <c r="E933" s="1">
        <f>IFERROR(__xludf.DUMMYFUNCTION("""COMPUTED_VALUE"""),50.92)</f>
        <v>50.92</v>
      </c>
      <c r="F933" s="1">
        <f>IFERROR(__xludf.DUMMYFUNCTION("""COMPUTED_VALUE"""),1109827.0)</f>
        <v>1109827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IFERROR(__xludf.DUMMYFUNCTION("""COMPUTED_VALUE"""),50.89)</f>
        <v>50.89</v>
      </c>
      <c r="C934" s="1">
        <f>IFERROR(__xludf.DUMMYFUNCTION("""COMPUTED_VALUE"""),51.2)</f>
        <v>51.2</v>
      </c>
      <c r="D934" s="1">
        <f>IFERROR(__xludf.DUMMYFUNCTION("""COMPUTED_VALUE"""),50.64)</f>
        <v>50.64</v>
      </c>
      <c r="E934" s="1">
        <f>IFERROR(__xludf.DUMMYFUNCTION("""COMPUTED_VALUE"""),50.98)</f>
        <v>50.98</v>
      </c>
      <c r="F934" s="1">
        <f>IFERROR(__xludf.DUMMYFUNCTION("""COMPUTED_VALUE"""),1062387.0)</f>
        <v>1062387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IFERROR(__xludf.DUMMYFUNCTION("""COMPUTED_VALUE"""),51.07)</f>
        <v>51.07</v>
      </c>
      <c r="C935" s="1">
        <f>IFERROR(__xludf.DUMMYFUNCTION("""COMPUTED_VALUE"""),51.35)</f>
        <v>51.35</v>
      </c>
      <c r="D935" s="1">
        <f>IFERROR(__xludf.DUMMYFUNCTION("""COMPUTED_VALUE"""),50.31)</f>
        <v>50.31</v>
      </c>
      <c r="E935" s="1">
        <f>IFERROR(__xludf.DUMMYFUNCTION("""COMPUTED_VALUE"""),51.13)</f>
        <v>51.13</v>
      </c>
      <c r="F935" s="1">
        <f>IFERROR(__xludf.DUMMYFUNCTION("""COMPUTED_VALUE"""),1754061.0)</f>
        <v>1754061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IFERROR(__xludf.DUMMYFUNCTION("""COMPUTED_VALUE"""),51.32)</f>
        <v>51.32</v>
      </c>
      <c r="C936" s="1">
        <f>IFERROR(__xludf.DUMMYFUNCTION("""COMPUTED_VALUE"""),51.55)</f>
        <v>51.55</v>
      </c>
      <c r="D936" s="1">
        <f>IFERROR(__xludf.DUMMYFUNCTION("""COMPUTED_VALUE"""),51.18)</f>
        <v>51.18</v>
      </c>
      <c r="E936" s="1">
        <f>IFERROR(__xludf.DUMMYFUNCTION("""COMPUTED_VALUE"""),51.25)</f>
        <v>51.25</v>
      </c>
      <c r="F936" s="1">
        <f>IFERROR(__xludf.DUMMYFUNCTION("""COMPUTED_VALUE"""),1378788.0)</f>
        <v>1378788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IFERROR(__xludf.DUMMYFUNCTION("""COMPUTED_VALUE"""),51.4)</f>
        <v>51.4</v>
      </c>
      <c r="C937" s="1">
        <f>IFERROR(__xludf.DUMMYFUNCTION("""COMPUTED_VALUE"""),51.88)</f>
        <v>51.88</v>
      </c>
      <c r="D937" s="1">
        <f>IFERROR(__xludf.DUMMYFUNCTION("""COMPUTED_VALUE"""),51.05)</f>
        <v>51.05</v>
      </c>
      <c r="E937" s="1">
        <f>IFERROR(__xludf.DUMMYFUNCTION("""COMPUTED_VALUE"""),51.19)</f>
        <v>51.19</v>
      </c>
      <c r="F937" s="1">
        <f>IFERROR(__xludf.DUMMYFUNCTION("""COMPUTED_VALUE"""),1863153.0)</f>
        <v>1863153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IFERROR(__xludf.DUMMYFUNCTION("""COMPUTED_VALUE"""),51.21)</f>
        <v>51.21</v>
      </c>
      <c r="C938" s="1">
        <f>IFERROR(__xludf.DUMMYFUNCTION("""COMPUTED_VALUE"""),51.4)</f>
        <v>51.4</v>
      </c>
      <c r="D938" s="1">
        <f>IFERROR(__xludf.DUMMYFUNCTION("""COMPUTED_VALUE"""),49.99)</f>
        <v>49.99</v>
      </c>
      <c r="E938" s="1">
        <f>IFERROR(__xludf.DUMMYFUNCTION("""COMPUTED_VALUE"""),50.01)</f>
        <v>50.01</v>
      </c>
      <c r="F938" s="1">
        <f>IFERROR(__xludf.DUMMYFUNCTION("""COMPUTED_VALUE"""),2399601.0)</f>
        <v>2399601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IFERROR(__xludf.DUMMYFUNCTION("""COMPUTED_VALUE"""),52.0)</f>
        <v>52</v>
      </c>
      <c r="C939" s="1">
        <f>IFERROR(__xludf.DUMMYFUNCTION("""COMPUTED_VALUE"""),52.47)</f>
        <v>52.47</v>
      </c>
      <c r="D939" s="1">
        <f>IFERROR(__xludf.DUMMYFUNCTION("""COMPUTED_VALUE"""),50.21)</f>
        <v>50.21</v>
      </c>
      <c r="E939" s="1">
        <f>IFERROR(__xludf.DUMMYFUNCTION("""COMPUTED_VALUE"""),51.79)</f>
        <v>51.79</v>
      </c>
      <c r="F939" s="1">
        <f>IFERROR(__xludf.DUMMYFUNCTION("""COMPUTED_VALUE"""),4687381.0)</f>
        <v>4687381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IFERROR(__xludf.DUMMYFUNCTION("""COMPUTED_VALUE"""),51.06)</f>
        <v>51.06</v>
      </c>
      <c r="C940" s="1">
        <f>IFERROR(__xludf.DUMMYFUNCTION("""COMPUTED_VALUE"""),51.12)</f>
        <v>51.12</v>
      </c>
      <c r="D940" s="1">
        <f>IFERROR(__xludf.DUMMYFUNCTION("""COMPUTED_VALUE"""),49.64)</f>
        <v>49.64</v>
      </c>
      <c r="E940" s="1">
        <f>IFERROR(__xludf.DUMMYFUNCTION("""COMPUTED_VALUE"""),49.8)</f>
        <v>49.8</v>
      </c>
      <c r="F940" s="1">
        <f>IFERROR(__xludf.DUMMYFUNCTION("""COMPUTED_VALUE"""),2114147.0)</f>
        <v>2114147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IFERROR(__xludf.DUMMYFUNCTION("""COMPUTED_VALUE"""),49.8)</f>
        <v>49.8</v>
      </c>
      <c r="C941" s="1">
        <f>IFERROR(__xludf.DUMMYFUNCTION("""COMPUTED_VALUE"""),50.02)</f>
        <v>50.02</v>
      </c>
      <c r="D941" s="1">
        <f>IFERROR(__xludf.DUMMYFUNCTION("""COMPUTED_VALUE"""),49.2)</f>
        <v>49.2</v>
      </c>
      <c r="E941" s="1">
        <f>IFERROR(__xludf.DUMMYFUNCTION("""COMPUTED_VALUE"""),49.49)</f>
        <v>49.49</v>
      </c>
      <c r="F941" s="1">
        <f>IFERROR(__xludf.DUMMYFUNCTION("""COMPUTED_VALUE"""),1527374.0)</f>
        <v>1527374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IFERROR(__xludf.DUMMYFUNCTION("""COMPUTED_VALUE"""),49.23)</f>
        <v>49.23</v>
      </c>
      <c r="C942" s="1">
        <f>IFERROR(__xludf.DUMMYFUNCTION("""COMPUTED_VALUE"""),49.53)</f>
        <v>49.53</v>
      </c>
      <c r="D942" s="1">
        <f>IFERROR(__xludf.DUMMYFUNCTION("""COMPUTED_VALUE"""),49.04)</f>
        <v>49.04</v>
      </c>
      <c r="E942" s="1">
        <f>IFERROR(__xludf.DUMMYFUNCTION("""COMPUTED_VALUE"""),49.22)</f>
        <v>49.22</v>
      </c>
      <c r="F942" s="1">
        <f>IFERROR(__xludf.DUMMYFUNCTION("""COMPUTED_VALUE"""),814560.0)</f>
        <v>814560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IFERROR(__xludf.DUMMYFUNCTION("""COMPUTED_VALUE"""),48.78)</f>
        <v>48.78</v>
      </c>
      <c r="C943" s="1">
        <f>IFERROR(__xludf.DUMMYFUNCTION("""COMPUTED_VALUE"""),48.81)</f>
        <v>48.81</v>
      </c>
      <c r="D943" s="1">
        <f>IFERROR(__xludf.DUMMYFUNCTION("""COMPUTED_VALUE"""),48.31)</f>
        <v>48.31</v>
      </c>
      <c r="E943" s="1">
        <f>IFERROR(__xludf.DUMMYFUNCTION("""COMPUTED_VALUE"""),48.47)</f>
        <v>48.47</v>
      </c>
      <c r="F943" s="1">
        <f>IFERROR(__xludf.DUMMYFUNCTION("""COMPUTED_VALUE"""),1871870.0)</f>
        <v>1871870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IFERROR(__xludf.DUMMYFUNCTION("""COMPUTED_VALUE"""),48.57)</f>
        <v>48.57</v>
      </c>
      <c r="C944" s="1">
        <f>IFERROR(__xludf.DUMMYFUNCTION("""COMPUTED_VALUE"""),49.15)</f>
        <v>49.15</v>
      </c>
      <c r="D944" s="1">
        <f>IFERROR(__xludf.DUMMYFUNCTION("""COMPUTED_VALUE"""),48.47)</f>
        <v>48.47</v>
      </c>
      <c r="E944" s="1">
        <f>IFERROR(__xludf.DUMMYFUNCTION("""COMPUTED_VALUE"""),48.8)</f>
        <v>48.8</v>
      </c>
      <c r="F944" s="1">
        <f>IFERROR(__xludf.DUMMYFUNCTION("""COMPUTED_VALUE"""),1131970.0)</f>
        <v>1131970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IFERROR(__xludf.DUMMYFUNCTION("""COMPUTED_VALUE"""),48.3)</f>
        <v>48.3</v>
      </c>
      <c r="C945" s="1">
        <f>IFERROR(__xludf.DUMMYFUNCTION("""COMPUTED_VALUE"""),48.85)</f>
        <v>48.85</v>
      </c>
      <c r="D945" s="1">
        <f>IFERROR(__xludf.DUMMYFUNCTION("""COMPUTED_VALUE"""),47.46)</f>
        <v>47.46</v>
      </c>
      <c r="E945" s="1">
        <f>IFERROR(__xludf.DUMMYFUNCTION("""COMPUTED_VALUE"""),48.85)</f>
        <v>48.85</v>
      </c>
      <c r="F945" s="1">
        <f>IFERROR(__xludf.DUMMYFUNCTION("""COMPUTED_VALUE"""),1538094.0)</f>
        <v>1538094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IFERROR(__xludf.DUMMYFUNCTION("""COMPUTED_VALUE"""),48.85)</f>
        <v>48.85</v>
      </c>
      <c r="C946" s="1">
        <f>IFERROR(__xludf.DUMMYFUNCTION("""COMPUTED_VALUE"""),49.05)</f>
        <v>49.05</v>
      </c>
      <c r="D946" s="1">
        <f>IFERROR(__xludf.DUMMYFUNCTION("""COMPUTED_VALUE"""),47.88)</f>
        <v>47.88</v>
      </c>
      <c r="E946" s="1">
        <f>IFERROR(__xludf.DUMMYFUNCTION("""COMPUTED_VALUE"""),48.04)</f>
        <v>48.04</v>
      </c>
      <c r="F946" s="1">
        <f>IFERROR(__xludf.DUMMYFUNCTION("""COMPUTED_VALUE"""),1206204.0)</f>
        <v>1206204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IFERROR(__xludf.DUMMYFUNCTION("""COMPUTED_VALUE"""),47.98)</f>
        <v>47.98</v>
      </c>
      <c r="C947" s="1">
        <f>IFERROR(__xludf.DUMMYFUNCTION("""COMPUTED_VALUE"""),48.5)</f>
        <v>48.5</v>
      </c>
      <c r="D947" s="1">
        <f>IFERROR(__xludf.DUMMYFUNCTION("""COMPUTED_VALUE"""),47.56)</f>
        <v>47.56</v>
      </c>
      <c r="E947" s="1">
        <f>IFERROR(__xludf.DUMMYFUNCTION("""COMPUTED_VALUE"""),48.31)</f>
        <v>48.31</v>
      </c>
      <c r="F947" s="1">
        <f>IFERROR(__xludf.DUMMYFUNCTION("""COMPUTED_VALUE"""),1220547.0)</f>
        <v>1220547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IFERROR(__xludf.DUMMYFUNCTION("""COMPUTED_VALUE"""),48.48)</f>
        <v>48.48</v>
      </c>
      <c r="C948" s="1">
        <f>IFERROR(__xludf.DUMMYFUNCTION("""COMPUTED_VALUE"""),49.37)</f>
        <v>49.37</v>
      </c>
      <c r="D948" s="1">
        <f>IFERROR(__xludf.DUMMYFUNCTION("""COMPUTED_VALUE"""),48.28)</f>
        <v>48.28</v>
      </c>
      <c r="E948" s="1">
        <f>IFERROR(__xludf.DUMMYFUNCTION("""COMPUTED_VALUE"""),48.28)</f>
        <v>48.28</v>
      </c>
      <c r="F948" s="1">
        <f>IFERROR(__xludf.DUMMYFUNCTION("""COMPUTED_VALUE"""),2227870.0)</f>
        <v>2227870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IFERROR(__xludf.DUMMYFUNCTION("""COMPUTED_VALUE"""),48.28)</f>
        <v>48.28</v>
      </c>
      <c r="C949" s="1">
        <f>IFERROR(__xludf.DUMMYFUNCTION("""COMPUTED_VALUE"""),48.44)</f>
        <v>48.44</v>
      </c>
      <c r="D949" s="1">
        <f>IFERROR(__xludf.DUMMYFUNCTION("""COMPUTED_VALUE"""),46.39)</f>
        <v>46.39</v>
      </c>
      <c r="E949" s="1">
        <f>IFERROR(__xludf.DUMMYFUNCTION("""COMPUTED_VALUE"""),46.42)</f>
        <v>46.42</v>
      </c>
      <c r="F949" s="1">
        <f>IFERROR(__xludf.DUMMYFUNCTION("""COMPUTED_VALUE"""),2417802.0)</f>
        <v>2417802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IFERROR(__xludf.DUMMYFUNCTION("""COMPUTED_VALUE"""),46.6)</f>
        <v>46.6</v>
      </c>
      <c r="C950" s="1">
        <f>IFERROR(__xludf.DUMMYFUNCTION("""COMPUTED_VALUE"""),46.74)</f>
        <v>46.74</v>
      </c>
      <c r="D950" s="1">
        <f>IFERROR(__xludf.DUMMYFUNCTION("""COMPUTED_VALUE"""),45.91)</f>
        <v>45.91</v>
      </c>
      <c r="E950" s="1">
        <f>IFERROR(__xludf.DUMMYFUNCTION("""COMPUTED_VALUE"""),46.27)</f>
        <v>46.27</v>
      </c>
      <c r="F950" s="1">
        <f>IFERROR(__xludf.DUMMYFUNCTION("""COMPUTED_VALUE"""),1106844.0)</f>
        <v>1106844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IFERROR(__xludf.DUMMYFUNCTION("""COMPUTED_VALUE"""),46.82)</f>
        <v>46.82</v>
      </c>
      <c r="C951" s="1">
        <f>IFERROR(__xludf.DUMMYFUNCTION("""COMPUTED_VALUE"""),47.34)</f>
        <v>47.34</v>
      </c>
      <c r="D951" s="1">
        <f>IFERROR(__xludf.DUMMYFUNCTION("""COMPUTED_VALUE"""),46.69)</f>
        <v>46.69</v>
      </c>
      <c r="E951" s="1">
        <f>IFERROR(__xludf.DUMMYFUNCTION("""COMPUTED_VALUE"""),47.29)</f>
        <v>47.29</v>
      </c>
      <c r="F951" s="1">
        <f>IFERROR(__xludf.DUMMYFUNCTION("""COMPUTED_VALUE"""),1021170.0)</f>
        <v>1021170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IFERROR(__xludf.DUMMYFUNCTION("""COMPUTED_VALUE"""),47.34)</f>
        <v>47.34</v>
      </c>
      <c r="C952" s="1">
        <f>IFERROR(__xludf.DUMMYFUNCTION("""COMPUTED_VALUE"""),47.95)</f>
        <v>47.95</v>
      </c>
      <c r="D952" s="1">
        <f>IFERROR(__xludf.DUMMYFUNCTION("""COMPUTED_VALUE"""),47.02)</f>
        <v>47.02</v>
      </c>
      <c r="E952" s="1">
        <f>IFERROR(__xludf.DUMMYFUNCTION("""COMPUTED_VALUE"""),47.93)</f>
        <v>47.93</v>
      </c>
      <c r="F952" s="1">
        <f>IFERROR(__xludf.DUMMYFUNCTION("""COMPUTED_VALUE"""),1221845.0)</f>
        <v>1221845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IFERROR(__xludf.DUMMYFUNCTION("""COMPUTED_VALUE"""),47.47)</f>
        <v>47.47</v>
      </c>
      <c r="C953" s="1">
        <f>IFERROR(__xludf.DUMMYFUNCTION("""COMPUTED_VALUE"""),48.45)</f>
        <v>48.45</v>
      </c>
      <c r="D953" s="1">
        <f>IFERROR(__xludf.DUMMYFUNCTION("""COMPUTED_VALUE"""),47.47)</f>
        <v>47.47</v>
      </c>
      <c r="E953" s="1">
        <f>IFERROR(__xludf.DUMMYFUNCTION("""COMPUTED_VALUE"""),48.41)</f>
        <v>48.41</v>
      </c>
      <c r="F953" s="1">
        <f>IFERROR(__xludf.DUMMYFUNCTION("""COMPUTED_VALUE"""),1479934.0)</f>
        <v>1479934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IFERROR(__xludf.DUMMYFUNCTION("""COMPUTED_VALUE"""),48.25)</f>
        <v>48.25</v>
      </c>
      <c r="C954" s="1">
        <f>IFERROR(__xludf.DUMMYFUNCTION("""COMPUTED_VALUE"""),48.34)</f>
        <v>48.34</v>
      </c>
      <c r="D954" s="1">
        <f>IFERROR(__xludf.DUMMYFUNCTION("""COMPUTED_VALUE"""),47.35)</f>
        <v>47.35</v>
      </c>
      <c r="E954" s="1">
        <f>IFERROR(__xludf.DUMMYFUNCTION("""COMPUTED_VALUE"""),47.5)</f>
        <v>47.5</v>
      </c>
      <c r="F954" s="1">
        <f>IFERROR(__xludf.DUMMYFUNCTION("""COMPUTED_VALUE"""),1453963.0)</f>
        <v>1453963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IFERROR(__xludf.DUMMYFUNCTION("""COMPUTED_VALUE"""),48.01)</f>
        <v>48.01</v>
      </c>
      <c r="C955" s="1">
        <f>IFERROR(__xludf.DUMMYFUNCTION("""COMPUTED_VALUE"""),48.45)</f>
        <v>48.45</v>
      </c>
      <c r="D955" s="1">
        <f>IFERROR(__xludf.DUMMYFUNCTION("""COMPUTED_VALUE"""),47.72)</f>
        <v>47.72</v>
      </c>
      <c r="E955" s="1">
        <f>IFERROR(__xludf.DUMMYFUNCTION("""COMPUTED_VALUE"""),48.32)</f>
        <v>48.32</v>
      </c>
      <c r="F955" s="1">
        <f>IFERROR(__xludf.DUMMYFUNCTION("""COMPUTED_VALUE"""),1224332.0)</f>
        <v>1224332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IFERROR(__xludf.DUMMYFUNCTION("""COMPUTED_VALUE"""),48.11)</f>
        <v>48.11</v>
      </c>
      <c r="C956" s="1">
        <f>IFERROR(__xludf.DUMMYFUNCTION("""COMPUTED_VALUE"""),48.95)</f>
        <v>48.95</v>
      </c>
      <c r="D956" s="1">
        <f>IFERROR(__xludf.DUMMYFUNCTION("""COMPUTED_VALUE"""),48.03)</f>
        <v>48.03</v>
      </c>
      <c r="E956" s="1">
        <f>IFERROR(__xludf.DUMMYFUNCTION("""COMPUTED_VALUE"""),48.87)</f>
        <v>48.87</v>
      </c>
      <c r="F956" s="1">
        <f>IFERROR(__xludf.DUMMYFUNCTION("""COMPUTED_VALUE"""),1175899.0)</f>
        <v>1175899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IFERROR(__xludf.DUMMYFUNCTION("""COMPUTED_VALUE"""),49.02)</f>
        <v>49.02</v>
      </c>
      <c r="C957" s="1">
        <f>IFERROR(__xludf.DUMMYFUNCTION("""COMPUTED_VALUE"""),49.44)</f>
        <v>49.44</v>
      </c>
      <c r="D957" s="1">
        <f>IFERROR(__xludf.DUMMYFUNCTION("""COMPUTED_VALUE"""),48.66)</f>
        <v>48.66</v>
      </c>
      <c r="E957" s="1">
        <f>IFERROR(__xludf.DUMMYFUNCTION("""COMPUTED_VALUE"""),48.74)</f>
        <v>48.74</v>
      </c>
      <c r="F957" s="1">
        <f>IFERROR(__xludf.DUMMYFUNCTION("""COMPUTED_VALUE"""),1041494.0)</f>
        <v>1041494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IFERROR(__xludf.DUMMYFUNCTION("""COMPUTED_VALUE"""),48.54)</f>
        <v>48.54</v>
      </c>
      <c r="C958" s="1">
        <f>IFERROR(__xludf.DUMMYFUNCTION("""COMPUTED_VALUE"""),48.76)</f>
        <v>48.76</v>
      </c>
      <c r="D958" s="1">
        <f>IFERROR(__xludf.DUMMYFUNCTION("""COMPUTED_VALUE"""),47.98)</f>
        <v>47.98</v>
      </c>
      <c r="E958" s="1">
        <f>IFERROR(__xludf.DUMMYFUNCTION("""COMPUTED_VALUE"""),48.75)</f>
        <v>48.75</v>
      </c>
      <c r="F958" s="1">
        <f>IFERROR(__xludf.DUMMYFUNCTION("""COMPUTED_VALUE"""),1163845.0)</f>
        <v>1163845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IFERROR(__xludf.DUMMYFUNCTION("""COMPUTED_VALUE"""),48.87)</f>
        <v>48.87</v>
      </c>
      <c r="C959" s="1">
        <f>IFERROR(__xludf.DUMMYFUNCTION("""COMPUTED_VALUE"""),49.29)</f>
        <v>49.29</v>
      </c>
      <c r="D959" s="1">
        <f>IFERROR(__xludf.DUMMYFUNCTION("""COMPUTED_VALUE"""),48.2)</f>
        <v>48.2</v>
      </c>
      <c r="E959" s="1">
        <f>IFERROR(__xludf.DUMMYFUNCTION("""COMPUTED_VALUE"""),48.39)</f>
        <v>48.39</v>
      </c>
      <c r="F959" s="1">
        <f>IFERROR(__xludf.DUMMYFUNCTION("""COMPUTED_VALUE"""),896405.0)</f>
        <v>896405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IFERROR(__xludf.DUMMYFUNCTION("""COMPUTED_VALUE"""),48.07)</f>
        <v>48.07</v>
      </c>
      <c r="C960" s="1">
        <f>IFERROR(__xludf.DUMMYFUNCTION("""COMPUTED_VALUE"""),48.19)</f>
        <v>48.19</v>
      </c>
      <c r="D960" s="1">
        <f>IFERROR(__xludf.DUMMYFUNCTION("""COMPUTED_VALUE"""),47.11)</f>
        <v>47.11</v>
      </c>
      <c r="E960" s="1">
        <f>IFERROR(__xludf.DUMMYFUNCTION("""COMPUTED_VALUE"""),47.51)</f>
        <v>47.51</v>
      </c>
      <c r="F960" s="1">
        <f>IFERROR(__xludf.DUMMYFUNCTION("""COMPUTED_VALUE"""),1017003.0)</f>
        <v>1017003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IFERROR(__xludf.DUMMYFUNCTION("""COMPUTED_VALUE"""),47.5)</f>
        <v>47.5</v>
      </c>
      <c r="C961" s="1">
        <f>IFERROR(__xludf.DUMMYFUNCTION("""COMPUTED_VALUE"""),48.06)</f>
        <v>48.06</v>
      </c>
      <c r="D961" s="1">
        <f>IFERROR(__xludf.DUMMYFUNCTION("""COMPUTED_VALUE"""),47.4)</f>
        <v>47.4</v>
      </c>
      <c r="E961" s="1">
        <f>IFERROR(__xludf.DUMMYFUNCTION("""COMPUTED_VALUE"""),47.79)</f>
        <v>47.79</v>
      </c>
      <c r="F961" s="1">
        <f>IFERROR(__xludf.DUMMYFUNCTION("""COMPUTED_VALUE"""),869577.0)</f>
        <v>869577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IFERROR(__xludf.DUMMYFUNCTION("""COMPUTED_VALUE"""),47.8)</f>
        <v>47.8</v>
      </c>
      <c r="C962" s="1">
        <f>IFERROR(__xludf.DUMMYFUNCTION("""COMPUTED_VALUE"""),48.0)</f>
        <v>48</v>
      </c>
      <c r="D962" s="1">
        <f>IFERROR(__xludf.DUMMYFUNCTION("""COMPUTED_VALUE"""),47.29)</f>
        <v>47.29</v>
      </c>
      <c r="E962" s="1">
        <f>IFERROR(__xludf.DUMMYFUNCTION("""COMPUTED_VALUE"""),47.76)</f>
        <v>47.76</v>
      </c>
      <c r="F962" s="1">
        <f>IFERROR(__xludf.DUMMYFUNCTION("""COMPUTED_VALUE"""),865713.0)</f>
        <v>865713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IFERROR(__xludf.DUMMYFUNCTION("""COMPUTED_VALUE"""),47.75)</f>
        <v>47.75</v>
      </c>
      <c r="C963" s="1">
        <f>IFERROR(__xludf.DUMMYFUNCTION("""COMPUTED_VALUE"""),47.78)</f>
        <v>47.78</v>
      </c>
      <c r="D963" s="1">
        <f>IFERROR(__xludf.DUMMYFUNCTION("""COMPUTED_VALUE"""),47.18)</f>
        <v>47.18</v>
      </c>
      <c r="E963" s="1">
        <f>IFERROR(__xludf.DUMMYFUNCTION("""COMPUTED_VALUE"""),47.53)</f>
        <v>47.53</v>
      </c>
      <c r="F963" s="1">
        <f>IFERROR(__xludf.DUMMYFUNCTION("""COMPUTED_VALUE"""),1096226.0)</f>
        <v>1096226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IFERROR(__xludf.DUMMYFUNCTION("""COMPUTED_VALUE"""),47.66)</f>
        <v>47.66</v>
      </c>
      <c r="C964" s="1">
        <f>IFERROR(__xludf.DUMMYFUNCTION("""COMPUTED_VALUE"""),47.83)</f>
        <v>47.83</v>
      </c>
      <c r="D964" s="1">
        <f>IFERROR(__xludf.DUMMYFUNCTION("""COMPUTED_VALUE"""),47.02)</f>
        <v>47.02</v>
      </c>
      <c r="E964" s="1">
        <f>IFERROR(__xludf.DUMMYFUNCTION("""COMPUTED_VALUE"""),47.49)</f>
        <v>47.49</v>
      </c>
      <c r="F964" s="1">
        <f>IFERROR(__xludf.DUMMYFUNCTION("""COMPUTED_VALUE"""),890314.0)</f>
        <v>890314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IFERROR(__xludf.DUMMYFUNCTION("""COMPUTED_VALUE"""),47.61)</f>
        <v>47.61</v>
      </c>
      <c r="C965" s="1">
        <f>IFERROR(__xludf.DUMMYFUNCTION("""COMPUTED_VALUE"""),47.8)</f>
        <v>47.8</v>
      </c>
      <c r="D965" s="1">
        <f>IFERROR(__xludf.DUMMYFUNCTION("""COMPUTED_VALUE"""),46.95)</f>
        <v>46.95</v>
      </c>
      <c r="E965" s="1">
        <f>IFERROR(__xludf.DUMMYFUNCTION("""COMPUTED_VALUE"""),47.2)</f>
        <v>47.2</v>
      </c>
      <c r="F965" s="1">
        <f>IFERROR(__xludf.DUMMYFUNCTION("""COMPUTED_VALUE"""),894097.0)</f>
        <v>894097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IFERROR(__xludf.DUMMYFUNCTION("""COMPUTED_VALUE"""),47.13)</f>
        <v>47.13</v>
      </c>
      <c r="C966" s="1">
        <f>IFERROR(__xludf.DUMMYFUNCTION("""COMPUTED_VALUE"""),47.26)</f>
        <v>47.26</v>
      </c>
      <c r="D966" s="1">
        <f>IFERROR(__xludf.DUMMYFUNCTION("""COMPUTED_VALUE"""),46.55)</f>
        <v>46.55</v>
      </c>
      <c r="E966" s="1">
        <f>IFERROR(__xludf.DUMMYFUNCTION("""COMPUTED_VALUE"""),46.99)</f>
        <v>46.99</v>
      </c>
      <c r="F966" s="1">
        <f>IFERROR(__xludf.DUMMYFUNCTION("""COMPUTED_VALUE"""),1415822.0)</f>
        <v>1415822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IFERROR(__xludf.DUMMYFUNCTION("""COMPUTED_VALUE"""),47.01)</f>
        <v>47.01</v>
      </c>
      <c r="C967" s="1">
        <f>IFERROR(__xludf.DUMMYFUNCTION("""COMPUTED_VALUE"""),48.18)</f>
        <v>48.18</v>
      </c>
      <c r="D967" s="1">
        <f>IFERROR(__xludf.DUMMYFUNCTION("""COMPUTED_VALUE"""),47.01)</f>
        <v>47.01</v>
      </c>
      <c r="E967" s="1">
        <f>IFERROR(__xludf.DUMMYFUNCTION("""COMPUTED_VALUE"""),47.82)</f>
        <v>47.82</v>
      </c>
      <c r="F967" s="1">
        <f>IFERROR(__xludf.DUMMYFUNCTION("""COMPUTED_VALUE"""),1476831.0)</f>
        <v>1476831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IFERROR(__xludf.DUMMYFUNCTION("""COMPUTED_VALUE"""),48.05)</f>
        <v>48.05</v>
      </c>
      <c r="C968" s="1">
        <f>IFERROR(__xludf.DUMMYFUNCTION("""COMPUTED_VALUE"""),49.1)</f>
        <v>49.1</v>
      </c>
      <c r="D968" s="1">
        <f>IFERROR(__xludf.DUMMYFUNCTION("""COMPUTED_VALUE"""),48.0)</f>
        <v>48</v>
      </c>
      <c r="E968" s="1">
        <f>IFERROR(__xludf.DUMMYFUNCTION("""COMPUTED_VALUE"""),48.6)</f>
        <v>48.6</v>
      </c>
      <c r="F968" s="1">
        <f>IFERROR(__xludf.DUMMYFUNCTION("""COMPUTED_VALUE"""),1268673.0)</f>
        <v>1268673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IFERROR(__xludf.DUMMYFUNCTION("""COMPUTED_VALUE"""),48.21)</f>
        <v>48.21</v>
      </c>
      <c r="C969" s="1">
        <f>IFERROR(__xludf.DUMMYFUNCTION("""COMPUTED_VALUE"""),49.25)</f>
        <v>49.25</v>
      </c>
      <c r="D969" s="1">
        <f>IFERROR(__xludf.DUMMYFUNCTION("""COMPUTED_VALUE"""),48.13)</f>
        <v>48.13</v>
      </c>
      <c r="E969" s="1">
        <f>IFERROR(__xludf.DUMMYFUNCTION("""COMPUTED_VALUE"""),48.74)</f>
        <v>48.74</v>
      </c>
      <c r="F969" s="1">
        <f>IFERROR(__xludf.DUMMYFUNCTION("""COMPUTED_VALUE"""),1248311.0)</f>
        <v>1248311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IFERROR(__xludf.DUMMYFUNCTION("""COMPUTED_VALUE"""),48.89)</f>
        <v>48.89</v>
      </c>
      <c r="C970" s="1">
        <f>IFERROR(__xludf.DUMMYFUNCTION("""COMPUTED_VALUE"""),49.17)</f>
        <v>49.17</v>
      </c>
      <c r="D970" s="1">
        <f>IFERROR(__xludf.DUMMYFUNCTION("""COMPUTED_VALUE"""),48.32)</f>
        <v>48.32</v>
      </c>
      <c r="E970" s="1">
        <f>IFERROR(__xludf.DUMMYFUNCTION("""COMPUTED_VALUE"""),48.83)</f>
        <v>48.83</v>
      </c>
      <c r="F970" s="1">
        <f>IFERROR(__xludf.DUMMYFUNCTION("""COMPUTED_VALUE"""),788047.0)</f>
        <v>788047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IFERROR(__xludf.DUMMYFUNCTION("""COMPUTED_VALUE"""),49.12)</f>
        <v>49.12</v>
      </c>
      <c r="C971" s="1">
        <f>IFERROR(__xludf.DUMMYFUNCTION("""COMPUTED_VALUE"""),49.24)</f>
        <v>49.24</v>
      </c>
      <c r="D971" s="1">
        <f>IFERROR(__xludf.DUMMYFUNCTION("""COMPUTED_VALUE"""),47.46)</f>
        <v>47.46</v>
      </c>
      <c r="E971" s="1">
        <f>IFERROR(__xludf.DUMMYFUNCTION("""COMPUTED_VALUE"""),47.52)</f>
        <v>47.52</v>
      </c>
      <c r="F971" s="1">
        <f>IFERROR(__xludf.DUMMYFUNCTION("""COMPUTED_VALUE"""),1044904.0)</f>
        <v>1044904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IFERROR(__xludf.DUMMYFUNCTION("""COMPUTED_VALUE"""),47.46)</f>
        <v>47.46</v>
      </c>
      <c r="C972" s="1">
        <f>IFERROR(__xludf.DUMMYFUNCTION("""COMPUTED_VALUE"""),47.99)</f>
        <v>47.99</v>
      </c>
      <c r="D972" s="1">
        <f>IFERROR(__xludf.DUMMYFUNCTION("""COMPUTED_VALUE"""),47.27)</f>
        <v>47.27</v>
      </c>
      <c r="E972" s="1">
        <f>IFERROR(__xludf.DUMMYFUNCTION("""COMPUTED_VALUE"""),47.56)</f>
        <v>47.56</v>
      </c>
      <c r="F972" s="1">
        <f>IFERROR(__xludf.DUMMYFUNCTION("""COMPUTED_VALUE"""),1038395.0)</f>
        <v>1038395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IFERROR(__xludf.DUMMYFUNCTION("""COMPUTED_VALUE"""),47.46)</f>
        <v>47.46</v>
      </c>
      <c r="C973" s="1">
        <f>IFERROR(__xludf.DUMMYFUNCTION("""COMPUTED_VALUE"""),48.79)</f>
        <v>48.79</v>
      </c>
      <c r="D973" s="1">
        <f>IFERROR(__xludf.DUMMYFUNCTION("""COMPUTED_VALUE"""),47.17)</f>
        <v>47.17</v>
      </c>
      <c r="E973" s="1">
        <f>IFERROR(__xludf.DUMMYFUNCTION("""COMPUTED_VALUE"""),48.76)</f>
        <v>48.76</v>
      </c>
      <c r="F973" s="1">
        <f>IFERROR(__xludf.DUMMYFUNCTION("""COMPUTED_VALUE"""),1084360.0)</f>
        <v>1084360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IFERROR(__xludf.DUMMYFUNCTION("""COMPUTED_VALUE"""),48.62)</f>
        <v>48.62</v>
      </c>
      <c r="C974" s="1">
        <f>IFERROR(__xludf.DUMMYFUNCTION("""COMPUTED_VALUE"""),49.42)</f>
        <v>49.42</v>
      </c>
      <c r="D974" s="1">
        <f>IFERROR(__xludf.DUMMYFUNCTION("""COMPUTED_VALUE"""),48.46)</f>
        <v>48.46</v>
      </c>
      <c r="E974" s="1">
        <f>IFERROR(__xludf.DUMMYFUNCTION("""COMPUTED_VALUE"""),49.03)</f>
        <v>49.03</v>
      </c>
      <c r="F974" s="1">
        <f>IFERROR(__xludf.DUMMYFUNCTION("""COMPUTED_VALUE"""),1319767.0)</f>
        <v>1319767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IFERROR(__xludf.DUMMYFUNCTION("""COMPUTED_VALUE"""),48.82)</f>
        <v>48.82</v>
      </c>
      <c r="C975" s="1">
        <f>IFERROR(__xludf.DUMMYFUNCTION("""COMPUTED_VALUE"""),49.72)</f>
        <v>49.72</v>
      </c>
      <c r="D975" s="1">
        <f>IFERROR(__xludf.DUMMYFUNCTION("""COMPUTED_VALUE"""),48.63)</f>
        <v>48.63</v>
      </c>
      <c r="E975" s="1">
        <f>IFERROR(__xludf.DUMMYFUNCTION("""COMPUTED_VALUE"""),49.71)</f>
        <v>49.71</v>
      </c>
      <c r="F975" s="1">
        <f>IFERROR(__xludf.DUMMYFUNCTION("""COMPUTED_VALUE"""),1047094.0)</f>
        <v>1047094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IFERROR(__xludf.DUMMYFUNCTION("""COMPUTED_VALUE"""),49.68)</f>
        <v>49.68</v>
      </c>
      <c r="C976" s="1">
        <f>IFERROR(__xludf.DUMMYFUNCTION("""COMPUTED_VALUE"""),49.8)</f>
        <v>49.8</v>
      </c>
      <c r="D976" s="1">
        <f>IFERROR(__xludf.DUMMYFUNCTION("""COMPUTED_VALUE"""),49.11)</f>
        <v>49.11</v>
      </c>
      <c r="E976" s="1">
        <f>IFERROR(__xludf.DUMMYFUNCTION("""COMPUTED_VALUE"""),49.57)</f>
        <v>49.57</v>
      </c>
      <c r="F976" s="1">
        <f>IFERROR(__xludf.DUMMYFUNCTION("""COMPUTED_VALUE"""),731868.0)</f>
        <v>731868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IFERROR(__xludf.DUMMYFUNCTION("""COMPUTED_VALUE"""),49.51)</f>
        <v>49.51</v>
      </c>
      <c r="C977" s="1">
        <f>IFERROR(__xludf.DUMMYFUNCTION("""COMPUTED_VALUE"""),49.95)</f>
        <v>49.95</v>
      </c>
      <c r="D977" s="1">
        <f>IFERROR(__xludf.DUMMYFUNCTION("""COMPUTED_VALUE"""),49.37)</f>
        <v>49.37</v>
      </c>
      <c r="E977" s="1">
        <f>IFERROR(__xludf.DUMMYFUNCTION("""COMPUTED_VALUE"""),49.94)</f>
        <v>49.94</v>
      </c>
      <c r="F977" s="1">
        <f>IFERROR(__xludf.DUMMYFUNCTION("""COMPUTED_VALUE"""),1330179.0)</f>
        <v>1330179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IFERROR(__xludf.DUMMYFUNCTION("""COMPUTED_VALUE"""),50.0)</f>
        <v>50</v>
      </c>
      <c r="C978" s="1">
        <f>IFERROR(__xludf.DUMMYFUNCTION("""COMPUTED_VALUE"""),50.37)</f>
        <v>50.37</v>
      </c>
      <c r="D978" s="1">
        <f>IFERROR(__xludf.DUMMYFUNCTION("""COMPUTED_VALUE"""),49.01)</f>
        <v>49.01</v>
      </c>
      <c r="E978" s="1">
        <f>IFERROR(__xludf.DUMMYFUNCTION("""COMPUTED_VALUE"""),49.1)</f>
        <v>49.1</v>
      </c>
      <c r="F978" s="1">
        <f>IFERROR(__xludf.DUMMYFUNCTION("""COMPUTED_VALUE"""),1538788.0)</f>
        <v>1538788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IFERROR(__xludf.DUMMYFUNCTION("""COMPUTED_VALUE"""),49.1)</f>
        <v>49.1</v>
      </c>
      <c r="C979" s="1">
        <f>IFERROR(__xludf.DUMMYFUNCTION("""COMPUTED_VALUE"""),49.42)</f>
        <v>49.42</v>
      </c>
      <c r="D979" s="1">
        <f>IFERROR(__xludf.DUMMYFUNCTION("""COMPUTED_VALUE"""),48.58)</f>
        <v>48.58</v>
      </c>
      <c r="E979" s="1">
        <f>IFERROR(__xludf.DUMMYFUNCTION("""COMPUTED_VALUE"""),48.83)</f>
        <v>48.83</v>
      </c>
      <c r="F979" s="1">
        <f>IFERROR(__xludf.DUMMYFUNCTION("""COMPUTED_VALUE"""),1144617.0)</f>
        <v>1144617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IFERROR(__xludf.DUMMYFUNCTION("""COMPUTED_VALUE"""),48.84)</f>
        <v>48.84</v>
      </c>
      <c r="C980" s="1">
        <f>IFERROR(__xludf.DUMMYFUNCTION("""COMPUTED_VALUE"""),49.26)</f>
        <v>49.26</v>
      </c>
      <c r="D980" s="1">
        <f>IFERROR(__xludf.DUMMYFUNCTION("""COMPUTED_VALUE"""),48.48)</f>
        <v>48.48</v>
      </c>
      <c r="E980" s="1">
        <f>IFERROR(__xludf.DUMMYFUNCTION("""COMPUTED_VALUE"""),48.63)</f>
        <v>48.63</v>
      </c>
      <c r="F980" s="1">
        <f>IFERROR(__xludf.DUMMYFUNCTION("""COMPUTED_VALUE"""),1156793.0)</f>
        <v>1156793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IFERROR(__xludf.DUMMYFUNCTION("""COMPUTED_VALUE"""),48.9)</f>
        <v>48.9</v>
      </c>
      <c r="C981" s="1">
        <f>IFERROR(__xludf.DUMMYFUNCTION("""COMPUTED_VALUE"""),49.62)</f>
        <v>49.62</v>
      </c>
      <c r="D981" s="1">
        <f>IFERROR(__xludf.DUMMYFUNCTION("""COMPUTED_VALUE"""),48.66)</f>
        <v>48.66</v>
      </c>
      <c r="E981" s="1">
        <f>IFERROR(__xludf.DUMMYFUNCTION("""COMPUTED_VALUE"""),49.28)</f>
        <v>49.28</v>
      </c>
      <c r="F981" s="1">
        <f>IFERROR(__xludf.DUMMYFUNCTION("""COMPUTED_VALUE"""),1103652.0)</f>
        <v>1103652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IFERROR(__xludf.DUMMYFUNCTION("""COMPUTED_VALUE"""),49.3)</f>
        <v>49.3</v>
      </c>
      <c r="C982" s="1">
        <f>IFERROR(__xludf.DUMMYFUNCTION("""COMPUTED_VALUE"""),49.74)</f>
        <v>49.74</v>
      </c>
      <c r="D982" s="1">
        <f>IFERROR(__xludf.DUMMYFUNCTION("""COMPUTED_VALUE"""),49.1)</f>
        <v>49.1</v>
      </c>
      <c r="E982" s="1">
        <f>IFERROR(__xludf.DUMMYFUNCTION("""COMPUTED_VALUE"""),49.69)</f>
        <v>49.69</v>
      </c>
      <c r="F982" s="1">
        <f>IFERROR(__xludf.DUMMYFUNCTION("""COMPUTED_VALUE"""),925206.0)</f>
        <v>925206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IFERROR(__xludf.DUMMYFUNCTION("""COMPUTED_VALUE"""),50.0)</f>
        <v>50</v>
      </c>
      <c r="C983" s="1">
        <f>IFERROR(__xludf.DUMMYFUNCTION("""COMPUTED_VALUE"""),50.5)</f>
        <v>50.5</v>
      </c>
      <c r="D983" s="1">
        <f>IFERROR(__xludf.DUMMYFUNCTION("""COMPUTED_VALUE"""),49.95)</f>
        <v>49.95</v>
      </c>
      <c r="E983" s="1">
        <f>IFERROR(__xludf.DUMMYFUNCTION("""COMPUTED_VALUE"""),50.09)</f>
        <v>50.09</v>
      </c>
      <c r="F983" s="1">
        <f>IFERROR(__xludf.DUMMYFUNCTION("""COMPUTED_VALUE"""),978806.0)</f>
        <v>978806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IFERROR(__xludf.DUMMYFUNCTION("""COMPUTED_VALUE"""),50.01)</f>
        <v>50.01</v>
      </c>
      <c r="C984" s="1">
        <f>IFERROR(__xludf.DUMMYFUNCTION("""COMPUTED_VALUE"""),50.82)</f>
        <v>50.82</v>
      </c>
      <c r="D984" s="1">
        <f>IFERROR(__xludf.DUMMYFUNCTION("""COMPUTED_VALUE"""),49.96)</f>
        <v>49.96</v>
      </c>
      <c r="E984" s="1">
        <f>IFERROR(__xludf.DUMMYFUNCTION("""COMPUTED_VALUE"""),50.11)</f>
        <v>50.11</v>
      </c>
      <c r="F984" s="1">
        <f>IFERROR(__xludf.DUMMYFUNCTION("""COMPUTED_VALUE"""),1189635.0)</f>
        <v>1189635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IFERROR(__xludf.DUMMYFUNCTION("""COMPUTED_VALUE"""),50.33)</f>
        <v>50.33</v>
      </c>
      <c r="C985" s="1">
        <f>IFERROR(__xludf.DUMMYFUNCTION("""COMPUTED_VALUE"""),50.58)</f>
        <v>50.58</v>
      </c>
      <c r="D985" s="1">
        <f>IFERROR(__xludf.DUMMYFUNCTION("""COMPUTED_VALUE"""),50.14)</f>
        <v>50.14</v>
      </c>
      <c r="E985" s="1">
        <f>IFERROR(__xludf.DUMMYFUNCTION("""COMPUTED_VALUE"""),50.45)</f>
        <v>50.45</v>
      </c>
      <c r="F985" s="1">
        <f>IFERROR(__xludf.DUMMYFUNCTION("""COMPUTED_VALUE"""),527081.0)</f>
        <v>527081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IFERROR(__xludf.DUMMYFUNCTION("""COMPUTED_VALUE"""),50.64)</f>
        <v>50.64</v>
      </c>
      <c r="C986" s="1">
        <f>IFERROR(__xludf.DUMMYFUNCTION("""COMPUTED_VALUE"""),51.0)</f>
        <v>51</v>
      </c>
      <c r="D986" s="1">
        <f>IFERROR(__xludf.DUMMYFUNCTION("""COMPUTED_VALUE"""),50.26)</f>
        <v>50.26</v>
      </c>
      <c r="E986" s="1">
        <f>IFERROR(__xludf.DUMMYFUNCTION("""COMPUTED_VALUE"""),50.35)</f>
        <v>50.35</v>
      </c>
      <c r="F986" s="1">
        <f>IFERROR(__xludf.DUMMYFUNCTION("""COMPUTED_VALUE"""),542541.0)</f>
        <v>542541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IFERROR(__xludf.DUMMYFUNCTION("""COMPUTED_VALUE"""),50.39)</f>
        <v>50.39</v>
      </c>
      <c r="C987" s="1">
        <f>IFERROR(__xludf.DUMMYFUNCTION("""COMPUTED_VALUE"""),52.09)</f>
        <v>52.09</v>
      </c>
      <c r="D987" s="1">
        <f>IFERROR(__xludf.DUMMYFUNCTION("""COMPUTED_VALUE"""),50.1)</f>
        <v>50.1</v>
      </c>
      <c r="E987" s="1">
        <f>IFERROR(__xludf.DUMMYFUNCTION("""COMPUTED_VALUE"""),51.51)</f>
        <v>51.51</v>
      </c>
      <c r="F987" s="1">
        <f>IFERROR(__xludf.DUMMYFUNCTION("""COMPUTED_VALUE"""),1752118.0)</f>
        <v>1752118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IFERROR(__xludf.DUMMYFUNCTION("""COMPUTED_VALUE"""),51.3)</f>
        <v>51.3</v>
      </c>
      <c r="C988" s="1">
        <f>IFERROR(__xludf.DUMMYFUNCTION("""COMPUTED_VALUE"""),51.68)</f>
        <v>51.68</v>
      </c>
      <c r="D988" s="1">
        <f>IFERROR(__xludf.DUMMYFUNCTION("""COMPUTED_VALUE"""),50.69)</f>
        <v>50.69</v>
      </c>
      <c r="E988" s="1">
        <f>IFERROR(__xludf.DUMMYFUNCTION("""COMPUTED_VALUE"""),51.17)</f>
        <v>51.17</v>
      </c>
      <c r="F988" s="1">
        <f>IFERROR(__xludf.DUMMYFUNCTION("""COMPUTED_VALUE"""),1317185.0)</f>
        <v>1317185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IFERROR(__xludf.DUMMYFUNCTION("""COMPUTED_VALUE"""),51.0)</f>
        <v>51</v>
      </c>
      <c r="C989" s="1">
        <f>IFERROR(__xludf.DUMMYFUNCTION("""COMPUTED_VALUE"""),51.47)</f>
        <v>51.47</v>
      </c>
      <c r="D989" s="1">
        <f>IFERROR(__xludf.DUMMYFUNCTION("""COMPUTED_VALUE"""),50.12)</f>
        <v>50.12</v>
      </c>
      <c r="E989" s="1">
        <f>IFERROR(__xludf.DUMMYFUNCTION("""COMPUTED_VALUE"""),50.69)</f>
        <v>50.69</v>
      </c>
      <c r="F989" s="1">
        <f>IFERROR(__xludf.DUMMYFUNCTION("""COMPUTED_VALUE"""),1514565.0)</f>
        <v>1514565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IFERROR(__xludf.DUMMYFUNCTION("""COMPUTED_VALUE"""),50.7)</f>
        <v>50.7</v>
      </c>
      <c r="C990" s="1">
        <f>IFERROR(__xludf.DUMMYFUNCTION("""COMPUTED_VALUE"""),51.45)</f>
        <v>51.45</v>
      </c>
      <c r="D990" s="1">
        <f>IFERROR(__xludf.DUMMYFUNCTION("""COMPUTED_VALUE"""),50.44)</f>
        <v>50.44</v>
      </c>
      <c r="E990" s="1">
        <f>IFERROR(__xludf.DUMMYFUNCTION("""COMPUTED_VALUE"""),50.8)</f>
        <v>50.8</v>
      </c>
      <c r="F990" s="1">
        <f>IFERROR(__xludf.DUMMYFUNCTION("""COMPUTED_VALUE"""),936506.0)</f>
        <v>936506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IFERROR(__xludf.DUMMYFUNCTION("""COMPUTED_VALUE"""),51.4)</f>
        <v>51.4</v>
      </c>
      <c r="C991" s="1">
        <f>IFERROR(__xludf.DUMMYFUNCTION("""COMPUTED_VALUE"""),51.49)</f>
        <v>51.49</v>
      </c>
      <c r="D991" s="1">
        <f>IFERROR(__xludf.DUMMYFUNCTION("""COMPUTED_VALUE"""),50.55)</f>
        <v>50.55</v>
      </c>
      <c r="E991" s="1">
        <f>IFERROR(__xludf.DUMMYFUNCTION("""COMPUTED_VALUE"""),51.2)</f>
        <v>51.2</v>
      </c>
      <c r="F991" s="1">
        <f>IFERROR(__xludf.DUMMYFUNCTION("""COMPUTED_VALUE"""),1299450.0)</f>
        <v>1299450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IFERROR(__xludf.DUMMYFUNCTION("""COMPUTED_VALUE"""),51.48)</f>
        <v>51.48</v>
      </c>
      <c r="C992" s="1">
        <f>IFERROR(__xludf.DUMMYFUNCTION("""COMPUTED_VALUE"""),52.63)</f>
        <v>52.63</v>
      </c>
      <c r="D992" s="1">
        <f>IFERROR(__xludf.DUMMYFUNCTION("""COMPUTED_VALUE"""),51.27)</f>
        <v>51.27</v>
      </c>
      <c r="E992" s="1">
        <f>IFERROR(__xludf.DUMMYFUNCTION("""COMPUTED_VALUE"""),51.95)</f>
        <v>51.95</v>
      </c>
      <c r="F992" s="1">
        <f>IFERROR(__xludf.DUMMYFUNCTION("""COMPUTED_VALUE"""),1518280.0)</f>
        <v>1518280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IFERROR(__xludf.DUMMYFUNCTION("""COMPUTED_VALUE"""),51.94)</f>
        <v>51.94</v>
      </c>
      <c r="C993" s="1">
        <f>IFERROR(__xludf.DUMMYFUNCTION("""COMPUTED_VALUE"""),52.5)</f>
        <v>52.5</v>
      </c>
      <c r="D993" s="1">
        <f>IFERROR(__xludf.DUMMYFUNCTION("""COMPUTED_VALUE"""),51.87)</f>
        <v>51.87</v>
      </c>
      <c r="E993" s="1">
        <f>IFERROR(__xludf.DUMMYFUNCTION("""COMPUTED_VALUE"""),52.09)</f>
        <v>52.09</v>
      </c>
      <c r="F993" s="1">
        <f>IFERROR(__xludf.DUMMYFUNCTION("""COMPUTED_VALUE"""),1031856.0)</f>
        <v>1031856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IFERROR(__xludf.DUMMYFUNCTION("""COMPUTED_VALUE"""),52.07)</f>
        <v>52.07</v>
      </c>
      <c r="C994" s="1">
        <f>IFERROR(__xludf.DUMMYFUNCTION("""COMPUTED_VALUE"""),52.23)</f>
        <v>52.23</v>
      </c>
      <c r="D994" s="1">
        <f>IFERROR(__xludf.DUMMYFUNCTION("""COMPUTED_VALUE"""),51.17)</f>
        <v>51.17</v>
      </c>
      <c r="E994" s="1">
        <f>IFERROR(__xludf.DUMMYFUNCTION("""COMPUTED_VALUE"""),51.26)</f>
        <v>51.26</v>
      </c>
      <c r="F994" s="1">
        <f>IFERROR(__xludf.DUMMYFUNCTION("""COMPUTED_VALUE"""),996909.0)</f>
        <v>996909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IFERROR(__xludf.DUMMYFUNCTION("""COMPUTED_VALUE"""),51.26)</f>
        <v>51.26</v>
      </c>
      <c r="C995" s="1">
        <f>IFERROR(__xludf.DUMMYFUNCTION("""COMPUTED_VALUE"""),51.32)</f>
        <v>51.32</v>
      </c>
      <c r="D995" s="1">
        <f>IFERROR(__xludf.DUMMYFUNCTION("""COMPUTED_VALUE"""),50.76)</f>
        <v>50.76</v>
      </c>
      <c r="E995" s="1">
        <f>IFERROR(__xludf.DUMMYFUNCTION("""COMPUTED_VALUE"""),51.09)</f>
        <v>51.09</v>
      </c>
      <c r="F995" s="1">
        <f>IFERROR(__xludf.DUMMYFUNCTION("""COMPUTED_VALUE"""),965230.0)</f>
        <v>965230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IFERROR(__xludf.DUMMYFUNCTION("""COMPUTED_VALUE"""),51.17)</f>
        <v>51.17</v>
      </c>
      <c r="C996" s="1">
        <f>IFERROR(__xludf.DUMMYFUNCTION("""COMPUTED_VALUE"""),51.34)</f>
        <v>51.34</v>
      </c>
      <c r="D996" s="1">
        <f>IFERROR(__xludf.DUMMYFUNCTION("""COMPUTED_VALUE"""),50.78)</f>
        <v>50.78</v>
      </c>
      <c r="E996" s="1">
        <f>IFERROR(__xludf.DUMMYFUNCTION("""COMPUTED_VALUE"""),50.95)</f>
        <v>50.95</v>
      </c>
      <c r="F996" s="1">
        <f>IFERROR(__xludf.DUMMYFUNCTION("""COMPUTED_VALUE"""),606387.0)</f>
        <v>606387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IFERROR(__xludf.DUMMYFUNCTION("""COMPUTED_VALUE"""),51.16)</f>
        <v>51.16</v>
      </c>
      <c r="C997" s="1">
        <f>IFERROR(__xludf.DUMMYFUNCTION("""COMPUTED_VALUE"""),52.22)</f>
        <v>52.22</v>
      </c>
      <c r="D997" s="1">
        <f>IFERROR(__xludf.DUMMYFUNCTION("""COMPUTED_VALUE"""),51.16)</f>
        <v>51.16</v>
      </c>
      <c r="E997" s="1">
        <f>IFERROR(__xludf.DUMMYFUNCTION("""COMPUTED_VALUE"""),51.83)</f>
        <v>51.83</v>
      </c>
      <c r="F997" s="1">
        <f>IFERROR(__xludf.DUMMYFUNCTION("""COMPUTED_VALUE"""),1112876.0)</f>
        <v>1112876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IFERROR(__xludf.DUMMYFUNCTION("""COMPUTED_VALUE"""),51.93)</f>
        <v>51.93</v>
      </c>
      <c r="C998" s="1">
        <f>IFERROR(__xludf.DUMMYFUNCTION("""COMPUTED_VALUE"""),51.93)</f>
        <v>51.93</v>
      </c>
      <c r="D998" s="1">
        <f>IFERROR(__xludf.DUMMYFUNCTION("""COMPUTED_VALUE"""),51.32)</f>
        <v>51.32</v>
      </c>
      <c r="E998" s="1">
        <f>IFERROR(__xludf.DUMMYFUNCTION("""COMPUTED_VALUE"""),51.75)</f>
        <v>51.75</v>
      </c>
      <c r="F998" s="1">
        <f>IFERROR(__xludf.DUMMYFUNCTION("""COMPUTED_VALUE"""),895033.0)</f>
        <v>895033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IFERROR(__xludf.DUMMYFUNCTION("""COMPUTED_VALUE"""),51.73)</f>
        <v>51.73</v>
      </c>
      <c r="C999" s="1">
        <f>IFERROR(__xludf.DUMMYFUNCTION("""COMPUTED_VALUE"""),52.63)</f>
        <v>52.63</v>
      </c>
      <c r="D999" s="1">
        <f>IFERROR(__xludf.DUMMYFUNCTION("""COMPUTED_VALUE"""),51.28)</f>
        <v>51.28</v>
      </c>
      <c r="E999" s="1">
        <f>IFERROR(__xludf.DUMMYFUNCTION("""COMPUTED_VALUE"""),52.52)</f>
        <v>52.52</v>
      </c>
      <c r="F999" s="1">
        <f>IFERROR(__xludf.DUMMYFUNCTION("""COMPUTED_VALUE"""),1789050.0)</f>
        <v>1789050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IFERROR(__xludf.DUMMYFUNCTION("""COMPUTED_VALUE"""),52.51)</f>
        <v>52.51</v>
      </c>
      <c r="C1000" s="1">
        <f>IFERROR(__xludf.DUMMYFUNCTION("""COMPUTED_VALUE"""),53.08)</f>
        <v>53.08</v>
      </c>
      <c r="D1000" s="1">
        <f>IFERROR(__xludf.DUMMYFUNCTION("""COMPUTED_VALUE"""),52.21)</f>
        <v>52.21</v>
      </c>
      <c r="E1000" s="1">
        <f>IFERROR(__xludf.DUMMYFUNCTION("""COMPUTED_VALUE"""),53.05)</f>
        <v>53.05</v>
      </c>
      <c r="F1000" s="1">
        <f>IFERROR(__xludf.DUMMYFUNCTION("""COMPUTED_VALUE"""),1630676.0)</f>
        <v>1630676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IFERROR(__xludf.DUMMYFUNCTION("""COMPUTED_VALUE"""),50.25)</f>
        <v>50.25</v>
      </c>
      <c r="C1001" s="1">
        <f>IFERROR(__xludf.DUMMYFUNCTION("""COMPUTED_VALUE"""),50.67)</f>
        <v>50.67</v>
      </c>
      <c r="D1001" s="1">
        <f>IFERROR(__xludf.DUMMYFUNCTION("""COMPUTED_VALUE"""),47.52)</f>
        <v>47.52</v>
      </c>
      <c r="E1001" s="1">
        <f>IFERROR(__xludf.DUMMYFUNCTION("""COMPUTED_VALUE"""),48.08)</f>
        <v>48.08</v>
      </c>
      <c r="F1001" s="1">
        <f>IFERROR(__xludf.DUMMYFUNCTION("""COMPUTED_VALUE"""),8383475.0)</f>
        <v>8383475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IFERROR(__xludf.DUMMYFUNCTION("""COMPUTED_VALUE"""),48.46)</f>
        <v>48.46</v>
      </c>
      <c r="C1002" s="1">
        <f>IFERROR(__xludf.DUMMYFUNCTION("""COMPUTED_VALUE"""),48.66)</f>
        <v>48.66</v>
      </c>
      <c r="D1002" s="1">
        <f>IFERROR(__xludf.DUMMYFUNCTION("""COMPUTED_VALUE"""),47.28)</f>
        <v>47.28</v>
      </c>
      <c r="E1002" s="1">
        <f>IFERROR(__xludf.DUMMYFUNCTION("""COMPUTED_VALUE"""),47.44)</f>
        <v>47.44</v>
      </c>
      <c r="F1002" s="1">
        <f>IFERROR(__xludf.DUMMYFUNCTION("""COMPUTED_VALUE"""),3418770.0)</f>
        <v>3418770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IFERROR(__xludf.DUMMYFUNCTION("""COMPUTED_VALUE"""),47.71)</f>
        <v>47.71</v>
      </c>
      <c r="C1003" s="1">
        <f>IFERROR(__xludf.DUMMYFUNCTION("""COMPUTED_VALUE"""),47.82)</f>
        <v>47.82</v>
      </c>
      <c r="D1003" s="1">
        <f>IFERROR(__xludf.DUMMYFUNCTION("""COMPUTED_VALUE"""),46.9)</f>
        <v>46.9</v>
      </c>
      <c r="E1003" s="1">
        <f>IFERROR(__xludf.DUMMYFUNCTION("""COMPUTED_VALUE"""),47.6)</f>
        <v>47.6</v>
      </c>
      <c r="F1003" s="1">
        <f>IFERROR(__xludf.DUMMYFUNCTION("""COMPUTED_VALUE"""),1222753.0)</f>
        <v>1222753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IFERROR(__xludf.DUMMYFUNCTION("""COMPUTED_VALUE"""),47.79)</f>
        <v>47.79</v>
      </c>
      <c r="C1004" s="1">
        <f>IFERROR(__xludf.DUMMYFUNCTION("""COMPUTED_VALUE"""),48.15)</f>
        <v>48.15</v>
      </c>
      <c r="D1004" s="1">
        <f>IFERROR(__xludf.DUMMYFUNCTION("""COMPUTED_VALUE"""),47.37)</f>
        <v>47.37</v>
      </c>
      <c r="E1004" s="1">
        <f>IFERROR(__xludf.DUMMYFUNCTION("""COMPUTED_VALUE"""),47.47)</f>
        <v>47.47</v>
      </c>
      <c r="F1004" s="1">
        <f>IFERROR(__xludf.DUMMYFUNCTION("""COMPUTED_VALUE"""),1270883.0)</f>
        <v>1270883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IFERROR(__xludf.DUMMYFUNCTION("""COMPUTED_VALUE"""),47.49)</f>
        <v>47.49</v>
      </c>
      <c r="C1005" s="1">
        <f>IFERROR(__xludf.DUMMYFUNCTION("""COMPUTED_VALUE"""),47.49)</f>
        <v>47.49</v>
      </c>
      <c r="D1005" s="1">
        <f>IFERROR(__xludf.DUMMYFUNCTION("""COMPUTED_VALUE"""),46.8)</f>
        <v>46.8</v>
      </c>
      <c r="E1005" s="1">
        <f>IFERROR(__xludf.DUMMYFUNCTION("""COMPUTED_VALUE"""),46.93)</f>
        <v>46.93</v>
      </c>
      <c r="F1005" s="1">
        <f>IFERROR(__xludf.DUMMYFUNCTION("""COMPUTED_VALUE"""),1285959.0)</f>
        <v>1285959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IFERROR(__xludf.DUMMYFUNCTION("""COMPUTED_VALUE"""),46.92)</f>
        <v>46.92</v>
      </c>
      <c r="C1006" s="1">
        <f>IFERROR(__xludf.DUMMYFUNCTION("""COMPUTED_VALUE"""),47.27)</f>
        <v>47.27</v>
      </c>
      <c r="D1006" s="1">
        <f>IFERROR(__xludf.DUMMYFUNCTION("""COMPUTED_VALUE"""),46.61)</f>
        <v>46.61</v>
      </c>
      <c r="E1006" s="1">
        <f>IFERROR(__xludf.DUMMYFUNCTION("""COMPUTED_VALUE"""),47.1)</f>
        <v>47.1</v>
      </c>
      <c r="F1006" s="1">
        <f>IFERROR(__xludf.DUMMYFUNCTION("""COMPUTED_VALUE"""),1318028.0)</f>
        <v>1318028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IFERROR(__xludf.DUMMYFUNCTION("""COMPUTED_VALUE"""),47.1)</f>
        <v>47.1</v>
      </c>
      <c r="C1007" s="1">
        <f>IFERROR(__xludf.DUMMYFUNCTION("""COMPUTED_VALUE"""),47.24)</f>
        <v>47.24</v>
      </c>
      <c r="D1007" s="1">
        <f>IFERROR(__xludf.DUMMYFUNCTION("""COMPUTED_VALUE"""),46.68)</f>
        <v>46.68</v>
      </c>
      <c r="E1007" s="1">
        <f>IFERROR(__xludf.DUMMYFUNCTION("""COMPUTED_VALUE"""),47.02)</f>
        <v>47.02</v>
      </c>
      <c r="F1007" s="1">
        <f>IFERROR(__xludf.DUMMYFUNCTION("""COMPUTED_VALUE"""),1165103.0)</f>
        <v>1165103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IFERROR(__xludf.DUMMYFUNCTION("""COMPUTED_VALUE"""),47.02)</f>
        <v>47.02</v>
      </c>
      <c r="C1008" s="1">
        <f>IFERROR(__xludf.DUMMYFUNCTION("""COMPUTED_VALUE"""),47.25)</f>
        <v>47.25</v>
      </c>
      <c r="D1008" s="1">
        <f>IFERROR(__xludf.DUMMYFUNCTION("""COMPUTED_VALUE"""),46.57)</f>
        <v>46.57</v>
      </c>
      <c r="E1008" s="1">
        <f>IFERROR(__xludf.DUMMYFUNCTION("""COMPUTED_VALUE"""),46.9)</f>
        <v>46.9</v>
      </c>
      <c r="F1008" s="1">
        <f>IFERROR(__xludf.DUMMYFUNCTION("""COMPUTED_VALUE"""),1325121.0)</f>
        <v>1325121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IFERROR(__xludf.DUMMYFUNCTION("""COMPUTED_VALUE"""),46.84)</f>
        <v>46.84</v>
      </c>
      <c r="C1009" s="1">
        <f>IFERROR(__xludf.DUMMYFUNCTION("""COMPUTED_VALUE"""),46.91)</f>
        <v>46.91</v>
      </c>
      <c r="D1009" s="1">
        <f>IFERROR(__xludf.DUMMYFUNCTION("""COMPUTED_VALUE"""),46.11)</f>
        <v>46.11</v>
      </c>
      <c r="E1009" s="1">
        <f>IFERROR(__xludf.DUMMYFUNCTION("""COMPUTED_VALUE"""),46.44)</f>
        <v>46.44</v>
      </c>
      <c r="F1009" s="1">
        <f>IFERROR(__xludf.DUMMYFUNCTION("""COMPUTED_VALUE"""),1457796.0)</f>
        <v>1457796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IFERROR(__xludf.DUMMYFUNCTION("""COMPUTED_VALUE"""),46.55)</f>
        <v>46.55</v>
      </c>
      <c r="C1010" s="1">
        <f>IFERROR(__xludf.DUMMYFUNCTION("""COMPUTED_VALUE"""),46.63)</f>
        <v>46.63</v>
      </c>
      <c r="D1010" s="1">
        <f>IFERROR(__xludf.DUMMYFUNCTION("""COMPUTED_VALUE"""),45.56)</f>
        <v>45.56</v>
      </c>
      <c r="E1010" s="1">
        <f>IFERROR(__xludf.DUMMYFUNCTION("""COMPUTED_VALUE"""),45.81)</f>
        <v>45.81</v>
      </c>
      <c r="F1010" s="1">
        <f>IFERROR(__xludf.DUMMYFUNCTION("""COMPUTED_VALUE"""),2399414.0)</f>
        <v>2399414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IFERROR(__xludf.DUMMYFUNCTION("""COMPUTED_VALUE"""),46.44)</f>
        <v>46.44</v>
      </c>
      <c r="C1011" s="1">
        <f>IFERROR(__xludf.DUMMYFUNCTION("""COMPUTED_VALUE"""),46.45)</f>
        <v>46.45</v>
      </c>
      <c r="D1011" s="1">
        <f>IFERROR(__xludf.DUMMYFUNCTION("""COMPUTED_VALUE"""),44.63)</f>
        <v>44.63</v>
      </c>
      <c r="E1011" s="1">
        <f>IFERROR(__xludf.DUMMYFUNCTION("""COMPUTED_VALUE"""),45.34)</f>
        <v>45.34</v>
      </c>
      <c r="F1011" s="1">
        <f>IFERROR(__xludf.DUMMYFUNCTION("""COMPUTED_VALUE"""),4122684.0)</f>
        <v>4122684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IFERROR(__xludf.DUMMYFUNCTION("""COMPUTED_VALUE"""),45.22)</f>
        <v>45.22</v>
      </c>
      <c r="C1012" s="1">
        <f>IFERROR(__xludf.DUMMYFUNCTION("""COMPUTED_VALUE"""),45.39)</f>
        <v>45.39</v>
      </c>
      <c r="D1012" s="1">
        <f>IFERROR(__xludf.DUMMYFUNCTION("""COMPUTED_VALUE"""),44.7)</f>
        <v>44.7</v>
      </c>
      <c r="E1012" s="1">
        <f>IFERROR(__xludf.DUMMYFUNCTION("""COMPUTED_VALUE"""),45.25)</f>
        <v>45.25</v>
      </c>
      <c r="F1012" s="1">
        <f>IFERROR(__xludf.DUMMYFUNCTION("""COMPUTED_VALUE"""),2674569.0)</f>
        <v>2674569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IFERROR(__xludf.DUMMYFUNCTION("""COMPUTED_VALUE"""),45.35)</f>
        <v>45.35</v>
      </c>
      <c r="C1013" s="1">
        <f>IFERROR(__xludf.DUMMYFUNCTION("""COMPUTED_VALUE"""),45.7)</f>
        <v>45.7</v>
      </c>
      <c r="D1013" s="1">
        <f>IFERROR(__xludf.DUMMYFUNCTION("""COMPUTED_VALUE"""),44.97)</f>
        <v>44.97</v>
      </c>
      <c r="E1013" s="1">
        <f>IFERROR(__xludf.DUMMYFUNCTION("""COMPUTED_VALUE"""),45.1)</f>
        <v>45.1</v>
      </c>
      <c r="F1013" s="1">
        <f>IFERROR(__xludf.DUMMYFUNCTION("""COMPUTED_VALUE"""),2434251.0)</f>
        <v>2434251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IFERROR(__xludf.DUMMYFUNCTION("""COMPUTED_VALUE"""),45.1)</f>
        <v>45.1</v>
      </c>
      <c r="C1014" s="1">
        <f>IFERROR(__xludf.DUMMYFUNCTION("""COMPUTED_VALUE"""),46.1)</f>
        <v>46.1</v>
      </c>
      <c r="D1014" s="1">
        <f>IFERROR(__xludf.DUMMYFUNCTION("""COMPUTED_VALUE"""),44.63)</f>
        <v>44.63</v>
      </c>
      <c r="E1014" s="1">
        <f>IFERROR(__xludf.DUMMYFUNCTION("""COMPUTED_VALUE"""),45.97)</f>
        <v>45.97</v>
      </c>
      <c r="F1014" s="1">
        <f>IFERROR(__xludf.DUMMYFUNCTION("""COMPUTED_VALUE"""),4279740.0)</f>
        <v>4279740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IFERROR(__xludf.DUMMYFUNCTION("""COMPUTED_VALUE"""),45.7)</f>
        <v>45.7</v>
      </c>
      <c r="C1015" s="1">
        <f>IFERROR(__xludf.DUMMYFUNCTION("""COMPUTED_VALUE"""),45.97)</f>
        <v>45.97</v>
      </c>
      <c r="D1015" s="1">
        <f>IFERROR(__xludf.DUMMYFUNCTION("""COMPUTED_VALUE"""),45.12)</f>
        <v>45.12</v>
      </c>
      <c r="E1015" s="1">
        <f>IFERROR(__xludf.DUMMYFUNCTION("""COMPUTED_VALUE"""),45.22)</f>
        <v>45.22</v>
      </c>
      <c r="F1015" s="1">
        <f>IFERROR(__xludf.DUMMYFUNCTION("""COMPUTED_VALUE"""),2312135.0)</f>
        <v>2312135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IFERROR(__xludf.DUMMYFUNCTION("""COMPUTED_VALUE"""),45.46)</f>
        <v>45.46</v>
      </c>
      <c r="C1016" s="1">
        <f>IFERROR(__xludf.DUMMYFUNCTION("""COMPUTED_VALUE"""),46.05)</f>
        <v>46.05</v>
      </c>
      <c r="D1016" s="1">
        <f>IFERROR(__xludf.DUMMYFUNCTION("""COMPUTED_VALUE"""),45.39)</f>
        <v>45.39</v>
      </c>
      <c r="E1016" s="1">
        <f>IFERROR(__xludf.DUMMYFUNCTION("""COMPUTED_VALUE"""),45.67)</f>
        <v>45.67</v>
      </c>
      <c r="F1016" s="1">
        <f>IFERROR(__xludf.DUMMYFUNCTION("""COMPUTED_VALUE"""),1578956.0)</f>
        <v>1578956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IFERROR(__xludf.DUMMYFUNCTION("""COMPUTED_VALUE"""),45.7)</f>
        <v>45.7</v>
      </c>
      <c r="C1017" s="1">
        <f>IFERROR(__xludf.DUMMYFUNCTION("""COMPUTED_VALUE"""),45.77)</f>
        <v>45.77</v>
      </c>
      <c r="D1017" s="1">
        <f>IFERROR(__xludf.DUMMYFUNCTION("""COMPUTED_VALUE"""),44.77)</f>
        <v>44.77</v>
      </c>
      <c r="E1017" s="1">
        <f>IFERROR(__xludf.DUMMYFUNCTION("""COMPUTED_VALUE"""),44.86)</f>
        <v>44.86</v>
      </c>
      <c r="F1017" s="1">
        <f>IFERROR(__xludf.DUMMYFUNCTION("""COMPUTED_VALUE"""),2185781.0)</f>
        <v>2185781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IFERROR(__xludf.DUMMYFUNCTION("""COMPUTED_VALUE"""),44.74)</f>
        <v>44.74</v>
      </c>
      <c r="C1018" s="1">
        <f>IFERROR(__xludf.DUMMYFUNCTION("""COMPUTED_VALUE"""),44.94)</f>
        <v>44.94</v>
      </c>
      <c r="D1018" s="1">
        <f>IFERROR(__xludf.DUMMYFUNCTION("""COMPUTED_VALUE"""),43.9)</f>
        <v>43.9</v>
      </c>
      <c r="E1018" s="1">
        <f>IFERROR(__xludf.DUMMYFUNCTION("""COMPUTED_VALUE"""),44.66)</f>
        <v>44.66</v>
      </c>
      <c r="F1018" s="1">
        <f>IFERROR(__xludf.DUMMYFUNCTION("""COMPUTED_VALUE"""),3553422.0)</f>
        <v>3553422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IFERROR(__xludf.DUMMYFUNCTION("""COMPUTED_VALUE"""),44.78)</f>
        <v>44.78</v>
      </c>
      <c r="C1019" s="1">
        <f>IFERROR(__xludf.DUMMYFUNCTION("""COMPUTED_VALUE"""),45.31)</f>
        <v>45.31</v>
      </c>
      <c r="D1019" s="1">
        <f>IFERROR(__xludf.DUMMYFUNCTION("""COMPUTED_VALUE"""),44.68)</f>
        <v>44.68</v>
      </c>
      <c r="E1019" s="1">
        <f>IFERROR(__xludf.DUMMYFUNCTION("""COMPUTED_VALUE"""),45.19)</f>
        <v>45.19</v>
      </c>
      <c r="F1019" s="1">
        <f>IFERROR(__xludf.DUMMYFUNCTION("""COMPUTED_VALUE"""),2448611.0)</f>
        <v>2448611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IFERROR(__xludf.DUMMYFUNCTION("""COMPUTED_VALUE"""),45.25)</f>
        <v>45.25</v>
      </c>
      <c r="C1020" s="1">
        <f>IFERROR(__xludf.DUMMYFUNCTION("""COMPUTED_VALUE"""),45.47)</f>
        <v>45.47</v>
      </c>
      <c r="D1020" s="1">
        <f>IFERROR(__xludf.DUMMYFUNCTION("""COMPUTED_VALUE"""),44.82)</f>
        <v>44.82</v>
      </c>
      <c r="E1020" s="1">
        <f>IFERROR(__xludf.DUMMYFUNCTION("""COMPUTED_VALUE"""),45.03)</f>
        <v>45.03</v>
      </c>
      <c r="F1020" s="1">
        <f>IFERROR(__xludf.DUMMYFUNCTION("""COMPUTED_VALUE"""),1445163.0)</f>
        <v>1445163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IFERROR(__xludf.DUMMYFUNCTION("""COMPUTED_VALUE"""),45.03)</f>
        <v>45.03</v>
      </c>
      <c r="C1021" s="1">
        <f>IFERROR(__xludf.DUMMYFUNCTION("""COMPUTED_VALUE"""),45.2)</f>
        <v>45.2</v>
      </c>
      <c r="D1021" s="1">
        <f>IFERROR(__xludf.DUMMYFUNCTION("""COMPUTED_VALUE"""),44.65)</f>
        <v>44.65</v>
      </c>
      <c r="E1021" s="1">
        <f>IFERROR(__xludf.DUMMYFUNCTION("""COMPUTED_VALUE"""),44.93)</f>
        <v>44.93</v>
      </c>
      <c r="F1021" s="1">
        <f>IFERROR(__xludf.DUMMYFUNCTION("""COMPUTED_VALUE"""),1667954.0)</f>
        <v>1667954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IFERROR(__xludf.DUMMYFUNCTION("""COMPUTED_VALUE"""),44.75)</f>
        <v>44.75</v>
      </c>
      <c r="C1022" s="1">
        <f>IFERROR(__xludf.DUMMYFUNCTION("""COMPUTED_VALUE"""),45.01)</f>
        <v>45.01</v>
      </c>
      <c r="D1022" s="1">
        <f>IFERROR(__xludf.DUMMYFUNCTION("""COMPUTED_VALUE"""),44.57)</f>
        <v>44.57</v>
      </c>
      <c r="E1022" s="1">
        <f>IFERROR(__xludf.DUMMYFUNCTION("""COMPUTED_VALUE"""),44.77)</f>
        <v>44.77</v>
      </c>
      <c r="F1022" s="1">
        <f>IFERROR(__xludf.DUMMYFUNCTION("""COMPUTED_VALUE"""),3030668.0)</f>
        <v>3030668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IFERROR(__xludf.DUMMYFUNCTION("""COMPUTED_VALUE"""),44.44)</f>
        <v>44.44</v>
      </c>
      <c r="C1023" s="1">
        <f>IFERROR(__xludf.DUMMYFUNCTION("""COMPUTED_VALUE"""),44.76)</f>
        <v>44.76</v>
      </c>
      <c r="D1023" s="1">
        <f>IFERROR(__xludf.DUMMYFUNCTION("""COMPUTED_VALUE"""),44.33)</f>
        <v>44.33</v>
      </c>
      <c r="E1023" s="1">
        <f>IFERROR(__xludf.DUMMYFUNCTION("""COMPUTED_VALUE"""),44.57)</f>
        <v>44.57</v>
      </c>
      <c r="F1023" s="1">
        <f>IFERROR(__xludf.DUMMYFUNCTION("""COMPUTED_VALUE"""),2866786.0)</f>
        <v>2866786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IFERROR(__xludf.DUMMYFUNCTION("""COMPUTED_VALUE"""),44.58)</f>
        <v>44.58</v>
      </c>
      <c r="C1024" s="1">
        <f>IFERROR(__xludf.DUMMYFUNCTION("""COMPUTED_VALUE"""),44.97)</f>
        <v>44.97</v>
      </c>
      <c r="D1024" s="1">
        <f>IFERROR(__xludf.DUMMYFUNCTION("""COMPUTED_VALUE"""),44.38)</f>
        <v>44.38</v>
      </c>
      <c r="E1024" s="1">
        <f>IFERROR(__xludf.DUMMYFUNCTION("""COMPUTED_VALUE"""),44.81)</f>
        <v>44.81</v>
      </c>
      <c r="F1024" s="1">
        <f>IFERROR(__xludf.DUMMYFUNCTION("""COMPUTED_VALUE"""),2505156.0)</f>
        <v>2505156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IFERROR(__xludf.DUMMYFUNCTION("""COMPUTED_VALUE"""),44.72)</f>
        <v>44.72</v>
      </c>
      <c r="C1025" s="1">
        <f>IFERROR(__xludf.DUMMYFUNCTION("""COMPUTED_VALUE"""),45.06)</f>
        <v>45.06</v>
      </c>
      <c r="D1025" s="1">
        <f>IFERROR(__xludf.DUMMYFUNCTION("""COMPUTED_VALUE"""),44.66)</f>
        <v>44.66</v>
      </c>
      <c r="E1025" s="1">
        <f>IFERROR(__xludf.DUMMYFUNCTION("""COMPUTED_VALUE"""),44.95)</f>
        <v>44.95</v>
      </c>
      <c r="F1025" s="1">
        <f>IFERROR(__xludf.DUMMYFUNCTION("""COMPUTED_VALUE"""),1921323.0)</f>
        <v>1921323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IFERROR(__xludf.DUMMYFUNCTION("""COMPUTED_VALUE"""),44.76)</f>
        <v>44.76</v>
      </c>
      <c r="C1026" s="1">
        <f>IFERROR(__xludf.DUMMYFUNCTION("""COMPUTED_VALUE"""),45.12)</f>
        <v>45.12</v>
      </c>
      <c r="D1026" s="1">
        <f>IFERROR(__xludf.DUMMYFUNCTION("""COMPUTED_VALUE"""),44.68)</f>
        <v>44.68</v>
      </c>
      <c r="E1026" s="1">
        <f>IFERROR(__xludf.DUMMYFUNCTION("""COMPUTED_VALUE"""),44.73)</f>
        <v>44.73</v>
      </c>
      <c r="F1026" s="1">
        <f>IFERROR(__xludf.DUMMYFUNCTION("""COMPUTED_VALUE"""),3499897.0)</f>
        <v>3499897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IFERROR(__xludf.DUMMYFUNCTION("""COMPUTED_VALUE"""),44.97)</f>
        <v>44.97</v>
      </c>
      <c r="C1027" s="1">
        <f>IFERROR(__xludf.DUMMYFUNCTION("""COMPUTED_VALUE"""),45.19)</f>
        <v>45.19</v>
      </c>
      <c r="D1027" s="1">
        <f>IFERROR(__xludf.DUMMYFUNCTION("""COMPUTED_VALUE"""),44.77)</f>
        <v>44.77</v>
      </c>
      <c r="E1027" s="1">
        <f>IFERROR(__xludf.DUMMYFUNCTION("""COMPUTED_VALUE"""),45.05)</f>
        <v>45.05</v>
      </c>
      <c r="F1027" s="1">
        <f>IFERROR(__xludf.DUMMYFUNCTION("""COMPUTED_VALUE"""),1998881.0)</f>
        <v>1998881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IFERROR(__xludf.DUMMYFUNCTION("""COMPUTED_VALUE"""),44.51)</f>
        <v>44.51</v>
      </c>
      <c r="C1028" s="1">
        <f>IFERROR(__xludf.DUMMYFUNCTION("""COMPUTED_VALUE"""),45.36)</f>
        <v>45.36</v>
      </c>
      <c r="D1028" s="1">
        <f>IFERROR(__xludf.DUMMYFUNCTION("""COMPUTED_VALUE"""),44.5)</f>
        <v>44.5</v>
      </c>
      <c r="E1028" s="1">
        <f>IFERROR(__xludf.DUMMYFUNCTION("""COMPUTED_VALUE"""),45.11)</f>
        <v>45.11</v>
      </c>
      <c r="F1028" s="1">
        <f>IFERROR(__xludf.DUMMYFUNCTION("""COMPUTED_VALUE"""),1896937.0)</f>
        <v>1896937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IFERROR(__xludf.DUMMYFUNCTION("""COMPUTED_VALUE"""),45.37)</f>
        <v>45.37</v>
      </c>
      <c r="C1029" s="1">
        <f>IFERROR(__xludf.DUMMYFUNCTION("""COMPUTED_VALUE"""),46.9)</f>
        <v>46.9</v>
      </c>
      <c r="D1029" s="1">
        <f>IFERROR(__xludf.DUMMYFUNCTION("""COMPUTED_VALUE"""),45.29)</f>
        <v>45.29</v>
      </c>
      <c r="E1029" s="1">
        <f>IFERROR(__xludf.DUMMYFUNCTION("""COMPUTED_VALUE"""),45.76)</f>
        <v>45.76</v>
      </c>
      <c r="F1029" s="1">
        <f>IFERROR(__xludf.DUMMYFUNCTION("""COMPUTED_VALUE"""),5084520.0)</f>
        <v>5084520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IFERROR(__xludf.DUMMYFUNCTION("""COMPUTED_VALUE"""),45.83)</f>
        <v>45.83</v>
      </c>
      <c r="C1030" s="1">
        <f>IFERROR(__xludf.DUMMYFUNCTION("""COMPUTED_VALUE"""),46.1)</f>
        <v>46.1</v>
      </c>
      <c r="D1030" s="1">
        <f>IFERROR(__xludf.DUMMYFUNCTION("""COMPUTED_VALUE"""),45.43)</f>
        <v>45.43</v>
      </c>
      <c r="E1030" s="1">
        <f>IFERROR(__xludf.DUMMYFUNCTION("""COMPUTED_VALUE"""),45.7)</f>
        <v>45.7</v>
      </c>
      <c r="F1030" s="1">
        <f>IFERROR(__xludf.DUMMYFUNCTION("""COMPUTED_VALUE"""),1943261.0)</f>
        <v>1943261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IFERROR(__xludf.DUMMYFUNCTION("""COMPUTED_VALUE"""),45.38)</f>
        <v>45.38</v>
      </c>
      <c r="C1031" s="1">
        <f>IFERROR(__xludf.DUMMYFUNCTION("""COMPUTED_VALUE"""),46.32)</f>
        <v>46.32</v>
      </c>
      <c r="D1031" s="1">
        <f>IFERROR(__xludf.DUMMYFUNCTION("""COMPUTED_VALUE"""),45.1)</f>
        <v>45.1</v>
      </c>
      <c r="E1031" s="1">
        <f>IFERROR(__xludf.DUMMYFUNCTION("""COMPUTED_VALUE"""),46.2)</f>
        <v>46.2</v>
      </c>
      <c r="F1031" s="1">
        <f>IFERROR(__xludf.DUMMYFUNCTION("""COMPUTED_VALUE"""),1903198.0)</f>
        <v>1903198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IFERROR(__xludf.DUMMYFUNCTION("""COMPUTED_VALUE"""),46.09)</f>
        <v>46.09</v>
      </c>
      <c r="C1032" s="1">
        <f>IFERROR(__xludf.DUMMYFUNCTION("""COMPUTED_VALUE"""),47.23)</f>
        <v>47.23</v>
      </c>
      <c r="D1032" s="1">
        <f>IFERROR(__xludf.DUMMYFUNCTION("""COMPUTED_VALUE"""),45.93)</f>
        <v>45.93</v>
      </c>
      <c r="E1032" s="1">
        <f>IFERROR(__xludf.DUMMYFUNCTION("""COMPUTED_VALUE"""),47.15)</f>
        <v>47.15</v>
      </c>
      <c r="F1032" s="1">
        <f>IFERROR(__xludf.DUMMYFUNCTION("""COMPUTED_VALUE"""),2010700.0)</f>
        <v>2010700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IFERROR(__xludf.DUMMYFUNCTION("""COMPUTED_VALUE"""),47.22)</f>
        <v>47.22</v>
      </c>
      <c r="C1033" s="1">
        <f>IFERROR(__xludf.DUMMYFUNCTION("""COMPUTED_VALUE"""),47.55)</f>
        <v>47.55</v>
      </c>
      <c r="D1033" s="1">
        <f>IFERROR(__xludf.DUMMYFUNCTION("""COMPUTED_VALUE"""),47.07)</f>
        <v>47.07</v>
      </c>
      <c r="E1033" s="1">
        <f>IFERROR(__xludf.DUMMYFUNCTION("""COMPUTED_VALUE"""),47.54)</f>
        <v>47.54</v>
      </c>
      <c r="F1033" s="1">
        <f>IFERROR(__xludf.DUMMYFUNCTION("""COMPUTED_VALUE"""),1767623.0)</f>
        <v>1767623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IFERROR(__xludf.DUMMYFUNCTION("""COMPUTED_VALUE"""),47.42)</f>
        <v>47.42</v>
      </c>
      <c r="C1034" s="1">
        <f>IFERROR(__xludf.DUMMYFUNCTION("""COMPUTED_VALUE"""),47.54)</f>
        <v>47.54</v>
      </c>
      <c r="D1034" s="1">
        <f>IFERROR(__xludf.DUMMYFUNCTION("""COMPUTED_VALUE"""),46.91)</f>
        <v>46.91</v>
      </c>
      <c r="E1034" s="1">
        <f>IFERROR(__xludf.DUMMYFUNCTION("""COMPUTED_VALUE"""),47.22)</f>
        <v>47.22</v>
      </c>
      <c r="F1034" s="1">
        <f>IFERROR(__xludf.DUMMYFUNCTION("""COMPUTED_VALUE"""),1419807.0)</f>
        <v>1419807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IFERROR(__xludf.DUMMYFUNCTION("""COMPUTED_VALUE"""),47.04)</f>
        <v>47.04</v>
      </c>
      <c r="C1035" s="1">
        <f>IFERROR(__xludf.DUMMYFUNCTION("""COMPUTED_VALUE"""),47.65)</f>
        <v>47.65</v>
      </c>
      <c r="D1035" s="1">
        <f>IFERROR(__xludf.DUMMYFUNCTION("""COMPUTED_VALUE"""),47.02)</f>
        <v>47.02</v>
      </c>
      <c r="E1035" s="1">
        <f>IFERROR(__xludf.DUMMYFUNCTION("""COMPUTED_VALUE"""),47.52)</f>
        <v>47.52</v>
      </c>
      <c r="F1035" s="1">
        <f>IFERROR(__xludf.DUMMYFUNCTION("""COMPUTED_VALUE"""),1312994.0)</f>
        <v>1312994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IFERROR(__xludf.DUMMYFUNCTION("""COMPUTED_VALUE"""),47.52)</f>
        <v>47.52</v>
      </c>
      <c r="C1036" s="1">
        <f>IFERROR(__xludf.DUMMYFUNCTION("""COMPUTED_VALUE"""),47.72)</f>
        <v>47.72</v>
      </c>
      <c r="D1036" s="1">
        <f>IFERROR(__xludf.DUMMYFUNCTION("""COMPUTED_VALUE"""),46.9)</f>
        <v>46.9</v>
      </c>
      <c r="E1036" s="1">
        <f>IFERROR(__xludf.DUMMYFUNCTION("""COMPUTED_VALUE"""),47.02)</f>
        <v>47.02</v>
      </c>
      <c r="F1036" s="1">
        <f>IFERROR(__xludf.DUMMYFUNCTION("""COMPUTED_VALUE"""),958156.0)</f>
        <v>958156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IFERROR(__xludf.DUMMYFUNCTION("""COMPUTED_VALUE"""),46.79)</f>
        <v>46.79</v>
      </c>
      <c r="C1037" s="1">
        <f>IFERROR(__xludf.DUMMYFUNCTION("""COMPUTED_VALUE"""),47.44)</f>
        <v>47.44</v>
      </c>
      <c r="D1037" s="1">
        <f>IFERROR(__xludf.DUMMYFUNCTION("""COMPUTED_VALUE"""),46.43)</f>
        <v>46.43</v>
      </c>
      <c r="E1037" s="1">
        <f>IFERROR(__xludf.DUMMYFUNCTION("""COMPUTED_VALUE"""),47.36)</f>
        <v>47.36</v>
      </c>
      <c r="F1037" s="1">
        <f>IFERROR(__xludf.DUMMYFUNCTION("""COMPUTED_VALUE"""),1189444.0)</f>
        <v>1189444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IFERROR(__xludf.DUMMYFUNCTION("""COMPUTED_VALUE"""),47.22)</f>
        <v>47.22</v>
      </c>
      <c r="C1038" s="1">
        <f>IFERROR(__xludf.DUMMYFUNCTION("""COMPUTED_VALUE"""),47.61)</f>
        <v>47.61</v>
      </c>
      <c r="D1038" s="1">
        <f>IFERROR(__xludf.DUMMYFUNCTION("""COMPUTED_VALUE"""),47.17)</f>
        <v>47.17</v>
      </c>
      <c r="E1038" s="1">
        <f>IFERROR(__xludf.DUMMYFUNCTION("""COMPUTED_VALUE"""),47.29)</f>
        <v>47.29</v>
      </c>
      <c r="F1038" s="1">
        <f>IFERROR(__xludf.DUMMYFUNCTION("""COMPUTED_VALUE"""),923200.0)</f>
        <v>923200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IFERROR(__xludf.DUMMYFUNCTION("""COMPUTED_VALUE"""),47.29)</f>
        <v>47.29</v>
      </c>
      <c r="C1039" s="1">
        <f>IFERROR(__xludf.DUMMYFUNCTION("""COMPUTED_VALUE"""),47.64)</f>
        <v>47.64</v>
      </c>
      <c r="D1039" s="1">
        <f>IFERROR(__xludf.DUMMYFUNCTION("""COMPUTED_VALUE"""),47.08)</f>
        <v>47.08</v>
      </c>
      <c r="E1039" s="1">
        <f>IFERROR(__xludf.DUMMYFUNCTION("""COMPUTED_VALUE"""),47.23)</f>
        <v>47.23</v>
      </c>
      <c r="F1039" s="1">
        <f>IFERROR(__xludf.DUMMYFUNCTION("""COMPUTED_VALUE"""),1203307.0)</f>
        <v>1203307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IFERROR(__xludf.DUMMYFUNCTION("""COMPUTED_VALUE"""),47.38)</f>
        <v>47.38</v>
      </c>
      <c r="C1040" s="1">
        <f>IFERROR(__xludf.DUMMYFUNCTION("""COMPUTED_VALUE"""),48.0)</f>
        <v>48</v>
      </c>
      <c r="D1040" s="1">
        <f>IFERROR(__xludf.DUMMYFUNCTION("""COMPUTED_VALUE"""),47.34)</f>
        <v>47.34</v>
      </c>
      <c r="E1040" s="1">
        <f>IFERROR(__xludf.DUMMYFUNCTION("""COMPUTED_VALUE"""),47.37)</f>
        <v>47.37</v>
      </c>
      <c r="F1040" s="1">
        <f>IFERROR(__xludf.DUMMYFUNCTION("""COMPUTED_VALUE"""),1279812.0)</f>
        <v>1279812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IFERROR(__xludf.DUMMYFUNCTION("""COMPUTED_VALUE"""),47.39)</f>
        <v>47.39</v>
      </c>
      <c r="C1041" s="1">
        <f>IFERROR(__xludf.DUMMYFUNCTION("""COMPUTED_VALUE"""),47.71)</f>
        <v>47.71</v>
      </c>
      <c r="D1041" s="1">
        <f>IFERROR(__xludf.DUMMYFUNCTION("""COMPUTED_VALUE"""),46.9)</f>
        <v>46.9</v>
      </c>
      <c r="E1041" s="1">
        <f>IFERROR(__xludf.DUMMYFUNCTION("""COMPUTED_VALUE"""),47.33)</f>
        <v>47.33</v>
      </c>
      <c r="F1041" s="1">
        <f>IFERROR(__xludf.DUMMYFUNCTION("""COMPUTED_VALUE"""),1632260.0)</f>
        <v>1632260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IFERROR(__xludf.DUMMYFUNCTION("""COMPUTED_VALUE"""),47.24)</f>
        <v>47.24</v>
      </c>
      <c r="C1042" s="1">
        <f>IFERROR(__xludf.DUMMYFUNCTION("""COMPUTED_VALUE"""),47.37)</f>
        <v>47.37</v>
      </c>
      <c r="D1042" s="1">
        <f>IFERROR(__xludf.DUMMYFUNCTION("""COMPUTED_VALUE"""),46.89)</f>
        <v>46.89</v>
      </c>
      <c r="E1042" s="1">
        <f>IFERROR(__xludf.DUMMYFUNCTION("""COMPUTED_VALUE"""),47.05)</f>
        <v>47.05</v>
      </c>
      <c r="F1042" s="1">
        <f>IFERROR(__xludf.DUMMYFUNCTION("""COMPUTED_VALUE"""),1993561.0)</f>
        <v>1993561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IFERROR(__xludf.DUMMYFUNCTION("""COMPUTED_VALUE"""),47.05)</f>
        <v>47.05</v>
      </c>
      <c r="C1043" s="1">
        <f>IFERROR(__xludf.DUMMYFUNCTION("""COMPUTED_VALUE"""),48.08)</f>
        <v>48.08</v>
      </c>
      <c r="D1043" s="1">
        <f>IFERROR(__xludf.DUMMYFUNCTION("""COMPUTED_VALUE"""),47.05)</f>
        <v>47.05</v>
      </c>
      <c r="E1043" s="1">
        <f>IFERROR(__xludf.DUMMYFUNCTION("""COMPUTED_VALUE"""),47.89)</f>
        <v>47.89</v>
      </c>
      <c r="F1043" s="1">
        <f>IFERROR(__xludf.DUMMYFUNCTION("""COMPUTED_VALUE"""),1481510.0)</f>
        <v>1481510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IFERROR(__xludf.DUMMYFUNCTION("""COMPUTED_VALUE"""),47.9)</f>
        <v>47.9</v>
      </c>
      <c r="C1044" s="1">
        <f>IFERROR(__xludf.DUMMYFUNCTION("""COMPUTED_VALUE"""),48.41)</f>
        <v>48.41</v>
      </c>
      <c r="D1044" s="1">
        <f>IFERROR(__xludf.DUMMYFUNCTION("""COMPUTED_VALUE"""),47.79)</f>
        <v>47.79</v>
      </c>
      <c r="E1044" s="1">
        <f>IFERROR(__xludf.DUMMYFUNCTION("""COMPUTED_VALUE"""),48.18)</f>
        <v>48.18</v>
      </c>
      <c r="F1044" s="1">
        <f>IFERROR(__xludf.DUMMYFUNCTION("""COMPUTED_VALUE"""),1022765.0)</f>
        <v>1022765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IFERROR(__xludf.DUMMYFUNCTION("""COMPUTED_VALUE"""),48.26)</f>
        <v>48.26</v>
      </c>
      <c r="C1045" s="1">
        <f>IFERROR(__xludf.DUMMYFUNCTION("""COMPUTED_VALUE"""),48.58)</f>
        <v>48.58</v>
      </c>
      <c r="D1045" s="1">
        <f>IFERROR(__xludf.DUMMYFUNCTION("""COMPUTED_VALUE"""),47.9)</f>
        <v>47.9</v>
      </c>
      <c r="E1045" s="1">
        <f>IFERROR(__xludf.DUMMYFUNCTION("""COMPUTED_VALUE"""),48.29)</f>
        <v>48.29</v>
      </c>
      <c r="F1045" s="1">
        <f>IFERROR(__xludf.DUMMYFUNCTION("""COMPUTED_VALUE"""),1549634.0)</f>
        <v>1549634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IFERROR(__xludf.DUMMYFUNCTION("""COMPUTED_VALUE"""),47.99)</f>
        <v>47.99</v>
      </c>
      <c r="C1046" s="1">
        <f>IFERROR(__xludf.DUMMYFUNCTION("""COMPUTED_VALUE"""),48.69)</f>
        <v>48.69</v>
      </c>
      <c r="D1046" s="1">
        <f>IFERROR(__xludf.DUMMYFUNCTION("""COMPUTED_VALUE"""),47.86)</f>
        <v>47.86</v>
      </c>
      <c r="E1046" s="1">
        <f>IFERROR(__xludf.DUMMYFUNCTION("""COMPUTED_VALUE"""),48.68)</f>
        <v>48.68</v>
      </c>
      <c r="F1046" s="1">
        <f>IFERROR(__xludf.DUMMYFUNCTION("""COMPUTED_VALUE"""),1300696.0)</f>
        <v>1300696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IFERROR(__xludf.DUMMYFUNCTION("""COMPUTED_VALUE"""),48.63)</f>
        <v>48.63</v>
      </c>
      <c r="C1047" s="1">
        <f>IFERROR(__xludf.DUMMYFUNCTION("""COMPUTED_VALUE"""),48.75)</f>
        <v>48.75</v>
      </c>
      <c r="D1047" s="1">
        <f>IFERROR(__xludf.DUMMYFUNCTION("""COMPUTED_VALUE"""),48.1)</f>
        <v>48.1</v>
      </c>
      <c r="E1047" s="1">
        <f>IFERROR(__xludf.DUMMYFUNCTION("""COMPUTED_VALUE"""),48.43)</f>
        <v>48.43</v>
      </c>
      <c r="F1047" s="1">
        <f>IFERROR(__xludf.DUMMYFUNCTION("""COMPUTED_VALUE"""),920182.0)</f>
        <v>920182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IFERROR(__xludf.DUMMYFUNCTION("""COMPUTED_VALUE"""),47.96)</f>
        <v>47.96</v>
      </c>
      <c r="C1048" s="1">
        <f>IFERROR(__xludf.DUMMYFUNCTION("""COMPUTED_VALUE"""),48.32)</f>
        <v>48.32</v>
      </c>
      <c r="D1048" s="1">
        <f>IFERROR(__xludf.DUMMYFUNCTION("""COMPUTED_VALUE"""),47.69)</f>
        <v>47.69</v>
      </c>
      <c r="E1048" s="1">
        <f>IFERROR(__xludf.DUMMYFUNCTION("""COMPUTED_VALUE"""),48.13)</f>
        <v>48.13</v>
      </c>
      <c r="F1048" s="1">
        <f>IFERROR(__xludf.DUMMYFUNCTION("""COMPUTED_VALUE"""),821143.0)</f>
        <v>821143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IFERROR(__xludf.DUMMYFUNCTION("""COMPUTED_VALUE"""),48.64)</f>
        <v>48.64</v>
      </c>
      <c r="C1049" s="1">
        <f>IFERROR(__xludf.DUMMYFUNCTION("""COMPUTED_VALUE"""),49.44)</f>
        <v>49.44</v>
      </c>
      <c r="D1049" s="1">
        <f>IFERROR(__xludf.DUMMYFUNCTION("""COMPUTED_VALUE"""),48.64)</f>
        <v>48.64</v>
      </c>
      <c r="E1049" s="1">
        <f>IFERROR(__xludf.DUMMYFUNCTION("""COMPUTED_VALUE"""),49.43)</f>
        <v>49.43</v>
      </c>
      <c r="F1049" s="1">
        <f>IFERROR(__xludf.DUMMYFUNCTION("""COMPUTED_VALUE"""),1423916.0)</f>
        <v>1423916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IFERROR(__xludf.DUMMYFUNCTION("""COMPUTED_VALUE"""),49.31)</f>
        <v>49.31</v>
      </c>
      <c r="C1050" s="1">
        <f>IFERROR(__xludf.DUMMYFUNCTION("""COMPUTED_VALUE"""),49.68)</f>
        <v>49.68</v>
      </c>
      <c r="D1050" s="1">
        <f>IFERROR(__xludf.DUMMYFUNCTION("""COMPUTED_VALUE"""),48.95)</f>
        <v>48.95</v>
      </c>
      <c r="E1050" s="1">
        <f>IFERROR(__xludf.DUMMYFUNCTION("""COMPUTED_VALUE"""),49.1)</f>
        <v>49.1</v>
      </c>
      <c r="F1050" s="1">
        <f>IFERROR(__xludf.DUMMYFUNCTION("""COMPUTED_VALUE"""),1308489.0)</f>
        <v>1308489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IFERROR(__xludf.DUMMYFUNCTION("""COMPUTED_VALUE"""),49.15)</f>
        <v>49.15</v>
      </c>
      <c r="C1051" s="1">
        <f>IFERROR(__xludf.DUMMYFUNCTION("""COMPUTED_VALUE"""),49.24)</f>
        <v>49.24</v>
      </c>
      <c r="D1051" s="1">
        <f>IFERROR(__xludf.DUMMYFUNCTION("""COMPUTED_VALUE"""),48.65)</f>
        <v>48.65</v>
      </c>
      <c r="E1051" s="1">
        <f>IFERROR(__xludf.DUMMYFUNCTION("""COMPUTED_VALUE"""),48.95)</f>
        <v>48.95</v>
      </c>
      <c r="F1051" s="1">
        <f>IFERROR(__xludf.DUMMYFUNCTION("""COMPUTED_VALUE"""),1818666.0)</f>
        <v>1818666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IFERROR(__xludf.DUMMYFUNCTION("""COMPUTED_VALUE"""),49.11)</f>
        <v>49.11</v>
      </c>
      <c r="C1052" s="1">
        <f>IFERROR(__xludf.DUMMYFUNCTION("""COMPUTED_VALUE"""),49.43)</f>
        <v>49.43</v>
      </c>
      <c r="D1052" s="1">
        <f>IFERROR(__xludf.DUMMYFUNCTION("""COMPUTED_VALUE"""),48.39)</f>
        <v>48.39</v>
      </c>
      <c r="E1052" s="1">
        <f>IFERROR(__xludf.DUMMYFUNCTION("""COMPUTED_VALUE"""),48.6)</f>
        <v>48.6</v>
      </c>
      <c r="F1052" s="1">
        <f>IFERROR(__xludf.DUMMYFUNCTION("""COMPUTED_VALUE"""),1796834.0)</f>
        <v>1796834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IFERROR(__xludf.DUMMYFUNCTION("""COMPUTED_VALUE"""),48.6)</f>
        <v>48.6</v>
      </c>
      <c r="C1053" s="1">
        <f>IFERROR(__xludf.DUMMYFUNCTION("""COMPUTED_VALUE"""),49.05)</f>
        <v>49.05</v>
      </c>
      <c r="D1053" s="1">
        <f>IFERROR(__xludf.DUMMYFUNCTION("""COMPUTED_VALUE"""),48.31)</f>
        <v>48.31</v>
      </c>
      <c r="E1053" s="1">
        <f>IFERROR(__xludf.DUMMYFUNCTION("""COMPUTED_VALUE"""),48.84)</f>
        <v>48.84</v>
      </c>
      <c r="F1053" s="1">
        <f>IFERROR(__xludf.DUMMYFUNCTION("""COMPUTED_VALUE"""),1879103.0)</f>
        <v>1879103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IFERROR(__xludf.DUMMYFUNCTION("""COMPUTED_VALUE"""),48.89)</f>
        <v>48.89</v>
      </c>
      <c r="C1054" s="1">
        <f>IFERROR(__xludf.DUMMYFUNCTION("""COMPUTED_VALUE"""),49.04)</f>
        <v>49.04</v>
      </c>
      <c r="D1054" s="1">
        <f>IFERROR(__xludf.DUMMYFUNCTION("""COMPUTED_VALUE"""),48.48)</f>
        <v>48.48</v>
      </c>
      <c r="E1054" s="1">
        <f>IFERROR(__xludf.DUMMYFUNCTION("""COMPUTED_VALUE"""),48.53)</f>
        <v>48.53</v>
      </c>
      <c r="F1054" s="1">
        <f>IFERROR(__xludf.DUMMYFUNCTION("""COMPUTED_VALUE"""),1779651.0)</f>
        <v>1779651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IFERROR(__xludf.DUMMYFUNCTION("""COMPUTED_VALUE"""),47.74)</f>
        <v>47.74</v>
      </c>
      <c r="C1055" s="1">
        <f>IFERROR(__xludf.DUMMYFUNCTION("""COMPUTED_VALUE"""),48.25)</f>
        <v>48.25</v>
      </c>
      <c r="D1055" s="1">
        <f>IFERROR(__xludf.DUMMYFUNCTION("""COMPUTED_VALUE"""),47.36)</f>
        <v>47.36</v>
      </c>
      <c r="E1055" s="1">
        <f>IFERROR(__xludf.DUMMYFUNCTION("""COMPUTED_VALUE"""),47.64)</f>
        <v>47.64</v>
      </c>
      <c r="F1055" s="1">
        <f>IFERROR(__xludf.DUMMYFUNCTION("""COMPUTED_VALUE"""),2333764.0)</f>
        <v>2333764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IFERROR(__xludf.DUMMYFUNCTION("""COMPUTED_VALUE"""),47.87)</f>
        <v>47.87</v>
      </c>
      <c r="C1056" s="1">
        <f>IFERROR(__xludf.DUMMYFUNCTION("""COMPUTED_VALUE"""),48.15)</f>
        <v>48.15</v>
      </c>
      <c r="D1056" s="1">
        <f>IFERROR(__xludf.DUMMYFUNCTION("""COMPUTED_VALUE"""),46.94)</f>
        <v>46.94</v>
      </c>
      <c r="E1056" s="1">
        <f>IFERROR(__xludf.DUMMYFUNCTION("""COMPUTED_VALUE"""),47.14)</f>
        <v>47.14</v>
      </c>
      <c r="F1056" s="1">
        <f>IFERROR(__xludf.DUMMYFUNCTION("""COMPUTED_VALUE"""),1183254.0)</f>
        <v>1183254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IFERROR(__xludf.DUMMYFUNCTION("""COMPUTED_VALUE"""),47.09)</f>
        <v>47.09</v>
      </c>
      <c r="C1057" s="1">
        <f>IFERROR(__xludf.DUMMYFUNCTION("""COMPUTED_VALUE"""),47.39)</f>
        <v>47.39</v>
      </c>
      <c r="D1057" s="1">
        <f>IFERROR(__xludf.DUMMYFUNCTION("""COMPUTED_VALUE"""),46.89)</f>
        <v>46.89</v>
      </c>
      <c r="E1057" s="1">
        <f>IFERROR(__xludf.DUMMYFUNCTION("""COMPUTED_VALUE"""),47.21)</f>
        <v>47.21</v>
      </c>
      <c r="F1057" s="1">
        <f>IFERROR(__xludf.DUMMYFUNCTION("""COMPUTED_VALUE"""),1544388.0)</f>
        <v>1544388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IFERROR(__xludf.DUMMYFUNCTION("""COMPUTED_VALUE"""),47.48)</f>
        <v>47.48</v>
      </c>
      <c r="C1058" s="1">
        <f>IFERROR(__xludf.DUMMYFUNCTION("""COMPUTED_VALUE"""),47.79)</f>
        <v>47.79</v>
      </c>
      <c r="D1058" s="1">
        <f>IFERROR(__xludf.DUMMYFUNCTION("""COMPUTED_VALUE"""),47.36)</f>
        <v>47.36</v>
      </c>
      <c r="E1058" s="1">
        <f>IFERROR(__xludf.DUMMYFUNCTION("""COMPUTED_VALUE"""),47.56)</f>
        <v>47.56</v>
      </c>
      <c r="F1058" s="1">
        <f>IFERROR(__xludf.DUMMYFUNCTION("""COMPUTED_VALUE"""),941503.0)</f>
        <v>941503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IFERROR(__xludf.DUMMYFUNCTION("""COMPUTED_VALUE"""),47.55)</f>
        <v>47.55</v>
      </c>
      <c r="C1059" s="1">
        <f>IFERROR(__xludf.DUMMYFUNCTION("""COMPUTED_VALUE"""),48.01)</f>
        <v>48.01</v>
      </c>
      <c r="D1059" s="1">
        <f>IFERROR(__xludf.DUMMYFUNCTION("""COMPUTED_VALUE"""),47.53)</f>
        <v>47.53</v>
      </c>
      <c r="E1059" s="1">
        <f>IFERROR(__xludf.DUMMYFUNCTION("""COMPUTED_VALUE"""),47.91)</f>
        <v>47.91</v>
      </c>
      <c r="F1059" s="1">
        <f>IFERROR(__xludf.DUMMYFUNCTION("""COMPUTED_VALUE"""),841229.0)</f>
        <v>841229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IFERROR(__xludf.DUMMYFUNCTION("""COMPUTED_VALUE"""),48.01)</f>
        <v>48.01</v>
      </c>
      <c r="C1060" s="1">
        <f>IFERROR(__xludf.DUMMYFUNCTION("""COMPUTED_VALUE"""),48.29)</f>
        <v>48.29</v>
      </c>
      <c r="D1060" s="1">
        <f>IFERROR(__xludf.DUMMYFUNCTION("""COMPUTED_VALUE"""),47.02)</f>
        <v>47.02</v>
      </c>
      <c r="E1060" s="1">
        <f>IFERROR(__xludf.DUMMYFUNCTION("""COMPUTED_VALUE"""),47.35)</f>
        <v>47.35</v>
      </c>
      <c r="F1060" s="1">
        <f>IFERROR(__xludf.DUMMYFUNCTION("""COMPUTED_VALUE"""),1037336.0)</f>
        <v>1037336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IFERROR(__xludf.DUMMYFUNCTION("""COMPUTED_VALUE"""),46.99)</f>
        <v>46.99</v>
      </c>
      <c r="C1061" s="1">
        <f>IFERROR(__xludf.DUMMYFUNCTION("""COMPUTED_VALUE"""),47.54)</f>
        <v>47.54</v>
      </c>
      <c r="D1061" s="1">
        <f>IFERROR(__xludf.DUMMYFUNCTION("""COMPUTED_VALUE"""),46.93)</f>
        <v>46.93</v>
      </c>
      <c r="E1061" s="1">
        <f>IFERROR(__xludf.DUMMYFUNCTION("""COMPUTED_VALUE"""),47.39)</f>
        <v>47.39</v>
      </c>
      <c r="F1061" s="1">
        <f>IFERROR(__xludf.DUMMYFUNCTION("""COMPUTED_VALUE"""),930330.0)</f>
        <v>930330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IFERROR(__xludf.DUMMYFUNCTION("""COMPUTED_VALUE"""),47.73)</f>
        <v>47.73</v>
      </c>
      <c r="C1062" s="1">
        <f>IFERROR(__xludf.DUMMYFUNCTION("""COMPUTED_VALUE"""),48.55)</f>
        <v>48.55</v>
      </c>
      <c r="D1062" s="1">
        <f>IFERROR(__xludf.DUMMYFUNCTION("""COMPUTED_VALUE"""),47.55)</f>
        <v>47.55</v>
      </c>
      <c r="E1062" s="1">
        <f>IFERROR(__xludf.DUMMYFUNCTION("""COMPUTED_VALUE"""),48.42)</f>
        <v>48.42</v>
      </c>
      <c r="F1062" s="1">
        <f>IFERROR(__xludf.DUMMYFUNCTION("""COMPUTED_VALUE"""),1988816.0)</f>
        <v>1988816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IFERROR(__xludf.DUMMYFUNCTION("""COMPUTED_VALUE"""),48.5)</f>
        <v>48.5</v>
      </c>
      <c r="C1063" s="1">
        <f>IFERROR(__xludf.DUMMYFUNCTION("""COMPUTED_VALUE"""),48.67)</f>
        <v>48.67</v>
      </c>
      <c r="D1063" s="1">
        <f>IFERROR(__xludf.DUMMYFUNCTION("""COMPUTED_VALUE"""),47.31)</f>
        <v>47.31</v>
      </c>
      <c r="E1063" s="1">
        <f>IFERROR(__xludf.DUMMYFUNCTION("""COMPUTED_VALUE"""),47.52)</f>
        <v>47.52</v>
      </c>
      <c r="F1063" s="1">
        <f>IFERROR(__xludf.DUMMYFUNCTION("""COMPUTED_VALUE"""),1183705.0)</f>
        <v>1183705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IFERROR(__xludf.DUMMYFUNCTION("""COMPUTED_VALUE"""),47.73)</f>
        <v>47.73</v>
      </c>
      <c r="C1064" s="1">
        <f>IFERROR(__xludf.DUMMYFUNCTION("""COMPUTED_VALUE"""),47.77)</f>
        <v>47.77</v>
      </c>
      <c r="D1064" s="1">
        <f>IFERROR(__xludf.DUMMYFUNCTION("""COMPUTED_VALUE"""),46.41)</f>
        <v>46.41</v>
      </c>
      <c r="E1064" s="1">
        <f>IFERROR(__xludf.DUMMYFUNCTION("""COMPUTED_VALUE"""),46.54)</f>
        <v>46.54</v>
      </c>
      <c r="F1064" s="1">
        <f>IFERROR(__xludf.DUMMYFUNCTION("""COMPUTED_VALUE"""),1447825.0)</f>
        <v>1447825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IFERROR(__xludf.DUMMYFUNCTION("""COMPUTED_VALUE"""),46.65)</f>
        <v>46.65</v>
      </c>
      <c r="C1065" s="1">
        <f>IFERROR(__xludf.DUMMYFUNCTION("""COMPUTED_VALUE"""),46.66)</f>
        <v>46.66</v>
      </c>
      <c r="D1065" s="1">
        <f>IFERROR(__xludf.DUMMYFUNCTION("""COMPUTED_VALUE"""),45.13)</f>
        <v>45.13</v>
      </c>
      <c r="E1065" s="1">
        <f>IFERROR(__xludf.DUMMYFUNCTION("""COMPUTED_VALUE"""),45.32)</f>
        <v>45.32</v>
      </c>
      <c r="F1065" s="1">
        <f>IFERROR(__xludf.DUMMYFUNCTION("""COMPUTED_VALUE"""),2600089.0)</f>
        <v>2600089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IFERROR(__xludf.DUMMYFUNCTION("""COMPUTED_VALUE"""),45.37)</f>
        <v>45.37</v>
      </c>
      <c r="C1066" s="1">
        <f>IFERROR(__xludf.DUMMYFUNCTION("""COMPUTED_VALUE"""),45.56)</f>
        <v>45.56</v>
      </c>
      <c r="D1066" s="1">
        <f>IFERROR(__xludf.DUMMYFUNCTION("""COMPUTED_VALUE"""),44.9)</f>
        <v>44.9</v>
      </c>
      <c r="E1066" s="1">
        <f>IFERROR(__xludf.DUMMYFUNCTION("""COMPUTED_VALUE"""),45.45)</f>
        <v>45.45</v>
      </c>
      <c r="F1066" s="1">
        <f>IFERROR(__xludf.DUMMYFUNCTION("""COMPUTED_VALUE"""),1582500.0)</f>
        <v>1582500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IFERROR(__xludf.DUMMYFUNCTION("""COMPUTED_VALUE"""),45.49)</f>
        <v>45.49</v>
      </c>
      <c r="C1067" s="1">
        <f>IFERROR(__xludf.DUMMYFUNCTION("""COMPUTED_VALUE"""),46.02)</f>
        <v>46.02</v>
      </c>
      <c r="D1067" s="1">
        <f>IFERROR(__xludf.DUMMYFUNCTION("""COMPUTED_VALUE"""),45.41)</f>
        <v>45.41</v>
      </c>
      <c r="E1067" s="1">
        <f>IFERROR(__xludf.DUMMYFUNCTION("""COMPUTED_VALUE"""),45.67)</f>
        <v>45.67</v>
      </c>
      <c r="F1067" s="1">
        <f>IFERROR(__xludf.DUMMYFUNCTION("""COMPUTED_VALUE"""),1101425.0)</f>
        <v>1101425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IFERROR(__xludf.DUMMYFUNCTION("""COMPUTED_VALUE"""),45.81)</f>
        <v>45.81</v>
      </c>
      <c r="C1068" s="1">
        <f>IFERROR(__xludf.DUMMYFUNCTION("""COMPUTED_VALUE"""),47.2)</f>
        <v>47.2</v>
      </c>
      <c r="D1068" s="1">
        <f>IFERROR(__xludf.DUMMYFUNCTION("""COMPUTED_VALUE"""),45.75)</f>
        <v>45.75</v>
      </c>
      <c r="E1068" s="1">
        <f>IFERROR(__xludf.DUMMYFUNCTION("""COMPUTED_VALUE"""),46.8)</f>
        <v>46.8</v>
      </c>
      <c r="F1068" s="1">
        <f>IFERROR(__xludf.DUMMYFUNCTION("""COMPUTED_VALUE"""),2346592.0)</f>
        <v>2346592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IFERROR(__xludf.DUMMYFUNCTION("""COMPUTED_VALUE"""),47.0)</f>
        <v>47</v>
      </c>
      <c r="C1069" s="1">
        <f>IFERROR(__xludf.DUMMYFUNCTION("""COMPUTED_VALUE"""),47.63)</f>
        <v>47.63</v>
      </c>
      <c r="D1069" s="1">
        <f>IFERROR(__xludf.DUMMYFUNCTION("""COMPUTED_VALUE"""),46.97)</f>
        <v>46.97</v>
      </c>
      <c r="E1069" s="1">
        <f>IFERROR(__xludf.DUMMYFUNCTION("""COMPUTED_VALUE"""),47.5)</f>
        <v>47.5</v>
      </c>
      <c r="F1069" s="1">
        <f>IFERROR(__xludf.DUMMYFUNCTION("""COMPUTED_VALUE"""),1101181.0)</f>
        <v>1101181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IFERROR(__xludf.DUMMYFUNCTION("""COMPUTED_VALUE"""),47.47)</f>
        <v>47.47</v>
      </c>
      <c r="C1070" s="1">
        <f>IFERROR(__xludf.DUMMYFUNCTION("""COMPUTED_VALUE"""),48.14)</f>
        <v>48.14</v>
      </c>
      <c r="D1070" s="1">
        <f>IFERROR(__xludf.DUMMYFUNCTION("""COMPUTED_VALUE"""),47.4)</f>
        <v>47.4</v>
      </c>
      <c r="E1070" s="1">
        <f>IFERROR(__xludf.DUMMYFUNCTION("""COMPUTED_VALUE"""),47.88)</f>
        <v>47.88</v>
      </c>
      <c r="F1070" s="1">
        <f>IFERROR(__xludf.DUMMYFUNCTION("""COMPUTED_VALUE"""),1314953.0)</f>
        <v>1314953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IFERROR(__xludf.DUMMYFUNCTION("""COMPUTED_VALUE"""),47.91)</f>
        <v>47.91</v>
      </c>
      <c r="C1071" s="1">
        <f>IFERROR(__xludf.DUMMYFUNCTION("""COMPUTED_VALUE"""),48.3)</f>
        <v>48.3</v>
      </c>
      <c r="D1071" s="1">
        <f>IFERROR(__xludf.DUMMYFUNCTION("""COMPUTED_VALUE"""),47.14)</f>
        <v>47.14</v>
      </c>
      <c r="E1071" s="1">
        <f>IFERROR(__xludf.DUMMYFUNCTION("""COMPUTED_VALUE"""),47.56)</f>
        <v>47.56</v>
      </c>
      <c r="F1071" s="1">
        <f>IFERROR(__xludf.DUMMYFUNCTION("""COMPUTED_VALUE"""),3010029.0)</f>
        <v>3010029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IFERROR(__xludf.DUMMYFUNCTION("""COMPUTED_VALUE"""),46.0)</f>
        <v>46</v>
      </c>
      <c r="C1072" s="1">
        <f>IFERROR(__xludf.DUMMYFUNCTION("""COMPUTED_VALUE"""),46.84)</f>
        <v>46.84</v>
      </c>
      <c r="D1072" s="1">
        <f>IFERROR(__xludf.DUMMYFUNCTION("""COMPUTED_VALUE"""),45.24)</f>
        <v>45.24</v>
      </c>
      <c r="E1072" s="1">
        <f>IFERROR(__xludf.DUMMYFUNCTION("""COMPUTED_VALUE"""),45.56)</f>
        <v>45.56</v>
      </c>
      <c r="F1072" s="1">
        <f>IFERROR(__xludf.DUMMYFUNCTION("""COMPUTED_VALUE"""),4239379.0)</f>
        <v>4239379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IFERROR(__xludf.DUMMYFUNCTION("""COMPUTED_VALUE"""),45.45)</f>
        <v>45.45</v>
      </c>
      <c r="C1073" s="1">
        <f>IFERROR(__xludf.DUMMYFUNCTION("""COMPUTED_VALUE"""),45.64)</f>
        <v>45.64</v>
      </c>
      <c r="D1073" s="1">
        <f>IFERROR(__xludf.DUMMYFUNCTION("""COMPUTED_VALUE"""),43.38)</f>
        <v>43.38</v>
      </c>
      <c r="E1073" s="1">
        <f>IFERROR(__xludf.DUMMYFUNCTION("""COMPUTED_VALUE"""),43.68)</f>
        <v>43.68</v>
      </c>
      <c r="F1073" s="1">
        <f>IFERROR(__xludf.DUMMYFUNCTION("""COMPUTED_VALUE"""),2965355.0)</f>
        <v>2965355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IFERROR(__xludf.DUMMYFUNCTION("""COMPUTED_VALUE"""),43.52)</f>
        <v>43.52</v>
      </c>
      <c r="C1074" s="1">
        <f>IFERROR(__xludf.DUMMYFUNCTION("""COMPUTED_VALUE"""),44.69)</f>
        <v>44.69</v>
      </c>
      <c r="D1074" s="1">
        <f>IFERROR(__xludf.DUMMYFUNCTION("""COMPUTED_VALUE"""),43.4)</f>
        <v>43.4</v>
      </c>
      <c r="E1074" s="1">
        <f>IFERROR(__xludf.DUMMYFUNCTION("""COMPUTED_VALUE"""),44.46)</f>
        <v>44.46</v>
      </c>
      <c r="F1074" s="1">
        <f>IFERROR(__xludf.DUMMYFUNCTION("""COMPUTED_VALUE"""),1736575.0)</f>
        <v>1736575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IFERROR(__xludf.DUMMYFUNCTION("""COMPUTED_VALUE"""),44.46)</f>
        <v>44.46</v>
      </c>
      <c r="C1075" s="1">
        <f>IFERROR(__xludf.DUMMYFUNCTION("""COMPUTED_VALUE"""),45.2)</f>
        <v>45.2</v>
      </c>
      <c r="D1075" s="1">
        <f>IFERROR(__xludf.DUMMYFUNCTION("""COMPUTED_VALUE"""),44.46)</f>
        <v>44.46</v>
      </c>
      <c r="E1075" s="1">
        <f>IFERROR(__xludf.DUMMYFUNCTION("""COMPUTED_VALUE"""),45.04)</f>
        <v>45.04</v>
      </c>
      <c r="F1075" s="1">
        <f>IFERROR(__xludf.DUMMYFUNCTION("""COMPUTED_VALUE"""),1503867.0)</f>
        <v>1503867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IFERROR(__xludf.DUMMYFUNCTION("""COMPUTED_VALUE"""),45.01)</f>
        <v>45.01</v>
      </c>
      <c r="C1076" s="1">
        <f>IFERROR(__xludf.DUMMYFUNCTION("""COMPUTED_VALUE"""),45.46)</f>
        <v>45.46</v>
      </c>
      <c r="D1076" s="1">
        <f>IFERROR(__xludf.DUMMYFUNCTION("""COMPUTED_VALUE"""),43.68)</f>
        <v>43.68</v>
      </c>
      <c r="E1076" s="1">
        <f>IFERROR(__xludf.DUMMYFUNCTION("""COMPUTED_VALUE"""),43.76)</f>
        <v>43.76</v>
      </c>
      <c r="F1076" s="1">
        <f>IFERROR(__xludf.DUMMYFUNCTION("""COMPUTED_VALUE"""),2399762.0)</f>
        <v>2399762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IFERROR(__xludf.DUMMYFUNCTION("""COMPUTED_VALUE"""),43.4)</f>
        <v>43.4</v>
      </c>
      <c r="C1077" s="1">
        <f>IFERROR(__xludf.DUMMYFUNCTION("""COMPUTED_VALUE"""),43.68)</f>
        <v>43.68</v>
      </c>
      <c r="D1077" s="1">
        <f>IFERROR(__xludf.DUMMYFUNCTION("""COMPUTED_VALUE"""),42.66)</f>
        <v>42.66</v>
      </c>
      <c r="E1077" s="1">
        <f>IFERROR(__xludf.DUMMYFUNCTION("""COMPUTED_VALUE"""),42.88)</f>
        <v>42.88</v>
      </c>
      <c r="F1077" s="1">
        <f>IFERROR(__xludf.DUMMYFUNCTION("""COMPUTED_VALUE"""),2922855.0)</f>
        <v>2922855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IFERROR(__xludf.DUMMYFUNCTION("""COMPUTED_VALUE"""),43.24)</f>
        <v>43.24</v>
      </c>
      <c r="C1078" s="1">
        <f>IFERROR(__xludf.DUMMYFUNCTION("""COMPUTED_VALUE"""),43.91)</f>
        <v>43.91</v>
      </c>
      <c r="D1078" s="1">
        <f>IFERROR(__xludf.DUMMYFUNCTION("""COMPUTED_VALUE"""),42.98)</f>
        <v>42.98</v>
      </c>
      <c r="E1078" s="1">
        <f>IFERROR(__xludf.DUMMYFUNCTION("""COMPUTED_VALUE"""),43.32)</f>
        <v>43.32</v>
      </c>
      <c r="F1078" s="1">
        <f>IFERROR(__xludf.DUMMYFUNCTION("""COMPUTED_VALUE"""),2191745.0)</f>
        <v>2191745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IFERROR(__xludf.DUMMYFUNCTION("""COMPUTED_VALUE"""),43.34)</f>
        <v>43.34</v>
      </c>
      <c r="C1079" s="1">
        <f>IFERROR(__xludf.DUMMYFUNCTION("""COMPUTED_VALUE"""),43.48)</f>
        <v>43.48</v>
      </c>
      <c r="D1079" s="1">
        <f>IFERROR(__xludf.DUMMYFUNCTION("""COMPUTED_VALUE"""),42.54)</f>
        <v>42.54</v>
      </c>
      <c r="E1079" s="1">
        <f>IFERROR(__xludf.DUMMYFUNCTION("""COMPUTED_VALUE"""),43.37)</f>
        <v>43.37</v>
      </c>
      <c r="F1079" s="1">
        <f>IFERROR(__xludf.DUMMYFUNCTION("""COMPUTED_VALUE"""),1793099.0)</f>
        <v>1793099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IFERROR(__xludf.DUMMYFUNCTION("""COMPUTED_VALUE"""),43.65)</f>
        <v>43.65</v>
      </c>
      <c r="C1080" s="1">
        <f>IFERROR(__xludf.DUMMYFUNCTION("""COMPUTED_VALUE"""),44.03)</f>
        <v>44.03</v>
      </c>
      <c r="D1080" s="1">
        <f>IFERROR(__xludf.DUMMYFUNCTION("""COMPUTED_VALUE"""),43.51)</f>
        <v>43.51</v>
      </c>
      <c r="E1080" s="1">
        <f>IFERROR(__xludf.DUMMYFUNCTION("""COMPUTED_VALUE"""),43.81)</f>
        <v>43.81</v>
      </c>
      <c r="F1080" s="1">
        <f>IFERROR(__xludf.DUMMYFUNCTION("""COMPUTED_VALUE"""),1064506.0)</f>
        <v>1064506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IFERROR(__xludf.DUMMYFUNCTION("""COMPUTED_VALUE"""),43.76)</f>
        <v>43.76</v>
      </c>
      <c r="C1081" s="1">
        <f>IFERROR(__xludf.DUMMYFUNCTION("""COMPUTED_VALUE"""),44.66)</f>
        <v>44.66</v>
      </c>
      <c r="D1081" s="1">
        <f>IFERROR(__xludf.DUMMYFUNCTION("""COMPUTED_VALUE"""),43.76)</f>
        <v>43.76</v>
      </c>
      <c r="E1081" s="1">
        <f>IFERROR(__xludf.DUMMYFUNCTION("""COMPUTED_VALUE"""),44.44)</f>
        <v>44.44</v>
      </c>
      <c r="F1081" s="1">
        <f>IFERROR(__xludf.DUMMYFUNCTION("""COMPUTED_VALUE"""),1555434.0)</f>
        <v>1555434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IFERROR(__xludf.DUMMYFUNCTION("""COMPUTED_VALUE"""),44.28)</f>
        <v>44.28</v>
      </c>
      <c r="C1082" s="1">
        <f>IFERROR(__xludf.DUMMYFUNCTION("""COMPUTED_VALUE"""),44.58)</f>
        <v>44.58</v>
      </c>
      <c r="D1082" s="1">
        <f>IFERROR(__xludf.DUMMYFUNCTION("""COMPUTED_VALUE"""),43.69)</f>
        <v>43.69</v>
      </c>
      <c r="E1082" s="1">
        <f>IFERROR(__xludf.DUMMYFUNCTION("""COMPUTED_VALUE"""),43.72)</f>
        <v>43.72</v>
      </c>
      <c r="F1082" s="1">
        <f>IFERROR(__xludf.DUMMYFUNCTION("""COMPUTED_VALUE"""),1441712.0)</f>
        <v>1441712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IFERROR(__xludf.DUMMYFUNCTION("""COMPUTED_VALUE"""),43.74)</f>
        <v>43.74</v>
      </c>
      <c r="C1083" s="1">
        <f>IFERROR(__xludf.DUMMYFUNCTION("""COMPUTED_VALUE"""),44.17)</f>
        <v>44.17</v>
      </c>
      <c r="D1083" s="1">
        <f>IFERROR(__xludf.DUMMYFUNCTION("""COMPUTED_VALUE"""),43.49)</f>
        <v>43.49</v>
      </c>
      <c r="E1083" s="1">
        <f>IFERROR(__xludf.DUMMYFUNCTION("""COMPUTED_VALUE"""),43.51)</f>
        <v>43.51</v>
      </c>
      <c r="F1083" s="1">
        <f>IFERROR(__xludf.DUMMYFUNCTION("""COMPUTED_VALUE"""),1708950.0)</f>
        <v>1708950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IFERROR(__xludf.DUMMYFUNCTION("""COMPUTED_VALUE"""),43.49)</f>
        <v>43.49</v>
      </c>
      <c r="C1084" s="1">
        <f>IFERROR(__xludf.DUMMYFUNCTION("""COMPUTED_VALUE"""),43.92)</f>
        <v>43.92</v>
      </c>
      <c r="D1084" s="1">
        <f>IFERROR(__xludf.DUMMYFUNCTION("""COMPUTED_VALUE"""),43.2)</f>
        <v>43.2</v>
      </c>
      <c r="E1084" s="1">
        <f>IFERROR(__xludf.DUMMYFUNCTION("""COMPUTED_VALUE"""),43.25)</f>
        <v>43.25</v>
      </c>
      <c r="F1084" s="1">
        <f>IFERROR(__xludf.DUMMYFUNCTION("""COMPUTED_VALUE"""),1581864.0)</f>
        <v>1581864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IFERROR(__xludf.DUMMYFUNCTION("""COMPUTED_VALUE"""),43.38)</f>
        <v>43.38</v>
      </c>
      <c r="C1085" s="1">
        <f>IFERROR(__xludf.DUMMYFUNCTION("""COMPUTED_VALUE"""),43.7)</f>
        <v>43.7</v>
      </c>
      <c r="D1085" s="1">
        <f>IFERROR(__xludf.DUMMYFUNCTION("""COMPUTED_VALUE"""),43.05)</f>
        <v>43.05</v>
      </c>
      <c r="E1085" s="1">
        <f>IFERROR(__xludf.DUMMYFUNCTION("""COMPUTED_VALUE"""),43.54)</f>
        <v>43.54</v>
      </c>
      <c r="F1085" s="1">
        <f>IFERROR(__xludf.DUMMYFUNCTION("""COMPUTED_VALUE"""),1646793.0)</f>
        <v>1646793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IFERROR(__xludf.DUMMYFUNCTION("""COMPUTED_VALUE"""),43.42)</f>
        <v>43.42</v>
      </c>
      <c r="C1086" s="1">
        <f>IFERROR(__xludf.DUMMYFUNCTION("""COMPUTED_VALUE"""),43.49)</f>
        <v>43.49</v>
      </c>
      <c r="D1086" s="1">
        <f>IFERROR(__xludf.DUMMYFUNCTION("""COMPUTED_VALUE"""),42.79)</f>
        <v>42.79</v>
      </c>
      <c r="E1086" s="1">
        <f>IFERROR(__xludf.DUMMYFUNCTION("""COMPUTED_VALUE"""),42.98)</f>
        <v>42.98</v>
      </c>
      <c r="F1086" s="1">
        <f>IFERROR(__xludf.DUMMYFUNCTION("""COMPUTED_VALUE"""),937068.0)</f>
        <v>937068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IFERROR(__xludf.DUMMYFUNCTION("""COMPUTED_VALUE"""),43.24)</f>
        <v>43.24</v>
      </c>
      <c r="C1087" s="1">
        <f>IFERROR(__xludf.DUMMYFUNCTION("""COMPUTED_VALUE"""),43.51)</f>
        <v>43.51</v>
      </c>
      <c r="D1087" s="1">
        <f>IFERROR(__xludf.DUMMYFUNCTION("""COMPUTED_VALUE"""),42.82)</f>
        <v>42.82</v>
      </c>
      <c r="E1087" s="1">
        <f>IFERROR(__xludf.DUMMYFUNCTION("""COMPUTED_VALUE"""),43.17)</f>
        <v>43.17</v>
      </c>
      <c r="F1087" s="1">
        <f>IFERROR(__xludf.DUMMYFUNCTION("""COMPUTED_VALUE"""),2517148.0)</f>
        <v>2517148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IFERROR(__xludf.DUMMYFUNCTION("""COMPUTED_VALUE"""),43.19)</f>
        <v>43.19</v>
      </c>
      <c r="C1088" s="1">
        <f>IFERROR(__xludf.DUMMYFUNCTION("""COMPUTED_VALUE"""),43.84)</f>
        <v>43.84</v>
      </c>
      <c r="D1088" s="1">
        <f>IFERROR(__xludf.DUMMYFUNCTION("""COMPUTED_VALUE"""),43.14)</f>
        <v>43.14</v>
      </c>
      <c r="E1088" s="1">
        <f>IFERROR(__xludf.DUMMYFUNCTION("""COMPUTED_VALUE"""),43.68)</f>
        <v>43.68</v>
      </c>
      <c r="F1088" s="1">
        <f>IFERROR(__xludf.DUMMYFUNCTION("""COMPUTED_VALUE"""),1234058.0)</f>
        <v>1234058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IFERROR(__xludf.DUMMYFUNCTION("""COMPUTED_VALUE"""),43.64)</f>
        <v>43.64</v>
      </c>
      <c r="C1089" s="1">
        <f>IFERROR(__xludf.DUMMYFUNCTION("""COMPUTED_VALUE"""),43.83)</f>
        <v>43.83</v>
      </c>
      <c r="D1089" s="1">
        <f>IFERROR(__xludf.DUMMYFUNCTION("""COMPUTED_VALUE"""),43.4)</f>
        <v>43.4</v>
      </c>
      <c r="E1089" s="1">
        <f>IFERROR(__xludf.DUMMYFUNCTION("""COMPUTED_VALUE"""),43.78)</f>
        <v>43.78</v>
      </c>
      <c r="F1089" s="1">
        <f>IFERROR(__xludf.DUMMYFUNCTION("""COMPUTED_VALUE"""),1278282.0)</f>
        <v>1278282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IFERROR(__xludf.DUMMYFUNCTION("""COMPUTED_VALUE"""),43.87)</f>
        <v>43.87</v>
      </c>
      <c r="C1090" s="1">
        <f>IFERROR(__xludf.DUMMYFUNCTION("""COMPUTED_VALUE"""),44.58)</f>
        <v>44.58</v>
      </c>
      <c r="D1090" s="1">
        <f>IFERROR(__xludf.DUMMYFUNCTION("""COMPUTED_VALUE"""),43.81)</f>
        <v>43.81</v>
      </c>
      <c r="E1090" s="1">
        <f>IFERROR(__xludf.DUMMYFUNCTION("""COMPUTED_VALUE"""),44.48)</f>
        <v>44.48</v>
      </c>
      <c r="F1090" s="1">
        <f>IFERROR(__xludf.DUMMYFUNCTION("""COMPUTED_VALUE"""),1744332.0)</f>
        <v>1744332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IFERROR(__xludf.DUMMYFUNCTION("""COMPUTED_VALUE"""),44.5)</f>
        <v>44.5</v>
      </c>
      <c r="C1091" s="1">
        <f>IFERROR(__xludf.DUMMYFUNCTION("""COMPUTED_VALUE"""),45.05)</f>
        <v>45.05</v>
      </c>
      <c r="D1091" s="1">
        <f>IFERROR(__xludf.DUMMYFUNCTION("""COMPUTED_VALUE"""),44.5)</f>
        <v>44.5</v>
      </c>
      <c r="E1091" s="1">
        <f>IFERROR(__xludf.DUMMYFUNCTION("""COMPUTED_VALUE"""),44.86)</f>
        <v>44.86</v>
      </c>
      <c r="F1091" s="1">
        <f>IFERROR(__xludf.DUMMYFUNCTION("""COMPUTED_VALUE"""),1127175.0)</f>
        <v>1127175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IFERROR(__xludf.DUMMYFUNCTION("""COMPUTED_VALUE"""),44.54)</f>
        <v>44.54</v>
      </c>
      <c r="C1092" s="1">
        <f>IFERROR(__xludf.DUMMYFUNCTION("""COMPUTED_VALUE"""),45.02)</f>
        <v>45.02</v>
      </c>
      <c r="D1092" s="1">
        <f>IFERROR(__xludf.DUMMYFUNCTION("""COMPUTED_VALUE"""),44.24)</f>
        <v>44.24</v>
      </c>
      <c r="E1092" s="1">
        <f>IFERROR(__xludf.DUMMYFUNCTION("""COMPUTED_VALUE"""),44.3)</f>
        <v>44.3</v>
      </c>
      <c r="F1092" s="1">
        <f>IFERROR(__xludf.DUMMYFUNCTION("""COMPUTED_VALUE"""),1180721.0)</f>
        <v>1180721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IFERROR(__xludf.DUMMYFUNCTION("""COMPUTED_VALUE"""),43.64)</f>
        <v>43.64</v>
      </c>
      <c r="C1093" s="1">
        <f>IFERROR(__xludf.DUMMYFUNCTION("""COMPUTED_VALUE"""),43.82)</f>
        <v>43.82</v>
      </c>
      <c r="D1093" s="1">
        <f>IFERROR(__xludf.DUMMYFUNCTION("""COMPUTED_VALUE"""),43.0)</f>
        <v>43</v>
      </c>
      <c r="E1093" s="1">
        <f>IFERROR(__xludf.DUMMYFUNCTION("""COMPUTED_VALUE"""),43.63)</f>
        <v>43.63</v>
      </c>
      <c r="F1093" s="1">
        <f>IFERROR(__xludf.DUMMYFUNCTION("""COMPUTED_VALUE"""),2938242.0)</f>
        <v>2938242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IFERROR(__xludf.DUMMYFUNCTION("""COMPUTED_VALUE"""),43.8)</f>
        <v>43.8</v>
      </c>
      <c r="C1094" s="1">
        <f>IFERROR(__xludf.DUMMYFUNCTION("""COMPUTED_VALUE"""),44.34)</f>
        <v>44.34</v>
      </c>
      <c r="D1094" s="1">
        <f>IFERROR(__xludf.DUMMYFUNCTION("""COMPUTED_VALUE"""),43.6)</f>
        <v>43.6</v>
      </c>
      <c r="E1094" s="1">
        <f>IFERROR(__xludf.DUMMYFUNCTION("""COMPUTED_VALUE"""),44.11)</f>
        <v>44.11</v>
      </c>
      <c r="F1094" s="1">
        <f>IFERROR(__xludf.DUMMYFUNCTION("""COMPUTED_VALUE"""),2787204.0)</f>
        <v>2787204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IFERROR(__xludf.DUMMYFUNCTION("""COMPUTED_VALUE"""),44.06)</f>
        <v>44.06</v>
      </c>
      <c r="C1095" s="1">
        <f>IFERROR(__xludf.DUMMYFUNCTION("""COMPUTED_VALUE"""),45.1)</f>
        <v>45.1</v>
      </c>
      <c r="D1095" s="1">
        <f>IFERROR(__xludf.DUMMYFUNCTION("""COMPUTED_VALUE"""),43.99)</f>
        <v>43.99</v>
      </c>
      <c r="E1095" s="1">
        <f>IFERROR(__xludf.DUMMYFUNCTION("""COMPUTED_VALUE"""),44.6)</f>
        <v>44.6</v>
      </c>
      <c r="F1095" s="1">
        <f>IFERROR(__xludf.DUMMYFUNCTION("""COMPUTED_VALUE"""),1910515.0)</f>
        <v>1910515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IFERROR(__xludf.DUMMYFUNCTION("""COMPUTED_VALUE"""),44.64)</f>
        <v>44.64</v>
      </c>
      <c r="C1096" s="1">
        <f>IFERROR(__xludf.DUMMYFUNCTION("""COMPUTED_VALUE"""),45.04)</f>
        <v>45.04</v>
      </c>
      <c r="D1096" s="1">
        <f>IFERROR(__xludf.DUMMYFUNCTION("""COMPUTED_VALUE"""),44.39)</f>
        <v>44.39</v>
      </c>
      <c r="E1096" s="1">
        <f>IFERROR(__xludf.DUMMYFUNCTION("""COMPUTED_VALUE"""),44.98)</f>
        <v>44.98</v>
      </c>
      <c r="F1096" s="1">
        <f>IFERROR(__xludf.DUMMYFUNCTION("""COMPUTED_VALUE"""),1115617.0)</f>
        <v>1115617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IFERROR(__xludf.DUMMYFUNCTION("""COMPUTED_VALUE"""),45.12)</f>
        <v>45.12</v>
      </c>
      <c r="C1097" s="1">
        <f>IFERROR(__xludf.DUMMYFUNCTION("""COMPUTED_VALUE"""),45.71)</f>
        <v>45.71</v>
      </c>
      <c r="D1097" s="1">
        <f>IFERROR(__xludf.DUMMYFUNCTION("""COMPUTED_VALUE"""),45.12)</f>
        <v>45.12</v>
      </c>
      <c r="E1097" s="1">
        <f>IFERROR(__xludf.DUMMYFUNCTION("""COMPUTED_VALUE"""),45.61)</f>
        <v>45.61</v>
      </c>
      <c r="F1097" s="1">
        <f>IFERROR(__xludf.DUMMYFUNCTION("""COMPUTED_VALUE"""),815687.0)</f>
        <v>815687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IFERROR(__xludf.DUMMYFUNCTION("""COMPUTED_VALUE"""),45.62)</f>
        <v>45.62</v>
      </c>
      <c r="C1098" s="1">
        <f>IFERROR(__xludf.DUMMYFUNCTION("""COMPUTED_VALUE"""),45.89)</f>
        <v>45.89</v>
      </c>
      <c r="D1098" s="1">
        <f>IFERROR(__xludf.DUMMYFUNCTION("""COMPUTED_VALUE"""),45.43)</f>
        <v>45.43</v>
      </c>
      <c r="E1098" s="1">
        <f>IFERROR(__xludf.DUMMYFUNCTION("""COMPUTED_VALUE"""),45.49)</f>
        <v>45.49</v>
      </c>
      <c r="F1098" s="1">
        <f>IFERROR(__xludf.DUMMYFUNCTION("""COMPUTED_VALUE"""),1451598.0)</f>
        <v>1451598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IFERROR(__xludf.DUMMYFUNCTION("""COMPUTED_VALUE"""),45.47)</f>
        <v>45.47</v>
      </c>
      <c r="C1099" s="1">
        <f>IFERROR(__xludf.DUMMYFUNCTION("""COMPUTED_VALUE"""),45.5)</f>
        <v>45.5</v>
      </c>
      <c r="D1099" s="1">
        <f>IFERROR(__xludf.DUMMYFUNCTION("""COMPUTED_VALUE"""),44.72)</f>
        <v>44.72</v>
      </c>
      <c r="E1099" s="1">
        <f>IFERROR(__xludf.DUMMYFUNCTION("""COMPUTED_VALUE"""),44.8)</f>
        <v>44.8</v>
      </c>
      <c r="F1099" s="1">
        <f>IFERROR(__xludf.DUMMYFUNCTION("""COMPUTED_VALUE"""),939562.0)</f>
        <v>939562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IFERROR(__xludf.DUMMYFUNCTION("""COMPUTED_VALUE"""),44.6)</f>
        <v>44.6</v>
      </c>
      <c r="C1100" s="1">
        <f>IFERROR(__xludf.DUMMYFUNCTION("""COMPUTED_VALUE"""),44.71)</f>
        <v>44.71</v>
      </c>
      <c r="D1100" s="1">
        <f>IFERROR(__xludf.DUMMYFUNCTION("""COMPUTED_VALUE"""),43.85)</f>
        <v>43.85</v>
      </c>
      <c r="E1100" s="1">
        <f>IFERROR(__xludf.DUMMYFUNCTION("""COMPUTED_VALUE"""),44.19)</f>
        <v>44.19</v>
      </c>
      <c r="F1100" s="1">
        <f>IFERROR(__xludf.DUMMYFUNCTION("""COMPUTED_VALUE"""),1225158.0)</f>
        <v>1225158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IFERROR(__xludf.DUMMYFUNCTION("""COMPUTED_VALUE"""),44.19)</f>
        <v>44.19</v>
      </c>
      <c r="C1101" s="1">
        <f>IFERROR(__xludf.DUMMYFUNCTION("""COMPUTED_VALUE"""),44.77)</f>
        <v>44.77</v>
      </c>
      <c r="D1101" s="1">
        <f>IFERROR(__xludf.DUMMYFUNCTION("""COMPUTED_VALUE"""),44.19)</f>
        <v>44.19</v>
      </c>
      <c r="E1101" s="1">
        <f>IFERROR(__xludf.DUMMYFUNCTION("""COMPUTED_VALUE"""),44.52)</f>
        <v>44.52</v>
      </c>
      <c r="F1101" s="1">
        <f>IFERROR(__xludf.DUMMYFUNCTION("""COMPUTED_VALUE"""),882937.0)</f>
        <v>882937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IFERROR(__xludf.DUMMYFUNCTION("""COMPUTED_VALUE"""),44.29)</f>
        <v>44.29</v>
      </c>
      <c r="C1102" s="1">
        <f>IFERROR(__xludf.DUMMYFUNCTION("""COMPUTED_VALUE"""),44.84)</f>
        <v>44.84</v>
      </c>
      <c r="D1102" s="1">
        <f>IFERROR(__xludf.DUMMYFUNCTION("""COMPUTED_VALUE"""),44.28)</f>
        <v>44.28</v>
      </c>
      <c r="E1102" s="1">
        <f>IFERROR(__xludf.DUMMYFUNCTION("""COMPUTED_VALUE"""),44.56)</f>
        <v>44.56</v>
      </c>
      <c r="F1102" s="1">
        <f>IFERROR(__xludf.DUMMYFUNCTION("""COMPUTED_VALUE"""),1079833.0)</f>
        <v>1079833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IFERROR(__xludf.DUMMYFUNCTION("""COMPUTED_VALUE"""),44.37)</f>
        <v>44.37</v>
      </c>
      <c r="C1103" s="1">
        <f>IFERROR(__xludf.DUMMYFUNCTION("""COMPUTED_VALUE"""),44.37)</f>
        <v>44.37</v>
      </c>
      <c r="D1103" s="1">
        <f>IFERROR(__xludf.DUMMYFUNCTION("""COMPUTED_VALUE"""),43.73)</f>
        <v>43.73</v>
      </c>
      <c r="E1103" s="1">
        <f>IFERROR(__xludf.DUMMYFUNCTION("""COMPUTED_VALUE"""),43.88)</f>
        <v>43.88</v>
      </c>
      <c r="F1103" s="1">
        <f>IFERROR(__xludf.DUMMYFUNCTION("""COMPUTED_VALUE"""),1291121.0)</f>
        <v>1291121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IFERROR(__xludf.DUMMYFUNCTION("""COMPUTED_VALUE"""),44.11)</f>
        <v>44.11</v>
      </c>
      <c r="C1104" s="1">
        <f>IFERROR(__xludf.DUMMYFUNCTION("""COMPUTED_VALUE"""),44.51)</f>
        <v>44.51</v>
      </c>
      <c r="D1104" s="1">
        <f>IFERROR(__xludf.DUMMYFUNCTION("""COMPUTED_VALUE"""),43.72)</f>
        <v>43.72</v>
      </c>
      <c r="E1104" s="1">
        <f>IFERROR(__xludf.DUMMYFUNCTION("""COMPUTED_VALUE"""),44.34)</f>
        <v>44.34</v>
      </c>
      <c r="F1104" s="1">
        <f>IFERROR(__xludf.DUMMYFUNCTION("""COMPUTED_VALUE"""),968059.0)</f>
        <v>968059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IFERROR(__xludf.DUMMYFUNCTION("""COMPUTED_VALUE"""),44.26)</f>
        <v>44.26</v>
      </c>
      <c r="C1105" s="1">
        <f>IFERROR(__xludf.DUMMYFUNCTION("""COMPUTED_VALUE"""),44.92)</f>
        <v>44.92</v>
      </c>
      <c r="D1105" s="1">
        <f>IFERROR(__xludf.DUMMYFUNCTION("""COMPUTED_VALUE"""),44.22)</f>
        <v>44.22</v>
      </c>
      <c r="E1105" s="1">
        <f>IFERROR(__xludf.DUMMYFUNCTION("""COMPUTED_VALUE"""),44.53)</f>
        <v>44.53</v>
      </c>
      <c r="F1105" s="1">
        <f>IFERROR(__xludf.DUMMYFUNCTION("""COMPUTED_VALUE"""),943518.0)</f>
        <v>943518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IFERROR(__xludf.DUMMYFUNCTION("""COMPUTED_VALUE"""),44.67)</f>
        <v>44.67</v>
      </c>
      <c r="C1106" s="1">
        <f>IFERROR(__xludf.DUMMYFUNCTION("""COMPUTED_VALUE"""),44.84)</f>
        <v>44.84</v>
      </c>
      <c r="D1106" s="1">
        <f>IFERROR(__xludf.DUMMYFUNCTION("""COMPUTED_VALUE"""),44.58)</f>
        <v>44.58</v>
      </c>
      <c r="E1106" s="1">
        <f>IFERROR(__xludf.DUMMYFUNCTION("""COMPUTED_VALUE"""),44.7)</f>
        <v>44.7</v>
      </c>
      <c r="F1106" s="1">
        <f>IFERROR(__xludf.DUMMYFUNCTION("""COMPUTED_VALUE"""),579738.0)</f>
        <v>579738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IFERROR(__xludf.DUMMYFUNCTION("""COMPUTED_VALUE"""),44.87)</f>
        <v>44.87</v>
      </c>
      <c r="C1107" s="1">
        <f>IFERROR(__xludf.DUMMYFUNCTION("""COMPUTED_VALUE"""),45.44)</f>
        <v>45.44</v>
      </c>
      <c r="D1107" s="1">
        <f>IFERROR(__xludf.DUMMYFUNCTION("""COMPUTED_VALUE"""),44.87)</f>
        <v>44.87</v>
      </c>
      <c r="E1107" s="1">
        <f>IFERROR(__xludf.DUMMYFUNCTION("""COMPUTED_VALUE"""),45.08)</f>
        <v>45.08</v>
      </c>
      <c r="F1107" s="1">
        <f>IFERROR(__xludf.DUMMYFUNCTION("""COMPUTED_VALUE"""),1171798.0)</f>
        <v>1171798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IFERROR(__xludf.DUMMYFUNCTION("""COMPUTED_VALUE"""),45.01)</f>
        <v>45.01</v>
      </c>
      <c r="C1108" s="1">
        <f>IFERROR(__xludf.DUMMYFUNCTION("""COMPUTED_VALUE"""),45.25)</f>
        <v>45.25</v>
      </c>
      <c r="D1108" s="1">
        <f>IFERROR(__xludf.DUMMYFUNCTION("""COMPUTED_VALUE"""),44.84)</f>
        <v>44.84</v>
      </c>
      <c r="E1108" s="1">
        <f>IFERROR(__xludf.DUMMYFUNCTION("""COMPUTED_VALUE"""),44.88)</f>
        <v>44.88</v>
      </c>
      <c r="F1108" s="1">
        <f>IFERROR(__xludf.DUMMYFUNCTION("""COMPUTED_VALUE"""),1051877.0)</f>
        <v>1051877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IFERROR(__xludf.DUMMYFUNCTION("""COMPUTED_VALUE"""),45.01)</f>
        <v>45.01</v>
      </c>
      <c r="C1109" s="1">
        <f>IFERROR(__xludf.DUMMYFUNCTION("""COMPUTED_VALUE"""),45.23)</f>
        <v>45.23</v>
      </c>
      <c r="D1109" s="1">
        <f>IFERROR(__xludf.DUMMYFUNCTION("""COMPUTED_VALUE"""),44.81)</f>
        <v>44.81</v>
      </c>
      <c r="E1109" s="1">
        <f>IFERROR(__xludf.DUMMYFUNCTION("""COMPUTED_VALUE"""),44.98)</f>
        <v>44.98</v>
      </c>
      <c r="F1109" s="1">
        <f>IFERROR(__xludf.DUMMYFUNCTION("""COMPUTED_VALUE"""),958433.0)</f>
        <v>958433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IFERROR(__xludf.DUMMYFUNCTION("""COMPUTED_VALUE"""),44.83)</f>
        <v>44.83</v>
      </c>
      <c r="C1110" s="1">
        <f>IFERROR(__xludf.DUMMYFUNCTION("""COMPUTED_VALUE"""),45.1)</f>
        <v>45.1</v>
      </c>
      <c r="D1110" s="1">
        <f>IFERROR(__xludf.DUMMYFUNCTION("""COMPUTED_VALUE"""),44.3)</f>
        <v>44.3</v>
      </c>
      <c r="E1110" s="1">
        <f>IFERROR(__xludf.DUMMYFUNCTION("""COMPUTED_VALUE"""),44.31)</f>
        <v>44.31</v>
      </c>
      <c r="F1110" s="1">
        <f>IFERROR(__xludf.DUMMYFUNCTION("""COMPUTED_VALUE"""),1515384.0)</f>
        <v>1515384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IFERROR(__xludf.DUMMYFUNCTION("""COMPUTED_VALUE"""),44.38)</f>
        <v>44.38</v>
      </c>
      <c r="C1111" s="1">
        <f>IFERROR(__xludf.DUMMYFUNCTION("""COMPUTED_VALUE"""),44.5)</f>
        <v>44.5</v>
      </c>
      <c r="D1111" s="1">
        <f>IFERROR(__xludf.DUMMYFUNCTION("""COMPUTED_VALUE"""),43.99)</f>
        <v>43.99</v>
      </c>
      <c r="E1111" s="1">
        <f>IFERROR(__xludf.DUMMYFUNCTION("""COMPUTED_VALUE"""),44.3)</f>
        <v>44.3</v>
      </c>
      <c r="F1111" s="1">
        <f>IFERROR(__xludf.DUMMYFUNCTION("""COMPUTED_VALUE"""),1485868.0)</f>
        <v>1485868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IFERROR(__xludf.DUMMYFUNCTION("""COMPUTED_VALUE"""),44.14)</f>
        <v>44.14</v>
      </c>
      <c r="C1112" s="1">
        <f>IFERROR(__xludf.DUMMYFUNCTION("""COMPUTED_VALUE"""),45.67)</f>
        <v>45.67</v>
      </c>
      <c r="D1112" s="1">
        <f>IFERROR(__xludf.DUMMYFUNCTION("""COMPUTED_VALUE"""),44.09)</f>
        <v>44.09</v>
      </c>
      <c r="E1112" s="1">
        <f>IFERROR(__xludf.DUMMYFUNCTION("""COMPUTED_VALUE"""),45.51)</f>
        <v>45.51</v>
      </c>
      <c r="F1112" s="1">
        <f>IFERROR(__xludf.DUMMYFUNCTION("""COMPUTED_VALUE"""),2101927.0)</f>
        <v>2101927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IFERROR(__xludf.DUMMYFUNCTION("""COMPUTED_VALUE"""),45.35)</f>
        <v>45.35</v>
      </c>
      <c r="C1113" s="1">
        <f>IFERROR(__xludf.DUMMYFUNCTION("""COMPUTED_VALUE"""),46.23)</f>
        <v>46.23</v>
      </c>
      <c r="D1113" s="1">
        <f>IFERROR(__xludf.DUMMYFUNCTION("""COMPUTED_VALUE"""),45.27)</f>
        <v>45.27</v>
      </c>
      <c r="E1113" s="1">
        <f>IFERROR(__xludf.DUMMYFUNCTION("""COMPUTED_VALUE"""),46.01)</f>
        <v>46.01</v>
      </c>
      <c r="F1113" s="1">
        <f>IFERROR(__xludf.DUMMYFUNCTION("""COMPUTED_VALUE"""),1809949.0)</f>
        <v>1809949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IFERROR(__xludf.DUMMYFUNCTION("""COMPUTED_VALUE"""),46.01)</f>
        <v>46.01</v>
      </c>
      <c r="C1114" s="1">
        <f>IFERROR(__xludf.DUMMYFUNCTION("""COMPUTED_VALUE"""),46.27)</f>
        <v>46.27</v>
      </c>
      <c r="D1114" s="1">
        <f>IFERROR(__xludf.DUMMYFUNCTION("""COMPUTED_VALUE"""),45.93)</f>
        <v>45.93</v>
      </c>
      <c r="E1114" s="1">
        <f>IFERROR(__xludf.DUMMYFUNCTION("""COMPUTED_VALUE"""),46.11)</f>
        <v>46.11</v>
      </c>
      <c r="F1114" s="1">
        <f>IFERROR(__xludf.DUMMYFUNCTION("""COMPUTED_VALUE"""),1345881.0)</f>
        <v>1345881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IFERROR(__xludf.DUMMYFUNCTION("""COMPUTED_VALUE"""),46.09)</f>
        <v>46.09</v>
      </c>
      <c r="C1115" s="1">
        <f>IFERROR(__xludf.DUMMYFUNCTION("""COMPUTED_VALUE"""),46.57)</f>
        <v>46.57</v>
      </c>
      <c r="D1115" s="1">
        <f>IFERROR(__xludf.DUMMYFUNCTION("""COMPUTED_VALUE"""),46.09)</f>
        <v>46.09</v>
      </c>
      <c r="E1115" s="1">
        <f>IFERROR(__xludf.DUMMYFUNCTION("""COMPUTED_VALUE"""),46.43)</f>
        <v>46.43</v>
      </c>
      <c r="F1115" s="1">
        <f>IFERROR(__xludf.DUMMYFUNCTION("""COMPUTED_VALUE"""),1579446.0)</f>
        <v>1579446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IFERROR(__xludf.DUMMYFUNCTION("""COMPUTED_VALUE"""),46.39)</f>
        <v>46.39</v>
      </c>
      <c r="C1116" s="1">
        <f>IFERROR(__xludf.DUMMYFUNCTION("""COMPUTED_VALUE"""),46.5)</f>
        <v>46.5</v>
      </c>
      <c r="D1116" s="1">
        <f>IFERROR(__xludf.DUMMYFUNCTION("""COMPUTED_VALUE"""),46.15)</f>
        <v>46.15</v>
      </c>
      <c r="E1116" s="1">
        <f>IFERROR(__xludf.DUMMYFUNCTION("""COMPUTED_VALUE"""),46.27)</f>
        <v>46.27</v>
      </c>
      <c r="F1116" s="1">
        <f>IFERROR(__xludf.DUMMYFUNCTION("""COMPUTED_VALUE"""),1136884.0)</f>
        <v>1136884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IFERROR(__xludf.DUMMYFUNCTION("""COMPUTED_VALUE"""),46.21)</f>
        <v>46.21</v>
      </c>
      <c r="C1117" s="1">
        <f>IFERROR(__xludf.DUMMYFUNCTION("""COMPUTED_VALUE"""),46.39)</f>
        <v>46.39</v>
      </c>
      <c r="D1117" s="1">
        <f>IFERROR(__xludf.DUMMYFUNCTION("""COMPUTED_VALUE"""),46.0)</f>
        <v>46</v>
      </c>
      <c r="E1117" s="1">
        <f>IFERROR(__xludf.DUMMYFUNCTION("""COMPUTED_VALUE"""),46.11)</f>
        <v>46.11</v>
      </c>
      <c r="F1117" s="1">
        <f>IFERROR(__xludf.DUMMYFUNCTION("""COMPUTED_VALUE"""),853664.0)</f>
        <v>853664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IFERROR(__xludf.DUMMYFUNCTION("""COMPUTED_VALUE"""),45.98)</f>
        <v>45.98</v>
      </c>
      <c r="C1118" s="1">
        <f>IFERROR(__xludf.DUMMYFUNCTION("""COMPUTED_VALUE"""),46.08)</f>
        <v>46.08</v>
      </c>
      <c r="D1118" s="1">
        <f>IFERROR(__xludf.DUMMYFUNCTION("""COMPUTED_VALUE"""),45.63)</f>
        <v>45.63</v>
      </c>
      <c r="E1118" s="1">
        <f>IFERROR(__xludf.DUMMYFUNCTION("""COMPUTED_VALUE"""),45.72)</f>
        <v>45.72</v>
      </c>
      <c r="F1118" s="1">
        <f>IFERROR(__xludf.DUMMYFUNCTION("""COMPUTED_VALUE"""),945538.0)</f>
        <v>945538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IFERROR(__xludf.DUMMYFUNCTION("""COMPUTED_VALUE"""),45.53)</f>
        <v>45.53</v>
      </c>
      <c r="C1119" s="1">
        <f>IFERROR(__xludf.DUMMYFUNCTION("""COMPUTED_VALUE"""),45.56)</f>
        <v>45.56</v>
      </c>
      <c r="D1119" s="1">
        <f>IFERROR(__xludf.DUMMYFUNCTION("""COMPUTED_VALUE"""),43.86)</f>
        <v>43.86</v>
      </c>
      <c r="E1119" s="1">
        <f>IFERROR(__xludf.DUMMYFUNCTION("""COMPUTED_VALUE"""),43.87)</f>
        <v>43.87</v>
      </c>
      <c r="F1119" s="1">
        <f>IFERROR(__xludf.DUMMYFUNCTION("""COMPUTED_VALUE"""),2470185.0)</f>
        <v>2470185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IFERROR(__xludf.DUMMYFUNCTION("""COMPUTED_VALUE"""),43.87)</f>
        <v>43.87</v>
      </c>
      <c r="C1120" s="1">
        <f>IFERROR(__xludf.DUMMYFUNCTION("""COMPUTED_VALUE"""),44.28)</f>
        <v>44.28</v>
      </c>
      <c r="D1120" s="1">
        <f>IFERROR(__xludf.DUMMYFUNCTION("""COMPUTED_VALUE"""),43.8)</f>
        <v>43.8</v>
      </c>
      <c r="E1120" s="1">
        <f>IFERROR(__xludf.DUMMYFUNCTION("""COMPUTED_VALUE"""),44.19)</f>
        <v>44.19</v>
      </c>
      <c r="F1120" s="1">
        <f>IFERROR(__xludf.DUMMYFUNCTION("""COMPUTED_VALUE"""),1182972.0)</f>
        <v>1182972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IFERROR(__xludf.DUMMYFUNCTION("""COMPUTED_VALUE"""),44.23)</f>
        <v>44.23</v>
      </c>
      <c r="C1121" s="1">
        <f>IFERROR(__xludf.DUMMYFUNCTION("""COMPUTED_VALUE"""),44.51)</f>
        <v>44.51</v>
      </c>
      <c r="D1121" s="1">
        <f>IFERROR(__xludf.DUMMYFUNCTION("""COMPUTED_VALUE"""),43.89)</f>
        <v>43.89</v>
      </c>
      <c r="E1121" s="1">
        <f>IFERROR(__xludf.DUMMYFUNCTION("""COMPUTED_VALUE"""),44.3)</f>
        <v>44.3</v>
      </c>
      <c r="F1121" s="1">
        <f>IFERROR(__xludf.DUMMYFUNCTION("""COMPUTED_VALUE"""),1709815.0)</f>
        <v>1709815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IFERROR(__xludf.DUMMYFUNCTION("""COMPUTED_VALUE"""),44.24)</f>
        <v>44.24</v>
      </c>
      <c r="C1122" s="1">
        <f>IFERROR(__xludf.DUMMYFUNCTION("""COMPUTED_VALUE"""),44.64)</f>
        <v>44.64</v>
      </c>
      <c r="D1122" s="1">
        <f>IFERROR(__xludf.DUMMYFUNCTION("""COMPUTED_VALUE"""),44.01)</f>
        <v>44.01</v>
      </c>
      <c r="E1122" s="1">
        <f>IFERROR(__xludf.DUMMYFUNCTION("""COMPUTED_VALUE"""),44.29)</f>
        <v>44.29</v>
      </c>
      <c r="F1122" s="1">
        <f>IFERROR(__xludf.DUMMYFUNCTION("""COMPUTED_VALUE"""),2965096.0)</f>
        <v>2965096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IFERROR(__xludf.DUMMYFUNCTION("""COMPUTED_VALUE"""),44.23)</f>
        <v>44.23</v>
      </c>
      <c r="C1123" s="1">
        <f>IFERROR(__xludf.DUMMYFUNCTION("""COMPUTED_VALUE"""),45.0)</f>
        <v>45</v>
      </c>
      <c r="D1123" s="1">
        <f>IFERROR(__xludf.DUMMYFUNCTION("""COMPUTED_VALUE"""),44.06)</f>
        <v>44.06</v>
      </c>
      <c r="E1123" s="1">
        <f>IFERROR(__xludf.DUMMYFUNCTION("""COMPUTED_VALUE"""),44.95)</f>
        <v>44.95</v>
      </c>
      <c r="F1123" s="1">
        <f>IFERROR(__xludf.DUMMYFUNCTION("""COMPUTED_VALUE"""),1183978.0)</f>
        <v>1183978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IFERROR(__xludf.DUMMYFUNCTION("""COMPUTED_VALUE"""),45.25)</f>
        <v>45.25</v>
      </c>
      <c r="C1124" s="1">
        <f>IFERROR(__xludf.DUMMYFUNCTION("""COMPUTED_VALUE"""),45.32)</f>
        <v>45.32</v>
      </c>
      <c r="D1124" s="1">
        <f>IFERROR(__xludf.DUMMYFUNCTION("""COMPUTED_VALUE"""),44.76)</f>
        <v>44.76</v>
      </c>
      <c r="E1124" s="1">
        <f>IFERROR(__xludf.DUMMYFUNCTION("""COMPUTED_VALUE"""),45.28)</f>
        <v>45.28</v>
      </c>
      <c r="F1124" s="1">
        <f>IFERROR(__xludf.DUMMYFUNCTION("""COMPUTED_VALUE"""),2460785.0)</f>
        <v>2460785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IFERROR(__xludf.DUMMYFUNCTION("""COMPUTED_VALUE"""),51.9)</f>
        <v>51.9</v>
      </c>
      <c r="C1125" s="1">
        <f>IFERROR(__xludf.DUMMYFUNCTION("""COMPUTED_VALUE"""),53.67)</f>
        <v>53.67</v>
      </c>
      <c r="D1125" s="1">
        <f>IFERROR(__xludf.DUMMYFUNCTION("""COMPUTED_VALUE"""),50.72)</f>
        <v>50.72</v>
      </c>
      <c r="E1125" s="1">
        <f>IFERROR(__xludf.DUMMYFUNCTION("""COMPUTED_VALUE"""),52.75)</f>
        <v>52.75</v>
      </c>
      <c r="F1125" s="1">
        <f>IFERROR(__xludf.DUMMYFUNCTION("""COMPUTED_VALUE"""),1.21478E7)</f>
        <v>12147800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IFERROR(__xludf.DUMMYFUNCTION("""COMPUTED_VALUE"""),51.63)</f>
        <v>51.63</v>
      </c>
      <c r="C1126" s="1">
        <f>IFERROR(__xludf.DUMMYFUNCTION("""COMPUTED_VALUE"""),52.32)</f>
        <v>52.32</v>
      </c>
      <c r="D1126" s="1">
        <f>IFERROR(__xludf.DUMMYFUNCTION("""COMPUTED_VALUE"""),50.68)</f>
        <v>50.68</v>
      </c>
      <c r="E1126" s="1">
        <f>IFERROR(__xludf.DUMMYFUNCTION("""COMPUTED_VALUE"""),51.91)</f>
        <v>51.91</v>
      </c>
      <c r="F1126" s="1">
        <f>IFERROR(__xludf.DUMMYFUNCTION("""COMPUTED_VALUE"""),4569633.0)</f>
        <v>4569633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IFERROR(__xludf.DUMMYFUNCTION("""COMPUTED_VALUE"""),51.0)</f>
        <v>51</v>
      </c>
      <c r="C1127" s="1">
        <f>IFERROR(__xludf.DUMMYFUNCTION("""COMPUTED_VALUE"""),51.42)</f>
        <v>51.42</v>
      </c>
      <c r="D1127" s="1">
        <f>IFERROR(__xludf.DUMMYFUNCTION("""COMPUTED_VALUE"""),49.89)</f>
        <v>49.89</v>
      </c>
      <c r="E1127" s="1">
        <f>IFERROR(__xludf.DUMMYFUNCTION("""COMPUTED_VALUE"""),50.07)</f>
        <v>50.07</v>
      </c>
      <c r="F1127" s="1">
        <f>IFERROR(__xludf.DUMMYFUNCTION("""COMPUTED_VALUE"""),4010597.0)</f>
        <v>4010597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IFERROR(__xludf.DUMMYFUNCTION("""COMPUTED_VALUE"""),50.02)</f>
        <v>50.02</v>
      </c>
      <c r="C1128" s="1">
        <f>IFERROR(__xludf.DUMMYFUNCTION("""COMPUTED_VALUE"""),50.29)</f>
        <v>50.29</v>
      </c>
      <c r="D1128" s="1">
        <f>IFERROR(__xludf.DUMMYFUNCTION("""COMPUTED_VALUE"""),49.73)</f>
        <v>49.73</v>
      </c>
      <c r="E1128" s="1">
        <f>IFERROR(__xludf.DUMMYFUNCTION("""COMPUTED_VALUE"""),50.01)</f>
        <v>50.01</v>
      </c>
      <c r="F1128" s="1">
        <f>IFERROR(__xludf.DUMMYFUNCTION("""COMPUTED_VALUE"""),2185557.0)</f>
        <v>2185557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IFERROR(__xludf.DUMMYFUNCTION("""COMPUTED_VALUE"""),50.3)</f>
        <v>50.3</v>
      </c>
      <c r="C1129" s="1">
        <f>IFERROR(__xludf.DUMMYFUNCTION("""COMPUTED_VALUE"""),51.62)</f>
        <v>51.62</v>
      </c>
      <c r="D1129" s="1">
        <f>IFERROR(__xludf.DUMMYFUNCTION("""COMPUTED_VALUE"""),50.22)</f>
        <v>50.22</v>
      </c>
      <c r="E1129" s="1">
        <f>IFERROR(__xludf.DUMMYFUNCTION("""COMPUTED_VALUE"""),51.57)</f>
        <v>51.57</v>
      </c>
      <c r="F1129" s="1">
        <f>IFERROR(__xludf.DUMMYFUNCTION("""COMPUTED_VALUE"""),2100263.0)</f>
        <v>2100263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IFERROR(__xludf.DUMMYFUNCTION("""COMPUTED_VALUE"""),51.29)</f>
        <v>51.29</v>
      </c>
      <c r="C1130" s="1">
        <f>IFERROR(__xludf.DUMMYFUNCTION("""COMPUTED_VALUE"""),52.33)</f>
        <v>52.33</v>
      </c>
      <c r="D1130" s="1">
        <f>IFERROR(__xludf.DUMMYFUNCTION("""COMPUTED_VALUE"""),51.21)</f>
        <v>51.21</v>
      </c>
      <c r="E1130" s="1">
        <f>IFERROR(__xludf.DUMMYFUNCTION("""COMPUTED_VALUE"""),51.88)</f>
        <v>51.88</v>
      </c>
      <c r="F1130" s="1">
        <f>IFERROR(__xludf.DUMMYFUNCTION("""COMPUTED_VALUE"""),2331736.0)</f>
        <v>2331736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IFERROR(__xludf.DUMMYFUNCTION("""COMPUTED_VALUE"""),51.6)</f>
        <v>51.6</v>
      </c>
      <c r="C1131" s="1">
        <f>IFERROR(__xludf.DUMMYFUNCTION("""COMPUTED_VALUE"""),52.16)</f>
        <v>52.16</v>
      </c>
      <c r="D1131" s="1">
        <f>IFERROR(__xludf.DUMMYFUNCTION("""COMPUTED_VALUE"""),51.53)</f>
        <v>51.53</v>
      </c>
      <c r="E1131" s="1">
        <f>IFERROR(__xludf.DUMMYFUNCTION("""COMPUTED_VALUE"""),52.01)</f>
        <v>52.01</v>
      </c>
      <c r="F1131" s="1">
        <f>IFERROR(__xludf.DUMMYFUNCTION("""COMPUTED_VALUE"""),1479080.0)</f>
        <v>1479080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IFERROR(__xludf.DUMMYFUNCTION("""COMPUTED_VALUE"""),52.09)</f>
        <v>52.09</v>
      </c>
      <c r="C1132" s="1">
        <f>IFERROR(__xludf.DUMMYFUNCTION("""COMPUTED_VALUE"""),52.42)</f>
        <v>52.42</v>
      </c>
      <c r="D1132" s="1">
        <f>IFERROR(__xludf.DUMMYFUNCTION("""COMPUTED_VALUE"""),51.76)</f>
        <v>51.76</v>
      </c>
      <c r="E1132" s="1">
        <f>IFERROR(__xludf.DUMMYFUNCTION("""COMPUTED_VALUE"""),52.16)</f>
        <v>52.16</v>
      </c>
      <c r="F1132" s="1">
        <f>IFERROR(__xludf.DUMMYFUNCTION("""COMPUTED_VALUE"""),1688474.0)</f>
        <v>1688474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IFERROR(__xludf.DUMMYFUNCTION("""COMPUTED_VALUE"""),52.05)</f>
        <v>52.05</v>
      </c>
      <c r="C1133" s="1">
        <f>IFERROR(__xludf.DUMMYFUNCTION("""COMPUTED_VALUE"""),52.74)</f>
        <v>52.74</v>
      </c>
      <c r="D1133" s="1">
        <f>IFERROR(__xludf.DUMMYFUNCTION("""COMPUTED_VALUE"""),52.05)</f>
        <v>52.05</v>
      </c>
      <c r="E1133" s="1">
        <f>IFERROR(__xludf.DUMMYFUNCTION("""COMPUTED_VALUE"""),52.6)</f>
        <v>52.6</v>
      </c>
      <c r="F1133" s="1">
        <f>IFERROR(__xludf.DUMMYFUNCTION("""COMPUTED_VALUE"""),1194938.0)</f>
        <v>1194938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IFERROR(__xludf.DUMMYFUNCTION("""COMPUTED_VALUE"""),52.7)</f>
        <v>52.7</v>
      </c>
      <c r="C1134" s="1">
        <f>IFERROR(__xludf.DUMMYFUNCTION("""COMPUTED_VALUE"""),53.15)</f>
        <v>53.15</v>
      </c>
      <c r="D1134" s="1">
        <f>IFERROR(__xludf.DUMMYFUNCTION("""COMPUTED_VALUE"""),52.42)</f>
        <v>52.42</v>
      </c>
      <c r="E1134" s="1">
        <f>IFERROR(__xludf.DUMMYFUNCTION("""COMPUTED_VALUE"""),52.95)</f>
        <v>52.95</v>
      </c>
      <c r="F1134" s="1">
        <f>IFERROR(__xludf.DUMMYFUNCTION("""COMPUTED_VALUE"""),822258.0)</f>
        <v>822258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IFERROR(__xludf.DUMMYFUNCTION("""COMPUTED_VALUE"""),52.9)</f>
        <v>52.9</v>
      </c>
      <c r="C1135" s="1">
        <f>IFERROR(__xludf.DUMMYFUNCTION("""COMPUTED_VALUE"""),52.9)</f>
        <v>52.9</v>
      </c>
      <c r="D1135" s="1">
        <f>IFERROR(__xludf.DUMMYFUNCTION("""COMPUTED_VALUE"""),52.38)</f>
        <v>52.38</v>
      </c>
      <c r="E1135" s="1">
        <f>IFERROR(__xludf.DUMMYFUNCTION("""COMPUTED_VALUE"""),52.55)</f>
        <v>52.55</v>
      </c>
      <c r="F1135" s="1">
        <f>IFERROR(__xludf.DUMMYFUNCTION("""COMPUTED_VALUE"""),1004043.0)</f>
        <v>1004043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IFERROR(__xludf.DUMMYFUNCTION("""COMPUTED_VALUE"""),52.32)</f>
        <v>52.32</v>
      </c>
      <c r="C1136" s="1">
        <f>IFERROR(__xludf.DUMMYFUNCTION("""COMPUTED_VALUE"""),52.5)</f>
        <v>52.5</v>
      </c>
      <c r="D1136" s="1">
        <f>IFERROR(__xludf.DUMMYFUNCTION("""COMPUTED_VALUE"""),51.81)</f>
        <v>51.81</v>
      </c>
      <c r="E1136" s="1">
        <f>IFERROR(__xludf.DUMMYFUNCTION("""COMPUTED_VALUE"""),52.17)</f>
        <v>52.17</v>
      </c>
      <c r="F1136" s="1">
        <f>IFERROR(__xludf.DUMMYFUNCTION("""COMPUTED_VALUE"""),1466503.0)</f>
        <v>1466503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IFERROR(__xludf.DUMMYFUNCTION("""COMPUTED_VALUE"""),52.3)</f>
        <v>52.3</v>
      </c>
      <c r="C1137" s="1">
        <f>IFERROR(__xludf.DUMMYFUNCTION("""COMPUTED_VALUE"""),53.7)</f>
        <v>53.7</v>
      </c>
      <c r="D1137" s="1">
        <f>IFERROR(__xludf.DUMMYFUNCTION("""COMPUTED_VALUE"""),52.22)</f>
        <v>52.22</v>
      </c>
      <c r="E1137" s="1">
        <f>IFERROR(__xludf.DUMMYFUNCTION("""COMPUTED_VALUE"""),53.44)</f>
        <v>53.44</v>
      </c>
      <c r="F1137" s="1">
        <f>IFERROR(__xludf.DUMMYFUNCTION("""COMPUTED_VALUE"""),2567462.0)</f>
        <v>2567462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IFERROR(__xludf.DUMMYFUNCTION("""COMPUTED_VALUE"""),52.52)</f>
        <v>52.52</v>
      </c>
      <c r="C1138" s="1">
        <f>IFERROR(__xludf.DUMMYFUNCTION("""COMPUTED_VALUE"""),52.6)</f>
        <v>52.6</v>
      </c>
      <c r="D1138" s="1">
        <f>IFERROR(__xludf.DUMMYFUNCTION("""COMPUTED_VALUE"""),51.94)</f>
        <v>51.94</v>
      </c>
      <c r="E1138" s="1">
        <f>IFERROR(__xludf.DUMMYFUNCTION("""COMPUTED_VALUE"""),52.43)</f>
        <v>52.43</v>
      </c>
      <c r="F1138" s="1">
        <f>IFERROR(__xludf.DUMMYFUNCTION("""COMPUTED_VALUE"""),2128323.0)</f>
        <v>2128323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IFERROR(__xludf.DUMMYFUNCTION("""COMPUTED_VALUE"""),52.49)</f>
        <v>52.49</v>
      </c>
      <c r="C1139" s="1">
        <f>IFERROR(__xludf.DUMMYFUNCTION("""COMPUTED_VALUE"""),52.73)</f>
        <v>52.73</v>
      </c>
      <c r="D1139" s="1">
        <f>IFERROR(__xludf.DUMMYFUNCTION("""COMPUTED_VALUE"""),51.71)</f>
        <v>51.71</v>
      </c>
      <c r="E1139" s="1">
        <f>IFERROR(__xludf.DUMMYFUNCTION("""COMPUTED_VALUE"""),52.19)</f>
        <v>52.19</v>
      </c>
      <c r="F1139" s="1">
        <f>IFERROR(__xludf.DUMMYFUNCTION("""COMPUTED_VALUE"""),2045667.0)</f>
        <v>2045667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IFERROR(__xludf.DUMMYFUNCTION("""COMPUTED_VALUE"""),52.63)</f>
        <v>52.63</v>
      </c>
      <c r="C1140" s="1">
        <f>IFERROR(__xludf.DUMMYFUNCTION("""COMPUTED_VALUE"""),52.73)</f>
        <v>52.73</v>
      </c>
      <c r="D1140" s="1">
        <f>IFERROR(__xludf.DUMMYFUNCTION("""COMPUTED_VALUE"""),52.29)</f>
        <v>52.29</v>
      </c>
      <c r="E1140" s="1">
        <f>IFERROR(__xludf.DUMMYFUNCTION("""COMPUTED_VALUE"""),52.46)</f>
        <v>52.46</v>
      </c>
      <c r="F1140" s="1">
        <f>IFERROR(__xludf.DUMMYFUNCTION("""COMPUTED_VALUE"""),1056739.0)</f>
        <v>1056739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IFERROR(__xludf.DUMMYFUNCTION("""COMPUTED_VALUE"""),52.23)</f>
        <v>52.23</v>
      </c>
      <c r="C1141" s="1">
        <f>IFERROR(__xludf.DUMMYFUNCTION("""COMPUTED_VALUE"""),52.71)</f>
        <v>52.71</v>
      </c>
      <c r="D1141" s="1">
        <f>IFERROR(__xludf.DUMMYFUNCTION("""COMPUTED_VALUE"""),52.0)</f>
        <v>52</v>
      </c>
      <c r="E1141" s="1">
        <f>IFERROR(__xludf.DUMMYFUNCTION("""COMPUTED_VALUE"""),52.45)</f>
        <v>52.45</v>
      </c>
      <c r="F1141" s="1">
        <f>IFERROR(__xludf.DUMMYFUNCTION("""COMPUTED_VALUE"""),1372088.0)</f>
        <v>1372088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IFERROR(__xludf.DUMMYFUNCTION("""COMPUTED_VALUE"""),52.57)</f>
        <v>52.57</v>
      </c>
      <c r="C1142" s="1">
        <f>IFERROR(__xludf.DUMMYFUNCTION("""COMPUTED_VALUE"""),52.94)</f>
        <v>52.94</v>
      </c>
      <c r="D1142" s="1">
        <f>IFERROR(__xludf.DUMMYFUNCTION("""COMPUTED_VALUE"""),52.38)</f>
        <v>52.38</v>
      </c>
      <c r="E1142" s="1">
        <f>IFERROR(__xludf.DUMMYFUNCTION("""COMPUTED_VALUE"""),52.59)</f>
        <v>52.59</v>
      </c>
      <c r="F1142" s="1">
        <f>IFERROR(__xludf.DUMMYFUNCTION("""COMPUTED_VALUE"""),1087413.0)</f>
        <v>1087413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IFERROR(__xludf.DUMMYFUNCTION("""COMPUTED_VALUE"""),52.21)</f>
        <v>52.21</v>
      </c>
      <c r="C1143" s="1">
        <f>IFERROR(__xludf.DUMMYFUNCTION("""COMPUTED_VALUE"""),52.45)</f>
        <v>52.45</v>
      </c>
      <c r="D1143" s="1">
        <f>IFERROR(__xludf.DUMMYFUNCTION("""COMPUTED_VALUE"""),51.03)</f>
        <v>51.03</v>
      </c>
      <c r="E1143" s="1">
        <f>IFERROR(__xludf.DUMMYFUNCTION("""COMPUTED_VALUE"""),51.1)</f>
        <v>51.1</v>
      </c>
      <c r="F1143" s="1">
        <f>IFERROR(__xludf.DUMMYFUNCTION("""COMPUTED_VALUE"""),1462268.0)</f>
        <v>1462268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IFERROR(__xludf.DUMMYFUNCTION("""COMPUTED_VALUE"""),51.53)</f>
        <v>51.53</v>
      </c>
      <c r="C1144" s="1">
        <f>IFERROR(__xludf.DUMMYFUNCTION("""COMPUTED_VALUE"""),52.19)</f>
        <v>52.19</v>
      </c>
      <c r="D1144" s="1">
        <f>IFERROR(__xludf.DUMMYFUNCTION("""COMPUTED_VALUE"""),51.44)</f>
        <v>51.44</v>
      </c>
      <c r="E1144" s="1">
        <f>IFERROR(__xludf.DUMMYFUNCTION("""COMPUTED_VALUE"""),52.15)</f>
        <v>52.15</v>
      </c>
      <c r="F1144" s="1">
        <f>IFERROR(__xludf.DUMMYFUNCTION("""COMPUTED_VALUE"""),800851.0)</f>
        <v>800851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IFERROR(__xludf.DUMMYFUNCTION("""COMPUTED_VALUE"""),51.67)</f>
        <v>51.67</v>
      </c>
      <c r="C1145" s="1">
        <f>IFERROR(__xludf.DUMMYFUNCTION("""COMPUTED_VALUE"""),51.97)</f>
        <v>51.97</v>
      </c>
      <c r="D1145" s="1">
        <f>IFERROR(__xludf.DUMMYFUNCTION("""COMPUTED_VALUE"""),51.29)</f>
        <v>51.29</v>
      </c>
      <c r="E1145" s="1">
        <f>IFERROR(__xludf.DUMMYFUNCTION("""COMPUTED_VALUE"""),51.66)</f>
        <v>51.66</v>
      </c>
      <c r="F1145" s="1">
        <f>IFERROR(__xludf.DUMMYFUNCTION("""COMPUTED_VALUE"""),963907.0)</f>
        <v>963907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IFERROR(__xludf.DUMMYFUNCTION("""COMPUTED_VALUE"""),51.82)</f>
        <v>51.82</v>
      </c>
      <c r="C1146" s="1">
        <f>IFERROR(__xludf.DUMMYFUNCTION("""COMPUTED_VALUE"""),51.82)</f>
        <v>51.82</v>
      </c>
      <c r="D1146" s="1">
        <f>IFERROR(__xludf.DUMMYFUNCTION("""COMPUTED_VALUE"""),51.17)</f>
        <v>51.17</v>
      </c>
      <c r="E1146" s="1">
        <f>IFERROR(__xludf.DUMMYFUNCTION("""COMPUTED_VALUE"""),51.32)</f>
        <v>51.32</v>
      </c>
      <c r="F1146" s="1">
        <f>IFERROR(__xludf.DUMMYFUNCTION("""COMPUTED_VALUE"""),895388.0)</f>
        <v>895388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IFERROR(__xludf.DUMMYFUNCTION("""COMPUTED_VALUE"""),51.41)</f>
        <v>51.41</v>
      </c>
      <c r="C1147" s="1">
        <f>IFERROR(__xludf.DUMMYFUNCTION("""COMPUTED_VALUE"""),51.41)</f>
        <v>51.41</v>
      </c>
      <c r="D1147" s="1">
        <f>IFERROR(__xludf.DUMMYFUNCTION("""COMPUTED_VALUE"""),50.74)</f>
        <v>50.74</v>
      </c>
      <c r="E1147" s="1">
        <f>IFERROR(__xludf.DUMMYFUNCTION("""COMPUTED_VALUE"""),50.84)</f>
        <v>50.84</v>
      </c>
      <c r="F1147" s="1">
        <f>IFERROR(__xludf.DUMMYFUNCTION("""COMPUTED_VALUE"""),1544595.0)</f>
        <v>1544595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IFERROR(__xludf.DUMMYFUNCTION("""COMPUTED_VALUE"""),51.03)</f>
        <v>51.03</v>
      </c>
      <c r="C1148" s="1">
        <f>IFERROR(__xludf.DUMMYFUNCTION("""COMPUTED_VALUE"""),51.33)</f>
        <v>51.33</v>
      </c>
      <c r="D1148" s="1">
        <f>IFERROR(__xludf.DUMMYFUNCTION("""COMPUTED_VALUE"""),50.77)</f>
        <v>50.77</v>
      </c>
      <c r="E1148" s="1">
        <f>IFERROR(__xludf.DUMMYFUNCTION("""COMPUTED_VALUE"""),50.92)</f>
        <v>50.92</v>
      </c>
      <c r="F1148" s="1">
        <f>IFERROR(__xludf.DUMMYFUNCTION("""COMPUTED_VALUE"""),1133959.0)</f>
        <v>1133959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IFERROR(__xludf.DUMMYFUNCTION("""COMPUTED_VALUE"""),50.68)</f>
        <v>50.68</v>
      </c>
      <c r="C1149" s="1">
        <f>IFERROR(__xludf.DUMMYFUNCTION("""COMPUTED_VALUE"""),50.72)</f>
        <v>50.72</v>
      </c>
      <c r="D1149" s="1">
        <f>IFERROR(__xludf.DUMMYFUNCTION("""COMPUTED_VALUE"""),50.18)</f>
        <v>50.18</v>
      </c>
      <c r="E1149" s="1">
        <f>IFERROR(__xludf.DUMMYFUNCTION("""COMPUTED_VALUE"""),50.42)</f>
        <v>50.42</v>
      </c>
      <c r="F1149" s="1">
        <f>IFERROR(__xludf.DUMMYFUNCTION("""COMPUTED_VALUE"""),1225560.0)</f>
        <v>1225560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IFERROR(__xludf.DUMMYFUNCTION("""COMPUTED_VALUE"""),50.51)</f>
        <v>50.51</v>
      </c>
      <c r="C1150" s="1">
        <f>IFERROR(__xludf.DUMMYFUNCTION("""COMPUTED_VALUE"""),50.56)</f>
        <v>50.56</v>
      </c>
      <c r="D1150" s="1">
        <f>IFERROR(__xludf.DUMMYFUNCTION("""COMPUTED_VALUE"""),49.81)</f>
        <v>49.81</v>
      </c>
      <c r="E1150" s="1">
        <f>IFERROR(__xludf.DUMMYFUNCTION("""COMPUTED_VALUE"""),49.94)</f>
        <v>49.94</v>
      </c>
      <c r="F1150" s="1">
        <f>IFERROR(__xludf.DUMMYFUNCTION("""COMPUTED_VALUE"""),1172539.0)</f>
        <v>1172539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IFERROR(__xludf.DUMMYFUNCTION("""COMPUTED_VALUE"""),50.06)</f>
        <v>50.06</v>
      </c>
      <c r="C1151" s="1">
        <f>IFERROR(__xludf.DUMMYFUNCTION("""COMPUTED_VALUE"""),50.29)</f>
        <v>50.29</v>
      </c>
      <c r="D1151" s="1">
        <f>IFERROR(__xludf.DUMMYFUNCTION("""COMPUTED_VALUE"""),49.43)</f>
        <v>49.43</v>
      </c>
      <c r="E1151" s="1">
        <f>IFERROR(__xludf.DUMMYFUNCTION("""COMPUTED_VALUE"""),49.43)</f>
        <v>49.43</v>
      </c>
      <c r="F1151" s="1">
        <f>IFERROR(__xludf.DUMMYFUNCTION("""COMPUTED_VALUE"""),1237807.0)</f>
        <v>1237807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IFERROR(__xludf.DUMMYFUNCTION("""COMPUTED_VALUE"""),49.64)</f>
        <v>49.64</v>
      </c>
      <c r="C1152" s="1">
        <f>IFERROR(__xludf.DUMMYFUNCTION("""COMPUTED_VALUE"""),50.16)</f>
        <v>50.16</v>
      </c>
      <c r="D1152" s="1">
        <f>IFERROR(__xludf.DUMMYFUNCTION("""COMPUTED_VALUE"""),49.56)</f>
        <v>49.56</v>
      </c>
      <c r="E1152" s="1">
        <f>IFERROR(__xludf.DUMMYFUNCTION("""COMPUTED_VALUE"""),50.06)</f>
        <v>50.06</v>
      </c>
      <c r="F1152" s="1">
        <f>IFERROR(__xludf.DUMMYFUNCTION("""COMPUTED_VALUE"""),1492677.0)</f>
        <v>1492677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IFERROR(__xludf.DUMMYFUNCTION("""COMPUTED_VALUE"""),49.51)</f>
        <v>49.51</v>
      </c>
      <c r="C1153" s="1">
        <f>IFERROR(__xludf.DUMMYFUNCTION("""COMPUTED_VALUE"""),49.97)</f>
        <v>49.97</v>
      </c>
      <c r="D1153" s="1">
        <f>IFERROR(__xludf.DUMMYFUNCTION("""COMPUTED_VALUE"""),48.64)</f>
        <v>48.64</v>
      </c>
      <c r="E1153" s="1">
        <f>IFERROR(__xludf.DUMMYFUNCTION("""COMPUTED_VALUE"""),48.81)</f>
        <v>48.81</v>
      </c>
      <c r="F1153" s="1">
        <f>IFERROR(__xludf.DUMMYFUNCTION("""COMPUTED_VALUE"""),1185920.0)</f>
        <v>1185920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IFERROR(__xludf.DUMMYFUNCTION("""COMPUTED_VALUE"""),48.99)</f>
        <v>48.99</v>
      </c>
      <c r="C1154" s="1">
        <f>IFERROR(__xludf.DUMMYFUNCTION("""COMPUTED_VALUE"""),50.95)</f>
        <v>50.95</v>
      </c>
      <c r="D1154" s="1">
        <f>IFERROR(__xludf.DUMMYFUNCTION("""COMPUTED_VALUE"""),48.99)</f>
        <v>48.99</v>
      </c>
      <c r="E1154" s="1">
        <f>IFERROR(__xludf.DUMMYFUNCTION("""COMPUTED_VALUE"""),49.96)</f>
        <v>49.96</v>
      </c>
      <c r="F1154" s="1">
        <f>IFERROR(__xludf.DUMMYFUNCTION("""COMPUTED_VALUE"""),2033638.0)</f>
        <v>2033638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IFERROR(__xludf.DUMMYFUNCTION("""COMPUTED_VALUE"""),49.96)</f>
        <v>49.96</v>
      </c>
      <c r="C1155" s="1">
        <f>IFERROR(__xludf.DUMMYFUNCTION("""COMPUTED_VALUE"""),50.85)</f>
        <v>50.85</v>
      </c>
      <c r="D1155" s="1">
        <f>IFERROR(__xludf.DUMMYFUNCTION("""COMPUTED_VALUE"""),49.85)</f>
        <v>49.85</v>
      </c>
      <c r="E1155" s="1">
        <f>IFERROR(__xludf.DUMMYFUNCTION("""COMPUTED_VALUE"""),50.68)</f>
        <v>50.68</v>
      </c>
      <c r="F1155" s="1">
        <f>IFERROR(__xludf.DUMMYFUNCTION("""COMPUTED_VALUE"""),1625419.0)</f>
        <v>1625419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IFERROR(__xludf.DUMMYFUNCTION("""COMPUTED_VALUE"""),50.24)</f>
        <v>50.24</v>
      </c>
      <c r="C1156" s="1">
        <f>IFERROR(__xludf.DUMMYFUNCTION("""COMPUTED_VALUE"""),50.41)</f>
        <v>50.41</v>
      </c>
      <c r="D1156" s="1">
        <f>IFERROR(__xludf.DUMMYFUNCTION("""COMPUTED_VALUE"""),49.49)</f>
        <v>49.49</v>
      </c>
      <c r="E1156" s="1">
        <f>IFERROR(__xludf.DUMMYFUNCTION("""COMPUTED_VALUE"""),49.68)</f>
        <v>49.68</v>
      </c>
      <c r="F1156" s="1">
        <f>IFERROR(__xludf.DUMMYFUNCTION("""COMPUTED_VALUE"""),1267123.0)</f>
        <v>1267123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IFERROR(__xludf.DUMMYFUNCTION("""COMPUTED_VALUE"""),49.46)</f>
        <v>49.46</v>
      </c>
      <c r="C1157" s="1">
        <f>IFERROR(__xludf.DUMMYFUNCTION("""COMPUTED_VALUE"""),50.45)</f>
        <v>50.45</v>
      </c>
      <c r="D1157" s="1">
        <f>IFERROR(__xludf.DUMMYFUNCTION("""COMPUTED_VALUE"""),49.45)</f>
        <v>49.45</v>
      </c>
      <c r="E1157" s="1">
        <f>IFERROR(__xludf.DUMMYFUNCTION("""COMPUTED_VALUE"""),50.03)</f>
        <v>50.03</v>
      </c>
      <c r="F1157" s="1">
        <f>IFERROR(__xludf.DUMMYFUNCTION("""COMPUTED_VALUE"""),732213.0)</f>
        <v>732213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IFERROR(__xludf.DUMMYFUNCTION("""COMPUTED_VALUE"""),50.19)</f>
        <v>50.19</v>
      </c>
      <c r="C1158" s="1">
        <f>IFERROR(__xludf.DUMMYFUNCTION("""COMPUTED_VALUE"""),50.32)</f>
        <v>50.32</v>
      </c>
      <c r="D1158" s="1">
        <f>IFERROR(__xludf.DUMMYFUNCTION("""COMPUTED_VALUE"""),49.28)</f>
        <v>49.28</v>
      </c>
      <c r="E1158" s="1">
        <f>IFERROR(__xludf.DUMMYFUNCTION("""COMPUTED_VALUE"""),49.39)</f>
        <v>49.39</v>
      </c>
      <c r="F1158" s="1">
        <f>IFERROR(__xludf.DUMMYFUNCTION("""COMPUTED_VALUE"""),698156.0)</f>
        <v>698156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IFERROR(__xludf.DUMMYFUNCTION("""COMPUTED_VALUE"""),49.48)</f>
        <v>49.48</v>
      </c>
      <c r="C1159" s="1">
        <f>IFERROR(__xludf.DUMMYFUNCTION("""COMPUTED_VALUE"""),50.63)</f>
        <v>50.63</v>
      </c>
      <c r="D1159" s="1">
        <f>IFERROR(__xludf.DUMMYFUNCTION("""COMPUTED_VALUE"""),49.48)</f>
        <v>49.48</v>
      </c>
      <c r="E1159" s="1">
        <f>IFERROR(__xludf.DUMMYFUNCTION("""COMPUTED_VALUE"""),50.57)</f>
        <v>50.57</v>
      </c>
      <c r="F1159" s="1">
        <f>IFERROR(__xludf.DUMMYFUNCTION("""COMPUTED_VALUE"""),749120.0)</f>
        <v>749120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IFERROR(__xludf.DUMMYFUNCTION("""COMPUTED_VALUE"""),50.62)</f>
        <v>50.62</v>
      </c>
      <c r="C1160" s="1">
        <f>IFERROR(__xludf.DUMMYFUNCTION("""COMPUTED_VALUE"""),50.94)</f>
        <v>50.94</v>
      </c>
      <c r="D1160" s="1">
        <f>IFERROR(__xludf.DUMMYFUNCTION("""COMPUTED_VALUE"""),50.34)</f>
        <v>50.34</v>
      </c>
      <c r="E1160" s="1">
        <f>IFERROR(__xludf.DUMMYFUNCTION("""COMPUTED_VALUE"""),50.6)</f>
        <v>50.6</v>
      </c>
      <c r="F1160" s="1">
        <f>IFERROR(__xludf.DUMMYFUNCTION("""COMPUTED_VALUE"""),618812.0)</f>
        <v>618812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IFERROR(__xludf.DUMMYFUNCTION("""COMPUTED_VALUE"""),50.43)</f>
        <v>50.43</v>
      </c>
      <c r="C1161" s="1">
        <f>IFERROR(__xludf.DUMMYFUNCTION("""COMPUTED_VALUE"""),50.7)</f>
        <v>50.7</v>
      </c>
      <c r="D1161" s="1">
        <f>IFERROR(__xludf.DUMMYFUNCTION("""COMPUTED_VALUE"""),49.89)</f>
        <v>49.89</v>
      </c>
      <c r="E1161" s="1">
        <f>IFERROR(__xludf.DUMMYFUNCTION("""COMPUTED_VALUE"""),50.0)</f>
        <v>50</v>
      </c>
      <c r="F1161" s="1">
        <f>IFERROR(__xludf.DUMMYFUNCTION("""COMPUTED_VALUE"""),558999.0)</f>
        <v>558999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IFERROR(__xludf.DUMMYFUNCTION("""COMPUTED_VALUE"""),49.43)</f>
        <v>49.43</v>
      </c>
      <c r="C1162" s="1">
        <f>IFERROR(__xludf.DUMMYFUNCTION("""COMPUTED_VALUE"""),50.04)</f>
        <v>50.04</v>
      </c>
      <c r="D1162" s="1">
        <f>IFERROR(__xludf.DUMMYFUNCTION("""COMPUTED_VALUE"""),49.39)</f>
        <v>49.39</v>
      </c>
      <c r="E1162" s="1">
        <f>IFERROR(__xludf.DUMMYFUNCTION("""COMPUTED_VALUE"""),49.81)</f>
        <v>49.81</v>
      </c>
      <c r="F1162" s="1">
        <f>IFERROR(__xludf.DUMMYFUNCTION("""COMPUTED_VALUE"""),748841.0)</f>
        <v>748841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IFERROR(__xludf.DUMMYFUNCTION("""COMPUTED_VALUE"""),49.95)</f>
        <v>49.95</v>
      </c>
      <c r="C1163" s="1">
        <f>IFERROR(__xludf.DUMMYFUNCTION("""COMPUTED_VALUE"""),50.84)</f>
        <v>50.84</v>
      </c>
      <c r="D1163" s="1">
        <f>IFERROR(__xludf.DUMMYFUNCTION("""COMPUTED_VALUE"""),49.91)</f>
        <v>49.91</v>
      </c>
      <c r="E1163" s="1">
        <f>IFERROR(__xludf.DUMMYFUNCTION("""COMPUTED_VALUE"""),50.7)</f>
        <v>50.7</v>
      </c>
      <c r="F1163" s="1">
        <f>IFERROR(__xludf.DUMMYFUNCTION("""COMPUTED_VALUE"""),947951.0)</f>
        <v>947951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IFERROR(__xludf.DUMMYFUNCTION("""COMPUTED_VALUE"""),50.86)</f>
        <v>50.86</v>
      </c>
      <c r="C1164" s="1">
        <f>IFERROR(__xludf.DUMMYFUNCTION("""COMPUTED_VALUE"""),50.93)</f>
        <v>50.93</v>
      </c>
      <c r="D1164" s="1">
        <f>IFERROR(__xludf.DUMMYFUNCTION("""COMPUTED_VALUE"""),49.9)</f>
        <v>49.9</v>
      </c>
      <c r="E1164" s="1">
        <f>IFERROR(__xludf.DUMMYFUNCTION("""COMPUTED_VALUE"""),50.4)</f>
        <v>50.4</v>
      </c>
      <c r="F1164" s="1">
        <f>IFERROR(__xludf.DUMMYFUNCTION("""COMPUTED_VALUE"""),832971.0)</f>
        <v>832971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IFERROR(__xludf.DUMMYFUNCTION("""COMPUTED_VALUE"""),50.6)</f>
        <v>50.6</v>
      </c>
      <c r="C1165" s="1">
        <f>IFERROR(__xludf.DUMMYFUNCTION("""COMPUTED_VALUE"""),51.2)</f>
        <v>51.2</v>
      </c>
      <c r="D1165" s="1">
        <f>IFERROR(__xludf.DUMMYFUNCTION("""COMPUTED_VALUE"""),50.59)</f>
        <v>50.59</v>
      </c>
      <c r="E1165" s="1">
        <f>IFERROR(__xludf.DUMMYFUNCTION("""COMPUTED_VALUE"""),50.92)</f>
        <v>50.92</v>
      </c>
      <c r="F1165" s="1">
        <f>IFERROR(__xludf.DUMMYFUNCTION("""COMPUTED_VALUE"""),672562.0)</f>
        <v>672562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IFERROR(__xludf.DUMMYFUNCTION("""COMPUTED_VALUE"""),50.99)</f>
        <v>50.99</v>
      </c>
      <c r="C1166" s="1">
        <f>IFERROR(__xludf.DUMMYFUNCTION("""COMPUTED_VALUE"""),51.29)</f>
        <v>51.29</v>
      </c>
      <c r="D1166" s="1">
        <f>IFERROR(__xludf.DUMMYFUNCTION("""COMPUTED_VALUE"""),50.87)</f>
        <v>50.87</v>
      </c>
      <c r="E1166" s="1">
        <f>IFERROR(__xludf.DUMMYFUNCTION("""COMPUTED_VALUE"""),50.96)</f>
        <v>50.96</v>
      </c>
      <c r="F1166" s="1">
        <f>IFERROR(__xludf.DUMMYFUNCTION("""COMPUTED_VALUE"""),659886.0)</f>
        <v>659886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IFERROR(__xludf.DUMMYFUNCTION("""COMPUTED_VALUE"""),50.62)</f>
        <v>50.62</v>
      </c>
      <c r="C1167" s="1">
        <f>IFERROR(__xludf.DUMMYFUNCTION("""COMPUTED_VALUE"""),51.37)</f>
        <v>51.37</v>
      </c>
      <c r="D1167" s="1">
        <f>IFERROR(__xludf.DUMMYFUNCTION("""COMPUTED_VALUE"""),50.51)</f>
        <v>50.51</v>
      </c>
      <c r="E1167" s="1">
        <f>IFERROR(__xludf.DUMMYFUNCTION("""COMPUTED_VALUE"""),51.25)</f>
        <v>51.25</v>
      </c>
      <c r="F1167" s="1">
        <f>IFERROR(__xludf.DUMMYFUNCTION("""COMPUTED_VALUE"""),790099.0)</f>
        <v>790099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IFERROR(__xludf.DUMMYFUNCTION("""COMPUTED_VALUE"""),51.39)</f>
        <v>51.39</v>
      </c>
      <c r="C1168" s="1">
        <f>IFERROR(__xludf.DUMMYFUNCTION("""COMPUTED_VALUE"""),51.45)</f>
        <v>51.45</v>
      </c>
      <c r="D1168" s="1">
        <f>IFERROR(__xludf.DUMMYFUNCTION("""COMPUTED_VALUE"""),50.79)</f>
        <v>50.79</v>
      </c>
      <c r="E1168" s="1">
        <f>IFERROR(__xludf.DUMMYFUNCTION("""COMPUTED_VALUE"""),51.08)</f>
        <v>51.08</v>
      </c>
      <c r="F1168" s="1">
        <f>IFERROR(__xludf.DUMMYFUNCTION("""COMPUTED_VALUE"""),913704.0)</f>
        <v>913704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IFERROR(__xludf.DUMMYFUNCTION("""COMPUTED_VALUE"""),51.09)</f>
        <v>51.09</v>
      </c>
      <c r="C1169" s="1">
        <f>IFERROR(__xludf.DUMMYFUNCTION("""COMPUTED_VALUE"""),51.36)</f>
        <v>51.36</v>
      </c>
      <c r="D1169" s="1">
        <f>IFERROR(__xludf.DUMMYFUNCTION("""COMPUTED_VALUE"""),50.63)</f>
        <v>50.63</v>
      </c>
      <c r="E1169" s="1">
        <f>IFERROR(__xludf.DUMMYFUNCTION("""COMPUTED_VALUE"""),51.26)</f>
        <v>51.26</v>
      </c>
      <c r="F1169" s="1">
        <f>IFERROR(__xludf.DUMMYFUNCTION("""COMPUTED_VALUE"""),1074093.0)</f>
        <v>1074093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IFERROR(__xludf.DUMMYFUNCTION("""COMPUTED_VALUE"""),51.41)</f>
        <v>51.41</v>
      </c>
      <c r="C1170" s="1">
        <f>IFERROR(__xludf.DUMMYFUNCTION("""COMPUTED_VALUE"""),51.77)</f>
        <v>51.77</v>
      </c>
      <c r="D1170" s="1">
        <f>IFERROR(__xludf.DUMMYFUNCTION("""COMPUTED_VALUE"""),51.08)</f>
        <v>51.08</v>
      </c>
      <c r="E1170" s="1">
        <f>IFERROR(__xludf.DUMMYFUNCTION("""COMPUTED_VALUE"""),51.57)</f>
        <v>51.57</v>
      </c>
      <c r="F1170" s="1">
        <f>IFERROR(__xludf.DUMMYFUNCTION("""COMPUTED_VALUE"""),828259.0)</f>
        <v>828259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IFERROR(__xludf.DUMMYFUNCTION("""COMPUTED_VALUE"""),51.65)</f>
        <v>51.65</v>
      </c>
      <c r="C1171" s="1">
        <f>IFERROR(__xludf.DUMMYFUNCTION("""COMPUTED_VALUE"""),52.0)</f>
        <v>52</v>
      </c>
      <c r="D1171" s="1">
        <f>IFERROR(__xludf.DUMMYFUNCTION("""COMPUTED_VALUE"""),51.55)</f>
        <v>51.55</v>
      </c>
      <c r="E1171" s="1">
        <f>IFERROR(__xludf.DUMMYFUNCTION("""COMPUTED_VALUE"""),51.86)</f>
        <v>51.86</v>
      </c>
      <c r="F1171" s="1">
        <f>IFERROR(__xludf.DUMMYFUNCTION("""COMPUTED_VALUE"""),949622.0)</f>
        <v>949622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IFERROR(__xludf.DUMMYFUNCTION("""COMPUTED_VALUE"""),51.97)</f>
        <v>51.97</v>
      </c>
      <c r="C1172" s="1">
        <f>IFERROR(__xludf.DUMMYFUNCTION("""COMPUTED_VALUE"""),52.11)</f>
        <v>52.11</v>
      </c>
      <c r="D1172" s="1">
        <f>IFERROR(__xludf.DUMMYFUNCTION("""COMPUTED_VALUE"""),51.77)</f>
        <v>51.77</v>
      </c>
      <c r="E1172" s="1">
        <f>IFERROR(__xludf.DUMMYFUNCTION("""COMPUTED_VALUE"""),52.0)</f>
        <v>52</v>
      </c>
      <c r="F1172" s="1">
        <f>IFERROR(__xludf.DUMMYFUNCTION("""COMPUTED_VALUE"""),677976.0)</f>
        <v>677976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IFERROR(__xludf.DUMMYFUNCTION("""COMPUTED_VALUE"""),51.09)</f>
        <v>51.09</v>
      </c>
      <c r="C1173" s="1">
        <f>IFERROR(__xludf.DUMMYFUNCTION("""COMPUTED_VALUE"""),52.17)</f>
        <v>52.17</v>
      </c>
      <c r="D1173" s="1">
        <f>IFERROR(__xludf.DUMMYFUNCTION("""COMPUTED_VALUE"""),50.94)</f>
        <v>50.94</v>
      </c>
      <c r="E1173" s="1">
        <f>IFERROR(__xludf.DUMMYFUNCTION("""COMPUTED_VALUE"""),51.96)</f>
        <v>51.96</v>
      </c>
      <c r="F1173" s="1">
        <f>IFERROR(__xludf.DUMMYFUNCTION("""COMPUTED_VALUE"""),610158.0)</f>
        <v>610158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IFERROR(__xludf.DUMMYFUNCTION("""COMPUTED_VALUE"""),51.98)</f>
        <v>51.98</v>
      </c>
      <c r="C1174" s="1">
        <f>IFERROR(__xludf.DUMMYFUNCTION("""COMPUTED_VALUE"""),52.51)</f>
        <v>52.51</v>
      </c>
      <c r="D1174" s="1">
        <f>IFERROR(__xludf.DUMMYFUNCTION("""COMPUTED_VALUE"""),51.88)</f>
        <v>51.88</v>
      </c>
      <c r="E1174" s="1">
        <f>IFERROR(__xludf.DUMMYFUNCTION("""COMPUTED_VALUE"""),52.4)</f>
        <v>52.4</v>
      </c>
      <c r="F1174" s="1">
        <f>IFERROR(__xludf.DUMMYFUNCTION("""COMPUTED_VALUE"""),839703.0)</f>
        <v>839703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IFERROR(__xludf.DUMMYFUNCTION("""COMPUTED_VALUE"""),52.4)</f>
        <v>52.4</v>
      </c>
      <c r="C1175" s="1">
        <f>IFERROR(__xludf.DUMMYFUNCTION("""COMPUTED_VALUE"""),52.95)</f>
        <v>52.95</v>
      </c>
      <c r="D1175" s="1">
        <f>IFERROR(__xludf.DUMMYFUNCTION("""COMPUTED_VALUE"""),51.78)</f>
        <v>51.78</v>
      </c>
      <c r="E1175" s="1">
        <f>IFERROR(__xludf.DUMMYFUNCTION("""COMPUTED_VALUE"""),51.88)</f>
        <v>51.88</v>
      </c>
      <c r="F1175" s="1">
        <f>IFERROR(__xludf.DUMMYFUNCTION("""COMPUTED_VALUE"""),1350403.0)</f>
        <v>1350403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IFERROR(__xludf.DUMMYFUNCTION("""COMPUTED_VALUE"""),52.27)</f>
        <v>52.27</v>
      </c>
      <c r="C1176" s="1">
        <f>IFERROR(__xludf.DUMMYFUNCTION("""COMPUTED_VALUE"""),52.92)</f>
        <v>52.92</v>
      </c>
      <c r="D1176" s="1">
        <f>IFERROR(__xludf.DUMMYFUNCTION("""COMPUTED_VALUE"""),51.95)</f>
        <v>51.95</v>
      </c>
      <c r="E1176" s="1">
        <f>IFERROR(__xludf.DUMMYFUNCTION("""COMPUTED_VALUE"""),52.8)</f>
        <v>52.8</v>
      </c>
      <c r="F1176" s="1">
        <f>IFERROR(__xludf.DUMMYFUNCTION("""COMPUTED_VALUE"""),1558374.0)</f>
        <v>1558374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IFERROR(__xludf.DUMMYFUNCTION("""COMPUTED_VALUE"""),52.99)</f>
        <v>52.99</v>
      </c>
      <c r="C1177" s="1">
        <f>IFERROR(__xludf.DUMMYFUNCTION("""COMPUTED_VALUE"""),53.59)</f>
        <v>53.59</v>
      </c>
      <c r="D1177" s="1">
        <f>IFERROR(__xludf.DUMMYFUNCTION("""COMPUTED_VALUE"""),52.9)</f>
        <v>52.9</v>
      </c>
      <c r="E1177" s="1">
        <f>IFERROR(__xludf.DUMMYFUNCTION("""COMPUTED_VALUE"""),53.34)</f>
        <v>53.34</v>
      </c>
      <c r="F1177" s="1">
        <f>IFERROR(__xludf.DUMMYFUNCTION("""COMPUTED_VALUE"""),1683744.0)</f>
        <v>1683744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IFERROR(__xludf.DUMMYFUNCTION("""COMPUTED_VALUE"""),53.28)</f>
        <v>53.28</v>
      </c>
      <c r="C1178" s="1">
        <f>IFERROR(__xludf.DUMMYFUNCTION("""COMPUTED_VALUE"""),53.77)</f>
        <v>53.77</v>
      </c>
      <c r="D1178" s="1">
        <f>IFERROR(__xludf.DUMMYFUNCTION("""COMPUTED_VALUE"""),53.04)</f>
        <v>53.04</v>
      </c>
      <c r="E1178" s="1">
        <f>IFERROR(__xludf.DUMMYFUNCTION("""COMPUTED_VALUE"""),53.71)</f>
        <v>53.71</v>
      </c>
      <c r="F1178" s="1">
        <f>IFERROR(__xludf.DUMMYFUNCTION("""COMPUTED_VALUE"""),1361319.0)</f>
        <v>1361319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IFERROR(__xludf.DUMMYFUNCTION("""COMPUTED_VALUE"""),53.65)</f>
        <v>53.65</v>
      </c>
      <c r="C1179" s="1">
        <f>IFERROR(__xludf.DUMMYFUNCTION("""COMPUTED_VALUE"""),54.28)</f>
        <v>54.28</v>
      </c>
      <c r="D1179" s="1">
        <f>IFERROR(__xludf.DUMMYFUNCTION("""COMPUTED_VALUE"""),52.81)</f>
        <v>52.81</v>
      </c>
      <c r="E1179" s="1">
        <f>IFERROR(__xludf.DUMMYFUNCTION("""COMPUTED_VALUE"""),52.84)</f>
        <v>52.84</v>
      </c>
      <c r="F1179" s="1">
        <f>IFERROR(__xludf.DUMMYFUNCTION("""COMPUTED_VALUE"""),1239938.0)</f>
        <v>1239938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IFERROR(__xludf.DUMMYFUNCTION("""COMPUTED_VALUE"""),52.6)</f>
        <v>52.6</v>
      </c>
      <c r="C1180" s="1">
        <f>IFERROR(__xludf.DUMMYFUNCTION("""COMPUTED_VALUE"""),52.72)</f>
        <v>52.72</v>
      </c>
      <c r="D1180" s="1">
        <f>IFERROR(__xludf.DUMMYFUNCTION("""COMPUTED_VALUE"""),51.94)</f>
        <v>51.94</v>
      </c>
      <c r="E1180" s="1">
        <f>IFERROR(__xludf.DUMMYFUNCTION("""COMPUTED_VALUE"""),52.24)</f>
        <v>52.24</v>
      </c>
      <c r="F1180" s="1">
        <f>IFERROR(__xludf.DUMMYFUNCTION("""COMPUTED_VALUE"""),1022119.0)</f>
        <v>1022119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IFERROR(__xludf.DUMMYFUNCTION("""COMPUTED_VALUE"""),52.32)</f>
        <v>52.32</v>
      </c>
      <c r="C1181" s="1">
        <f>IFERROR(__xludf.DUMMYFUNCTION("""COMPUTED_VALUE"""),52.37)</f>
        <v>52.37</v>
      </c>
      <c r="D1181" s="1">
        <f>IFERROR(__xludf.DUMMYFUNCTION("""COMPUTED_VALUE"""),51.72)</f>
        <v>51.72</v>
      </c>
      <c r="E1181" s="1">
        <f>IFERROR(__xludf.DUMMYFUNCTION("""COMPUTED_VALUE"""),52.1)</f>
        <v>52.1</v>
      </c>
      <c r="F1181" s="1">
        <f>IFERROR(__xludf.DUMMYFUNCTION("""COMPUTED_VALUE"""),943861.0)</f>
        <v>943861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IFERROR(__xludf.DUMMYFUNCTION("""COMPUTED_VALUE"""),51.76)</f>
        <v>51.76</v>
      </c>
      <c r="C1182" s="1">
        <f>IFERROR(__xludf.DUMMYFUNCTION("""COMPUTED_VALUE"""),52.66)</f>
        <v>52.66</v>
      </c>
      <c r="D1182" s="1">
        <f>IFERROR(__xludf.DUMMYFUNCTION("""COMPUTED_VALUE"""),51.76)</f>
        <v>51.76</v>
      </c>
      <c r="E1182" s="1">
        <f>IFERROR(__xludf.DUMMYFUNCTION("""COMPUTED_VALUE"""),52.54)</f>
        <v>52.54</v>
      </c>
      <c r="F1182" s="1">
        <f>IFERROR(__xludf.DUMMYFUNCTION("""COMPUTED_VALUE"""),1482015.0)</f>
        <v>1482015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IFERROR(__xludf.DUMMYFUNCTION("""COMPUTED_VALUE"""),52.58)</f>
        <v>52.58</v>
      </c>
      <c r="C1183" s="1">
        <f>IFERROR(__xludf.DUMMYFUNCTION("""COMPUTED_VALUE"""),53.23)</f>
        <v>53.23</v>
      </c>
      <c r="D1183" s="1">
        <f>IFERROR(__xludf.DUMMYFUNCTION("""COMPUTED_VALUE"""),52.39)</f>
        <v>52.39</v>
      </c>
      <c r="E1183" s="1">
        <f>IFERROR(__xludf.DUMMYFUNCTION("""COMPUTED_VALUE"""),52.53)</f>
        <v>52.53</v>
      </c>
      <c r="F1183" s="1">
        <f>IFERROR(__xludf.DUMMYFUNCTION("""COMPUTED_VALUE"""),1343636.0)</f>
        <v>1343636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IFERROR(__xludf.DUMMYFUNCTION("""COMPUTED_VALUE"""),52.25)</f>
        <v>52.25</v>
      </c>
      <c r="C1184" s="1">
        <f>IFERROR(__xludf.DUMMYFUNCTION("""COMPUTED_VALUE"""),52.76)</f>
        <v>52.76</v>
      </c>
      <c r="D1184" s="1">
        <f>IFERROR(__xludf.DUMMYFUNCTION("""COMPUTED_VALUE"""),51.95)</f>
        <v>51.95</v>
      </c>
      <c r="E1184" s="1">
        <f>IFERROR(__xludf.DUMMYFUNCTION("""COMPUTED_VALUE"""),52.05)</f>
        <v>52.05</v>
      </c>
      <c r="F1184" s="1">
        <f>IFERROR(__xludf.DUMMYFUNCTION("""COMPUTED_VALUE"""),1569945.0)</f>
        <v>1569945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IFERROR(__xludf.DUMMYFUNCTION("""COMPUTED_VALUE"""),51.77)</f>
        <v>51.77</v>
      </c>
      <c r="C1185" s="1">
        <f>IFERROR(__xludf.DUMMYFUNCTION("""COMPUTED_VALUE"""),52.53)</f>
        <v>52.53</v>
      </c>
      <c r="D1185" s="1">
        <f>IFERROR(__xludf.DUMMYFUNCTION("""COMPUTED_VALUE"""),51.49)</f>
        <v>51.49</v>
      </c>
      <c r="E1185" s="1">
        <f>IFERROR(__xludf.DUMMYFUNCTION("""COMPUTED_VALUE"""),52.13)</f>
        <v>52.13</v>
      </c>
      <c r="F1185" s="1">
        <f>IFERROR(__xludf.DUMMYFUNCTION("""COMPUTED_VALUE"""),1472895.0)</f>
        <v>1472895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IFERROR(__xludf.DUMMYFUNCTION("""COMPUTED_VALUE"""),52.77)</f>
        <v>52.77</v>
      </c>
      <c r="C1186" s="1">
        <f>IFERROR(__xludf.DUMMYFUNCTION("""COMPUTED_VALUE"""),53.93)</f>
        <v>53.93</v>
      </c>
      <c r="D1186" s="1">
        <f>IFERROR(__xludf.DUMMYFUNCTION("""COMPUTED_VALUE"""),52.49)</f>
        <v>52.49</v>
      </c>
      <c r="E1186" s="1">
        <f>IFERROR(__xludf.DUMMYFUNCTION("""COMPUTED_VALUE"""),53.35)</f>
        <v>53.35</v>
      </c>
      <c r="F1186" s="1">
        <f>IFERROR(__xludf.DUMMYFUNCTION("""COMPUTED_VALUE"""),2162772.0)</f>
        <v>2162772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IFERROR(__xludf.DUMMYFUNCTION("""COMPUTED_VALUE"""),53.57)</f>
        <v>53.57</v>
      </c>
      <c r="C1187" s="1">
        <f>IFERROR(__xludf.DUMMYFUNCTION("""COMPUTED_VALUE"""),53.65)</f>
        <v>53.65</v>
      </c>
      <c r="D1187" s="1">
        <f>IFERROR(__xludf.DUMMYFUNCTION("""COMPUTED_VALUE"""),53.2)</f>
        <v>53.2</v>
      </c>
      <c r="E1187" s="1">
        <f>IFERROR(__xludf.DUMMYFUNCTION("""COMPUTED_VALUE"""),53.52)</f>
        <v>53.52</v>
      </c>
      <c r="F1187" s="1">
        <f>IFERROR(__xludf.DUMMYFUNCTION("""COMPUTED_VALUE"""),1396990.0)</f>
        <v>1396990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IFERROR(__xludf.DUMMYFUNCTION("""COMPUTED_VALUE"""),53.87)</f>
        <v>53.87</v>
      </c>
      <c r="C1188" s="1">
        <f>IFERROR(__xludf.DUMMYFUNCTION("""COMPUTED_VALUE"""),54.01)</f>
        <v>54.01</v>
      </c>
      <c r="D1188" s="1">
        <f>IFERROR(__xludf.DUMMYFUNCTION("""COMPUTED_VALUE"""),53.25)</f>
        <v>53.25</v>
      </c>
      <c r="E1188" s="1">
        <f>IFERROR(__xludf.DUMMYFUNCTION("""COMPUTED_VALUE"""),53.57)</f>
        <v>53.57</v>
      </c>
      <c r="F1188" s="1">
        <f>IFERROR(__xludf.DUMMYFUNCTION("""COMPUTED_VALUE"""),1872676.0)</f>
        <v>1872676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IFERROR(__xludf.DUMMYFUNCTION("""COMPUTED_VALUE"""),53.51)</f>
        <v>53.51</v>
      </c>
      <c r="C1189" s="1">
        <f>IFERROR(__xludf.DUMMYFUNCTION("""COMPUTED_VALUE"""),53.83)</f>
        <v>53.83</v>
      </c>
      <c r="D1189" s="1">
        <f>IFERROR(__xludf.DUMMYFUNCTION("""COMPUTED_VALUE"""),52.72)</f>
        <v>52.72</v>
      </c>
      <c r="E1189" s="1">
        <f>IFERROR(__xludf.DUMMYFUNCTION("""COMPUTED_VALUE"""),52.81)</f>
        <v>52.81</v>
      </c>
      <c r="F1189" s="1">
        <f>IFERROR(__xludf.DUMMYFUNCTION("""COMPUTED_VALUE"""),2688173.0)</f>
        <v>2688173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IFERROR(__xludf.DUMMYFUNCTION("""COMPUTED_VALUE"""),49.14)</f>
        <v>49.14</v>
      </c>
      <c r="C1190" s="1">
        <f>IFERROR(__xludf.DUMMYFUNCTION("""COMPUTED_VALUE"""),49.7)</f>
        <v>49.7</v>
      </c>
      <c r="D1190" s="1">
        <f>IFERROR(__xludf.DUMMYFUNCTION("""COMPUTED_VALUE"""),47.05)</f>
        <v>47.05</v>
      </c>
      <c r="E1190" s="1">
        <f>IFERROR(__xludf.DUMMYFUNCTION("""COMPUTED_VALUE"""),47.8)</f>
        <v>47.8</v>
      </c>
      <c r="F1190" s="1">
        <f>IFERROR(__xludf.DUMMYFUNCTION("""COMPUTED_VALUE"""),1.0022039E7)</f>
        <v>10022039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IFERROR(__xludf.DUMMYFUNCTION("""COMPUTED_VALUE"""),47.77)</f>
        <v>47.77</v>
      </c>
      <c r="C1191" s="1">
        <f>IFERROR(__xludf.DUMMYFUNCTION("""COMPUTED_VALUE"""),48.79)</f>
        <v>48.79</v>
      </c>
      <c r="D1191" s="1">
        <f>IFERROR(__xludf.DUMMYFUNCTION("""COMPUTED_VALUE"""),47.77)</f>
        <v>47.77</v>
      </c>
      <c r="E1191" s="1">
        <f>IFERROR(__xludf.DUMMYFUNCTION("""COMPUTED_VALUE"""),48.48)</f>
        <v>48.48</v>
      </c>
      <c r="F1191" s="1">
        <f>IFERROR(__xludf.DUMMYFUNCTION("""COMPUTED_VALUE"""),3258064.0)</f>
        <v>3258064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IFERROR(__xludf.DUMMYFUNCTION("""COMPUTED_VALUE"""),48.21)</f>
        <v>48.21</v>
      </c>
      <c r="C1192" s="1">
        <f>IFERROR(__xludf.DUMMYFUNCTION("""COMPUTED_VALUE"""),48.31)</f>
        <v>48.31</v>
      </c>
      <c r="D1192" s="1">
        <f>IFERROR(__xludf.DUMMYFUNCTION("""COMPUTED_VALUE"""),47.06)</f>
        <v>47.06</v>
      </c>
      <c r="E1192" s="1">
        <f>IFERROR(__xludf.DUMMYFUNCTION("""COMPUTED_VALUE"""),47.52)</f>
        <v>47.52</v>
      </c>
      <c r="F1192" s="1">
        <f>IFERROR(__xludf.DUMMYFUNCTION("""COMPUTED_VALUE"""),2645408.0)</f>
        <v>2645408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IFERROR(__xludf.DUMMYFUNCTION("""COMPUTED_VALUE"""),47.66)</f>
        <v>47.66</v>
      </c>
      <c r="C1193" s="1">
        <f>IFERROR(__xludf.DUMMYFUNCTION("""COMPUTED_VALUE"""),47.84)</f>
        <v>47.84</v>
      </c>
      <c r="D1193" s="1">
        <f>IFERROR(__xludf.DUMMYFUNCTION("""COMPUTED_VALUE"""),47.12)</f>
        <v>47.12</v>
      </c>
      <c r="E1193" s="1">
        <f>IFERROR(__xludf.DUMMYFUNCTION("""COMPUTED_VALUE"""),47.5)</f>
        <v>47.5</v>
      </c>
      <c r="F1193" s="1">
        <f>IFERROR(__xludf.DUMMYFUNCTION("""COMPUTED_VALUE"""),1457717.0)</f>
        <v>1457717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IFERROR(__xludf.DUMMYFUNCTION("""COMPUTED_VALUE"""),47.11)</f>
        <v>47.11</v>
      </c>
      <c r="C1194" s="1">
        <f>IFERROR(__xludf.DUMMYFUNCTION("""COMPUTED_VALUE"""),47.5)</f>
        <v>47.5</v>
      </c>
      <c r="D1194" s="1">
        <f>IFERROR(__xludf.DUMMYFUNCTION("""COMPUTED_VALUE"""),46.84)</f>
        <v>46.84</v>
      </c>
      <c r="E1194" s="1">
        <f>IFERROR(__xludf.DUMMYFUNCTION("""COMPUTED_VALUE"""),47.11)</f>
        <v>47.11</v>
      </c>
      <c r="F1194" s="1">
        <f>IFERROR(__xludf.DUMMYFUNCTION("""COMPUTED_VALUE"""),1504464.0)</f>
        <v>1504464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IFERROR(__xludf.DUMMYFUNCTION("""COMPUTED_VALUE"""),47.05)</f>
        <v>47.05</v>
      </c>
      <c r="C1195" s="1">
        <f>IFERROR(__xludf.DUMMYFUNCTION("""COMPUTED_VALUE"""),47.05)</f>
        <v>47.05</v>
      </c>
      <c r="D1195" s="1">
        <f>IFERROR(__xludf.DUMMYFUNCTION("""COMPUTED_VALUE"""),46.44)</f>
        <v>46.44</v>
      </c>
      <c r="E1195" s="1">
        <f>IFERROR(__xludf.DUMMYFUNCTION("""COMPUTED_VALUE"""),46.45)</f>
        <v>46.45</v>
      </c>
      <c r="F1195" s="1">
        <f>IFERROR(__xludf.DUMMYFUNCTION("""COMPUTED_VALUE"""),2295837.0)</f>
        <v>2295837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IFERROR(__xludf.DUMMYFUNCTION("""COMPUTED_VALUE"""),46.39)</f>
        <v>46.39</v>
      </c>
      <c r="C1196" s="1">
        <f>IFERROR(__xludf.DUMMYFUNCTION("""COMPUTED_VALUE"""),46.42)</f>
        <v>46.42</v>
      </c>
      <c r="D1196" s="1">
        <f>IFERROR(__xludf.DUMMYFUNCTION("""COMPUTED_VALUE"""),45.24)</f>
        <v>45.24</v>
      </c>
      <c r="E1196" s="1">
        <f>IFERROR(__xludf.DUMMYFUNCTION("""COMPUTED_VALUE"""),45.31)</f>
        <v>45.31</v>
      </c>
      <c r="F1196" s="1">
        <f>IFERROR(__xludf.DUMMYFUNCTION("""COMPUTED_VALUE"""),2683509.0)</f>
        <v>2683509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IFERROR(__xludf.DUMMYFUNCTION("""COMPUTED_VALUE"""),46.13)</f>
        <v>46.13</v>
      </c>
      <c r="C1197" s="1">
        <f>IFERROR(__xludf.DUMMYFUNCTION("""COMPUTED_VALUE"""),46.2)</f>
        <v>46.2</v>
      </c>
      <c r="D1197" s="1">
        <f>IFERROR(__xludf.DUMMYFUNCTION("""COMPUTED_VALUE"""),45.26)</f>
        <v>45.26</v>
      </c>
      <c r="E1197" s="1">
        <f>IFERROR(__xludf.DUMMYFUNCTION("""COMPUTED_VALUE"""),46.05)</f>
        <v>46.05</v>
      </c>
      <c r="F1197" s="1">
        <f>IFERROR(__xludf.DUMMYFUNCTION("""COMPUTED_VALUE"""),2651415.0)</f>
        <v>2651415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IFERROR(__xludf.DUMMYFUNCTION("""COMPUTED_VALUE"""),46.33)</f>
        <v>46.33</v>
      </c>
      <c r="C1198" s="1">
        <f>IFERROR(__xludf.DUMMYFUNCTION("""COMPUTED_VALUE"""),47.26)</f>
        <v>47.26</v>
      </c>
      <c r="D1198" s="1">
        <f>IFERROR(__xludf.DUMMYFUNCTION("""COMPUTED_VALUE"""),46.26)</f>
        <v>46.26</v>
      </c>
      <c r="E1198" s="1">
        <f>IFERROR(__xludf.DUMMYFUNCTION("""COMPUTED_VALUE"""),46.83)</f>
        <v>46.83</v>
      </c>
      <c r="F1198" s="1">
        <f>IFERROR(__xludf.DUMMYFUNCTION("""COMPUTED_VALUE"""),2458379.0)</f>
        <v>2458379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IFERROR(__xludf.DUMMYFUNCTION("""COMPUTED_VALUE"""),46.89)</f>
        <v>46.89</v>
      </c>
      <c r="C1199" s="1">
        <f>IFERROR(__xludf.DUMMYFUNCTION("""COMPUTED_VALUE"""),47.41)</f>
        <v>47.41</v>
      </c>
      <c r="D1199" s="1">
        <f>IFERROR(__xludf.DUMMYFUNCTION("""COMPUTED_VALUE"""),46.76)</f>
        <v>46.76</v>
      </c>
      <c r="E1199" s="1">
        <f>IFERROR(__xludf.DUMMYFUNCTION("""COMPUTED_VALUE"""),46.9)</f>
        <v>46.9</v>
      </c>
      <c r="F1199" s="1">
        <f>IFERROR(__xludf.DUMMYFUNCTION("""COMPUTED_VALUE"""),1845756.0)</f>
        <v>1845756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IFERROR(__xludf.DUMMYFUNCTION("""COMPUTED_VALUE"""),46.76)</f>
        <v>46.76</v>
      </c>
      <c r="C1200" s="1">
        <f>IFERROR(__xludf.DUMMYFUNCTION("""COMPUTED_VALUE"""),47.26)</f>
        <v>47.26</v>
      </c>
      <c r="D1200" s="1">
        <f>IFERROR(__xludf.DUMMYFUNCTION("""COMPUTED_VALUE"""),46.44)</f>
        <v>46.44</v>
      </c>
      <c r="E1200" s="1">
        <f>IFERROR(__xludf.DUMMYFUNCTION("""COMPUTED_VALUE"""),46.44)</f>
        <v>46.44</v>
      </c>
      <c r="F1200" s="1">
        <f>IFERROR(__xludf.DUMMYFUNCTION("""COMPUTED_VALUE"""),2477234.0)</f>
        <v>2477234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IFERROR(__xludf.DUMMYFUNCTION("""COMPUTED_VALUE"""),46.39)</f>
        <v>46.39</v>
      </c>
      <c r="C1201" s="1">
        <f>IFERROR(__xludf.DUMMYFUNCTION("""COMPUTED_VALUE"""),47.49)</f>
        <v>47.49</v>
      </c>
      <c r="D1201" s="1">
        <f>IFERROR(__xludf.DUMMYFUNCTION("""COMPUTED_VALUE"""),46.16)</f>
        <v>46.16</v>
      </c>
      <c r="E1201" s="1">
        <f>IFERROR(__xludf.DUMMYFUNCTION("""COMPUTED_VALUE"""),47.42)</f>
        <v>47.42</v>
      </c>
      <c r="F1201" s="1">
        <f>IFERROR(__xludf.DUMMYFUNCTION("""COMPUTED_VALUE"""),1884641.0)</f>
        <v>1884641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IFERROR(__xludf.DUMMYFUNCTION("""COMPUTED_VALUE"""),47.13)</f>
        <v>47.13</v>
      </c>
      <c r="C1202" s="1">
        <f>IFERROR(__xludf.DUMMYFUNCTION("""COMPUTED_VALUE"""),47.73)</f>
        <v>47.73</v>
      </c>
      <c r="D1202" s="1">
        <f>IFERROR(__xludf.DUMMYFUNCTION("""COMPUTED_VALUE"""),46.29)</f>
        <v>46.29</v>
      </c>
      <c r="E1202" s="1">
        <f>IFERROR(__xludf.DUMMYFUNCTION("""COMPUTED_VALUE"""),46.3)</f>
        <v>46.3</v>
      </c>
      <c r="F1202" s="1">
        <f>IFERROR(__xludf.DUMMYFUNCTION("""COMPUTED_VALUE"""),2100438.0)</f>
        <v>2100438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IFERROR(__xludf.DUMMYFUNCTION("""COMPUTED_VALUE"""),46.25)</f>
        <v>46.25</v>
      </c>
      <c r="C1203" s="1">
        <f>IFERROR(__xludf.DUMMYFUNCTION("""COMPUTED_VALUE"""),46.42)</f>
        <v>46.42</v>
      </c>
      <c r="D1203" s="1">
        <f>IFERROR(__xludf.DUMMYFUNCTION("""COMPUTED_VALUE"""),45.4)</f>
        <v>45.4</v>
      </c>
      <c r="E1203" s="1">
        <f>IFERROR(__xludf.DUMMYFUNCTION("""COMPUTED_VALUE"""),45.6)</f>
        <v>45.6</v>
      </c>
      <c r="F1203" s="1">
        <f>IFERROR(__xludf.DUMMYFUNCTION("""COMPUTED_VALUE"""),1919686.0)</f>
        <v>1919686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IFERROR(__xludf.DUMMYFUNCTION("""COMPUTED_VALUE"""),45.27)</f>
        <v>45.27</v>
      </c>
      <c r="C1204" s="1">
        <f>IFERROR(__xludf.DUMMYFUNCTION("""COMPUTED_VALUE"""),45.28)</f>
        <v>45.28</v>
      </c>
      <c r="D1204" s="1">
        <f>IFERROR(__xludf.DUMMYFUNCTION("""COMPUTED_VALUE"""),43.82)</f>
        <v>43.82</v>
      </c>
      <c r="E1204" s="1">
        <f>IFERROR(__xludf.DUMMYFUNCTION("""COMPUTED_VALUE"""),43.9)</f>
        <v>43.9</v>
      </c>
      <c r="F1204" s="1">
        <f>IFERROR(__xludf.DUMMYFUNCTION("""COMPUTED_VALUE"""),4994065.0)</f>
        <v>4994065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IFERROR(__xludf.DUMMYFUNCTION("""COMPUTED_VALUE"""),44.12)</f>
        <v>44.12</v>
      </c>
      <c r="C1205" s="1">
        <f>IFERROR(__xludf.DUMMYFUNCTION("""COMPUTED_VALUE"""),45.22)</f>
        <v>45.22</v>
      </c>
      <c r="D1205" s="1">
        <f>IFERROR(__xludf.DUMMYFUNCTION("""COMPUTED_VALUE"""),43.87)</f>
        <v>43.87</v>
      </c>
      <c r="E1205" s="1">
        <f>IFERROR(__xludf.DUMMYFUNCTION("""COMPUTED_VALUE"""),44.58)</f>
        <v>44.58</v>
      </c>
      <c r="F1205" s="1">
        <f>IFERROR(__xludf.DUMMYFUNCTION("""COMPUTED_VALUE"""),2719901.0)</f>
        <v>2719901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IFERROR(__xludf.DUMMYFUNCTION("""COMPUTED_VALUE"""),43.84)</f>
        <v>43.84</v>
      </c>
      <c r="C1206" s="1">
        <f>IFERROR(__xludf.DUMMYFUNCTION("""COMPUTED_VALUE"""),45.32)</f>
        <v>45.32</v>
      </c>
      <c r="D1206" s="1">
        <f>IFERROR(__xludf.DUMMYFUNCTION("""COMPUTED_VALUE"""),43.27)</f>
        <v>43.27</v>
      </c>
      <c r="E1206" s="1">
        <f>IFERROR(__xludf.DUMMYFUNCTION("""COMPUTED_VALUE"""),45.06)</f>
        <v>45.06</v>
      </c>
      <c r="F1206" s="1">
        <f>IFERROR(__xludf.DUMMYFUNCTION("""COMPUTED_VALUE"""),2641609.0)</f>
        <v>2641609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IFERROR(__xludf.DUMMYFUNCTION("""COMPUTED_VALUE"""),44.51)</f>
        <v>44.51</v>
      </c>
      <c r="C1207" s="1">
        <f>IFERROR(__xludf.DUMMYFUNCTION("""COMPUTED_VALUE"""),46.44)</f>
        <v>46.44</v>
      </c>
      <c r="D1207" s="1">
        <f>IFERROR(__xludf.DUMMYFUNCTION("""COMPUTED_VALUE"""),44.34)</f>
        <v>44.34</v>
      </c>
      <c r="E1207" s="1">
        <f>IFERROR(__xludf.DUMMYFUNCTION("""COMPUTED_VALUE"""),45.88)</f>
        <v>45.88</v>
      </c>
      <c r="F1207" s="1">
        <f>IFERROR(__xludf.DUMMYFUNCTION("""COMPUTED_VALUE"""),3308728.0)</f>
        <v>3308728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IFERROR(__xludf.DUMMYFUNCTION("""COMPUTED_VALUE"""),46.34)</f>
        <v>46.34</v>
      </c>
      <c r="C1208" s="1">
        <f>IFERROR(__xludf.DUMMYFUNCTION("""COMPUTED_VALUE"""),47.43)</f>
        <v>47.43</v>
      </c>
      <c r="D1208" s="1">
        <f>IFERROR(__xludf.DUMMYFUNCTION("""COMPUTED_VALUE"""),46.23)</f>
        <v>46.23</v>
      </c>
      <c r="E1208" s="1">
        <f>IFERROR(__xludf.DUMMYFUNCTION("""COMPUTED_VALUE"""),46.71)</f>
        <v>46.71</v>
      </c>
      <c r="F1208" s="1">
        <f>IFERROR(__xludf.DUMMYFUNCTION("""COMPUTED_VALUE"""),2546155.0)</f>
        <v>2546155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IFERROR(__xludf.DUMMYFUNCTION("""COMPUTED_VALUE"""),46.58)</f>
        <v>46.58</v>
      </c>
      <c r="C1209" s="1">
        <f>IFERROR(__xludf.DUMMYFUNCTION("""COMPUTED_VALUE"""),47.5)</f>
        <v>47.5</v>
      </c>
      <c r="D1209" s="1">
        <f>IFERROR(__xludf.DUMMYFUNCTION("""COMPUTED_VALUE"""),46.58)</f>
        <v>46.58</v>
      </c>
      <c r="E1209" s="1">
        <f>IFERROR(__xludf.DUMMYFUNCTION("""COMPUTED_VALUE"""),47.08)</f>
        <v>47.08</v>
      </c>
      <c r="F1209" s="1">
        <f>IFERROR(__xludf.DUMMYFUNCTION("""COMPUTED_VALUE"""),1643812.0)</f>
        <v>1643812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IFERROR(__xludf.DUMMYFUNCTION("""COMPUTED_VALUE"""),47.38)</f>
        <v>47.38</v>
      </c>
      <c r="C1210" s="1">
        <f>IFERROR(__xludf.DUMMYFUNCTION("""COMPUTED_VALUE"""),48.91)</f>
        <v>48.91</v>
      </c>
      <c r="D1210" s="1">
        <f>IFERROR(__xludf.DUMMYFUNCTION("""COMPUTED_VALUE"""),47.31)</f>
        <v>47.31</v>
      </c>
      <c r="E1210" s="1">
        <f>IFERROR(__xludf.DUMMYFUNCTION("""COMPUTED_VALUE"""),48.8)</f>
        <v>48.8</v>
      </c>
      <c r="F1210" s="1">
        <f>IFERROR(__xludf.DUMMYFUNCTION("""COMPUTED_VALUE"""),2689005.0)</f>
        <v>2689005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IFERROR(__xludf.DUMMYFUNCTION("""COMPUTED_VALUE"""),48.71)</f>
        <v>48.71</v>
      </c>
      <c r="C1211" s="1">
        <f>IFERROR(__xludf.DUMMYFUNCTION("""COMPUTED_VALUE"""),49.94)</f>
        <v>49.94</v>
      </c>
      <c r="D1211" s="1">
        <f>IFERROR(__xludf.DUMMYFUNCTION("""COMPUTED_VALUE"""),48.27)</f>
        <v>48.27</v>
      </c>
      <c r="E1211" s="1">
        <f>IFERROR(__xludf.DUMMYFUNCTION("""COMPUTED_VALUE"""),48.33)</f>
        <v>48.33</v>
      </c>
      <c r="F1211" s="1">
        <f>IFERROR(__xludf.DUMMYFUNCTION("""COMPUTED_VALUE"""),2904761.0)</f>
        <v>2904761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IFERROR(__xludf.DUMMYFUNCTION("""COMPUTED_VALUE"""),49.58)</f>
        <v>49.58</v>
      </c>
      <c r="C1212" s="1">
        <f>IFERROR(__xludf.DUMMYFUNCTION("""COMPUTED_VALUE"""),53.31)</f>
        <v>53.31</v>
      </c>
      <c r="D1212" s="1">
        <f>IFERROR(__xludf.DUMMYFUNCTION("""COMPUTED_VALUE"""),49.58)</f>
        <v>49.58</v>
      </c>
      <c r="E1212" s="1">
        <f>IFERROR(__xludf.DUMMYFUNCTION("""COMPUTED_VALUE"""),52.73)</f>
        <v>52.73</v>
      </c>
      <c r="F1212" s="1">
        <f>IFERROR(__xludf.DUMMYFUNCTION("""COMPUTED_VALUE"""),6202877.0)</f>
        <v>6202877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IFERROR(__xludf.DUMMYFUNCTION("""COMPUTED_VALUE"""),52.71)</f>
        <v>52.71</v>
      </c>
      <c r="C1213" s="1">
        <f>IFERROR(__xludf.DUMMYFUNCTION("""COMPUTED_VALUE"""),53.91)</f>
        <v>53.91</v>
      </c>
      <c r="D1213" s="1">
        <f>IFERROR(__xludf.DUMMYFUNCTION("""COMPUTED_VALUE"""),52.32)</f>
        <v>52.32</v>
      </c>
      <c r="E1213" s="1">
        <f>IFERROR(__xludf.DUMMYFUNCTION("""COMPUTED_VALUE"""),53.58)</f>
        <v>53.58</v>
      </c>
      <c r="F1213" s="1">
        <f>IFERROR(__xludf.DUMMYFUNCTION("""COMPUTED_VALUE"""),2161516.0)</f>
        <v>2161516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IFERROR(__xludf.DUMMYFUNCTION("""COMPUTED_VALUE"""),53.56)</f>
        <v>53.56</v>
      </c>
      <c r="C1214" s="1">
        <f>IFERROR(__xludf.DUMMYFUNCTION("""COMPUTED_VALUE"""),54.97)</f>
        <v>54.97</v>
      </c>
      <c r="D1214" s="1">
        <f>IFERROR(__xludf.DUMMYFUNCTION("""COMPUTED_VALUE"""),53.56)</f>
        <v>53.56</v>
      </c>
      <c r="E1214" s="1">
        <f>IFERROR(__xludf.DUMMYFUNCTION("""COMPUTED_VALUE"""),54.77)</f>
        <v>54.77</v>
      </c>
      <c r="F1214" s="1">
        <f>IFERROR(__xludf.DUMMYFUNCTION("""COMPUTED_VALUE"""),2466200.0)</f>
        <v>2466200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IFERROR(__xludf.DUMMYFUNCTION("""COMPUTED_VALUE"""),55.0)</f>
        <v>55</v>
      </c>
      <c r="C1215" s="1">
        <f>IFERROR(__xludf.DUMMYFUNCTION("""COMPUTED_VALUE"""),56.45)</f>
        <v>56.45</v>
      </c>
      <c r="D1215" s="1">
        <f>IFERROR(__xludf.DUMMYFUNCTION("""COMPUTED_VALUE"""),54.84)</f>
        <v>54.84</v>
      </c>
      <c r="E1215" s="1">
        <f>IFERROR(__xludf.DUMMYFUNCTION("""COMPUTED_VALUE"""),55.74)</f>
        <v>55.74</v>
      </c>
      <c r="F1215" s="1">
        <f>IFERROR(__xludf.DUMMYFUNCTION("""COMPUTED_VALUE"""),3067397.0)</f>
        <v>3067397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IFERROR(__xludf.DUMMYFUNCTION("""COMPUTED_VALUE"""),55.89)</f>
        <v>55.89</v>
      </c>
      <c r="C1216" s="1">
        <f>IFERROR(__xludf.DUMMYFUNCTION("""COMPUTED_VALUE"""),55.89)</f>
        <v>55.89</v>
      </c>
      <c r="D1216" s="1">
        <f>IFERROR(__xludf.DUMMYFUNCTION("""COMPUTED_VALUE"""),54.32)</f>
        <v>54.32</v>
      </c>
      <c r="E1216" s="1">
        <f>IFERROR(__xludf.DUMMYFUNCTION("""COMPUTED_VALUE"""),54.96)</f>
        <v>54.96</v>
      </c>
      <c r="F1216" s="1">
        <f>IFERROR(__xludf.DUMMYFUNCTION("""COMPUTED_VALUE"""),2808546.0)</f>
        <v>2808546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IFERROR(__xludf.DUMMYFUNCTION("""COMPUTED_VALUE"""),54.89)</f>
        <v>54.89</v>
      </c>
      <c r="C1217" s="1">
        <f>IFERROR(__xludf.DUMMYFUNCTION("""COMPUTED_VALUE"""),55.93)</f>
        <v>55.93</v>
      </c>
      <c r="D1217" s="1">
        <f>IFERROR(__xludf.DUMMYFUNCTION("""COMPUTED_VALUE"""),54.81)</f>
        <v>54.81</v>
      </c>
      <c r="E1217" s="1">
        <f>IFERROR(__xludf.DUMMYFUNCTION("""COMPUTED_VALUE"""),55.76)</f>
        <v>55.76</v>
      </c>
      <c r="F1217" s="1">
        <f>IFERROR(__xludf.DUMMYFUNCTION("""COMPUTED_VALUE"""),1576159.0)</f>
        <v>1576159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IFERROR(__xludf.DUMMYFUNCTION("""COMPUTED_VALUE"""),56.64)</f>
        <v>56.64</v>
      </c>
      <c r="C1218" s="1">
        <f>IFERROR(__xludf.DUMMYFUNCTION("""COMPUTED_VALUE"""),56.87)</f>
        <v>56.87</v>
      </c>
      <c r="D1218" s="1">
        <f>IFERROR(__xludf.DUMMYFUNCTION("""COMPUTED_VALUE"""),55.65)</f>
        <v>55.65</v>
      </c>
      <c r="E1218" s="1">
        <f>IFERROR(__xludf.DUMMYFUNCTION("""COMPUTED_VALUE"""),55.91)</f>
        <v>55.91</v>
      </c>
      <c r="F1218" s="1">
        <f>IFERROR(__xludf.DUMMYFUNCTION("""COMPUTED_VALUE"""),2376713.0)</f>
        <v>2376713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IFERROR(__xludf.DUMMYFUNCTION("""COMPUTED_VALUE"""),55.88)</f>
        <v>55.88</v>
      </c>
      <c r="C1219" s="1">
        <f>IFERROR(__xludf.DUMMYFUNCTION("""COMPUTED_VALUE"""),56.87)</f>
        <v>56.87</v>
      </c>
      <c r="D1219" s="1">
        <f>IFERROR(__xludf.DUMMYFUNCTION("""COMPUTED_VALUE"""),55.88)</f>
        <v>55.88</v>
      </c>
      <c r="E1219" s="1">
        <f>IFERROR(__xludf.DUMMYFUNCTION("""COMPUTED_VALUE"""),56.32)</f>
        <v>56.32</v>
      </c>
      <c r="F1219" s="1">
        <f>IFERROR(__xludf.DUMMYFUNCTION("""COMPUTED_VALUE"""),1709447.0)</f>
        <v>1709447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IFERROR(__xludf.DUMMYFUNCTION("""COMPUTED_VALUE"""),55.91)</f>
        <v>55.91</v>
      </c>
      <c r="C1220" s="1">
        <f>IFERROR(__xludf.DUMMYFUNCTION("""COMPUTED_VALUE"""),56.07)</f>
        <v>56.07</v>
      </c>
      <c r="D1220" s="1">
        <f>IFERROR(__xludf.DUMMYFUNCTION("""COMPUTED_VALUE"""),54.92)</f>
        <v>54.92</v>
      </c>
      <c r="E1220" s="1">
        <f>IFERROR(__xludf.DUMMYFUNCTION("""COMPUTED_VALUE"""),55.43)</f>
        <v>55.43</v>
      </c>
      <c r="F1220" s="1">
        <f>IFERROR(__xludf.DUMMYFUNCTION("""COMPUTED_VALUE"""),1648568.0)</f>
        <v>1648568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IFERROR(__xludf.DUMMYFUNCTION("""COMPUTED_VALUE"""),55.9)</f>
        <v>55.9</v>
      </c>
      <c r="C1221" s="1">
        <f>IFERROR(__xludf.DUMMYFUNCTION("""COMPUTED_VALUE"""),56.68)</f>
        <v>56.68</v>
      </c>
      <c r="D1221" s="1">
        <f>IFERROR(__xludf.DUMMYFUNCTION("""COMPUTED_VALUE"""),55.46)</f>
        <v>55.46</v>
      </c>
      <c r="E1221" s="1">
        <f>IFERROR(__xludf.DUMMYFUNCTION("""COMPUTED_VALUE"""),56.57)</f>
        <v>56.57</v>
      </c>
      <c r="F1221" s="1">
        <f>IFERROR(__xludf.DUMMYFUNCTION("""COMPUTED_VALUE"""),1340554.0)</f>
        <v>1340554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IFERROR(__xludf.DUMMYFUNCTION("""COMPUTED_VALUE"""),56.13)</f>
        <v>56.13</v>
      </c>
      <c r="C1222" s="1">
        <f>IFERROR(__xludf.DUMMYFUNCTION("""COMPUTED_VALUE"""),56.63)</f>
        <v>56.63</v>
      </c>
      <c r="D1222" s="1">
        <f>IFERROR(__xludf.DUMMYFUNCTION("""COMPUTED_VALUE"""),55.25)</f>
        <v>55.25</v>
      </c>
      <c r="E1222" s="1">
        <f>IFERROR(__xludf.DUMMYFUNCTION("""COMPUTED_VALUE"""),56.26)</f>
        <v>56.26</v>
      </c>
      <c r="F1222" s="1">
        <f>IFERROR(__xludf.DUMMYFUNCTION("""COMPUTED_VALUE"""),2550207.0)</f>
        <v>2550207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IFERROR(__xludf.DUMMYFUNCTION("""COMPUTED_VALUE"""),56.39)</f>
        <v>56.39</v>
      </c>
      <c r="C1223" s="1">
        <f>IFERROR(__xludf.DUMMYFUNCTION("""COMPUTED_VALUE"""),56.45)</f>
        <v>56.45</v>
      </c>
      <c r="D1223" s="1">
        <f>IFERROR(__xludf.DUMMYFUNCTION("""COMPUTED_VALUE"""),55.51)</f>
        <v>55.51</v>
      </c>
      <c r="E1223" s="1">
        <f>IFERROR(__xludf.DUMMYFUNCTION("""COMPUTED_VALUE"""),55.64)</f>
        <v>55.64</v>
      </c>
      <c r="F1223" s="1">
        <f>IFERROR(__xludf.DUMMYFUNCTION("""COMPUTED_VALUE"""),2280639.0)</f>
        <v>2280639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IFERROR(__xludf.DUMMYFUNCTION("""COMPUTED_VALUE"""),55.64)</f>
        <v>55.64</v>
      </c>
      <c r="C1224" s="1">
        <f>IFERROR(__xludf.DUMMYFUNCTION("""COMPUTED_VALUE"""),56.35)</f>
        <v>56.35</v>
      </c>
      <c r="D1224" s="1">
        <f>IFERROR(__xludf.DUMMYFUNCTION("""COMPUTED_VALUE"""),55.5)</f>
        <v>55.5</v>
      </c>
      <c r="E1224" s="1">
        <f>IFERROR(__xludf.DUMMYFUNCTION("""COMPUTED_VALUE"""),56.08)</f>
        <v>56.08</v>
      </c>
      <c r="F1224" s="1">
        <f>IFERROR(__xludf.DUMMYFUNCTION("""COMPUTED_VALUE"""),1337299.0)</f>
        <v>1337299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IFERROR(__xludf.DUMMYFUNCTION("""COMPUTED_VALUE"""),55.9)</f>
        <v>55.9</v>
      </c>
      <c r="C1225" s="1">
        <f>IFERROR(__xludf.DUMMYFUNCTION("""COMPUTED_VALUE"""),56.14)</f>
        <v>56.14</v>
      </c>
      <c r="D1225" s="1">
        <f>IFERROR(__xludf.DUMMYFUNCTION("""COMPUTED_VALUE"""),55.52)</f>
        <v>55.52</v>
      </c>
      <c r="E1225" s="1">
        <f>IFERROR(__xludf.DUMMYFUNCTION("""COMPUTED_VALUE"""),55.74)</f>
        <v>55.74</v>
      </c>
      <c r="F1225" s="1">
        <f>IFERROR(__xludf.DUMMYFUNCTION("""COMPUTED_VALUE"""),1207553.0)</f>
        <v>1207553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IFERROR(__xludf.DUMMYFUNCTION("""COMPUTED_VALUE"""),55.47)</f>
        <v>55.47</v>
      </c>
      <c r="C1226" s="1">
        <f>IFERROR(__xludf.DUMMYFUNCTION("""COMPUTED_VALUE"""),56.07)</f>
        <v>56.07</v>
      </c>
      <c r="D1226" s="1">
        <f>IFERROR(__xludf.DUMMYFUNCTION("""COMPUTED_VALUE"""),55.1)</f>
        <v>55.1</v>
      </c>
      <c r="E1226" s="1">
        <f>IFERROR(__xludf.DUMMYFUNCTION("""COMPUTED_VALUE"""),55.9)</f>
        <v>55.9</v>
      </c>
      <c r="F1226" s="1">
        <f>IFERROR(__xludf.DUMMYFUNCTION("""COMPUTED_VALUE"""),1358646.0)</f>
        <v>1358646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IFERROR(__xludf.DUMMYFUNCTION("""COMPUTED_VALUE"""),56.12)</f>
        <v>56.12</v>
      </c>
      <c r="C1227" s="1">
        <f>IFERROR(__xludf.DUMMYFUNCTION("""COMPUTED_VALUE"""),56.53)</f>
        <v>56.53</v>
      </c>
      <c r="D1227" s="1">
        <f>IFERROR(__xludf.DUMMYFUNCTION("""COMPUTED_VALUE"""),55.64)</f>
        <v>55.64</v>
      </c>
      <c r="E1227" s="1">
        <f>IFERROR(__xludf.DUMMYFUNCTION("""COMPUTED_VALUE"""),55.85)</f>
        <v>55.85</v>
      </c>
      <c r="F1227" s="1">
        <f>IFERROR(__xludf.DUMMYFUNCTION("""COMPUTED_VALUE"""),1703210.0)</f>
        <v>1703210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IFERROR(__xludf.DUMMYFUNCTION("""COMPUTED_VALUE"""),55.8)</f>
        <v>55.8</v>
      </c>
      <c r="C1228" s="1">
        <f>IFERROR(__xludf.DUMMYFUNCTION("""COMPUTED_VALUE"""),55.98)</f>
        <v>55.98</v>
      </c>
      <c r="D1228" s="1">
        <f>IFERROR(__xludf.DUMMYFUNCTION("""COMPUTED_VALUE"""),55.44)</f>
        <v>55.44</v>
      </c>
      <c r="E1228" s="1">
        <f>IFERROR(__xludf.DUMMYFUNCTION("""COMPUTED_VALUE"""),55.65)</f>
        <v>55.65</v>
      </c>
      <c r="F1228" s="1">
        <f>IFERROR(__xludf.DUMMYFUNCTION("""COMPUTED_VALUE"""),1347316.0)</f>
        <v>1347316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IFERROR(__xludf.DUMMYFUNCTION("""COMPUTED_VALUE"""),54.24)</f>
        <v>54.24</v>
      </c>
      <c r="C1229" s="1">
        <f>IFERROR(__xludf.DUMMYFUNCTION("""COMPUTED_VALUE"""),55.08)</f>
        <v>55.08</v>
      </c>
      <c r="D1229" s="1">
        <f>IFERROR(__xludf.DUMMYFUNCTION("""COMPUTED_VALUE"""),54.04)</f>
        <v>54.04</v>
      </c>
      <c r="E1229" s="1">
        <f>IFERROR(__xludf.DUMMYFUNCTION("""COMPUTED_VALUE"""),54.66)</f>
        <v>54.66</v>
      </c>
      <c r="F1229" s="1">
        <f>IFERROR(__xludf.DUMMYFUNCTION("""COMPUTED_VALUE"""),2004425.0)</f>
        <v>2004425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IFERROR(__xludf.DUMMYFUNCTION("""COMPUTED_VALUE"""),54.73)</f>
        <v>54.73</v>
      </c>
      <c r="C1230" s="1">
        <f>IFERROR(__xludf.DUMMYFUNCTION("""COMPUTED_VALUE"""),55.43)</f>
        <v>55.43</v>
      </c>
      <c r="D1230" s="1">
        <f>IFERROR(__xludf.DUMMYFUNCTION("""COMPUTED_VALUE"""),54.37)</f>
        <v>54.37</v>
      </c>
      <c r="E1230" s="1">
        <f>IFERROR(__xludf.DUMMYFUNCTION("""COMPUTED_VALUE"""),55.13)</f>
        <v>55.13</v>
      </c>
      <c r="F1230" s="1">
        <f>IFERROR(__xludf.DUMMYFUNCTION("""COMPUTED_VALUE"""),1148387.0)</f>
        <v>1148387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IFERROR(__xludf.DUMMYFUNCTION("""COMPUTED_VALUE"""),55.19)</f>
        <v>55.19</v>
      </c>
      <c r="C1231" s="1">
        <f>IFERROR(__xludf.DUMMYFUNCTION("""COMPUTED_VALUE"""),55.46)</f>
        <v>55.46</v>
      </c>
      <c r="D1231" s="1">
        <f>IFERROR(__xludf.DUMMYFUNCTION("""COMPUTED_VALUE"""),54.79)</f>
        <v>54.79</v>
      </c>
      <c r="E1231" s="1">
        <f>IFERROR(__xludf.DUMMYFUNCTION("""COMPUTED_VALUE"""),55.03)</f>
        <v>55.03</v>
      </c>
      <c r="F1231" s="1">
        <f>IFERROR(__xludf.DUMMYFUNCTION("""COMPUTED_VALUE"""),1135976.0)</f>
        <v>1135976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IFERROR(__xludf.DUMMYFUNCTION("""COMPUTED_VALUE"""),54.82)</f>
        <v>54.82</v>
      </c>
      <c r="C1232" s="1">
        <f>IFERROR(__xludf.DUMMYFUNCTION("""COMPUTED_VALUE"""),55.67)</f>
        <v>55.67</v>
      </c>
      <c r="D1232" s="1">
        <f>IFERROR(__xludf.DUMMYFUNCTION("""COMPUTED_VALUE"""),54.82)</f>
        <v>54.82</v>
      </c>
      <c r="E1232" s="1">
        <f>IFERROR(__xludf.DUMMYFUNCTION("""COMPUTED_VALUE"""),55.05)</f>
        <v>55.05</v>
      </c>
      <c r="F1232" s="1">
        <f>IFERROR(__xludf.DUMMYFUNCTION("""COMPUTED_VALUE"""),1183423.0)</f>
        <v>1183423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IFERROR(__xludf.DUMMYFUNCTION("""COMPUTED_VALUE"""),55.67)</f>
        <v>55.67</v>
      </c>
      <c r="C1233" s="1">
        <f>IFERROR(__xludf.DUMMYFUNCTION("""COMPUTED_VALUE"""),56.36)</f>
        <v>56.36</v>
      </c>
      <c r="D1233" s="1">
        <f>IFERROR(__xludf.DUMMYFUNCTION("""COMPUTED_VALUE"""),55.18)</f>
        <v>55.18</v>
      </c>
      <c r="E1233" s="1">
        <f>IFERROR(__xludf.DUMMYFUNCTION("""COMPUTED_VALUE"""),56.09)</f>
        <v>56.09</v>
      </c>
      <c r="F1233" s="1">
        <f>IFERROR(__xludf.DUMMYFUNCTION("""COMPUTED_VALUE"""),1657179.0)</f>
        <v>1657179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IFERROR(__xludf.DUMMYFUNCTION("""COMPUTED_VALUE"""),56.21)</f>
        <v>56.21</v>
      </c>
      <c r="C1234" s="1">
        <f>IFERROR(__xludf.DUMMYFUNCTION("""COMPUTED_VALUE"""),56.71)</f>
        <v>56.71</v>
      </c>
      <c r="D1234" s="1">
        <f>IFERROR(__xludf.DUMMYFUNCTION("""COMPUTED_VALUE"""),56.0)</f>
        <v>56</v>
      </c>
      <c r="E1234" s="1">
        <f>IFERROR(__xludf.DUMMYFUNCTION("""COMPUTED_VALUE"""),56.31)</f>
        <v>56.31</v>
      </c>
      <c r="F1234" s="1">
        <f>IFERROR(__xludf.DUMMYFUNCTION("""COMPUTED_VALUE"""),990323.0)</f>
        <v>990323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IFERROR(__xludf.DUMMYFUNCTION("""COMPUTED_VALUE"""),56.46)</f>
        <v>56.46</v>
      </c>
      <c r="C1235" s="1">
        <f>IFERROR(__xludf.DUMMYFUNCTION("""COMPUTED_VALUE"""),57.19)</f>
        <v>57.19</v>
      </c>
      <c r="D1235" s="1">
        <f>IFERROR(__xludf.DUMMYFUNCTION("""COMPUTED_VALUE"""),56.35)</f>
        <v>56.35</v>
      </c>
      <c r="E1235" s="1">
        <f>IFERROR(__xludf.DUMMYFUNCTION("""COMPUTED_VALUE"""),56.71)</f>
        <v>56.71</v>
      </c>
      <c r="F1235" s="1">
        <f>IFERROR(__xludf.DUMMYFUNCTION("""COMPUTED_VALUE"""),1522489.0)</f>
        <v>1522489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IFERROR(__xludf.DUMMYFUNCTION("""COMPUTED_VALUE"""),56.86)</f>
        <v>56.86</v>
      </c>
      <c r="C1236" s="1">
        <f>IFERROR(__xludf.DUMMYFUNCTION("""COMPUTED_VALUE"""),56.9)</f>
        <v>56.9</v>
      </c>
      <c r="D1236" s="1">
        <f>IFERROR(__xludf.DUMMYFUNCTION("""COMPUTED_VALUE"""),55.99)</f>
        <v>55.99</v>
      </c>
      <c r="E1236" s="1">
        <f>IFERROR(__xludf.DUMMYFUNCTION("""COMPUTED_VALUE"""),56.25)</f>
        <v>56.25</v>
      </c>
      <c r="F1236" s="1">
        <f>IFERROR(__xludf.DUMMYFUNCTION("""COMPUTED_VALUE"""),862125.0)</f>
        <v>862125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IFERROR(__xludf.DUMMYFUNCTION("""COMPUTED_VALUE"""),56.52)</f>
        <v>56.52</v>
      </c>
      <c r="C1237" s="1">
        <f>IFERROR(__xludf.DUMMYFUNCTION("""COMPUTED_VALUE"""),57.28)</f>
        <v>57.28</v>
      </c>
      <c r="D1237" s="1">
        <f>IFERROR(__xludf.DUMMYFUNCTION("""COMPUTED_VALUE"""),56.26)</f>
        <v>56.26</v>
      </c>
      <c r="E1237" s="1">
        <f>IFERROR(__xludf.DUMMYFUNCTION("""COMPUTED_VALUE"""),56.98)</f>
        <v>56.98</v>
      </c>
      <c r="F1237" s="1">
        <f>IFERROR(__xludf.DUMMYFUNCTION("""COMPUTED_VALUE"""),610861.0)</f>
        <v>610861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IFERROR(__xludf.DUMMYFUNCTION("""COMPUTED_VALUE"""),56.64)</f>
        <v>56.64</v>
      </c>
      <c r="C1238" s="1">
        <f>IFERROR(__xludf.DUMMYFUNCTION("""COMPUTED_VALUE"""),56.64)</f>
        <v>56.64</v>
      </c>
      <c r="D1238" s="1">
        <f>IFERROR(__xludf.DUMMYFUNCTION("""COMPUTED_VALUE"""),55.86)</f>
        <v>55.86</v>
      </c>
      <c r="E1238" s="1">
        <f>IFERROR(__xludf.DUMMYFUNCTION("""COMPUTED_VALUE"""),56.14)</f>
        <v>56.14</v>
      </c>
      <c r="F1238" s="1">
        <f>IFERROR(__xludf.DUMMYFUNCTION("""COMPUTED_VALUE"""),1509910.0)</f>
        <v>1509910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IFERROR(__xludf.DUMMYFUNCTION("""COMPUTED_VALUE"""),57.81)</f>
        <v>57.81</v>
      </c>
      <c r="C1239" s="1">
        <f>IFERROR(__xludf.DUMMYFUNCTION("""COMPUTED_VALUE"""),58.34)</f>
        <v>58.34</v>
      </c>
      <c r="D1239" s="1">
        <f>IFERROR(__xludf.DUMMYFUNCTION("""COMPUTED_VALUE"""),56.69)</f>
        <v>56.69</v>
      </c>
      <c r="E1239" s="1">
        <f>IFERROR(__xludf.DUMMYFUNCTION("""COMPUTED_VALUE"""),57.1)</f>
        <v>57.1</v>
      </c>
      <c r="F1239" s="1">
        <f>IFERROR(__xludf.DUMMYFUNCTION("""COMPUTED_VALUE"""),2328126.0)</f>
        <v>2328126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IFERROR(__xludf.DUMMYFUNCTION("""COMPUTED_VALUE"""),56.53)</f>
        <v>56.53</v>
      </c>
      <c r="C1240" s="1">
        <f>IFERROR(__xludf.DUMMYFUNCTION("""COMPUTED_VALUE"""),58.9)</f>
        <v>58.9</v>
      </c>
      <c r="D1240" s="1">
        <f>IFERROR(__xludf.DUMMYFUNCTION("""COMPUTED_VALUE"""),56.53)</f>
        <v>56.53</v>
      </c>
      <c r="E1240" s="1">
        <f>IFERROR(__xludf.DUMMYFUNCTION("""COMPUTED_VALUE"""),58.73)</f>
        <v>58.73</v>
      </c>
      <c r="F1240" s="1">
        <f>IFERROR(__xludf.DUMMYFUNCTION("""COMPUTED_VALUE"""),1870492.0)</f>
        <v>1870492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IFERROR(__xludf.DUMMYFUNCTION("""COMPUTED_VALUE"""),58.42)</f>
        <v>58.42</v>
      </c>
      <c r="C1241" s="1">
        <f>IFERROR(__xludf.DUMMYFUNCTION("""COMPUTED_VALUE"""),59.75)</f>
        <v>59.75</v>
      </c>
      <c r="D1241" s="1">
        <f>IFERROR(__xludf.DUMMYFUNCTION("""COMPUTED_VALUE"""),58.29)</f>
        <v>58.29</v>
      </c>
      <c r="E1241" s="1">
        <f>IFERROR(__xludf.DUMMYFUNCTION("""COMPUTED_VALUE"""),59.32)</f>
        <v>59.32</v>
      </c>
      <c r="F1241" s="1">
        <f>IFERROR(__xludf.DUMMYFUNCTION("""COMPUTED_VALUE"""),1797078.0)</f>
        <v>1797078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IFERROR(__xludf.DUMMYFUNCTION("""COMPUTED_VALUE"""),59.15)</f>
        <v>59.15</v>
      </c>
      <c r="C1242" s="1">
        <f>IFERROR(__xludf.DUMMYFUNCTION("""COMPUTED_VALUE"""),59.18)</f>
        <v>59.18</v>
      </c>
      <c r="D1242" s="1">
        <f>IFERROR(__xludf.DUMMYFUNCTION("""COMPUTED_VALUE"""),58.6)</f>
        <v>58.6</v>
      </c>
      <c r="E1242" s="1">
        <f>IFERROR(__xludf.DUMMYFUNCTION("""COMPUTED_VALUE"""),59.07)</f>
        <v>59.07</v>
      </c>
      <c r="F1242" s="1">
        <f>IFERROR(__xludf.DUMMYFUNCTION("""COMPUTED_VALUE"""),1337584.0)</f>
        <v>1337584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IFERROR(__xludf.DUMMYFUNCTION("""COMPUTED_VALUE"""),58.87)</f>
        <v>58.87</v>
      </c>
      <c r="C1243" s="1">
        <f>IFERROR(__xludf.DUMMYFUNCTION("""COMPUTED_VALUE"""),59.4)</f>
        <v>59.4</v>
      </c>
      <c r="D1243" s="1">
        <f>IFERROR(__xludf.DUMMYFUNCTION("""COMPUTED_VALUE"""),58.25)</f>
        <v>58.25</v>
      </c>
      <c r="E1243" s="1">
        <f>IFERROR(__xludf.DUMMYFUNCTION("""COMPUTED_VALUE"""),58.48)</f>
        <v>58.48</v>
      </c>
      <c r="F1243" s="1">
        <f>IFERROR(__xludf.DUMMYFUNCTION("""COMPUTED_VALUE"""),1417532.0)</f>
        <v>1417532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IFERROR(__xludf.DUMMYFUNCTION("""COMPUTED_VALUE"""),57.98)</f>
        <v>57.98</v>
      </c>
      <c r="C1244" s="1">
        <f>IFERROR(__xludf.DUMMYFUNCTION("""COMPUTED_VALUE"""),59.55)</f>
        <v>59.55</v>
      </c>
      <c r="D1244" s="1">
        <f>IFERROR(__xludf.DUMMYFUNCTION("""COMPUTED_VALUE"""),57.93)</f>
        <v>57.93</v>
      </c>
      <c r="E1244" s="1">
        <f>IFERROR(__xludf.DUMMYFUNCTION("""COMPUTED_VALUE"""),59.45)</f>
        <v>59.45</v>
      </c>
      <c r="F1244" s="1">
        <f>IFERROR(__xludf.DUMMYFUNCTION("""COMPUTED_VALUE"""),1583068.0)</f>
        <v>1583068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IFERROR(__xludf.DUMMYFUNCTION("""COMPUTED_VALUE"""),59.17)</f>
        <v>59.17</v>
      </c>
      <c r="C1245" s="1">
        <f>IFERROR(__xludf.DUMMYFUNCTION("""COMPUTED_VALUE"""),59.65)</f>
        <v>59.65</v>
      </c>
      <c r="D1245" s="1">
        <f>IFERROR(__xludf.DUMMYFUNCTION("""COMPUTED_VALUE"""),58.67)</f>
        <v>58.67</v>
      </c>
      <c r="E1245" s="1">
        <f>IFERROR(__xludf.DUMMYFUNCTION("""COMPUTED_VALUE"""),58.9)</f>
        <v>58.9</v>
      </c>
      <c r="F1245" s="1">
        <f>IFERROR(__xludf.DUMMYFUNCTION("""COMPUTED_VALUE"""),1466622.0)</f>
        <v>1466622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IFERROR(__xludf.DUMMYFUNCTION("""COMPUTED_VALUE"""),59.02)</f>
        <v>59.02</v>
      </c>
      <c r="C1246" s="1">
        <f>IFERROR(__xludf.DUMMYFUNCTION("""COMPUTED_VALUE"""),60.66)</f>
        <v>60.66</v>
      </c>
      <c r="D1246" s="1">
        <f>IFERROR(__xludf.DUMMYFUNCTION("""COMPUTED_VALUE"""),59.02)</f>
        <v>59.02</v>
      </c>
      <c r="E1246" s="1">
        <f>IFERROR(__xludf.DUMMYFUNCTION("""COMPUTED_VALUE"""),59.51)</f>
        <v>59.51</v>
      </c>
      <c r="F1246" s="1">
        <f>IFERROR(__xludf.DUMMYFUNCTION("""COMPUTED_VALUE"""),2033824.0)</f>
        <v>2033824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IFERROR(__xludf.DUMMYFUNCTION("""COMPUTED_VALUE"""),58.94)</f>
        <v>58.94</v>
      </c>
      <c r="C1247" s="1">
        <f>IFERROR(__xludf.DUMMYFUNCTION("""COMPUTED_VALUE"""),60.09)</f>
        <v>60.09</v>
      </c>
      <c r="D1247" s="1">
        <f>IFERROR(__xludf.DUMMYFUNCTION("""COMPUTED_VALUE"""),58.26)</f>
        <v>58.26</v>
      </c>
      <c r="E1247" s="1">
        <f>IFERROR(__xludf.DUMMYFUNCTION("""COMPUTED_VALUE"""),58.3)</f>
        <v>58.3</v>
      </c>
      <c r="F1247" s="1">
        <f>IFERROR(__xludf.DUMMYFUNCTION("""COMPUTED_VALUE"""),1843189.0)</f>
        <v>1843189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IFERROR(__xludf.DUMMYFUNCTION("""COMPUTED_VALUE"""),58.82)</f>
        <v>58.82</v>
      </c>
      <c r="C1248" s="1">
        <f>IFERROR(__xludf.DUMMYFUNCTION("""COMPUTED_VALUE"""),59.26)</f>
        <v>59.26</v>
      </c>
      <c r="D1248" s="1">
        <f>IFERROR(__xludf.DUMMYFUNCTION("""COMPUTED_VALUE"""),57.82)</f>
        <v>57.82</v>
      </c>
      <c r="E1248" s="1">
        <f>IFERROR(__xludf.DUMMYFUNCTION("""COMPUTED_VALUE"""),58.84)</f>
        <v>58.84</v>
      </c>
      <c r="F1248" s="1">
        <f>IFERROR(__xludf.DUMMYFUNCTION("""COMPUTED_VALUE"""),2188932.0)</f>
        <v>2188932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IFERROR(__xludf.DUMMYFUNCTION("""COMPUTED_VALUE"""),58.84)</f>
        <v>58.84</v>
      </c>
      <c r="C1249" s="1">
        <f>IFERROR(__xludf.DUMMYFUNCTION("""COMPUTED_VALUE"""),59.28)</f>
        <v>59.28</v>
      </c>
      <c r="D1249" s="1">
        <f>IFERROR(__xludf.DUMMYFUNCTION("""COMPUTED_VALUE"""),58.22)</f>
        <v>58.22</v>
      </c>
      <c r="E1249" s="1">
        <f>IFERROR(__xludf.DUMMYFUNCTION("""COMPUTED_VALUE"""),58.23)</f>
        <v>58.23</v>
      </c>
      <c r="F1249" s="1">
        <f>IFERROR(__xludf.DUMMYFUNCTION("""COMPUTED_VALUE"""),2752754.0)</f>
        <v>2752754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IFERROR(__xludf.DUMMYFUNCTION("""COMPUTED_VALUE"""),58.25)</f>
        <v>58.25</v>
      </c>
      <c r="C1250" s="1">
        <f>IFERROR(__xludf.DUMMYFUNCTION("""COMPUTED_VALUE"""),60.33)</f>
        <v>60.33</v>
      </c>
      <c r="D1250" s="1">
        <f>IFERROR(__xludf.DUMMYFUNCTION("""COMPUTED_VALUE"""),58.16)</f>
        <v>58.16</v>
      </c>
      <c r="E1250" s="1">
        <f>IFERROR(__xludf.DUMMYFUNCTION("""COMPUTED_VALUE"""),60.11)</f>
        <v>60.11</v>
      </c>
      <c r="F1250" s="1">
        <f>IFERROR(__xludf.DUMMYFUNCTION("""COMPUTED_VALUE"""),2397689.0)</f>
        <v>2397689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IFERROR(__xludf.DUMMYFUNCTION("""COMPUTED_VALUE"""),60.42)</f>
        <v>60.42</v>
      </c>
      <c r="C1251" s="1">
        <f>IFERROR(__xludf.DUMMYFUNCTION("""COMPUTED_VALUE"""),60.55)</f>
        <v>60.55</v>
      </c>
      <c r="D1251" s="1">
        <f>IFERROR(__xludf.DUMMYFUNCTION("""COMPUTED_VALUE"""),59.22)</f>
        <v>59.22</v>
      </c>
      <c r="E1251" s="1">
        <f>IFERROR(__xludf.DUMMYFUNCTION("""COMPUTED_VALUE"""),60.53)</f>
        <v>60.53</v>
      </c>
      <c r="F1251" s="1">
        <f>IFERROR(__xludf.DUMMYFUNCTION("""COMPUTED_VALUE"""),3831629.0)</f>
        <v>3831629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IFERROR(__xludf.DUMMYFUNCTION("""COMPUTED_VALUE"""),65.57)</f>
        <v>65.57</v>
      </c>
      <c r="C1252" s="1">
        <f>IFERROR(__xludf.DUMMYFUNCTION("""COMPUTED_VALUE"""),67.43)</f>
        <v>67.43</v>
      </c>
      <c r="D1252" s="1">
        <f>IFERROR(__xludf.DUMMYFUNCTION("""COMPUTED_VALUE"""),64.66)</f>
        <v>64.66</v>
      </c>
      <c r="E1252" s="1">
        <f>IFERROR(__xludf.DUMMYFUNCTION("""COMPUTED_VALUE"""),67.32)</f>
        <v>67.32</v>
      </c>
      <c r="F1252" s="1">
        <f>IFERROR(__xludf.DUMMYFUNCTION("""COMPUTED_VALUE"""),6684365.0)</f>
        <v>6684365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IFERROR(__xludf.DUMMYFUNCTION("""COMPUTED_VALUE"""),67.32)</f>
        <v>67.32</v>
      </c>
      <c r="C1253" s="1">
        <f>IFERROR(__xludf.DUMMYFUNCTION("""COMPUTED_VALUE"""),68.71)</f>
        <v>68.71</v>
      </c>
      <c r="D1253" s="1">
        <f>IFERROR(__xludf.DUMMYFUNCTION("""COMPUTED_VALUE"""),67.17)</f>
        <v>67.17</v>
      </c>
      <c r="E1253" s="1">
        <f>IFERROR(__xludf.DUMMYFUNCTION("""COMPUTED_VALUE"""),67.85)</f>
        <v>67.85</v>
      </c>
      <c r="F1253" s="1">
        <f>IFERROR(__xludf.DUMMYFUNCTION("""COMPUTED_VALUE"""),4509672.0)</f>
        <v>4509672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IFERROR(__xludf.DUMMYFUNCTION("""COMPUTED_VALUE"""),67.66)</f>
        <v>67.66</v>
      </c>
      <c r="C1254" s="1">
        <f>IFERROR(__xludf.DUMMYFUNCTION("""COMPUTED_VALUE"""),68.31)</f>
        <v>68.31</v>
      </c>
      <c r="D1254" s="1">
        <f>IFERROR(__xludf.DUMMYFUNCTION("""COMPUTED_VALUE"""),67.44)</f>
        <v>67.44</v>
      </c>
      <c r="E1254" s="1">
        <f>IFERROR(__xludf.DUMMYFUNCTION("""COMPUTED_VALUE"""),67.76)</f>
        <v>67.76</v>
      </c>
      <c r="F1254" s="1">
        <f>IFERROR(__xludf.DUMMYFUNCTION("""COMPUTED_VALUE"""),3969959.0)</f>
        <v>3969959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IFERROR(__xludf.DUMMYFUNCTION("""COMPUTED_VALUE"""),67.82)</f>
        <v>67.82</v>
      </c>
      <c r="C1255" s="1">
        <f>IFERROR(__xludf.DUMMYFUNCTION("""COMPUTED_VALUE"""),68.06)</f>
        <v>68.06</v>
      </c>
      <c r="D1255" s="1">
        <f>IFERROR(__xludf.DUMMYFUNCTION("""COMPUTED_VALUE"""),67.53)</f>
        <v>67.53</v>
      </c>
      <c r="E1255" s="1">
        <f>IFERROR(__xludf.DUMMYFUNCTION("""COMPUTED_VALUE"""),67.61)</f>
        <v>67.61</v>
      </c>
      <c r="F1255" s="1">
        <f>IFERROR(__xludf.DUMMYFUNCTION("""COMPUTED_VALUE"""),807057.0)</f>
        <v>807057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IFERROR(__xludf.DUMMYFUNCTION("""COMPUTED_VALUE"""),67.8)</f>
        <v>67.8</v>
      </c>
      <c r="C1256" s="1">
        <f>IFERROR(__xludf.DUMMYFUNCTION("""COMPUTED_VALUE"""),68.31)</f>
        <v>68.31</v>
      </c>
      <c r="D1256" s="1">
        <f>IFERROR(__xludf.DUMMYFUNCTION("""COMPUTED_VALUE"""),67.23)</f>
        <v>67.23</v>
      </c>
      <c r="E1256" s="1">
        <f>IFERROR(__xludf.DUMMYFUNCTION("""COMPUTED_VALUE"""),67.61)</f>
        <v>67.61</v>
      </c>
      <c r="F1256" s="1">
        <f>IFERROR(__xludf.DUMMYFUNCTION("""COMPUTED_VALUE"""),845518.0)</f>
        <v>845518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IFERROR(__xludf.DUMMYFUNCTION("""COMPUTED_VALUE"""),67.29)</f>
        <v>67.29</v>
      </c>
      <c r="C1257" s="1">
        <f>IFERROR(__xludf.DUMMYFUNCTION("""COMPUTED_VALUE"""),67.96)</f>
        <v>67.96</v>
      </c>
      <c r="D1257" s="1">
        <f>IFERROR(__xludf.DUMMYFUNCTION("""COMPUTED_VALUE"""),67.02)</f>
        <v>67.02</v>
      </c>
      <c r="E1257" s="1">
        <f>IFERROR(__xludf.DUMMYFUNCTION("""COMPUTED_VALUE"""),67.87)</f>
        <v>67.87</v>
      </c>
      <c r="F1257" s="1">
        <f>IFERROR(__xludf.DUMMYFUNCTION("""COMPUTED_VALUE"""),1029515.0)</f>
        <v>1029515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IFERROR(__xludf.DUMMYFUNCTION("""COMPUTED_VALUE"""),67.38)</f>
        <v>67.38</v>
      </c>
      <c r="C1258" s="1">
        <f>IFERROR(__xludf.DUMMYFUNCTION("""COMPUTED_VALUE"""),67.86)</f>
        <v>67.86</v>
      </c>
      <c r="D1258" s="1">
        <f>IFERROR(__xludf.DUMMYFUNCTION("""COMPUTED_VALUE"""),67.08)</f>
        <v>67.08</v>
      </c>
      <c r="E1258" s="1">
        <f>IFERROR(__xludf.DUMMYFUNCTION("""COMPUTED_VALUE"""),67.24)</f>
        <v>67.24</v>
      </c>
      <c r="F1258" s="1">
        <f>IFERROR(__xludf.DUMMYFUNCTION("""COMPUTED_VALUE"""),1092594.0)</f>
        <v>1092594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IFERROR(__xludf.DUMMYFUNCTION("""COMPUTED_VALUE"""),67.52)</f>
        <v>67.52</v>
      </c>
      <c r="C1259" s="1">
        <f>IFERROR(__xludf.DUMMYFUNCTION("""COMPUTED_VALUE"""),67.95)</f>
        <v>67.95</v>
      </c>
      <c r="D1259" s="1">
        <f>IFERROR(__xludf.DUMMYFUNCTION("""COMPUTED_VALUE"""),66.51)</f>
        <v>66.51</v>
      </c>
      <c r="E1259" s="1">
        <f>IFERROR(__xludf.DUMMYFUNCTION("""COMPUTED_VALUE"""),66.58)</f>
        <v>66.58</v>
      </c>
      <c r="F1259" s="1">
        <f>IFERROR(__xludf.DUMMYFUNCTION("""COMPUTED_VALUE"""),1620659.0)</f>
        <v>1620659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IFERROR(__xludf.DUMMYFUNCTION("""COMPUTED_VALUE"""),67.04)</f>
        <v>67.04</v>
      </c>
      <c r="C1260" s="1">
        <f>IFERROR(__xludf.DUMMYFUNCTION("""COMPUTED_VALUE"""),67.71)</f>
        <v>67.71</v>
      </c>
      <c r="D1260" s="1">
        <f>IFERROR(__xludf.DUMMYFUNCTION("""COMPUTED_VALUE"""),65.86)</f>
        <v>65.86</v>
      </c>
      <c r="E1260" s="1">
        <f>IFERROR(__xludf.DUMMYFUNCTION("""COMPUTED_VALUE"""),66.47)</f>
        <v>66.47</v>
      </c>
      <c r="F1260" s="1">
        <f>IFERROR(__xludf.DUMMYFUNCTION("""COMPUTED_VALUE"""),2151075.0)</f>
        <v>2151075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IFERROR(__xludf.DUMMYFUNCTION("""COMPUTED_VALUE"""),66.01)</f>
        <v>66.01</v>
      </c>
      <c r="C1261" s="1">
        <f>IFERROR(__xludf.DUMMYFUNCTION("""COMPUTED_VALUE"""),66.31)</f>
        <v>66.31</v>
      </c>
      <c r="D1261" s="1">
        <f>IFERROR(__xludf.DUMMYFUNCTION("""COMPUTED_VALUE"""),64.1)</f>
        <v>64.1</v>
      </c>
      <c r="E1261" s="1">
        <f>IFERROR(__xludf.DUMMYFUNCTION("""COMPUTED_VALUE"""),64.58)</f>
        <v>64.58</v>
      </c>
      <c r="F1261" s="1">
        <f>IFERROR(__xludf.DUMMYFUNCTION("""COMPUTED_VALUE"""),2119945.0)</f>
        <v>2119945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IFERROR(__xludf.DUMMYFUNCTION("""COMPUTED_VALUE"""),64.97)</f>
        <v>64.97</v>
      </c>
      <c r="C1262" s="1">
        <f>IFERROR(__xludf.DUMMYFUNCTION("""COMPUTED_VALUE"""),65.08)</f>
        <v>65.08</v>
      </c>
      <c r="D1262" s="1">
        <f>IFERROR(__xludf.DUMMYFUNCTION("""COMPUTED_VALUE"""),63.06)</f>
        <v>63.06</v>
      </c>
      <c r="E1262" s="1">
        <f>IFERROR(__xludf.DUMMYFUNCTION("""COMPUTED_VALUE"""),63.77)</f>
        <v>63.77</v>
      </c>
      <c r="F1262" s="1">
        <f>IFERROR(__xludf.DUMMYFUNCTION("""COMPUTED_VALUE"""),2366511.0)</f>
        <v>2366511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IFERROR(__xludf.DUMMYFUNCTION("""COMPUTED_VALUE"""),64.44)</f>
        <v>64.44</v>
      </c>
      <c r="C1263" s="1">
        <f>IFERROR(__xludf.DUMMYFUNCTION("""COMPUTED_VALUE"""),64.8)</f>
        <v>64.8</v>
      </c>
      <c r="D1263" s="1">
        <f>IFERROR(__xludf.DUMMYFUNCTION("""COMPUTED_VALUE"""),63.79)</f>
        <v>63.79</v>
      </c>
      <c r="E1263" s="1">
        <f>IFERROR(__xludf.DUMMYFUNCTION("""COMPUTED_VALUE"""),64.78)</f>
        <v>64.78</v>
      </c>
      <c r="F1263" s="1">
        <f>IFERROR(__xludf.DUMMYFUNCTION("""COMPUTED_VALUE"""),1654036.0)</f>
        <v>1654036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IFERROR(__xludf.DUMMYFUNCTION("""COMPUTED_VALUE"""),65.66)</f>
        <v>65.66</v>
      </c>
      <c r="C1264" s="1">
        <f>IFERROR(__xludf.DUMMYFUNCTION("""COMPUTED_VALUE"""),66.3)</f>
        <v>66.3</v>
      </c>
      <c r="D1264" s="1">
        <f>IFERROR(__xludf.DUMMYFUNCTION("""COMPUTED_VALUE"""),65.48)</f>
        <v>65.48</v>
      </c>
      <c r="E1264" s="1">
        <f>IFERROR(__xludf.DUMMYFUNCTION("""COMPUTED_VALUE"""),66.09)</f>
        <v>66.09</v>
      </c>
      <c r="F1264" s="1">
        <f>IFERROR(__xludf.DUMMYFUNCTION("""COMPUTED_VALUE"""),1514306.0)</f>
        <v>1514306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IFERROR(__xludf.DUMMYFUNCTION("""COMPUTED_VALUE"""),65.88)</f>
        <v>65.88</v>
      </c>
      <c r="C1265" s="1">
        <f>IFERROR(__xludf.DUMMYFUNCTION("""COMPUTED_VALUE"""),66.01)</f>
        <v>66.01</v>
      </c>
      <c r="D1265" s="1">
        <f>IFERROR(__xludf.DUMMYFUNCTION("""COMPUTED_VALUE"""),64.9)</f>
        <v>64.9</v>
      </c>
      <c r="E1265" s="1">
        <f>IFERROR(__xludf.DUMMYFUNCTION("""COMPUTED_VALUE"""),65.04)</f>
        <v>65.04</v>
      </c>
      <c r="F1265" s="1">
        <f>IFERROR(__xludf.DUMMYFUNCTION("""COMPUTED_VALUE"""),1544921.0)</f>
        <v>1544921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IFERROR(__xludf.DUMMYFUNCTION("""COMPUTED_VALUE"""),64.93)</f>
        <v>64.93</v>
      </c>
      <c r="C1266" s="1">
        <f>IFERROR(__xludf.DUMMYFUNCTION("""COMPUTED_VALUE"""),65.23)</f>
        <v>65.23</v>
      </c>
      <c r="D1266" s="1">
        <f>IFERROR(__xludf.DUMMYFUNCTION("""COMPUTED_VALUE"""),64.18)</f>
        <v>64.18</v>
      </c>
      <c r="E1266" s="1">
        <f>IFERROR(__xludf.DUMMYFUNCTION("""COMPUTED_VALUE"""),64.35)</f>
        <v>64.35</v>
      </c>
      <c r="F1266" s="1">
        <f>IFERROR(__xludf.DUMMYFUNCTION("""COMPUTED_VALUE"""),1434314.0)</f>
        <v>1434314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IFERROR(__xludf.DUMMYFUNCTION("""COMPUTED_VALUE"""),65.06)</f>
        <v>65.06</v>
      </c>
      <c r="C1267" s="1">
        <f>IFERROR(__xludf.DUMMYFUNCTION("""COMPUTED_VALUE"""),65.72)</f>
        <v>65.72</v>
      </c>
      <c r="D1267" s="1">
        <f>IFERROR(__xludf.DUMMYFUNCTION("""COMPUTED_VALUE"""),63.77)</f>
        <v>63.77</v>
      </c>
      <c r="E1267" s="1">
        <f>IFERROR(__xludf.DUMMYFUNCTION("""COMPUTED_VALUE"""),64.27)</f>
        <v>64.27</v>
      </c>
      <c r="F1267" s="1">
        <f>IFERROR(__xludf.DUMMYFUNCTION("""COMPUTED_VALUE"""),1274466.0)</f>
        <v>1274466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IFERROR(__xludf.DUMMYFUNCTION("""COMPUTED_VALUE"""),63.98)</f>
        <v>63.98</v>
      </c>
      <c r="C1268" s="1">
        <f>IFERROR(__xludf.DUMMYFUNCTION("""COMPUTED_VALUE"""),64.08)</f>
        <v>64.08</v>
      </c>
      <c r="D1268" s="1">
        <f>IFERROR(__xludf.DUMMYFUNCTION("""COMPUTED_VALUE"""),62.58)</f>
        <v>62.58</v>
      </c>
      <c r="E1268" s="1">
        <f>IFERROR(__xludf.DUMMYFUNCTION("""COMPUTED_VALUE"""),63.42)</f>
        <v>63.42</v>
      </c>
      <c r="F1268" s="1">
        <f>IFERROR(__xludf.DUMMYFUNCTION("""COMPUTED_VALUE"""),1783388.0)</f>
        <v>1783388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IFERROR(__xludf.DUMMYFUNCTION("""COMPUTED_VALUE"""),64.04)</f>
        <v>64.04</v>
      </c>
      <c r="C1269" s="1">
        <f>IFERROR(__xludf.DUMMYFUNCTION("""COMPUTED_VALUE"""),64.94)</f>
        <v>64.94</v>
      </c>
      <c r="D1269" s="1">
        <f>IFERROR(__xludf.DUMMYFUNCTION("""COMPUTED_VALUE"""),62.18)</f>
        <v>62.18</v>
      </c>
      <c r="E1269" s="1">
        <f>IFERROR(__xludf.DUMMYFUNCTION("""COMPUTED_VALUE"""),62.23)</f>
        <v>62.23</v>
      </c>
      <c r="F1269" s="1">
        <f>IFERROR(__xludf.DUMMYFUNCTION("""COMPUTED_VALUE"""),1286540.0)</f>
        <v>1286540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IFERROR(__xludf.DUMMYFUNCTION("""COMPUTED_VALUE"""),61.93)</f>
        <v>61.93</v>
      </c>
      <c r="C1270" s="1">
        <f>IFERROR(__xludf.DUMMYFUNCTION("""COMPUTED_VALUE"""),63.56)</f>
        <v>63.56</v>
      </c>
      <c r="D1270" s="1">
        <f>IFERROR(__xludf.DUMMYFUNCTION("""COMPUTED_VALUE"""),61.83)</f>
        <v>61.83</v>
      </c>
      <c r="E1270" s="1">
        <f>IFERROR(__xludf.DUMMYFUNCTION("""COMPUTED_VALUE"""),63.51)</f>
        <v>63.51</v>
      </c>
      <c r="F1270" s="1">
        <f>IFERROR(__xludf.DUMMYFUNCTION("""COMPUTED_VALUE"""),1704731.0)</f>
        <v>1704731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IFERROR(__xludf.DUMMYFUNCTION("""COMPUTED_VALUE"""),63.55)</f>
        <v>63.55</v>
      </c>
      <c r="C1271" s="1">
        <f>IFERROR(__xludf.DUMMYFUNCTION("""COMPUTED_VALUE"""),63.71)</f>
        <v>63.71</v>
      </c>
      <c r="D1271" s="1">
        <f>IFERROR(__xludf.DUMMYFUNCTION("""COMPUTED_VALUE"""),62.12)</f>
        <v>62.12</v>
      </c>
      <c r="E1271" s="1">
        <f>IFERROR(__xludf.DUMMYFUNCTION("""COMPUTED_VALUE"""),62.81)</f>
        <v>62.81</v>
      </c>
      <c r="F1271" s="1">
        <f>IFERROR(__xludf.DUMMYFUNCTION("""COMPUTED_VALUE"""),1151445.0)</f>
        <v>1151445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IFERROR(__xludf.DUMMYFUNCTION("""COMPUTED_VALUE"""),62.6)</f>
        <v>62.6</v>
      </c>
      <c r="C1272" s="1">
        <f>IFERROR(__xludf.DUMMYFUNCTION("""COMPUTED_VALUE"""),63.36)</f>
        <v>63.36</v>
      </c>
      <c r="D1272" s="1">
        <f>IFERROR(__xludf.DUMMYFUNCTION("""COMPUTED_VALUE"""),62.21)</f>
        <v>62.21</v>
      </c>
      <c r="E1272" s="1">
        <f>IFERROR(__xludf.DUMMYFUNCTION("""COMPUTED_VALUE"""),63.01)</f>
        <v>63.01</v>
      </c>
      <c r="F1272" s="1">
        <f>IFERROR(__xludf.DUMMYFUNCTION("""COMPUTED_VALUE"""),1231013.0)</f>
        <v>1231013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IFERROR(__xludf.DUMMYFUNCTION("""COMPUTED_VALUE"""),63.29)</f>
        <v>63.29</v>
      </c>
      <c r="C1273" s="1">
        <f>IFERROR(__xludf.DUMMYFUNCTION("""COMPUTED_VALUE"""),64.44)</f>
        <v>64.44</v>
      </c>
      <c r="D1273" s="1">
        <f>IFERROR(__xludf.DUMMYFUNCTION("""COMPUTED_VALUE"""),62.76)</f>
        <v>62.76</v>
      </c>
      <c r="E1273" s="1">
        <f>IFERROR(__xludf.DUMMYFUNCTION("""COMPUTED_VALUE"""),64.24)</f>
        <v>64.24</v>
      </c>
      <c r="F1273" s="1">
        <f>IFERROR(__xludf.DUMMYFUNCTION("""COMPUTED_VALUE"""),1084829.0)</f>
        <v>1084829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IFERROR(__xludf.DUMMYFUNCTION("""COMPUTED_VALUE"""),64.38)</f>
        <v>64.38</v>
      </c>
      <c r="C1274" s="1">
        <f>IFERROR(__xludf.DUMMYFUNCTION("""COMPUTED_VALUE"""),65.85)</f>
        <v>65.85</v>
      </c>
      <c r="D1274" s="1">
        <f>IFERROR(__xludf.DUMMYFUNCTION("""COMPUTED_VALUE"""),64.27)</f>
        <v>64.27</v>
      </c>
      <c r="E1274" s="1">
        <f>IFERROR(__xludf.DUMMYFUNCTION("""COMPUTED_VALUE"""),64.87)</f>
        <v>64.87</v>
      </c>
      <c r="F1274" s="1">
        <f>IFERROR(__xludf.DUMMYFUNCTION("""COMPUTED_VALUE"""),1621444.0)</f>
        <v>1621444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IFERROR(__xludf.DUMMYFUNCTION("""COMPUTED_VALUE"""),64.75)</f>
        <v>64.75</v>
      </c>
      <c r="C1275" s="1">
        <f>IFERROR(__xludf.DUMMYFUNCTION("""COMPUTED_VALUE"""),65.42)</f>
        <v>65.42</v>
      </c>
      <c r="D1275" s="1">
        <f>IFERROR(__xludf.DUMMYFUNCTION("""COMPUTED_VALUE"""),64.24)</f>
        <v>64.24</v>
      </c>
      <c r="E1275" s="1">
        <f>IFERROR(__xludf.DUMMYFUNCTION("""COMPUTED_VALUE"""),64.77)</f>
        <v>64.77</v>
      </c>
      <c r="F1275" s="1">
        <f>IFERROR(__xludf.DUMMYFUNCTION("""COMPUTED_VALUE"""),1397435.0)</f>
        <v>1397435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IFERROR(__xludf.DUMMYFUNCTION("""COMPUTED_VALUE"""),63.9)</f>
        <v>63.9</v>
      </c>
      <c r="C1276" s="1">
        <f>IFERROR(__xludf.DUMMYFUNCTION("""COMPUTED_VALUE"""),64.51)</f>
        <v>64.51</v>
      </c>
      <c r="D1276" s="1">
        <f>IFERROR(__xludf.DUMMYFUNCTION("""COMPUTED_VALUE"""),63.39)</f>
        <v>63.39</v>
      </c>
      <c r="E1276" s="1">
        <f>IFERROR(__xludf.DUMMYFUNCTION("""COMPUTED_VALUE"""),63.7)</f>
        <v>63.7</v>
      </c>
      <c r="F1276" s="1">
        <f>IFERROR(__xludf.DUMMYFUNCTION("""COMPUTED_VALUE"""),1404976.0)</f>
        <v>1404976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IFERROR(__xludf.DUMMYFUNCTION("""COMPUTED_VALUE"""),64.11)</f>
        <v>64.11</v>
      </c>
      <c r="C1277" s="1">
        <f>IFERROR(__xludf.DUMMYFUNCTION("""COMPUTED_VALUE"""),64.38)</f>
        <v>64.38</v>
      </c>
      <c r="D1277" s="1">
        <f>IFERROR(__xludf.DUMMYFUNCTION("""COMPUTED_VALUE"""),62.42)</f>
        <v>62.42</v>
      </c>
      <c r="E1277" s="1">
        <f>IFERROR(__xludf.DUMMYFUNCTION("""COMPUTED_VALUE"""),62.53)</f>
        <v>62.53</v>
      </c>
      <c r="F1277" s="1">
        <f>IFERROR(__xludf.DUMMYFUNCTION("""COMPUTED_VALUE"""),1172736.0)</f>
        <v>1172736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IFERROR(__xludf.DUMMYFUNCTION("""COMPUTED_VALUE"""),62.6)</f>
        <v>62.6</v>
      </c>
      <c r="C1278" s="1">
        <f>IFERROR(__xludf.DUMMYFUNCTION("""COMPUTED_VALUE"""),63.45)</f>
        <v>63.45</v>
      </c>
      <c r="D1278" s="1">
        <f>IFERROR(__xludf.DUMMYFUNCTION("""COMPUTED_VALUE"""),62.22)</f>
        <v>62.22</v>
      </c>
      <c r="E1278" s="1">
        <f>IFERROR(__xludf.DUMMYFUNCTION("""COMPUTED_VALUE"""),63.31)</f>
        <v>63.31</v>
      </c>
      <c r="F1278" s="1">
        <f>IFERROR(__xludf.DUMMYFUNCTION("""COMPUTED_VALUE"""),918569.0)</f>
        <v>918569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IFERROR(__xludf.DUMMYFUNCTION("""COMPUTED_VALUE"""),62.7)</f>
        <v>62.7</v>
      </c>
      <c r="C1279" s="1">
        <f>IFERROR(__xludf.DUMMYFUNCTION("""COMPUTED_VALUE"""),63.2)</f>
        <v>63.2</v>
      </c>
      <c r="D1279" s="1">
        <f>IFERROR(__xludf.DUMMYFUNCTION("""COMPUTED_VALUE"""),62.02)</f>
        <v>62.02</v>
      </c>
      <c r="E1279" s="1">
        <f>IFERROR(__xludf.DUMMYFUNCTION("""COMPUTED_VALUE"""),62.1)</f>
        <v>62.1</v>
      </c>
      <c r="F1279" s="1">
        <f>IFERROR(__xludf.DUMMYFUNCTION("""COMPUTED_VALUE"""),1164474.0)</f>
        <v>1164474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IFERROR(__xludf.DUMMYFUNCTION("""COMPUTED_VALUE"""),62.21)</f>
        <v>62.21</v>
      </c>
      <c r="C1280" s="1">
        <f>IFERROR(__xludf.DUMMYFUNCTION("""COMPUTED_VALUE"""),62.59)</f>
        <v>62.59</v>
      </c>
      <c r="D1280" s="1">
        <f>IFERROR(__xludf.DUMMYFUNCTION("""COMPUTED_VALUE"""),60.83)</f>
        <v>60.83</v>
      </c>
      <c r="E1280" s="1">
        <f>IFERROR(__xludf.DUMMYFUNCTION("""COMPUTED_VALUE"""),62.53)</f>
        <v>62.53</v>
      </c>
      <c r="F1280" s="1">
        <f>IFERROR(__xludf.DUMMYFUNCTION("""COMPUTED_VALUE"""),1253846.0)</f>
        <v>1253846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IFERROR(__xludf.DUMMYFUNCTION("""COMPUTED_VALUE"""),63.2)</f>
        <v>63.2</v>
      </c>
      <c r="C1281" s="1">
        <f>IFERROR(__xludf.DUMMYFUNCTION("""COMPUTED_VALUE"""),63.91)</f>
        <v>63.91</v>
      </c>
      <c r="D1281" s="1">
        <f>IFERROR(__xludf.DUMMYFUNCTION("""COMPUTED_VALUE"""),62.75)</f>
        <v>62.75</v>
      </c>
      <c r="E1281" s="1">
        <f>IFERROR(__xludf.DUMMYFUNCTION("""COMPUTED_VALUE"""),63.75)</f>
        <v>63.75</v>
      </c>
      <c r="F1281" s="1">
        <f>IFERROR(__xludf.DUMMYFUNCTION("""COMPUTED_VALUE"""),1640122.0)</f>
        <v>1640122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IFERROR(__xludf.DUMMYFUNCTION("""COMPUTED_VALUE"""),63.61)</f>
        <v>63.61</v>
      </c>
      <c r="C1282" s="1">
        <f>IFERROR(__xludf.DUMMYFUNCTION("""COMPUTED_VALUE"""),64.82)</f>
        <v>64.82</v>
      </c>
      <c r="D1282" s="1">
        <f>IFERROR(__xludf.DUMMYFUNCTION("""COMPUTED_VALUE"""),63.45)</f>
        <v>63.45</v>
      </c>
      <c r="E1282" s="1">
        <f>IFERROR(__xludf.DUMMYFUNCTION("""COMPUTED_VALUE"""),64.46)</f>
        <v>64.46</v>
      </c>
      <c r="F1282" s="1">
        <f>IFERROR(__xludf.DUMMYFUNCTION("""COMPUTED_VALUE"""),1567814.0)</f>
        <v>1567814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IFERROR(__xludf.DUMMYFUNCTION("""COMPUTED_VALUE"""),64.66)</f>
        <v>64.66</v>
      </c>
      <c r="C1283" s="1">
        <f>IFERROR(__xludf.DUMMYFUNCTION("""COMPUTED_VALUE"""),64.98)</f>
        <v>64.98</v>
      </c>
      <c r="D1283" s="1">
        <f>IFERROR(__xludf.DUMMYFUNCTION("""COMPUTED_VALUE"""),64.24)</f>
        <v>64.24</v>
      </c>
      <c r="E1283" s="1">
        <f>IFERROR(__xludf.DUMMYFUNCTION("""COMPUTED_VALUE"""),64.53)</f>
        <v>64.53</v>
      </c>
      <c r="F1283" s="1">
        <f>IFERROR(__xludf.DUMMYFUNCTION("""COMPUTED_VALUE"""),1384175.0)</f>
        <v>1384175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IFERROR(__xludf.DUMMYFUNCTION("""COMPUTED_VALUE"""),64.54)</f>
        <v>64.54</v>
      </c>
      <c r="C1284" s="1">
        <f>IFERROR(__xludf.DUMMYFUNCTION("""COMPUTED_VALUE"""),64.97)</f>
        <v>64.97</v>
      </c>
      <c r="D1284" s="1">
        <f>IFERROR(__xludf.DUMMYFUNCTION("""COMPUTED_VALUE"""),64.14)</f>
        <v>64.14</v>
      </c>
      <c r="E1284" s="1">
        <f>IFERROR(__xludf.DUMMYFUNCTION("""COMPUTED_VALUE"""),64.42)</f>
        <v>64.42</v>
      </c>
      <c r="F1284" s="1">
        <f>IFERROR(__xludf.DUMMYFUNCTION("""COMPUTED_VALUE"""),853446.0)</f>
        <v>853446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IFERROR(__xludf.DUMMYFUNCTION("""COMPUTED_VALUE"""),63.96)</f>
        <v>63.96</v>
      </c>
      <c r="C1285" s="1">
        <f>IFERROR(__xludf.DUMMYFUNCTION("""COMPUTED_VALUE"""),65.01)</f>
        <v>65.01</v>
      </c>
      <c r="D1285" s="1">
        <f>IFERROR(__xludf.DUMMYFUNCTION("""COMPUTED_VALUE"""),63.81)</f>
        <v>63.81</v>
      </c>
      <c r="E1285" s="1">
        <f>IFERROR(__xludf.DUMMYFUNCTION("""COMPUTED_VALUE"""),64.55)</f>
        <v>64.55</v>
      </c>
      <c r="F1285" s="1">
        <f>IFERROR(__xludf.DUMMYFUNCTION("""COMPUTED_VALUE"""),1333097.0)</f>
        <v>1333097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IFERROR(__xludf.DUMMYFUNCTION("""COMPUTED_VALUE"""),65.05)</f>
        <v>65.05</v>
      </c>
      <c r="C1286" s="1">
        <f>IFERROR(__xludf.DUMMYFUNCTION("""COMPUTED_VALUE"""),65.74)</f>
        <v>65.74</v>
      </c>
      <c r="D1286" s="1">
        <f>IFERROR(__xludf.DUMMYFUNCTION("""COMPUTED_VALUE"""),64.9)</f>
        <v>64.9</v>
      </c>
      <c r="E1286" s="1">
        <f>IFERROR(__xludf.DUMMYFUNCTION("""COMPUTED_VALUE"""),65.67)</f>
        <v>65.67</v>
      </c>
      <c r="F1286" s="1">
        <f>IFERROR(__xludf.DUMMYFUNCTION("""COMPUTED_VALUE"""),1621325.0)</f>
        <v>1621325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IFERROR(__xludf.DUMMYFUNCTION("""COMPUTED_VALUE"""),65.42)</f>
        <v>65.42</v>
      </c>
      <c r="C1287" s="1">
        <f>IFERROR(__xludf.DUMMYFUNCTION("""COMPUTED_VALUE"""),66.08)</f>
        <v>66.08</v>
      </c>
      <c r="D1287" s="1">
        <f>IFERROR(__xludf.DUMMYFUNCTION("""COMPUTED_VALUE"""),64.77)</f>
        <v>64.77</v>
      </c>
      <c r="E1287" s="1">
        <f>IFERROR(__xludf.DUMMYFUNCTION("""COMPUTED_VALUE"""),65.97)</f>
        <v>65.97</v>
      </c>
      <c r="F1287" s="1">
        <f>IFERROR(__xludf.DUMMYFUNCTION("""COMPUTED_VALUE"""),1380837.0)</f>
        <v>1380837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IFERROR(__xludf.DUMMYFUNCTION("""COMPUTED_VALUE"""),66.04)</f>
        <v>66.04</v>
      </c>
      <c r="C1288" s="1">
        <f>IFERROR(__xludf.DUMMYFUNCTION("""COMPUTED_VALUE"""),66.67)</f>
        <v>66.67</v>
      </c>
      <c r="D1288" s="1">
        <f>IFERROR(__xludf.DUMMYFUNCTION("""COMPUTED_VALUE"""),65.51)</f>
        <v>65.51</v>
      </c>
      <c r="E1288" s="1">
        <f>IFERROR(__xludf.DUMMYFUNCTION("""COMPUTED_VALUE"""),66.58)</f>
        <v>66.58</v>
      </c>
      <c r="F1288" s="1">
        <f>IFERROR(__xludf.DUMMYFUNCTION("""COMPUTED_VALUE"""),1066382.0)</f>
        <v>1066382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IFERROR(__xludf.DUMMYFUNCTION("""COMPUTED_VALUE"""),66.51)</f>
        <v>66.51</v>
      </c>
      <c r="C1289" s="1">
        <f>IFERROR(__xludf.DUMMYFUNCTION("""COMPUTED_VALUE"""),67.73)</f>
        <v>67.73</v>
      </c>
      <c r="D1289" s="1">
        <f>IFERROR(__xludf.DUMMYFUNCTION("""COMPUTED_VALUE"""),66.51)</f>
        <v>66.51</v>
      </c>
      <c r="E1289" s="1">
        <f>IFERROR(__xludf.DUMMYFUNCTION("""COMPUTED_VALUE"""),67.68)</f>
        <v>67.68</v>
      </c>
      <c r="F1289" s="1">
        <f>IFERROR(__xludf.DUMMYFUNCTION("""COMPUTED_VALUE"""),1284003.0)</f>
        <v>1284003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IFERROR(__xludf.DUMMYFUNCTION("""COMPUTED_VALUE"""),67.66)</f>
        <v>67.66</v>
      </c>
      <c r="C1290" s="1">
        <f>IFERROR(__xludf.DUMMYFUNCTION("""COMPUTED_VALUE"""),68.08)</f>
        <v>68.08</v>
      </c>
      <c r="D1290" s="1">
        <f>IFERROR(__xludf.DUMMYFUNCTION("""COMPUTED_VALUE"""),67.01)</f>
        <v>67.01</v>
      </c>
      <c r="E1290" s="1">
        <f>IFERROR(__xludf.DUMMYFUNCTION("""COMPUTED_VALUE"""),67.48)</f>
        <v>67.48</v>
      </c>
      <c r="F1290" s="1">
        <f>IFERROR(__xludf.DUMMYFUNCTION("""COMPUTED_VALUE"""),1013351.0)</f>
        <v>1013351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IFERROR(__xludf.DUMMYFUNCTION("""COMPUTED_VALUE"""),67.17)</f>
        <v>67.17</v>
      </c>
      <c r="C1291" s="1">
        <f>IFERROR(__xludf.DUMMYFUNCTION("""COMPUTED_VALUE"""),67.69)</f>
        <v>67.69</v>
      </c>
      <c r="D1291" s="1">
        <f>IFERROR(__xludf.DUMMYFUNCTION("""COMPUTED_VALUE"""),66.89)</f>
        <v>66.89</v>
      </c>
      <c r="E1291" s="1">
        <f>IFERROR(__xludf.DUMMYFUNCTION("""COMPUTED_VALUE"""),67.51)</f>
        <v>67.51</v>
      </c>
      <c r="F1291" s="1">
        <f>IFERROR(__xludf.DUMMYFUNCTION("""COMPUTED_VALUE"""),1041225.0)</f>
        <v>1041225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IFERROR(__xludf.DUMMYFUNCTION("""COMPUTED_VALUE"""),67.55)</f>
        <v>67.55</v>
      </c>
      <c r="C1292" s="1">
        <f>IFERROR(__xludf.DUMMYFUNCTION("""COMPUTED_VALUE"""),68.41)</f>
        <v>68.41</v>
      </c>
      <c r="D1292" s="1">
        <f>IFERROR(__xludf.DUMMYFUNCTION("""COMPUTED_VALUE"""),67.34)</f>
        <v>67.34</v>
      </c>
      <c r="E1292" s="1">
        <f>IFERROR(__xludf.DUMMYFUNCTION("""COMPUTED_VALUE"""),68.3)</f>
        <v>68.3</v>
      </c>
      <c r="F1292" s="1">
        <f>IFERROR(__xludf.DUMMYFUNCTION("""COMPUTED_VALUE"""),1081883.0)</f>
        <v>1081883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IFERROR(__xludf.DUMMYFUNCTION("""COMPUTED_VALUE"""),68.22)</f>
        <v>68.22</v>
      </c>
      <c r="C1293" s="1">
        <f>IFERROR(__xludf.DUMMYFUNCTION("""COMPUTED_VALUE"""),68.33)</f>
        <v>68.33</v>
      </c>
      <c r="D1293" s="1">
        <f>IFERROR(__xludf.DUMMYFUNCTION("""COMPUTED_VALUE"""),66.98)</f>
        <v>66.98</v>
      </c>
      <c r="E1293" s="1">
        <f>IFERROR(__xludf.DUMMYFUNCTION("""COMPUTED_VALUE"""),68.13)</f>
        <v>68.13</v>
      </c>
      <c r="F1293" s="1">
        <f>IFERROR(__xludf.DUMMYFUNCTION("""COMPUTED_VALUE"""),1143772.0)</f>
        <v>1143772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IFERROR(__xludf.DUMMYFUNCTION("""COMPUTED_VALUE"""),68.2)</f>
        <v>68.2</v>
      </c>
      <c r="C1294" s="1">
        <f>IFERROR(__xludf.DUMMYFUNCTION("""COMPUTED_VALUE"""),68.33)</f>
        <v>68.33</v>
      </c>
      <c r="D1294" s="1">
        <f>IFERROR(__xludf.DUMMYFUNCTION("""COMPUTED_VALUE"""),67.26)</f>
        <v>67.26</v>
      </c>
      <c r="E1294" s="1">
        <f>IFERROR(__xludf.DUMMYFUNCTION("""COMPUTED_VALUE"""),67.61)</f>
        <v>67.61</v>
      </c>
      <c r="F1294" s="1">
        <f>IFERROR(__xludf.DUMMYFUNCTION("""COMPUTED_VALUE"""),584941.0)</f>
        <v>584941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IFERROR(__xludf.DUMMYFUNCTION("""COMPUTED_VALUE"""),66.6)</f>
        <v>66.6</v>
      </c>
      <c r="C1295" s="1">
        <f>IFERROR(__xludf.DUMMYFUNCTION("""COMPUTED_VALUE"""),67.67)</f>
        <v>67.67</v>
      </c>
      <c r="D1295" s="1">
        <f>IFERROR(__xludf.DUMMYFUNCTION("""COMPUTED_VALUE"""),65.87)</f>
        <v>65.87</v>
      </c>
      <c r="E1295" s="1">
        <f>IFERROR(__xludf.DUMMYFUNCTION("""COMPUTED_VALUE"""),67.28)</f>
        <v>67.28</v>
      </c>
      <c r="F1295" s="1">
        <f>IFERROR(__xludf.DUMMYFUNCTION("""COMPUTED_VALUE"""),876109.0)</f>
        <v>876109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IFERROR(__xludf.DUMMYFUNCTION("""COMPUTED_VALUE"""),67.41)</f>
        <v>67.41</v>
      </c>
      <c r="C1296" s="1">
        <f>IFERROR(__xludf.DUMMYFUNCTION("""COMPUTED_VALUE"""),68.15)</f>
        <v>68.15</v>
      </c>
      <c r="D1296" s="1">
        <f>IFERROR(__xludf.DUMMYFUNCTION("""COMPUTED_VALUE"""),67.4)</f>
        <v>67.4</v>
      </c>
      <c r="E1296" s="1">
        <f>IFERROR(__xludf.DUMMYFUNCTION("""COMPUTED_VALUE"""),68.1)</f>
        <v>68.1</v>
      </c>
      <c r="F1296" s="1">
        <f>IFERROR(__xludf.DUMMYFUNCTION("""COMPUTED_VALUE"""),686525.0)</f>
        <v>686525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IFERROR(__xludf.DUMMYFUNCTION("""COMPUTED_VALUE"""),68.12)</f>
        <v>68.12</v>
      </c>
      <c r="C1297" s="1">
        <f>IFERROR(__xludf.DUMMYFUNCTION("""COMPUTED_VALUE"""),68.3)</f>
        <v>68.3</v>
      </c>
      <c r="D1297" s="1">
        <f>IFERROR(__xludf.DUMMYFUNCTION("""COMPUTED_VALUE"""),67.57)</f>
        <v>67.57</v>
      </c>
      <c r="E1297" s="1">
        <f>IFERROR(__xludf.DUMMYFUNCTION("""COMPUTED_VALUE"""),67.73)</f>
        <v>67.73</v>
      </c>
      <c r="F1297" s="1">
        <f>IFERROR(__xludf.DUMMYFUNCTION("""COMPUTED_VALUE"""),870420.0)</f>
        <v>870420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IFERROR(__xludf.DUMMYFUNCTION("""COMPUTED_VALUE"""),67.75)</f>
        <v>67.75</v>
      </c>
      <c r="C1298" s="1">
        <f>IFERROR(__xludf.DUMMYFUNCTION("""COMPUTED_VALUE"""),67.98)</f>
        <v>67.98</v>
      </c>
      <c r="D1298" s="1">
        <f>IFERROR(__xludf.DUMMYFUNCTION("""COMPUTED_VALUE"""),66.99)</f>
        <v>66.99</v>
      </c>
      <c r="E1298" s="1">
        <f>IFERROR(__xludf.DUMMYFUNCTION("""COMPUTED_VALUE"""),67.11)</f>
        <v>67.11</v>
      </c>
      <c r="F1298" s="1">
        <f>IFERROR(__xludf.DUMMYFUNCTION("""COMPUTED_VALUE"""),878880.0)</f>
        <v>878880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IFERROR(__xludf.DUMMYFUNCTION("""COMPUTED_VALUE"""),67.32)</f>
        <v>67.32</v>
      </c>
      <c r="C1299" s="1">
        <f>IFERROR(__xludf.DUMMYFUNCTION("""COMPUTED_VALUE"""),68.23)</f>
        <v>68.23</v>
      </c>
      <c r="D1299" s="1">
        <f>IFERROR(__xludf.DUMMYFUNCTION("""COMPUTED_VALUE"""),67.15)</f>
        <v>67.15</v>
      </c>
      <c r="E1299" s="1">
        <f>IFERROR(__xludf.DUMMYFUNCTION("""COMPUTED_VALUE"""),67.77)</f>
        <v>67.77</v>
      </c>
      <c r="F1299" s="1">
        <f>IFERROR(__xludf.DUMMYFUNCTION("""COMPUTED_VALUE"""),1394803.0)</f>
        <v>1394803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IFERROR(__xludf.DUMMYFUNCTION("""COMPUTED_VALUE"""),67.69)</f>
        <v>67.69</v>
      </c>
      <c r="C1300" s="1">
        <f>IFERROR(__xludf.DUMMYFUNCTION("""COMPUTED_VALUE"""),67.69)</f>
        <v>67.69</v>
      </c>
      <c r="D1300" s="1">
        <f>IFERROR(__xludf.DUMMYFUNCTION("""COMPUTED_VALUE"""),66.95)</f>
        <v>66.95</v>
      </c>
      <c r="E1300" s="1">
        <f>IFERROR(__xludf.DUMMYFUNCTION("""COMPUTED_VALUE"""),67.39)</f>
        <v>67.39</v>
      </c>
      <c r="F1300" s="1">
        <f>IFERROR(__xludf.DUMMYFUNCTION("""COMPUTED_VALUE"""),898628.0)</f>
        <v>898628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IFERROR(__xludf.DUMMYFUNCTION("""COMPUTED_VALUE"""),65.86)</f>
        <v>65.86</v>
      </c>
      <c r="C1301" s="1">
        <f>IFERROR(__xludf.DUMMYFUNCTION("""COMPUTED_VALUE"""),66.0)</f>
        <v>66</v>
      </c>
      <c r="D1301" s="1">
        <f>IFERROR(__xludf.DUMMYFUNCTION("""COMPUTED_VALUE"""),64.54)</f>
        <v>64.54</v>
      </c>
      <c r="E1301" s="1">
        <f>IFERROR(__xludf.DUMMYFUNCTION("""COMPUTED_VALUE"""),64.69)</f>
        <v>64.69</v>
      </c>
      <c r="F1301" s="1">
        <f>IFERROR(__xludf.DUMMYFUNCTION("""COMPUTED_VALUE"""),1739882.0)</f>
        <v>1739882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IFERROR(__xludf.DUMMYFUNCTION("""COMPUTED_VALUE"""),64.69)</f>
        <v>64.69</v>
      </c>
      <c r="C1302" s="1">
        <f>IFERROR(__xludf.DUMMYFUNCTION("""COMPUTED_VALUE"""),65.02)</f>
        <v>65.02</v>
      </c>
      <c r="D1302" s="1">
        <f>IFERROR(__xludf.DUMMYFUNCTION("""COMPUTED_VALUE"""),64.53)</f>
        <v>64.53</v>
      </c>
      <c r="E1302" s="1">
        <f>IFERROR(__xludf.DUMMYFUNCTION("""COMPUTED_VALUE"""),64.62)</f>
        <v>64.62</v>
      </c>
      <c r="F1302" s="1">
        <f>IFERROR(__xludf.DUMMYFUNCTION("""COMPUTED_VALUE"""),1296591.0)</f>
        <v>1296591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IFERROR(__xludf.DUMMYFUNCTION("""COMPUTED_VALUE"""),64.12)</f>
        <v>64.12</v>
      </c>
      <c r="C1303" s="1">
        <f>IFERROR(__xludf.DUMMYFUNCTION("""COMPUTED_VALUE"""),64.63)</f>
        <v>64.63</v>
      </c>
      <c r="D1303" s="1">
        <f>IFERROR(__xludf.DUMMYFUNCTION("""COMPUTED_VALUE"""),62.89)</f>
        <v>62.89</v>
      </c>
      <c r="E1303" s="1">
        <f>IFERROR(__xludf.DUMMYFUNCTION("""COMPUTED_VALUE"""),63.0)</f>
        <v>63</v>
      </c>
      <c r="F1303" s="1">
        <f>IFERROR(__xludf.DUMMYFUNCTION("""COMPUTED_VALUE"""),2098793.0)</f>
        <v>2098793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IFERROR(__xludf.DUMMYFUNCTION("""COMPUTED_VALUE"""),62.84)</f>
        <v>62.84</v>
      </c>
      <c r="C1304" s="1">
        <f>IFERROR(__xludf.DUMMYFUNCTION("""COMPUTED_VALUE"""),63.45)</f>
        <v>63.45</v>
      </c>
      <c r="D1304" s="1">
        <f>IFERROR(__xludf.DUMMYFUNCTION("""COMPUTED_VALUE"""),62.46)</f>
        <v>62.46</v>
      </c>
      <c r="E1304" s="1">
        <f>IFERROR(__xludf.DUMMYFUNCTION("""COMPUTED_VALUE"""),63.2)</f>
        <v>63.2</v>
      </c>
      <c r="F1304" s="1">
        <f>IFERROR(__xludf.DUMMYFUNCTION("""COMPUTED_VALUE"""),1646239.0)</f>
        <v>1646239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IFERROR(__xludf.DUMMYFUNCTION("""COMPUTED_VALUE"""),62.72)</f>
        <v>62.72</v>
      </c>
      <c r="C1305" s="1">
        <f>IFERROR(__xludf.DUMMYFUNCTION("""COMPUTED_VALUE"""),63.0)</f>
        <v>63</v>
      </c>
      <c r="D1305" s="1">
        <f>IFERROR(__xludf.DUMMYFUNCTION("""COMPUTED_VALUE"""),62.15)</f>
        <v>62.15</v>
      </c>
      <c r="E1305" s="1">
        <f>IFERROR(__xludf.DUMMYFUNCTION("""COMPUTED_VALUE"""),62.15)</f>
        <v>62.15</v>
      </c>
      <c r="F1305" s="1">
        <f>IFERROR(__xludf.DUMMYFUNCTION("""COMPUTED_VALUE"""),1753801.0)</f>
        <v>1753801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IFERROR(__xludf.DUMMYFUNCTION("""COMPUTED_VALUE"""),62.23)</f>
        <v>62.23</v>
      </c>
      <c r="C1306" s="1">
        <f>IFERROR(__xludf.DUMMYFUNCTION("""COMPUTED_VALUE"""),62.45)</f>
        <v>62.45</v>
      </c>
      <c r="D1306" s="1">
        <f>IFERROR(__xludf.DUMMYFUNCTION("""COMPUTED_VALUE"""),61.98)</f>
        <v>61.98</v>
      </c>
      <c r="E1306" s="1">
        <f>IFERROR(__xludf.DUMMYFUNCTION("""COMPUTED_VALUE"""),62.0)</f>
        <v>62</v>
      </c>
      <c r="F1306" s="1">
        <f>IFERROR(__xludf.DUMMYFUNCTION("""COMPUTED_VALUE"""),1633685.0)</f>
        <v>1633685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IFERROR(__xludf.DUMMYFUNCTION("""COMPUTED_VALUE"""),62.3)</f>
        <v>62.3</v>
      </c>
      <c r="C1307" s="1">
        <f>IFERROR(__xludf.DUMMYFUNCTION("""COMPUTED_VALUE"""),62.95)</f>
        <v>62.95</v>
      </c>
      <c r="D1307" s="1">
        <f>IFERROR(__xludf.DUMMYFUNCTION("""COMPUTED_VALUE"""),62.15)</f>
        <v>62.15</v>
      </c>
      <c r="E1307" s="1">
        <f>IFERROR(__xludf.DUMMYFUNCTION("""COMPUTED_VALUE"""),62.45)</f>
        <v>62.45</v>
      </c>
      <c r="F1307" s="1">
        <f>IFERROR(__xludf.DUMMYFUNCTION("""COMPUTED_VALUE"""),2225547.0)</f>
        <v>2225547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IFERROR(__xludf.DUMMYFUNCTION("""COMPUTED_VALUE"""),62.67)</f>
        <v>62.67</v>
      </c>
      <c r="C1308" s="1">
        <f>IFERROR(__xludf.DUMMYFUNCTION("""COMPUTED_VALUE"""),63.42)</f>
        <v>63.42</v>
      </c>
      <c r="D1308" s="1">
        <f>IFERROR(__xludf.DUMMYFUNCTION("""COMPUTED_VALUE"""),62.31)</f>
        <v>62.31</v>
      </c>
      <c r="E1308" s="1">
        <f>IFERROR(__xludf.DUMMYFUNCTION("""COMPUTED_VALUE"""),63.32)</f>
        <v>63.32</v>
      </c>
      <c r="F1308" s="1">
        <f>IFERROR(__xludf.DUMMYFUNCTION("""COMPUTED_VALUE"""),1460891.0)</f>
        <v>1460891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IFERROR(__xludf.DUMMYFUNCTION("""COMPUTED_VALUE"""),63.73)</f>
        <v>63.73</v>
      </c>
      <c r="C1309" s="1">
        <f>IFERROR(__xludf.DUMMYFUNCTION("""COMPUTED_VALUE"""),64.4)</f>
        <v>64.4</v>
      </c>
      <c r="D1309" s="1">
        <f>IFERROR(__xludf.DUMMYFUNCTION("""COMPUTED_VALUE"""),63.73)</f>
        <v>63.73</v>
      </c>
      <c r="E1309" s="1">
        <f>IFERROR(__xludf.DUMMYFUNCTION("""COMPUTED_VALUE"""),64.18)</f>
        <v>64.18</v>
      </c>
      <c r="F1309" s="1">
        <f>IFERROR(__xludf.DUMMYFUNCTION("""COMPUTED_VALUE"""),1474687.0)</f>
        <v>1474687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IFERROR(__xludf.DUMMYFUNCTION("""COMPUTED_VALUE"""),63.96)</f>
        <v>63.96</v>
      </c>
      <c r="C1310" s="1">
        <f>IFERROR(__xludf.DUMMYFUNCTION("""COMPUTED_VALUE"""),64.86)</f>
        <v>64.86</v>
      </c>
      <c r="D1310" s="1">
        <f>IFERROR(__xludf.DUMMYFUNCTION("""COMPUTED_VALUE"""),63.85)</f>
        <v>63.85</v>
      </c>
      <c r="E1310" s="1">
        <f>IFERROR(__xludf.DUMMYFUNCTION("""COMPUTED_VALUE"""),64.72)</f>
        <v>64.72</v>
      </c>
      <c r="F1310" s="1">
        <f>IFERROR(__xludf.DUMMYFUNCTION("""COMPUTED_VALUE"""),1642928.0)</f>
        <v>1642928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IFERROR(__xludf.DUMMYFUNCTION("""COMPUTED_VALUE"""),64.69)</f>
        <v>64.69</v>
      </c>
      <c r="C1311" s="1">
        <f>IFERROR(__xludf.DUMMYFUNCTION("""COMPUTED_VALUE"""),66.0)</f>
        <v>66</v>
      </c>
      <c r="D1311" s="1">
        <f>IFERROR(__xludf.DUMMYFUNCTION("""COMPUTED_VALUE"""),64.16)</f>
        <v>64.16</v>
      </c>
      <c r="E1311" s="1">
        <f>IFERROR(__xludf.DUMMYFUNCTION("""COMPUTED_VALUE"""),65.48)</f>
        <v>65.48</v>
      </c>
      <c r="F1311" s="1">
        <f>IFERROR(__xludf.DUMMYFUNCTION("""COMPUTED_VALUE"""),1197315.0)</f>
        <v>1197315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IFERROR(__xludf.DUMMYFUNCTION("""COMPUTED_VALUE"""),65.21)</f>
        <v>65.21</v>
      </c>
      <c r="C1312" s="1">
        <f>IFERROR(__xludf.DUMMYFUNCTION("""COMPUTED_VALUE"""),65.83)</f>
        <v>65.83</v>
      </c>
      <c r="D1312" s="1">
        <f>IFERROR(__xludf.DUMMYFUNCTION("""COMPUTED_VALUE"""),65.16)</f>
        <v>65.16</v>
      </c>
      <c r="E1312" s="1">
        <f>IFERROR(__xludf.DUMMYFUNCTION("""COMPUTED_VALUE"""),65.64)</f>
        <v>65.64</v>
      </c>
      <c r="F1312" s="1">
        <f>IFERROR(__xludf.DUMMYFUNCTION("""COMPUTED_VALUE"""),976580.0)</f>
        <v>976580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IFERROR(__xludf.DUMMYFUNCTION("""COMPUTED_VALUE"""),66.14)</f>
        <v>66.14</v>
      </c>
      <c r="C1313" s="1">
        <f>IFERROR(__xludf.DUMMYFUNCTION("""COMPUTED_VALUE"""),66.69)</f>
        <v>66.69</v>
      </c>
      <c r="D1313" s="1">
        <f>IFERROR(__xludf.DUMMYFUNCTION("""COMPUTED_VALUE"""),65.52)</f>
        <v>65.52</v>
      </c>
      <c r="E1313" s="1">
        <f>IFERROR(__xludf.DUMMYFUNCTION("""COMPUTED_VALUE"""),66.55)</f>
        <v>66.55</v>
      </c>
      <c r="F1313" s="1">
        <f>IFERROR(__xludf.DUMMYFUNCTION("""COMPUTED_VALUE"""),2390721.0)</f>
        <v>2390721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IFERROR(__xludf.DUMMYFUNCTION("""COMPUTED_VALUE"""),66.5)</f>
        <v>66.5</v>
      </c>
      <c r="C1314" s="1">
        <f>IFERROR(__xludf.DUMMYFUNCTION("""COMPUTED_VALUE"""),66.98)</f>
        <v>66.98</v>
      </c>
      <c r="D1314" s="1">
        <f>IFERROR(__xludf.DUMMYFUNCTION("""COMPUTED_VALUE"""),66.24)</f>
        <v>66.24</v>
      </c>
      <c r="E1314" s="1">
        <f>IFERROR(__xludf.DUMMYFUNCTION("""COMPUTED_VALUE"""),66.45)</f>
        <v>66.45</v>
      </c>
      <c r="F1314" s="1">
        <f>IFERROR(__xludf.DUMMYFUNCTION("""COMPUTED_VALUE"""),1034432.0)</f>
        <v>1034432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IFERROR(__xludf.DUMMYFUNCTION("""COMPUTED_VALUE"""),66.4)</f>
        <v>66.4</v>
      </c>
      <c r="C1315" s="1">
        <f>IFERROR(__xludf.DUMMYFUNCTION("""COMPUTED_VALUE"""),67.84)</f>
        <v>67.84</v>
      </c>
      <c r="D1315" s="1">
        <f>IFERROR(__xludf.DUMMYFUNCTION("""COMPUTED_VALUE"""),66.23)</f>
        <v>66.23</v>
      </c>
      <c r="E1315" s="1">
        <f>IFERROR(__xludf.DUMMYFUNCTION("""COMPUTED_VALUE"""),67.3)</f>
        <v>67.3</v>
      </c>
      <c r="F1315" s="1">
        <f>IFERROR(__xludf.DUMMYFUNCTION("""COMPUTED_VALUE"""),1623359.0)</f>
        <v>1623359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IFERROR(__xludf.DUMMYFUNCTION("""COMPUTED_VALUE"""),67.23)</f>
        <v>67.23</v>
      </c>
      <c r="C1316" s="1">
        <f>IFERROR(__xludf.DUMMYFUNCTION("""COMPUTED_VALUE"""),67.45)</f>
        <v>67.45</v>
      </c>
      <c r="D1316" s="1">
        <f>IFERROR(__xludf.DUMMYFUNCTION("""COMPUTED_VALUE"""),66.18)</f>
        <v>66.18</v>
      </c>
      <c r="E1316" s="1">
        <f>IFERROR(__xludf.DUMMYFUNCTION("""COMPUTED_VALUE"""),66.35)</f>
        <v>66.35</v>
      </c>
      <c r="F1316" s="1">
        <f>IFERROR(__xludf.DUMMYFUNCTION("""COMPUTED_VALUE"""),2103637.0)</f>
        <v>2103637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IFERROR(__xludf.DUMMYFUNCTION("""COMPUTED_VALUE"""),65.87)</f>
        <v>65.87</v>
      </c>
      <c r="C1317" s="1">
        <f>IFERROR(__xludf.DUMMYFUNCTION("""COMPUTED_VALUE"""),66.19)</f>
        <v>66.19</v>
      </c>
      <c r="D1317" s="1">
        <f>IFERROR(__xludf.DUMMYFUNCTION("""COMPUTED_VALUE"""),65.26)</f>
        <v>65.26</v>
      </c>
      <c r="E1317" s="1">
        <f>IFERROR(__xludf.DUMMYFUNCTION("""COMPUTED_VALUE"""),65.8)</f>
        <v>65.8</v>
      </c>
      <c r="F1317" s="1">
        <f>IFERROR(__xludf.DUMMYFUNCTION("""COMPUTED_VALUE"""),1862781.0)</f>
        <v>1862781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IFERROR(__xludf.DUMMYFUNCTION("""COMPUTED_VALUE"""),65.74)</f>
        <v>65.74</v>
      </c>
      <c r="C1318" s="1">
        <f>IFERROR(__xludf.DUMMYFUNCTION("""COMPUTED_VALUE"""),66.81)</f>
        <v>66.81</v>
      </c>
      <c r="D1318" s="1">
        <f>IFERROR(__xludf.DUMMYFUNCTION("""COMPUTED_VALUE"""),65.66)</f>
        <v>65.66</v>
      </c>
      <c r="E1318" s="1">
        <f>IFERROR(__xludf.DUMMYFUNCTION("""COMPUTED_VALUE"""),66.69)</f>
        <v>66.69</v>
      </c>
      <c r="F1318" s="1">
        <f>IFERROR(__xludf.DUMMYFUNCTION("""COMPUTED_VALUE"""),1824395.0)</f>
        <v>1824395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IFERROR(__xludf.DUMMYFUNCTION("""COMPUTED_VALUE"""),67.54)</f>
        <v>67.54</v>
      </c>
      <c r="C1319" s="1">
        <f>IFERROR(__xludf.DUMMYFUNCTION("""COMPUTED_VALUE"""),69.29)</f>
        <v>69.29</v>
      </c>
      <c r="D1319" s="1">
        <f>IFERROR(__xludf.DUMMYFUNCTION("""COMPUTED_VALUE"""),66.97)</f>
        <v>66.97</v>
      </c>
      <c r="E1319" s="1">
        <f>IFERROR(__xludf.DUMMYFUNCTION("""COMPUTED_VALUE"""),69.22)</f>
        <v>69.22</v>
      </c>
      <c r="F1319" s="1">
        <f>IFERROR(__xludf.DUMMYFUNCTION("""COMPUTED_VALUE"""),1894570.0)</f>
        <v>1894570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IFERROR(__xludf.DUMMYFUNCTION("""COMPUTED_VALUE"""),69.19)</f>
        <v>69.19</v>
      </c>
      <c r="C1320" s="1">
        <f>IFERROR(__xludf.DUMMYFUNCTION("""COMPUTED_VALUE"""),69.6)</f>
        <v>69.6</v>
      </c>
      <c r="D1320" s="1">
        <f>IFERROR(__xludf.DUMMYFUNCTION("""COMPUTED_VALUE"""),68.75)</f>
        <v>68.75</v>
      </c>
      <c r="E1320" s="1">
        <f>IFERROR(__xludf.DUMMYFUNCTION("""COMPUTED_VALUE"""),69.01)</f>
        <v>69.01</v>
      </c>
      <c r="F1320" s="1">
        <f>IFERROR(__xludf.DUMMYFUNCTION("""COMPUTED_VALUE"""),3272650.0)</f>
        <v>3272650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IFERROR(__xludf.DUMMYFUNCTION("""COMPUTED_VALUE"""),69.01)</f>
        <v>69.01</v>
      </c>
      <c r="C1321" s="1">
        <f>IFERROR(__xludf.DUMMYFUNCTION("""COMPUTED_VALUE"""),69.21)</f>
        <v>69.21</v>
      </c>
      <c r="D1321" s="1">
        <f>IFERROR(__xludf.DUMMYFUNCTION("""COMPUTED_VALUE"""),67.67)</f>
        <v>67.67</v>
      </c>
      <c r="E1321" s="1">
        <f>IFERROR(__xludf.DUMMYFUNCTION("""COMPUTED_VALUE"""),68.39)</f>
        <v>68.39</v>
      </c>
      <c r="F1321" s="1">
        <f>IFERROR(__xludf.DUMMYFUNCTION("""COMPUTED_VALUE"""),2711611.0)</f>
        <v>2711611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IFERROR(__xludf.DUMMYFUNCTION("""COMPUTED_VALUE"""),71.98)</f>
        <v>71.98</v>
      </c>
      <c r="C1322" s="1">
        <f>IFERROR(__xludf.DUMMYFUNCTION("""COMPUTED_VALUE"""),75.4)</f>
        <v>75.4</v>
      </c>
      <c r="D1322" s="1">
        <f>IFERROR(__xludf.DUMMYFUNCTION("""COMPUTED_VALUE"""),71.97)</f>
        <v>71.97</v>
      </c>
      <c r="E1322" s="1">
        <f>IFERROR(__xludf.DUMMYFUNCTION("""COMPUTED_VALUE"""),74.73)</f>
        <v>74.73</v>
      </c>
      <c r="F1322" s="1">
        <f>IFERROR(__xludf.DUMMYFUNCTION("""COMPUTED_VALUE"""),9037097.0)</f>
        <v>9037097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IFERROR(__xludf.DUMMYFUNCTION("""COMPUTED_VALUE"""),74.16)</f>
        <v>74.16</v>
      </c>
      <c r="C1323" s="1">
        <f>IFERROR(__xludf.DUMMYFUNCTION("""COMPUTED_VALUE"""),75.22)</f>
        <v>75.22</v>
      </c>
      <c r="D1323" s="1">
        <f>IFERROR(__xludf.DUMMYFUNCTION("""COMPUTED_VALUE"""),73.77)</f>
        <v>73.77</v>
      </c>
      <c r="E1323" s="1">
        <f>IFERROR(__xludf.DUMMYFUNCTION("""COMPUTED_VALUE"""),73.95)</f>
        <v>73.95</v>
      </c>
      <c r="F1323" s="1">
        <f>IFERROR(__xludf.DUMMYFUNCTION("""COMPUTED_VALUE"""),3103064.0)</f>
        <v>3103064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IFERROR(__xludf.DUMMYFUNCTION("""COMPUTED_VALUE"""),73.95)</f>
        <v>73.95</v>
      </c>
      <c r="C1324" s="1">
        <f>IFERROR(__xludf.DUMMYFUNCTION("""COMPUTED_VALUE"""),74.25)</f>
        <v>74.25</v>
      </c>
      <c r="D1324" s="1">
        <f>IFERROR(__xludf.DUMMYFUNCTION("""COMPUTED_VALUE"""),73.28)</f>
        <v>73.28</v>
      </c>
      <c r="E1324" s="1">
        <f>IFERROR(__xludf.DUMMYFUNCTION("""COMPUTED_VALUE"""),73.42)</f>
        <v>73.42</v>
      </c>
      <c r="F1324" s="1">
        <f>IFERROR(__xludf.DUMMYFUNCTION("""COMPUTED_VALUE"""),2881281.0)</f>
        <v>2881281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IFERROR(__xludf.DUMMYFUNCTION("""COMPUTED_VALUE"""),73.62)</f>
        <v>73.62</v>
      </c>
      <c r="C1325" s="1">
        <f>IFERROR(__xludf.DUMMYFUNCTION("""COMPUTED_VALUE"""),74.07)</f>
        <v>74.07</v>
      </c>
      <c r="D1325" s="1">
        <f>IFERROR(__xludf.DUMMYFUNCTION("""COMPUTED_VALUE"""),73.36)</f>
        <v>73.36</v>
      </c>
      <c r="E1325" s="1">
        <f>IFERROR(__xludf.DUMMYFUNCTION("""COMPUTED_VALUE"""),74.07)</f>
        <v>74.07</v>
      </c>
      <c r="F1325" s="1">
        <f>IFERROR(__xludf.DUMMYFUNCTION("""COMPUTED_VALUE"""),2574609.0)</f>
        <v>2574609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IFERROR(__xludf.DUMMYFUNCTION("""COMPUTED_VALUE"""),74.0)</f>
        <v>74</v>
      </c>
      <c r="C1326" s="1">
        <f>IFERROR(__xludf.DUMMYFUNCTION("""COMPUTED_VALUE"""),74.55)</f>
        <v>74.55</v>
      </c>
      <c r="D1326" s="1">
        <f>IFERROR(__xludf.DUMMYFUNCTION("""COMPUTED_VALUE"""),73.4)</f>
        <v>73.4</v>
      </c>
      <c r="E1326" s="1">
        <f>IFERROR(__xludf.DUMMYFUNCTION("""COMPUTED_VALUE"""),74.11)</f>
        <v>74.11</v>
      </c>
      <c r="F1326" s="1">
        <f>IFERROR(__xludf.DUMMYFUNCTION("""COMPUTED_VALUE"""),1486608.0)</f>
        <v>1486608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IFERROR(__xludf.DUMMYFUNCTION("""COMPUTED_VALUE"""),74.01)</f>
        <v>74.01</v>
      </c>
      <c r="C1327" s="1">
        <f>IFERROR(__xludf.DUMMYFUNCTION("""COMPUTED_VALUE"""),74.14)</f>
        <v>74.14</v>
      </c>
      <c r="D1327" s="1">
        <f>IFERROR(__xludf.DUMMYFUNCTION("""COMPUTED_VALUE"""),73.11)</f>
        <v>73.11</v>
      </c>
      <c r="E1327" s="1">
        <f>IFERROR(__xludf.DUMMYFUNCTION("""COMPUTED_VALUE"""),73.19)</f>
        <v>73.19</v>
      </c>
      <c r="F1327" s="1">
        <f>IFERROR(__xludf.DUMMYFUNCTION("""COMPUTED_VALUE"""),1175008.0)</f>
        <v>1175008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IFERROR(__xludf.DUMMYFUNCTION("""COMPUTED_VALUE"""),73.34)</f>
        <v>73.34</v>
      </c>
      <c r="C1328" s="1">
        <f>IFERROR(__xludf.DUMMYFUNCTION("""COMPUTED_VALUE"""),73.74)</f>
        <v>73.74</v>
      </c>
      <c r="D1328" s="1">
        <f>IFERROR(__xludf.DUMMYFUNCTION("""COMPUTED_VALUE"""),72.91)</f>
        <v>72.91</v>
      </c>
      <c r="E1328" s="1">
        <f>IFERROR(__xludf.DUMMYFUNCTION("""COMPUTED_VALUE"""),73.01)</f>
        <v>73.01</v>
      </c>
      <c r="F1328" s="1">
        <f>IFERROR(__xludf.DUMMYFUNCTION("""COMPUTED_VALUE"""),1241775.0)</f>
        <v>1241775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IFERROR(__xludf.DUMMYFUNCTION("""COMPUTED_VALUE"""),72.82)</f>
        <v>72.82</v>
      </c>
      <c r="C1329" s="1">
        <f>IFERROR(__xludf.DUMMYFUNCTION("""COMPUTED_VALUE"""),73.09)</f>
        <v>73.09</v>
      </c>
      <c r="D1329" s="1">
        <f>IFERROR(__xludf.DUMMYFUNCTION("""COMPUTED_VALUE"""),71.86)</f>
        <v>71.86</v>
      </c>
      <c r="E1329" s="1">
        <f>IFERROR(__xludf.DUMMYFUNCTION("""COMPUTED_VALUE"""),72.46)</f>
        <v>72.46</v>
      </c>
      <c r="F1329" s="1">
        <f>IFERROR(__xludf.DUMMYFUNCTION("""COMPUTED_VALUE"""),887131.0)</f>
        <v>887131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IFERROR(__xludf.DUMMYFUNCTION("""COMPUTED_VALUE"""),72.57)</f>
        <v>72.57</v>
      </c>
      <c r="C1330" s="1">
        <f>IFERROR(__xludf.DUMMYFUNCTION("""COMPUTED_VALUE"""),72.92)</f>
        <v>72.92</v>
      </c>
      <c r="D1330" s="1">
        <f>IFERROR(__xludf.DUMMYFUNCTION("""COMPUTED_VALUE"""),72.38)</f>
        <v>72.38</v>
      </c>
      <c r="E1330" s="1">
        <f>IFERROR(__xludf.DUMMYFUNCTION("""COMPUTED_VALUE"""),72.4)</f>
        <v>72.4</v>
      </c>
      <c r="F1330" s="1">
        <f>IFERROR(__xludf.DUMMYFUNCTION("""COMPUTED_VALUE"""),1016452.0)</f>
        <v>1016452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IFERROR(__xludf.DUMMYFUNCTION("""COMPUTED_VALUE"""),72.42)</f>
        <v>72.42</v>
      </c>
      <c r="C1331" s="1">
        <f>IFERROR(__xludf.DUMMYFUNCTION("""COMPUTED_VALUE"""),72.45)</f>
        <v>72.45</v>
      </c>
      <c r="D1331" s="1">
        <f>IFERROR(__xludf.DUMMYFUNCTION("""COMPUTED_VALUE"""),71.57)</f>
        <v>71.57</v>
      </c>
      <c r="E1331" s="1">
        <f>IFERROR(__xludf.DUMMYFUNCTION("""COMPUTED_VALUE"""),71.68)</f>
        <v>71.68</v>
      </c>
      <c r="F1331" s="1">
        <f>IFERROR(__xludf.DUMMYFUNCTION("""COMPUTED_VALUE"""),926642.0)</f>
        <v>926642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IFERROR(__xludf.DUMMYFUNCTION("""COMPUTED_VALUE"""),71.22)</f>
        <v>71.22</v>
      </c>
      <c r="C1332" s="1">
        <f>IFERROR(__xludf.DUMMYFUNCTION("""COMPUTED_VALUE"""),71.39)</f>
        <v>71.39</v>
      </c>
      <c r="D1332" s="1">
        <f>IFERROR(__xludf.DUMMYFUNCTION("""COMPUTED_VALUE"""),70.13)</f>
        <v>70.13</v>
      </c>
      <c r="E1332" s="1">
        <f>IFERROR(__xludf.DUMMYFUNCTION("""COMPUTED_VALUE"""),70.61)</f>
        <v>70.61</v>
      </c>
      <c r="F1332" s="1">
        <f>IFERROR(__xludf.DUMMYFUNCTION("""COMPUTED_VALUE"""),1418022.0)</f>
        <v>1418022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IFERROR(__xludf.DUMMYFUNCTION("""COMPUTED_VALUE"""),70.97)</f>
        <v>70.97</v>
      </c>
      <c r="C1333" s="1">
        <f>IFERROR(__xludf.DUMMYFUNCTION("""COMPUTED_VALUE"""),71.25)</f>
        <v>71.25</v>
      </c>
      <c r="D1333" s="1">
        <f>IFERROR(__xludf.DUMMYFUNCTION("""COMPUTED_VALUE"""),70.77)</f>
        <v>70.77</v>
      </c>
      <c r="E1333" s="1">
        <f>IFERROR(__xludf.DUMMYFUNCTION("""COMPUTED_VALUE"""),70.97)</f>
        <v>70.97</v>
      </c>
      <c r="F1333" s="1">
        <f>IFERROR(__xludf.DUMMYFUNCTION("""COMPUTED_VALUE"""),1264952.0)</f>
        <v>1264952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IFERROR(__xludf.DUMMYFUNCTION("""COMPUTED_VALUE"""),71.33)</f>
        <v>71.33</v>
      </c>
      <c r="C1334" s="1">
        <f>IFERROR(__xludf.DUMMYFUNCTION("""COMPUTED_VALUE"""),71.91)</f>
        <v>71.91</v>
      </c>
      <c r="D1334" s="1">
        <f>IFERROR(__xludf.DUMMYFUNCTION("""COMPUTED_VALUE"""),70.75)</f>
        <v>70.75</v>
      </c>
      <c r="E1334" s="1">
        <f>IFERROR(__xludf.DUMMYFUNCTION("""COMPUTED_VALUE"""),70.88)</f>
        <v>70.88</v>
      </c>
      <c r="F1334" s="1">
        <f>IFERROR(__xludf.DUMMYFUNCTION("""COMPUTED_VALUE"""),1175783.0)</f>
        <v>1175783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IFERROR(__xludf.DUMMYFUNCTION("""COMPUTED_VALUE"""),71.2)</f>
        <v>71.2</v>
      </c>
      <c r="C1335" s="1">
        <f>IFERROR(__xludf.DUMMYFUNCTION("""COMPUTED_VALUE"""),71.52)</f>
        <v>71.52</v>
      </c>
      <c r="D1335" s="1">
        <f>IFERROR(__xludf.DUMMYFUNCTION("""COMPUTED_VALUE"""),70.46)</f>
        <v>70.46</v>
      </c>
      <c r="E1335" s="1">
        <f>IFERROR(__xludf.DUMMYFUNCTION("""COMPUTED_VALUE"""),70.84)</f>
        <v>70.84</v>
      </c>
      <c r="F1335" s="1">
        <f>IFERROR(__xludf.DUMMYFUNCTION("""COMPUTED_VALUE"""),1366810.0)</f>
        <v>1366810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IFERROR(__xludf.DUMMYFUNCTION("""COMPUTED_VALUE"""),70.78)</f>
        <v>70.78</v>
      </c>
      <c r="C1336" s="1">
        <f>IFERROR(__xludf.DUMMYFUNCTION("""COMPUTED_VALUE"""),71.05)</f>
        <v>71.05</v>
      </c>
      <c r="D1336" s="1">
        <f>IFERROR(__xludf.DUMMYFUNCTION("""COMPUTED_VALUE"""),70.3)</f>
        <v>70.3</v>
      </c>
      <c r="E1336" s="1">
        <f>IFERROR(__xludf.DUMMYFUNCTION("""COMPUTED_VALUE"""),70.72)</f>
        <v>70.72</v>
      </c>
      <c r="F1336" s="1">
        <f>IFERROR(__xludf.DUMMYFUNCTION("""COMPUTED_VALUE"""),1024513.0)</f>
        <v>1024513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IFERROR(__xludf.DUMMYFUNCTION("""COMPUTED_VALUE"""),70.83)</f>
        <v>70.83</v>
      </c>
      <c r="C1337" s="1">
        <f>IFERROR(__xludf.DUMMYFUNCTION("""COMPUTED_VALUE"""),70.83)</f>
        <v>70.83</v>
      </c>
      <c r="D1337" s="1">
        <f>IFERROR(__xludf.DUMMYFUNCTION("""COMPUTED_VALUE"""),69.81)</f>
        <v>69.81</v>
      </c>
      <c r="E1337" s="1">
        <f>IFERROR(__xludf.DUMMYFUNCTION("""COMPUTED_VALUE"""),69.97)</f>
        <v>69.97</v>
      </c>
      <c r="F1337" s="1">
        <f>IFERROR(__xludf.DUMMYFUNCTION("""COMPUTED_VALUE"""),845487.0)</f>
        <v>845487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IFERROR(__xludf.DUMMYFUNCTION("""COMPUTED_VALUE"""),70.0)</f>
        <v>70</v>
      </c>
      <c r="C1338" s="1">
        <f>IFERROR(__xludf.DUMMYFUNCTION("""COMPUTED_VALUE"""),70.22)</f>
        <v>70.22</v>
      </c>
      <c r="D1338" s="1">
        <f>IFERROR(__xludf.DUMMYFUNCTION("""COMPUTED_VALUE"""),68.74)</f>
        <v>68.74</v>
      </c>
      <c r="E1338" s="1">
        <f>IFERROR(__xludf.DUMMYFUNCTION("""COMPUTED_VALUE"""),68.81)</f>
        <v>68.81</v>
      </c>
      <c r="F1338" s="1">
        <f>IFERROR(__xludf.DUMMYFUNCTION("""COMPUTED_VALUE"""),941495.0)</f>
        <v>941495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IFERROR(__xludf.DUMMYFUNCTION("""COMPUTED_VALUE"""),68.96)</f>
        <v>68.96</v>
      </c>
      <c r="C1339" s="1">
        <f>IFERROR(__xludf.DUMMYFUNCTION("""COMPUTED_VALUE"""),69.61)</f>
        <v>69.61</v>
      </c>
      <c r="D1339" s="1">
        <f>IFERROR(__xludf.DUMMYFUNCTION("""COMPUTED_VALUE"""),68.35)</f>
        <v>68.35</v>
      </c>
      <c r="E1339" s="1">
        <f>IFERROR(__xludf.DUMMYFUNCTION("""COMPUTED_VALUE"""),69.39)</f>
        <v>69.39</v>
      </c>
      <c r="F1339" s="1">
        <f>IFERROR(__xludf.DUMMYFUNCTION("""COMPUTED_VALUE"""),1221841.0)</f>
        <v>1221841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IFERROR(__xludf.DUMMYFUNCTION("""COMPUTED_VALUE"""),69.21)</f>
        <v>69.21</v>
      </c>
      <c r="C1340" s="1">
        <f>IFERROR(__xludf.DUMMYFUNCTION("""COMPUTED_VALUE"""),69.28)</f>
        <v>69.28</v>
      </c>
      <c r="D1340" s="1">
        <f>IFERROR(__xludf.DUMMYFUNCTION("""COMPUTED_VALUE"""),68.37)</f>
        <v>68.37</v>
      </c>
      <c r="E1340" s="1">
        <f>IFERROR(__xludf.DUMMYFUNCTION("""COMPUTED_VALUE"""),68.76)</f>
        <v>68.76</v>
      </c>
      <c r="F1340" s="1">
        <f>IFERROR(__xludf.DUMMYFUNCTION("""COMPUTED_VALUE"""),947488.0)</f>
        <v>947488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IFERROR(__xludf.DUMMYFUNCTION("""COMPUTED_VALUE"""),68.44)</f>
        <v>68.44</v>
      </c>
      <c r="C1341" s="1">
        <f>IFERROR(__xludf.DUMMYFUNCTION("""COMPUTED_VALUE"""),68.83)</f>
        <v>68.83</v>
      </c>
      <c r="D1341" s="1">
        <f>IFERROR(__xludf.DUMMYFUNCTION("""COMPUTED_VALUE"""),67.69)</f>
        <v>67.69</v>
      </c>
      <c r="E1341" s="1">
        <f>IFERROR(__xludf.DUMMYFUNCTION("""COMPUTED_VALUE"""),68.11)</f>
        <v>68.11</v>
      </c>
      <c r="F1341" s="1">
        <f>IFERROR(__xludf.DUMMYFUNCTION("""COMPUTED_VALUE"""),1416418.0)</f>
        <v>1416418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IFERROR(__xludf.DUMMYFUNCTION("""COMPUTED_VALUE"""),68.25)</f>
        <v>68.25</v>
      </c>
      <c r="C1342" s="1">
        <f>IFERROR(__xludf.DUMMYFUNCTION("""COMPUTED_VALUE"""),69.82)</f>
        <v>69.82</v>
      </c>
      <c r="D1342" s="1">
        <f>IFERROR(__xludf.DUMMYFUNCTION("""COMPUTED_VALUE"""),68.17)</f>
        <v>68.17</v>
      </c>
      <c r="E1342" s="1">
        <f>IFERROR(__xludf.DUMMYFUNCTION("""COMPUTED_VALUE"""),69.81)</f>
        <v>69.81</v>
      </c>
      <c r="F1342" s="1">
        <f>IFERROR(__xludf.DUMMYFUNCTION("""COMPUTED_VALUE"""),1295919.0)</f>
        <v>1295919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IFERROR(__xludf.DUMMYFUNCTION("""COMPUTED_VALUE"""),70.05)</f>
        <v>70.05</v>
      </c>
      <c r="C1343" s="1">
        <f>IFERROR(__xludf.DUMMYFUNCTION("""COMPUTED_VALUE"""),71.36)</f>
        <v>71.36</v>
      </c>
      <c r="D1343" s="1">
        <f>IFERROR(__xludf.DUMMYFUNCTION("""COMPUTED_VALUE"""),69.93)</f>
        <v>69.93</v>
      </c>
      <c r="E1343" s="1">
        <f>IFERROR(__xludf.DUMMYFUNCTION("""COMPUTED_VALUE"""),71.33)</f>
        <v>71.33</v>
      </c>
      <c r="F1343" s="1">
        <f>IFERROR(__xludf.DUMMYFUNCTION("""COMPUTED_VALUE"""),1610838.0)</f>
        <v>1610838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IFERROR(__xludf.DUMMYFUNCTION("""COMPUTED_VALUE"""),71.11)</f>
        <v>71.11</v>
      </c>
      <c r="C1344" s="1">
        <f>IFERROR(__xludf.DUMMYFUNCTION("""COMPUTED_VALUE"""),71.84)</f>
        <v>71.84</v>
      </c>
      <c r="D1344" s="1">
        <f>IFERROR(__xludf.DUMMYFUNCTION("""COMPUTED_VALUE"""),70.21)</f>
        <v>70.21</v>
      </c>
      <c r="E1344" s="1">
        <f>IFERROR(__xludf.DUMMYFUNCTION("""COMPUTED_VALUE"""),70.3)</f>
        <v>70.3</v>
      </c>
      <c r="F1344" s="1">
        <f>IFERROR(__xludf.DUMMYFUNCTION("""COMPUTED_VALUE"""),1637321.0)</f>
        <v>1637321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IFERROR(__xludf.DUMMYFUNCTION("""COMPUTED_VALUE"""),70.35)</f>
        <v>70.35</v>
      </c>
      <c r="C1345" s="1">
        <f>IFERROR(__xludf.DUMMYFUNCTION("""COMPUTED_VALUE"""),70.71)</f>
        <v>70.71</v>
      </c>
      <c r="D1345" s="1">
        <f>IFERROR(__xludf.DUMMYFUNCTION("""COMPUTED_VALUE"""),69.4)</f>
        <v>69.4</v>
      </c>
      <c r="E1345" s="1">
        <f>IFERROR(__xludf.DUMMYFUNCTION("""COMPUTED_VALUE"""),69.97)</f>
        <v>69.97</v>
      </c>
      <c r="F1345" s="1">
        <f>IFERROR(__xludf.DUMMYFUNCTION("""COMPUTED_VALUE"""),1337090.0)</f>
        <v>1337090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IFERROR(__xludf.DUMMYFUNCTION("""COMPUTED_VALUE"""),69.93)</f>
        <v>69.93</v>
      </c>
      <c r="C1346" s="1">
        <f>IFERROR(__xludf.DUMMYFUNCTION("""COMPUTED_VALUE"""),71.03)</f>
        <v>71.03</v>
      </c>
      <c r="D1346" s="1">
        <f>IFERROR(__xludf.DUMMYFUNCTION("""COMPUTED_VALUE"""),69.78)</f>
        <v>69.78</v>
      </c>
      <c r="E1346" s="1">
        <f>IFERROR(__xludf.DUMMYFUNCTION("""COMPUTED_VALUE"""),70.84)</f>
        <v>70.84</v>
      </c>
      <c r="F1346" s="1">
        <f>IFERROR(__xludf.DUMMYFUNCTION("""COMPUTED_VALUE"""),1240268.0)</f>
        <v>1240268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IFERROR(__xludf.DUMMYFUNCTION("""COMPUTED_VALUE"""),71.56)</f>
        <v>71.56</v>
      </c>
      <c r="C1347" s="1">
        <f>IFERROR(__xludf.DUMMYFUNCTION("""COMPUTED_VALUE"""),72.14)</f>
        <v>72.14</v>
      </c>
      <c r="D1347" s="1">
        <f>IFERROR(__xludf.DUMMYFUNCTION("""COMPUTED_VALUE"""),71.46)</f>
        <v>71.46</v>
      </c>
      <c r="E1347" s="1">
        <f>IFERROR(__xludf.DUMMYFUNCTION("""COMPUTED_VALUE"""),71.53)</f>
        <v>71.53</v>
      </c>
      <c r="F1347" s="1">
        <f>IFERROR(__xludf.DUMMYFUNCTION("""COMPUTED_VALUE"""),1105094.0)</f>
        <v>1105094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IFERROR(__xludf.DUMMYFUNCTION("""COMPUTED_VALUE"""),71.35)</f>
        <v>71.35</v>
      </c>
      <c r="C1348" s="1">
        <f>IFERROR(__xludf.DUMMYFUNCTION("""COMPUTED_VALUE"""),72.25)</f>
        <v>72.25</v>
      </c>
      <c r="D1348" s="1">
        <f>IFERROR(__xludf.DUMMYFUNCTION("""COMPUTED_VALUE"""),71.26)</f>
        <v>71.26</v>
      </c>
      <c r="E1348" s="1">
        <f>IFERROR(__xludf.DUMMYFUNCTION("""COMPUTED_VALUE"""),71.35)</f>
        <v>71.35</v>
      </c>
      <c r="F1348" s="1">
        <f>IFERROR(__xludf.DUMMYFUNCTION("""COMPUTED_VALUE"""),1350884.0)</f>
        <v>1350884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IFERROR(__xludf.DUMMYFUNCTION("""COMPUTED_VALUE"""),70.96)</f>
        <v>70.96</v>
      </c>
      <c r="C1349" s="1">
        <f>IFERROR(__xludf.DUMMYFUNCTION("""COMPUTED_VALUE"""),71.65)</f>
        <v>71.65</v>
      </c>
      <c r="D1349" s="1">
        <f>IFERROR(__xludf.DUMMYFUNCTION("""COMPUTED_VALUE"""),70.73)</f>
        <v>70.73</v>
      </c>
      <c r="E1349" s="1">
        <f>IFERROR(__xludf.DUMMYFUNCTION("""COMPUTED_VALUE"""),71.27)</f>
        <v>71.27</v>
      </c>
      <c r="F1349" s="1">
        <f>IFERROR(__xludf.DUMMYFUNCTION("""COMPUTED_VALUE"""),834889.0)</f>
        <v>834889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IFERROR(__xludf.DUMMYFUNCTION("""COMPUTED_VALUE"""),71.82)</f>
        <v>71.82</v>
      </c>
      <c r="C1350" s="1">
        <f>IFERROR(__xludf.DUMMYFUNCTION("""COMPUTED_VALUE"""),71.87)</f>
        <v>71.87</v>
      </c>
      <c r="D1350" s="1">
        <f>IFERROR(__xludf.DUMMYFUNCTION("""COMPUTED_VALUE"""),70.84)</f>
        <v>70.84</v>
      </c>
      <c r="E1350" s="1">
        <f>IFERROR(__xludf.DUMMYFUNCTION("""COMPUTED_VALUE"""),71.11)</f>
        <v>71.11</v>
      </c>
      <c r="F1350" s="1">
        <f>IFERROR(__xludf.DUMMYFUNCTION("""COMPUTED_VALUE"""),960884.0)</f>
        <v>960884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IFERROR(__xludf.DUMMYFUNCTION("""COMPUTED_VALUE"""),71.91)</f>
        <v>71.91</v>
      </c>
      <c r="C1351" s="1">
        <f>IFERROR(__xludf.DUMMYFUNCTION("""COMPUTED_VALUE"""),72.05)</f>
        <v>72.05</v>
      </c>
      <c r="D1351" s="1">
        <f>IFERROR(__xludf.DUMMYFUNCTION("""COMPUTED_VALUE"""),71.28)</f>
        <v>71.28</v>
      </c>
      <c r="E1351" s="1">
        <f>IFERROR(__xludf.DUMMYFUNCTION("""COMPUTED_VALUE"""),71.72)</f>
        <v>71.72</v>
      </c>
      <c r="F1351" s="1">
        <f>IFERROR(__xludf.DUMMYFUNCTION("""COMPUTED_VALUE"""),1597930.0)</f>
        <v>1597930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IFERROR(__xludf.DUMMYFUNCTION("""COMPUTED_VALUE"""),71.91)</f>
        <v>71.91</v>
      </c>
      <c r="C1352" s="1">
        <f>IFERROR(__xludf.DUMMYFUNCTION("""COMPUTED_VALUE"""),72.45)</f>
        <v>72.45</v>
      </c>
      <c r="D1352" s="1">
        <f>IFERROR(__xludf.DUMMYFUNCTION("""COMPUTED_VALUE"""),71.74)</f>
        <v>71.74</v>
      </c>
      <c r="E1352" s="1">
        <f>IFERROR(__xludf.DUMMYFUNCTION("""COMPUTED_VALUE"""),72.26)</f>
        <v>72.26</v>
      </c>
      <c r="F1352" s="1">
        <f>IFERROR(__xludf.DUMMYFUNCTION("""COMPUTED_VALUE"""),1741154.0)</f>
        <v>1741154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IFERROR(__xludf.DUMMYFUNCTION("""COMPUTED_VALUE"""),72.45)</f>
        <v>72.45</v>
      </c>
      <c r="C1353" s="1">
        <f>IFERROR(__xludf.DUMMYFUNCTION("""COMPUTED_VALUE"""),73.2)</f>
        <v>73.2</v>
      </c>
      <c r="D1353" s="1">
        <f>IFERROR(__xludf.DUMMYFUNCTION("""COMPUTED_VALUE"""),72.32)</f>
        <v>72.32</v>
      </c>
      <c r="E1353" s="1">
        <f>IFERROR(__xludf.DUMMYFUNCTION("""COMPUTED_VALUE"""),73.0)</f>
        <v>73</v>
      </c>
      <c r="F1353" s="1">
        <f>IFERROR(__xludf.DUMMYFUNCTION("""COMPUTED_VALUE"""),1520231.0)</f>
        <v>1520231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IFERROR(__xludf.DUMMYFUNCTION("""COMPUTED_VALUE"""),72.94)</f>
        <v>72.94</v>
      </c>
      <c r="C1354" s="1">
        <f>IFERROR(__xludf.DUMMYFUNCTION("""COMPUTED_VALUE"""),73.05)</f>
        <v>73.05</v>
      </c>
      <c r="D1354" s="1">
        <f>IFERROR(__xludf.DUMMYFUNCTION("""COMPUTED_VALUE"""),72.12)</f>
        <v>72.12</v>
      </c>
      <c r="E1354" s="1">
        <f>IFERROR(__xludf.DUMMYFUNCTION("""COMPUTED_VALUE"""),72.26)</f>
        <v>72.26</v>
      </c>
      <c r="F1354" s="1">
        <f>IFERROR(__xludf.DUMMYFUNCTION("""COMPUTED_VALUE"""),1036617.0)</f>
        <v>1036617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IFERROR(__xludf.DUMMYFUNCTION("""COMPUTED_VALUE"""),72.38)</f>
        <v>72.38</v>
      </c>
      <c r="C1355" s="1">
        <f>IFERROR(__xludf.DUMMYFUNCTION("""COMPUTED_VALUE"""),72.63)</f>
        <v>72.63</v>
      </c>
      <c r="D1355" s="1">
        <f>IFERROR(__xludf.DUMMYFUNCTION("""COMPUTED_VALUE"""),72.1)</f>
        <v>72.1</v>
      </c>
      <c r="E1355" s="1">
        <f>IFERROR(__xludf.DUMMYFUNCTION("""COMPUTED_VALUE"""),72.3)</f>
        <v>72.3</v>
      </c>
      <c r="F1355" s="1">
        <f>IFERROR(__xludf.DUMMYFUNCTION("""COMPUTED_VALUE"""),996679.0)</f>
        <v>996679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IFERROR(__xludf.DUMMYFUNCTION("""COMPUTED_VALUE"""),72.01)</f>
        <v>72.01</v>
      </c>
      <c r="C1356" s="1">
        <f>IFERROR(__xludf.DUMMYFUNCTION("""COMPUTED_VALUE"""),72.94)</f>
        <v>72.94</v>
      </c>
      <c r="D1356" s="1">
        <f>IFERROR(__xludf.DUMMYFUNCTION("""COMPUTED_VALUE"""),71.92)</f>
        <v>71.92</v>
      </c>
      <c r="E1356" s="1">
        <f>IFERROR(__xludf.DUMMYFUNCTION("""COMPUTED_VALUE"""),72.51)</f>
        <v>72.51</v>
      </c>
      <c r="F1356" s="1">
        <f>IFERROR(__xludf.DUMMYFUNCTION("""COMPUTED_VALUE"""),1298392.0)</f>
        <v>1298392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IFERROR(__xludf.DUMMYFUNCTION("""COMPUTED_VALUE"""),72.56)</f>
        <v>72.56</v>
      </c>
      <c r="C1357" s="1">
        <f>IFERROR(__xludf.DUMMYFUNCTION("""COMPUTED_VALUE"""),72.85)</f>
        <v>72.85</v>
      </c>
      <c r="D1357" s="1">
        <f>IFERROR(__xludf.DUMMYFUNCTION("""COMPUTED_VALUE"""),71.93)</f>
        <v>71.93</v>
      </c>
      <c r="E1357" s="1">
        <f>IFERROR(__xludf.DUMMYFUNCTION("""COMPUTED_VALUE"""),72.41)</f>
        <v>72.41</v>
      </c>
      <c r="F1357" s="1">
        <f>IFERROR(__xludf.DUMMYFUNCTION("""COMPUTED_VALUE"""),1286237.0)</f>
        <v>1286237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IFERROR(__xludf.DUMMYFUNCTION("""COMPUTED_VALUE"""),72.36)</f>
        <v>72.36</v>
      </c>
      <c r="C1358" s="1">
        <f>IFERROR(__xludf.DUMMYFUNCTION("""COMPUTED_VALUE"""),72.68)</f>
        <v>72.68</v>
      </c>
      <c r="D1358" s="1">
        <f>IFERROR(__xludf.DUMMYFUNCTION("""COMPUTED_VALUE"""),71.61)</f>
        <v>71.61</v>
      </c>
      <c r="E1358" s="1">
        <f>IFERROR(__xludf.DUMMYFUNCTION("""COMPUTED_VALUE"""),71.71)</f>
        <v>71.71</v>
      </c>
      <c r="F1358" s="1">
        <f>IFERROR(__xludf.DUMMYFUNCTION("""COMPUTED_VALUE"""),868351.0)</f>
        <v>868351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IFERROR(__xludf.DUMMYFUNCTION("""COMPUTED_VALUE"""),72.15)</f>
        <v>72.15</v>
      </c>
      <c r="C1359" s="1">
        <f>IFERROR(__xludf.DUMMYFUNCTION("""COMPUTED_VALUE"""),72.99)</f>
        <v>72.99</v>
      </c>
      <c r="D1359" s="1">
        <f>IFERROR(__xludf.DUMMYFUNCTION("""COMPUTED_VALUE"""),71.87)</f>
        <v>71.87</v>
      </c>
      <c r="E1359" s="1">
        <f>IFERROR(__xludf.DUMMYFUNCTION("""COMPUTED_VALUE"""),72.84)</f>
        <v>72.84</v>
      </c>
      <c r="F1359" s="1">
        <f>IFERROR(__xludf.DUMMYFUNCTION("""COMPUTED_VALUE"""),1839431.0)</f>
        <v>1839431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IFERROR(__xludf.DUMMYFUNCTION("""COMPUTED_VALUE"""),72.92)</f>
        <v>72.92</v>
      </c>
      <c r="C1360" s="1">
        <f>IFERROR(__xludf.DUMMYFUNCTION("""COMPUTED_VALUE"""),73.15)</f>
        <v>73.15</v>
      </c>
      <c r="D1360" s="1">
        <f>IFERROR(__xludf.DUMMYFUNCTION("""COMPUTED_VALUE"""),72.16)</f>
        <v>72.16</v>
      </c>
      <c r="E1360" s="1">
        <f>IFERROR(__xludf.DUMMYFUNCTION("""COMPUTED_VALUE"""),72.38)</f>
        <v>72.38</v>
      </c>
      <c r="F1360" s="1">
        <f>IFERROR(__xludf.DUMMYFUNCTION("""COMPUTED_VALUE"""),858798.0)</f>
        <v>858798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IFERROR(__xludf.DUMMYFUNCTION("""COMPUTED_VALUE"""),72.14)</f>
        <v>72.14</v>
      </c>
      <c r="C1361" s="1">
        <f>IFERROR(__xludf.DUMMYFUNCTION("""COMPUTED_VALUE"""),72.41)</f>
        <v>72.41</v>
      </c>
      <c r="D1361" s="1">
        <f>IFERROR(__xludf.DUMMYFUNCTION("""COMPUTED_VALUE"""),71.04)</f>
        <v>71.04</v>
      </c>
      <c r="E1361" s="1">
        <f>IFERROR(__xludf.DUMMYFUNCTION("""COMPUTED_VALUE"""),71.04)</f>
        <v>71.04</v>
      </c>
      <c r="F1361" s="1">
        <f>IFERROR(__xludf.DUMMYFUNCTION("""COMPUTED_VALUE"""),1481215.0)</f>
        <v>1481215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IFERROR(__xludf.DUMMYFUNCTION("""COMPUTED_VALUE"""),71.44)</f>
        <v>71.44</v>
      </c>
      <c r="C1362" s="1">
        <f>IFERROR(__xludf.DUMMYFUNCTION("""COMPUTED_VALUE"""),72.05)</f>
        <v>72.05</v>
      </c>
      <c r="D1362" s="1">
        <f>IFERROR(__xludf.DUMMYFUNCTION("""COMPUTED_VALUE"""),70.83)</f>
        <v>70.83</v>
      </c>
      <c r="E1362" s="1">
        <f>IFERROR(__xludf.DUMMYFUNCTION("""COMPUTED_VALUE"""),71.7)</f>
        <v>71.7</v>
      </c>
      <c r="F1362" s="1">
        <f>IFERROR(__xludf.DUMMYFUNCTION("""COMPUTED_VALUE"""),856197.0)</f>
        <v>856197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IFERROR(__xludf.DUMMYFUNCTION("""COMPUTED_VALUE"""),71.37)</f>
        <v>71.37</v>
      </c>
      <c r="C1363" s="1">
        <f>IFERROR(__xludf.DUMMYFUNCTION("""COMPUTED_VALUE"""),72.23)</f>
        <v>72.23</v>
      </c>
      <c r="D1363" s="1">
        <f>IFERROR(__xludf.DUMMYFUNCTION("""COMPUTED_VALUE"""),71.36)</f>
        <v>71.36</v>
      </c>
      <c r="E1363" s="1">
        <f>IFERROR(__xludf.DUMMYFUNCTION("""COMPUTED_VALUE"""),72.1)</f>
        <v>72.1</v>
      </c>
      <c r="F1363" s="1">
        <f>IFERROR(__xludf.DUMMYFUNCTION("""COMPUTED_VALUE"""),874008.0)</f>
        <v>874008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IFERROR(__xludf.DUMMYFUNCTION("""COMPUTED_VALUE"""),72.15)</f>
        <v>72.15</v>
      </c>
      <c r="C1364" s="1">
        <f>IFERROR(__xludf.DUMMYFUNCTION("""COMPUTED_VALUE"""),73.14)</f>
        <v>73.14</v>
      </c>
      <c r="D1364" s="1">
        <f>IFERROR(__xludf.DUMMYFUNCTION("""COMPUTED_VALUE"""),72.1)</f>
        <v>72.1</v>
      </c>
      <c r="E1364" s="1">
        <f>IFERROR(__xludf.DUMMYFUNCTION("""COMPUTED_VALUE"""),72.81)</f>
        <v>72.81</v>
      </c>
      <c r="F1364" s="1">
        <f>IFERROR(__xludf.DUMMYFUNCTION("""COMPUTED_VALUE"""),1064667.0)</f>
        <v>1064667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IFERROR(__xludf.DUMMYFUNCTION("""COMPUTED_VALUE"""),72.48)</f>
        <v>72.48</v>
      </c>
      <c r="C1365" s="1">
        <f>IFERROR(__xludf.DUMMYFUNCTION("""COMPUTED_VALUE"""),73.2)</f>
        <v>73.2</v>
      </c>
      <c r="D1365" s="1">
        <f>IFERROR(__xludf.DUMMYFUNCTION("""COMPUTED_VALUE"""),72.39)</f>
        <v>72.39</v>
      </c>
      <c r="E1365" s="1">
        <f>IFERROR(__xludf.DUMMYFUNCTION("""COMPUTED_VALUE"""),73.09)</f>
        <v>73.09</v>
      </c>
      <c r="F1365" s="1">
        <f>IFERROR(__xludf.DUMMYFUNCTION("""COMPUTED_VALUE"""),1287132.0)</f>
        <v>1287132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IFERROR(__xludf.DUMMYFUNCTION("""COMPUTED_VALUE"""),73.11)</f>
        <v>73.11</v>
      </c>
      <c r="C1366" s="1">
        <f>IFERROR(__xludf.DUMMYFUNCTION("""COMPUTED_VALUE"""),73.76)</f>
        <v>73.76</v>
      </c>
      <c r="D1366" s="1">
        <f>IFERROR(__xludf.DUMMYFUNCTION("""COMPUTED_VALUE"""),72.85)</f>
        <v>72.85</v>
      </c>
      <c r="E1366" s="1">
        <f>IFERROR(__xludf.DUMMYFUNCTION("""COMPUTED_VALUE"""),73.7)</f>
        <v>73.7</v>
      </c>
      <c r="F1366" s="1">
        <f>IFERROR(__xludf.DUMMYFUNCTION("""COMPUTED_VALUE"""),1376655.0)</f>
        <v>1376655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IFERROR(__xludf.DUMMYFUNCTION("""COMPUTED_VALUE"""),73.15)</f>
        <v>73.15</v>
      </c>
      <c r="C1367" s="1">
        <f>IFERROR(__xludf.DUMMYFUNCTION("""COMPUTED_VALUE"""),73.48)</f>
        <v>73.48</v>
      </c>
      <c r="D1367" s="1">
        <f>IFERROR(__xludf.DUMMYFUNCTION("""COMPUTED_VALUE"""),72.15)</f>
        <v>72.15</v>
      </c>
      <c r="E1367" s="1">
        <f>IFERROR(__xludf.DUMMYFUNCTION("""COMPUTED_VALUE"""),72.16)</f>
        <v>72.16</v>
      </c>
      <c r="F1367" s="1">
        <f>IFERROR(__xludf.DUMMYFUNCTION("""COMPUTED_VALUE"""),1706511.0)</f>
        <v>1706511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IFERROR(__xludf.DUMMYFUNCTION("""COMPUTED_VALUE"""),72.05)</f>
        <v>72.05</v>
      </c>
      <c r="C1368" s="1">
        <f>IFERROR(__xludf.DUMMYFUNCTION("""COMPUTED_VALUE"""),72.85)</f>
        <v>72.85</v>
      </c>
      <c r="D1368" s="1">
        <f>IFERROR(__xludf.DUMMYFUNCTION("""COMPUTED_VALUE"""),72.05)</f>
        <v>72.05</v>
      </c>
      <c r="E1368" s="1">
        <f>IFERROR(__xludf.DUMMYFUNCTION("""COMPUTED_VALUE"""),72.59)</f>
        <v>72.59</v>
      </c>
      <c r="F1368" s="1">
        <f>IFERROR(__xludf.DUMMYFUNCTION("""COMPUTED_VALUE"""),819107.0)</f>
        <v>819107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IFERROR(__xludf.DUMMYFUNCTION("""COMPUTED_VALUE"""),72.85)</f>
        <v>72.85</v>
      </c>
      <c r="C1369" s="1">
        <f>IFERROR(__xludf.DUMMYFUNCTION("""COMPUTED_VALUE"""),73.34)</f>
        <v>73.34</v>
      </c>
      <c r="D1369" s="1">
        <f>IFERROR(__xludf.DUMMYFUNCTION("""COMPUTED_VALUE"""),72.81)</f>
        <v>72.81</v>
      </c>
      <c r="E1369" s="1">
        <f>IFERROR(__xludf.DUMMYFUNCTION("""COMPUTED_VALUE"""),73.15)</f>
        <v>73.15</v>
      </c>
      <c r="F1369" s="1">
        <f>IFERROR(__xludf.DUMMYFUNCTION("""COMPUTED_VALUE"""),1078753.0)</f>
        <v>1078753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IFERROR(__xludf.DUMMYFUNCTION("""COMPUTED_VALUE"""),73.47)</f>
        <v>73.47</v>
      </c>
      <c r="C1370" s="1">
        <f>IFERROR(__xludf.DUMMYFUNCTION("""COMPUTED_VALUE"""),73.69)</f>
        <v>73.69</v>
      </c>
      <c r="D1370" s="1">
        <f>IFERROR(__xludf.DUMMYFUNCTION("""COMPUTED_VALUE"""),72.67)</f>
        <v>72.67</v>
      </c>
      <c r="E1370" s="1">
        <f>IFERROR(__xludf.DUMMYFUNCTION("""COMPUTED_VALUE"""),72.78)</f>
        <v>72.78</v>
      </c>
      <c r="F1370" s="1">
        <f>IFERROR(__xludf.DUMMYFUNCTION("""COMPUTED_VALUE"""),798437.0)</f>
        <v>798437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IFERROR(__xludf.DUMMYFUNCTION("""COMPUTED_VALUE"""),72.53)</f>
        <v>72.53</v>
      </c>
      <c r="C1371" s="1">
        <f>IFERROR(__xludf.DUMMYFUNCTION("""COMPUTED_VALUE"""),73.12)</f>
        <v>73.12</v>
      </c>
      <c r="D1371" s="1">
        <f>IFERROR(__xludf.DUMMYFUNCTION("""COMPUTED_VALUE"""),72.37)</f>
        <v>72.37</v>
      </c>
      <c r="E1371" s="1">
        <f>IFERROR(__xludf.DUMMYFUNCTION("""COMPUTED_VALUE"""),72.86)</f>
        <v>72.86</v>
      </c>
      <c r="F1371" s="1">
        <f>IFERROR(__xludf.DUMMYFUNCTION("""COMPUTED_VALUE"""),1182289.0)</f>
        <v>1182289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IFERROR(__xludf.DUMMYFUNCTION("""COMPUTED_VALUE"""),72.45)</f>
        <v>72.45</v>
      </c>
      <c r="C1372" s="1">
        <f>IFERROR(__xludf.DUMMYFUNCTION("""COMPUTED_VALUE"""),72.45)</f>
        <v>72.45</v>
      </c>
      <c r="D1372" s="1">
        <f>IFERROR(__xludf.DUMMYFUNCTION("""COMPUTED_VALUE"""),71.4)</f>
        <v>71.4</v>
      </c>
      <c r="E1372" s="1">
        <f>IFERROR(__xludf.DUMMYFUNCTION("""COMPUTED_VALUE"""),71.55)</f>
        <v>71.55</v>
      </c>
      <c r="F1372" s="1">
        <f>IFERROR(__xludf.DUMMYFUNCTION("""COMPUTED_VALUE"""),1685482.0)</f>
        <v>1685482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IFERROR(__xludf.DUMMYFUNCTION("""COMPUTED_VALUE"""),71.57)</f>
        <v>71.57</v>
      </c>
      <c r="C1373" s="1">
        <f>IFERROR(__xludf.DUMMYFUNCTION("""COMPUTED_VALUE"""),72.22)</f>
        <v>72.22</v>
      </c>
      <c r="D1373" s="1">
        <f>IFERROR(__xludf.DUMMYFUNCTION("""COMPUTED_VALUE"""),71.54)</f>
        <v>71.54</v>
      </c>
      <c r="E1373" s="1">
        <f>IFERROR(__xludf.DUMMYFUNCTION("""COMPUTED_VALUE"""),72.2)</f>
        <v>72.2</v>
      </c>
      <c r="F1373" s="1">
        <f>IFERROR(__xludf.DUMMYFUNCTION("""COMPUTED_VALUE"""),1189307.0)</f>
        <v>1189307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IFERROR(__xludf.DUMMYFUNCTION("""COMPUTED_VALUE"""),72.38)</f>
        <v>72.38</v>
      </c>
      <c r="C1374" s="1">
        <f>IFERROR(__xludf.DUMMYFUNCTION("""COMPUTED_VALUE"""),73.19)</f>
        <v>73.19</v>
      </c>
      <c r="D1374" s="1">
        <f>IFERROR(__xludf.DUMMYFUNCTION("""COMPUTED_VALUE"""),72.04)</f>
        <v>72.04</v>
      </c>
      <c r="E1374" s="1">
        <f>IFERROR(__xludf.DUMMYFUNCTION("""COMPUTED_VALUE"""),72.28)</f>
        <v>72.28</v>
      </c>
      <c r="F1374" s="1">
        <f>IFERROR(__xludf.DUMMYFUNCTION("""COMPUTED_VALUE"""),1370264.0)</f>
        <v>1370264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IFERROR(__xludf.DUMMYFUNCTION("""COMPUTED_VALUE"""),72.4)</f>
        <v>72.4</v>
      </c>
      <c r="C1375" s="1">
        <f>IFERROR(__xludf.DUMMYFUNCTION("""COMPUTED_VALUE"""),72.88)</f>
        <v>72.88</v>
      </c>
      <c r="D1375" s="1">
        <f>IFERROR(__xludf.DUMMYFUNCTION("""COMPUTED_VALUE"""),71.72)</f>
        <v>71.72</v>
      </c>
      <c r="E1375" s="1">
        <f>IFERROR(__xludf.DUMMYFUNCTION("""COMPUTED_VALUE"""),71.96)</f>
        <v>71.96</v>
      </c>
      <c r="F1375" s="1">
        <f>IFERROR(__xludf.DUMMYFUNCTION("""COMPUTED_VALUE"""),2926779.0)</f>
        <v>2926779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IFERROR(__xludf.DUMMYFUNCTION("""COMPUTED_VALUE"""),69.14)</f>
        <v>69.14</v>
      </c>
      <c r="C1376" s="1">
        <f>IFERROR(__xludf.DUMMYFUNCTION("""COMPUTED_VALUE"""),70.88)</f>
        <v>70.88</v>
      </c>
      <c r="D1376" s="1">
        <f>IFERROR(__xludf.DUMMYFUNCTION("""COMPUTED_VALUE"""),68.25)</f>
        <v>68.25</v>
      </c>
      <c r="E1376" s="1">
        <f>IFERROR(__xludf.DUMMYFUNCTION("""COMPUTED_VALUE"""),69.27)</f>
        <v>69.27</v>
      </c>
      <c r="F1376" s="1">
        <f>IFERROR(__xludf.DUMMYFUNCTION("""COMPUTED_VALUE"""),6854550.0)</f>
        <v>6854550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IFERROR(__xludf.DUMMYFUNCTION("""COMPUTED_VALUE"""),69.51)</f>
        <v>69.51</v>
      </c>
      <c r="C1377" s="1">
        <f>IFERROR(__xludf.DUMMYFUNCTION("""COMPUTED_VALUE"""),69.74)</f>
        <v>69.74</v>
      </c>
      <c r="D1377" s="1">
        <f>IFERROR(__xludf.DUMMYFUNCTION("""COMPUTED_VALUE"""),67.89)</f>
        <v>67.89</v>
      </c>
      <c r="E1377" s="1">
        <f>IFERROR(__xludf.DUMMYFUNCTION("""COMPUTED_VALUE"""),68.03)</f>
        <v>68.03</v>
      </c>
      <c r="F1377" s="1">
        <f>IFERROR(__xludf.DUMMYFUNCTION("""COMPUTED_VALUE"""),4527527.0)</f>
        <v>4527527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IFERROR(__xludf.DUMMYFUNCTION("""COMPUTED_VALUE"""),68.25)</f>
        <v>68.25</v>
      </c>
      <c r="C1378" s="1">
        <f>IFERROR(__xludf.DUMMYFUNCTION("""COMPUTED_VALUE"""),68.84)</f>
        <v>68.84</v>
      </c>
      <c r="D1378" s="1">
        <f>IFERROR(__xludf.DUMMYFUNCTION("""COMPUTED_VALUE"""),68.1)</f>
        <v>68.1</v>
      </c>
      <c r="E1378" s="1">
        <f>IFERROR(__xludf.DUMMYFUNCTION("""COMPUTED_VALUE"""),68.73)</f>
        <v>68.73</v>
      </c>
      <c r="F1378" s="1">
        <f>IFERROR(__xludf.DUMMYFUNCTION("""COMPUTED_VALUE"""),1999944.0)</f>
        <v>1999944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IFERROR(__xludf.DUMMYFUNCTION("""COMPUTED_VALUE"""),68.66)</f>
        <v>68.66</v>
      </c>
      <c r="C1379" s="1">
        <f>IFERROR(__xludf.DUMMYFUNCTION("""COMPUTED_VALUE"""),69.15)</f>
        <v>69.15</v>
      </c>
      <c r="D1379" s="1">
        <f>IFERROR(__xludf.DUMMYFUNCTION("""COMPUTED_VALUE"""),68.11)</f>
        <v>68.11</v>
      </c>
      <c r="E1379" s="1">
        <f>IFERROR(__xludf.DUMMYFUNCTION("""COMPUTED_VALUE"""),68.12)</f>
        <v>68.12</v>
      </c>
      <c r="F1379" s="1">
        <f>IFERROR(__xludf.DUMMYFUNCTION("""COMPUTED_VALUE"""),1225120.0)</f>
        <v>1225120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IFERROR(__xludf.DUMMYFUNCTION("""COMPUTED_VALUE"""),68.49)</f>
        <v>68.49</v>
      </c>
      <c r="C1380" s="1">
        <f>IFERROR(__xludf.DUMMYFUNCTION("""COMPUTED_VALUE"""),68.68)</f>
        <v>68.68</v>
      </c>
      <c r="D1380" s="1">
        <f>IFERROR(__xludf.DUMMYFUNCTION("""COMPUTED_VALUE"""),67.9)</f>
        <v>67.9</v>
      </c>
      <c r="E1380" s="1">
        <f>IFERROR(__xludf.DUMMYFUNCTION("""COMPUTED_VALUE"""),68.07)</f>
        <v>68.07</v>
      </c>
      <c r="F1380" s="1">
        <f>IFERROR(__xludf.DUMMYFUNCTION("""COMPUTED_VALUE"""),1157991.0)</f>
        <v>1157991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IFERROR(__xludf.DUMMYFUNCTION("""COMPUTED_VALUE"""),68.03)</f>
        <v>68.03</v>
      </c>
      <c r="C1381" s="1">
        <f>IFERROR(__xludf.DUMMYFUNCTION("""COMPUTED_VALUE"""),68.45)</f>
        <v>68.45</v>
      </c>
      <c r="D1381" s="1">
        <f>IFERROR(__xludf.DUMMYFUNCTION("""COMPUTED_VALUE"""),67.76)</f>
        <v>67.76</v>
      </c>
      <c r="E1381" s="1">
        <f>IFERROR(__xludf.DUMMYFUNCTION("""COMPUTED_VALUE"""),68.41)</f>
        <v>68.41</v>
      </c>
      <c r="F1381" s="1">
        <f>IFERROR(__xludf.DUMMYFUNCTION("""COMPUTED_VALUE"""),2478619.0)</f>
        <v>2478619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IFERROR(__xludf.DUMMYFUNCTION("""COMPUTED_VALUE"""),67.62)</f>
        <v>67.62</v>
      </c>
      <c r="C1382" s="1">
        <f>IFERROR(__xludf.DUMMYFUNCTION("""COMPUTED_VALUE"""),68.12)</f>
        <v>68.12</v>
      </c>
      <c r="D1382" s="1">
        <f>IFERROR(__xludf.DUMMYFUNCTION("""COMPUTED_VALUE"""),66.31)</f>
        <v>66.31</v>
      </c>
      <c r="E1382" s="1">
        <f>IFERROR(__xludf.DUMMYFUNCTION("""COMPUTED_VALUE"""),66.35)</f>
        <v>66.35</v>
      </c>
      <c r="F1382" s="1">
        <f>IFERROR(__xludf.DUMMYFUNCTION("""COMPUTED_VALUE"""),1533146.0)</f>
        <v>1533146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IFERROR(__xludf.DUMMYFUNCTION("""COMPUTED_VALUE"""),66.82)</f>
        <v>66.82</v>
      </c>
      <c r="C1383" s="1">
        <f>IFERROR(__xludf.DUMMYFUNCTION("""COMPUTED_VALUE"""),67.19)</f>
        <v>67.19</v>
      </c>
      <c r="D1383" s="1">
        <f>IFERROR(__xludf.DUMMYFUNCTION("""COMPUTED_VALUE"""),65.96)</f>
        <v>65.96</v>
      </c>
      <c r="E1383" s="1">
        <f>IFERROR(__xludf.DUMMYFUNCTION("""COMPUTED_VALUE"""),66.21)</f>
        <v>66.21</v>
      </c>
      <c r="F1383" s="1">
        <f>IFERROR(__xludf.DUMMYFUNCTION("""COMPUTED_VALUE"""),1769418.0)</f>
        <v>1769418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IFERROR(__xludf.DUMMYFUNCTION("""COMPUTED_VALUE"""),66.95)</f>
        <v>66.95</v>
      </c>
      <c r="C1384" s="1">
        <f>IFERROR(__xludf.DUMMYFUNCTION("""COMPUTED_VALUE"""),67.08)</f>
        <v>67.08</v>
      </c>
      <c r="D1384" s="1">
        <f>IFERROR(__xludf.DUMMYFUNCTION("""COMPUTED_VALUE"""),66.28)</f>
        <v>66.28</v>
      </c>
      <c r="E1384" s="1">
        <f>IFERROR(__xludf.DUMMYFUNCTION("""COMPUTED_VALUE"""),67.04)</f>
        <v>67.04</v>
      </c>
      <c r="F1384" s="1">
        <f>IFERROR(__xludf.DUMMYFUNCTION("""COMPUTED_VALUE"""),1447584.0)</f>
        <v>1447584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IFERROR(__xludf.DUMMYFUNCTION("""COMPUTED_VALUE"""),67.34)</f>
        <v>67.34</v>
      </c>
      <c r="C1385" s="1">
        <f>IFERROR(__xludf.DUMMYFUNCTION("""COMPUTED_VALUE"""),67.52)</f>
        <v>67.52</v>
      </c>
      <c r="D1385" s="1">
        <f>IFERROR(__xludf.DUMMYFUNCTION("""COMPUTED_VALUE"""),66.54)</f>
        <v>66.54</v>
      </c>
      <c r="E1385" s="1">
        <f>IFERROR(__xludf.DUMMYFUNCTION("""COMPUTED_VALUE"""),66.67)</f>
        <v>66.67</v>
      </c>
      <c r="F1385" s="1">
        <f>IFERROR(__xludf.DUMMYFUNCTION("""COMPUTED_VALUE"""),1064529.0)</f>
        <v>1064529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IFERROR(__xludf.DUMMYFUNCTION("""COMPUTED_VALUE"""),66.08)</f>
        <v>66.08</v>
      </c>
      <c r="C1386" s="1">
        <f>IFERROR(__xludf.DUMMYFUNCTION("""COMPUTED_VALUE"""),66.91)</f>
        <v>66.91</v>
      </c>
      <c r="D1386" s="1">
        <f>IFERROR(__xludf.DUMMYFUNCTION("""COMPUTED_VALUE"""),66.0)</f>
        <v>66</v>
      </c>
      <c r="E1386" s="1">
        <f>IFERROR(__xludf.DUMMYFUNCTION("""COMPUTED_VALUE"""),66.32)</f>
        <v>66.32</v>
      </c>
      <c r="F1386" s="1">
        <f>IFERROR(__xludf.DUMMYFUNCTION("""COMPUTED_VALUE"""),1422275.0)</f>
        <v>1422275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IFERROR(__xludf.DUMMYFUNCTION("""COMPUTED_VALUE"""),66.64)</f>
        <v>66.64</v>
      </c>
      <c r="C1387" s="1">
        <f>IFERROR(__xludf.DUMMYFUNCTION("""COMPUTED_VALUE"""),66.71)</f>
        <v>66.71</v>
      </c>
      <c r="D1387" s="1">
        <f>IFERROR(__xludf.DUMMYFUNCTION("""COMPUTED_VALUE"""),65.49)</f>
        <v>65.49</v>
      </c>
      <c r="E1387" s="1">
        <f>IFERROR(__xludf.DUMMYFUNCTION("""COMPUTED_VALUE"""),66.6)</f>
        <v>66.6</v>
      </c>
      <c r="F1387" s="1">
        <f>IFERROR(__xludf.DUMMYFUNCTION("""COMPUTED_VALUE"""),1763756.0)</f>
        <v>1763756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IFERROR(__xludf.DUMMYFUNCTION("""COMPUTED_VALUE"""),66.95)</f>
        <v>66.95</v>
      </c>
      <c r="C1388" s="1">
        <f>IFERROR(__xludf.DUMMYFUNCTION("""COMPUTED_VALUE"""),67.05)</f>
        <v>67.05</v>
      </c>
      <c r="D1388" s="1">
        <f>IFERROR(__xludf.DUMMYFUNCTION("""COMPUTED_VALUE"""),65.44)</f>
        <v>65.44</v>
      </c>
      <c r="E1388" s="1">
        <f>IFERROR(__xludf.DUMMYFUNCTION("""COMPUTED_VALUE"""),65.57)</f>
        <v>65.57</v>
      </c>
      <c r="F1388" s="1">
        <f>IFERROR(__xludf.DUMMYFUNCTION("""COMPUTED_VALUE"""),2080343.0)</f>
        <v>2080343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IFERROR(__xludf.DUMMYFUNCTION("""COMPUTED_VALUE"""),66.71)</f>
        <v>66.71</v>
      </c>
      <c r="C1389" s="1">
        <f>IFERROR(__xludf.DUMMYFUNCTION("""COMPUTED_VALUE"""),66.71)</f>
        <v>66.71</v>
      </c>
      <c r="D1389" s="1">
        <f>IFERROR(__xludf.DUMMYFUNCTION("""COMPUTED_VALUE"""),66.17)</f>
        <v>66.17</v>
      </c>
      <c r="E1389" s="1">
        <f>IFERROR(__xludf.DUMMYFUNCTION("""COMPUTED_VALUE"""),66.25)</f>
        <v>66.25</v>
      </c>
      <c r="F1389" s="1">
        <f>IFERROR(__xludf.DUMMYFUNCTION("""COMPUTED_VALUE"""),1676802.0)</f>
        <v>1676802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IFERROR(__xludf.DUMMYFUNCTION("""COMPUTED_VALUE"""),67.01)</f>
        <v>67.01</v>
      </c>
      <c r="C1390" s="1">
        <f>IFERROR(__xludf.DUMMYFUNCTION("""COMPUTED_VALUE"""),67.17)</f>
        <v>67.17</v>
      </c>
      <c r="D1390" s="1">
        <f>IFERROR(__xludf.DUMMYFUNCTION("""COMPUTED_VALUE"""),66.68)</f>
        <v>66.68</v>
      </c>
      <c r="E1390" s="1">
        <f>IFERROR(__xludf.DUMMYFUNCTION("""COMPUTED_VALUE"""),66.92)</f>
        <v>66.92</v>
      </c>
      <c r="F1390" s="1">
        <f>IFERROR(__xludf.DUMMYFUNCTION("""COMPUTED_VALUE"""),1106400.0)</f>
        <v>1106400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IFERROR(__xludf.DUMMYFUNCTION("""COMPUTED_VALUE"""),67.68)</f>
        <v>67.68</v>
      </c>
      <c r="C1391" s="1">
        <f>IFERROR(__xludf.DUMMYFUNCTION("""COMPUTED_VALUE"""),68.36)</f>
        <v>68.36</v>
      </c>
      <c r="D1391" s="1">
        <f>IFERROR(__xludf.DUMMYFUNCTION("""COMPUTED_VALUE"""),67.36)</f>
        <v>67.36</v>
      </c>
      <c r="E1391" s="1">
        <f>IFERROR(__xludf.DUMMYFUNCTION("""COMPUTED_VALUE"""),68.27)</f>
        <v>68.27</v>
      </c>
      <c r="F1391" s="1">
        <f>IFERROR(__xludf.DUMMYFUNCTION("""COMPUTED_VALUE"""),1640974.0)</f>
        <v>1640974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IFERROR(__xludf.DUMMYFUNCTION("""COMPUTED_VALUE"""),68.3)</f>
        <v>68.3</v>
      </c>
      <c r="C1392" s="1">
        <f>IFERROR(__xludf.DUMMYFUNCTION("""COMPUTED_VALUE"""),68.55)</f>
        <v>68.55</v>
      </c>
      <c r="D1392" s="1">
        <f>IFERROR(__xludf.DUMMYFUNCTION("""COMPUTED_VALUE"""),68.0)</f>
        <v>68</v>
      </c>
      <c r="E1392" s="1">
        <f>IFERROR(__xludf.DUMMYFUNCTION("""COMPUTED_VALUE"""),68.02)</f>
        <v>68.02</v>
      </c>
      <c r="F1392" s="1">
        <f>IFERROR(__xludf.DUMMYFUNCTION("""COMPUTED_VALUE"""),1267945.0)</f>
        <v>1267945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IFERROR(__xludf.DUMMYFUNCTION("""COMPUTED_VALUE"""),68.0)</f>
        <v>68</v>
      </c>
      <c r="C1393" s="1">
        <f>IFERROR(__xludf.DUMMYFUNCTION("""COMPUTED_VALUE"""),68.04)</f>
        <v>68.04</v>
      </c>
      <c r="D1393" s="1">
        <f>IFERROR(__xludf.DUMMYFUNCTION("""COMPUTED_VALUE"""),67.43)</f>
        <v>67.43</v>
      </c>
      <c r="E1393" s="1">
        <f>IFERROR(__xludf.DUMMYFUNCTION("""COMPUTED_VALUE"""),67.55)</f>
        <v>67.55</v>
      </c>
      <c r="F1393" s="1">
        <f>IFERROR(__xludf.DUMMYFUNCTION("""COMPUTED_VALUE"""),1032100.0)</f>
        <v>1032100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IFERROR(__xludf.DUMMYFUNCTION("""COMPUTED_VALUE"""),67.82)</f>
        <v>67.82</v>
      </c>
      <c r="C1394" s="1">
        <f>IFERROR(__xludf.DUMMYFUNCTION("""COMPUTED_VALUE"""),68.99)</f>
        <v>68.99</v>
      </c>
      <c r="D1394" s="1">
        <f>IFERROR(__xludf.DUMMYFUNCTION("""COMPUTED_VALUE"""),67.63)</f>
        <v>67.63</v>
      </c>
      <c r="E1394" s="1">
        <f>IFERROR(__xludf.DUMMYFUNCTION("""COMPUTED_VALUE"""),68.87)</f>
        <v>68.87</v>
      </c>
      <c r="F1394" s="1">
        <f>IFERROR(__xludf.DUMMYFUNCTION("""COMPUTED_VALUE"""),1198747.0)</f>
        <v>1198747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IFERROR(__xludf.DUMMYFUNCTION("""COMPUTED_VALUE"""),68.48)</f>
        <v>68.48</v>
      </c>
      <c r="C1395" s="1">
        <f>IFERROR(__xludf.DUMMYFUNCTION("""COMPUTED_VALUE"""),68.64)</f>
        <v>68.64</v>
      </c>
      <c r="D1395" s="1">
        <f>IFERROR(__xludf.DUMMYFUNCTION("""COMPUTED_VALUE"""),67.76)</f>
        <v>67.76</v>
      </c>
      <c r="E1395" s="1">
        <f>IFERROR(__xludf.DUMMYFUNCTION("""COMPUTED_VALUE"""),67.95)</f>
        <v>67.95</v>
      </c>
      <c r="F1395" s="1">
        <f>IFERROR(__xludf.DUMMYFUNCTION("""COMPUTED_VALUE"""),851104.0)</f>
        <v>851104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IFERROR(__xludf.DUMMYFUNCTION("""COMPUTED_VALUE"""),68.09)</f>
        <v>68.09</v>
      </c>
      <c r="C1396" s="1">
        <f>IFERROR(__xludf.DUMMYFUNCTION("""COMPUTED_VALUE"""),68.8)</f>
        <v>68.8</v>
      </c>
      <c r="D1396" s="1">
        <f>IFERROR(__xludf.DUMMYFUNCTION("""COMPUTED_VALUE"""),67.83)</f>
        <v>67.83</v>
      </c>
      <c r="E1396" s="1">
        <f>IFERROR(__xludf.DUMMYFUNCTION("""COMPUTED_VALUE"""),68.17)</f>
        <v>68.17</v>
      </c>
      <c r="F1396" s="1">
        <f>IFERROR(__xludf.DUMMYFUNCTION("""COMPUTED_VALUE"""),724050.0)</f>
        <v>724050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IFERROR(__xludf.DUMMYFUNCTION("""COMPUTED_VALUE"""),68.16)</f>
        <v>68.16</v>
      </c>
      <c r="C1397" s="1">
        <f>IFERROR(__xludf.DUMMYFUNCTION("""COMPUTED_VALUE"""),68.33)</f>
        <v>68.33</v>
      </c>
      <c r="D1397" s="1">
        <f>IFERROR(__xludf.DUMMYFUNCTION("""COMPUTED_VALUE"""),66.78)</f>
        <v>66.78</v>
      </c>
      <c r="E1397" s="1">
        <f>IFERROR(__xludf.DUMMYFUNCTION("""COMPUTED_VALUE"""),66.88)</f>
        <v>66.88</v>
      </c>
      <c r="F1397" s="1">
        <f>IFERROR(__xludf.DUMMYFUNCTION("""COMPUTED_VALUE"""),897598.0)</f>
        <v>897598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IFERROR(__xludf.DUMMYFUNCTION("""COMPUTED_VALUE"""),66.88)</f>
        <v>66.88</v>
      </c>
      <c r="C1398" s="1">
        <f>IFERROR(__xludf.DUMMYFUNCTION("""COMPUTED_VALUE"""),66.91)</f>
        <v>66.91</v>
      </c>
      <c r="D1398" s="1">
        <f>IFERROR(__xludf.DUMMYFUNCTION("""COMPUTED_VALUE"""),66.1)</f>
        <v>66.1</v>
      </c>
      <c r="E1398" s="1">
        <f>IFERROR(__xludf.DUMMYFUNCTION("""COMPUTED_VALUE"""),66.32)</f>
        <v>66.32</v>
      </c>
      <c r="F1398" s="1">
        <f>IFERROR(__xludf.DUMMYFUNCTION("""COMPUTED_VALUE"""),1372886.0)</f>
        <v>1372886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IFERROR(__xludf.DUMMYFUNCTION("""COMPUTED_VALUE"""),66.66)</f>
        <v>66.66</v>
      </c>
      <c r="C1399" s="1">
        <f>IFERROR(__xludf.DUMMYFUNCTION("""COMPUTED_VALUE"""),66.82)</f>
        <v>66.82</v>
      </c>
      <c r="D1399" s="1">
        <f>IFERROR(__xludf.DUMMYFUNCTION("""COMPUTED_VALUE"""),65.11)</f>
        <v>65.11</v>
      </c>
      <c r="E1399" s="1">
        <f>IFERROR(__xludf.DUMMYFUNCTION("""COMPUTED_VALUE"""),65.19)</f>
        <v>65.19</v>
      </c>
      <c r="F1399" s="1">
        <f>IFERROR(__xludf.DUMMYFUNCTION("""COMPUTED_VALUE"""),1818728.0)</f>
        <v>1818728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IFERROR(__xludf.DUMMYFUNCTION("""COMPUTED_VALUE"""),65.57)</f>
        <v>65.57</v>
      </c>
      <c r="C1400" s="1">
        <f>IFERROR(__xludf.DUMMYFUNCTION("""COMPUTED_VALUE"""),65.67)</f>
        <v>65.67</v>
      </c>
      <c r="D1400" s="1">
        <f>IFERROR(__xludf.DUMMYFUNCTION("""COMPUTED_VALUE"""),63.08)</f>
        <v>63.08</v>
      </c>
      <c r="E1400" s="1">
        <f>IFERROR(__xludf.DUMMYFUNCTION("""COMPUTED_VALUE"""),63.18)</f>
        <v>63.18</v>
      </c>
      <c r="F1400" s="1">
        <f>IFERROR(__xludf.DUMMYFUNCTION("""COMPUTED_VALUE"""),1998320.0)</f>
        <v>1998320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IFERROR(__xludf.DUMMYFUNCTION("""COMPUTED_VALUE"""),63.05)</f>
        <v>63.05</v>
      </c>
      <c r="C1401" s="1">
        <f>IFERROR(__xludf.DUMMYFUNCTION("""COMPUTED_VALUE"""),63.17)</f>
        <v>63.17</v>
      </c>
      <c r="D1401" s="1">
        <f>IFERROR(__xludf.DUMMYFUNCTION("""COMPUTED_VALUE"""),61.63)</f>
        <v>61.63</v>
      </c>
      <c r="E1401" s="1">
        <f>IFERROR(__xludf.DUMMYFUNCTION("""COMPUTED_VALUE"""),61.96)</f>
        <v>61.96</v>
      </c>
      <c r="F1401" s="1">
        <f>IFERROR(__xludf.DUMMYFUNCTION("""COMPUTED_VALUE"""),2074699.0)</f>
        <v>2074699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IFERROR(__xludf.DUMMYFUNCTION("""COMPUTED_VALUE"""),62.31)</f>
        <v>62.31</v>
      </c>
      <c r="C1402" s="1">
        <f>IFERROR(__xludf.DUMMYFUNCTION("""COMPUTED_VALUE"""),62.81)</f>
        <v>62.81</v>
      </c>
      <c r="D1402" s="1">
        <f>IFERROR(__xludf.DUMMYFUNCTION("""COMPUTED_VALUE"""),61.05)</f>
        <v>61.05</v>
      </c>
      <c r="E1402" s="1">
        <f>IFERROR(__xludf.DUMMYFUNCTION("""COMPUTED_VALUE"""),62.67)</f>
        <v>62.67</v>
      </c>
      <c r="F1402" s="1">
        <f>IFERROR(__xludf.DUMMYFUNCTION("""COMPUTED_VALUE"""),1613250.0)</f>
        <v>1613250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IFERROR(__xludf.DUMMYFUNCTION("""COMPUTED_VALUE"""),62.87)</f>
        <v>62.87</v>
      </c>
      <c r="C1403" s="1">
        <f>IFERROR(__xludf.DUMMYFUNCTION("""COMPUTED_VALUE"""),64.36)</f>
        <v>64.36</v>
      </c>
      <c r="D1403" s="1">
        <f>IFERROR(__xludf.DUMMYFUNCTION("""COMPUTED_VALUE"""),62.87)</f>
        <v>62.87</v>
      </c>
      <c r="E1403" s="1">
        <f>IFERROR(__xludf.DUMMYFUNCTION("""COMPUTED_VALUE"""),64.26)</f>
        <v>64.26</v>
      </c>
      <c r="F1403" s="1">
        <f>IFERROR(__xludf.DUMMYFUNCTION("""COMPUTED_VALUE"""),1548010.0)</f>
        <v>1548010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IFERROR(__xludf.DUMMYFUNCTION("""COMPUTED_VALUE"""),64.11)</f>
        <v>64.11</v>
      </c>
      <c r="C1404" s="1">
        <f>IFERROR(__xludf.DUMMYFUNCTION("""COMPUTED_VALUE"""),64.23)</f>
        <v>64.23</v>
      </c>
      <c r="D1404" s="1">
        <f>IFERROR(__xludf.DUMMYFUNCTION("""COMPUTED_VALUE"""),63.55)</f>
        <v>63.55</v>
      </c>
      <c r="E1404" s="1">
        <f>IFERROR(__xludf.DUMMYFUNCTION("""COMPUTED_VALUE"""),63.99)</f>
        <v>63.99</v>
      </c>
      <c r="F1404" s="1">
        <f>IFERROR(__xludf.DUMMYFUNCTION("""COMPUTED_VALUE"""),1017889.0)</f>
        <v>1017889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IFERROR(__xludf.DUMMYFUNCTION("""COMPUTED_VALUE"""),64.19)</f>
        <v>64.19</v>
      </c>
      <c r="C1405" s="1">
        <f>IFERROR(__xludf.DUMMYFUNCTION("""COMPUTED_VALUE"""),64.87)</f>
        <v>64.87</v>
      </c>
      <c r="D1405" s="1">
        <f>IFERROR(__xludf.DUMMYFUNCTION("""COMPUTED_VALUE"""),63.85)</f>
        <v>63.85</v>
      </c>
      <c r="E1405" s="1">
        <f>IFERROR(__xludf.DUMMYFUNCTION("""COMPUTED_VALUE"""),64.51)</f>
        <v>64.51</v>
      </c>
      <c r="F1405" s="1">
        <f>IFERROR(__xludf.DUMMYFUNCTION("""COMPUTED_VALUE"""),967004.0)</f>
        <v>967004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IFERROR(__xludf.DUMMYFUNCTION("""COMPUTED_VALUE"""),65.58)</f>
        <v>65.58</v>
      </c>
      <c r="C1406" s="1">
        <f>IFERROR(__xludf.DUMMYFUNCTION("""COMPUTED_VALUE"""),65.58)</f>
        <v>65.58</v>
      </c>
      <c r="D1406" s="1">
        <f>IFERROR(__xludf.DUMMYFUNCTION("""COMPUTED_VALUE"""),63.7)</f>
        <v>63.7</v>
      </c>
      <c r="E1406" s="1">
        <f>IFERROR(__xludf.DUMMYFUNCTION("""COMPUTED_VALUE"""),64.13)</f>
        <v>64.13</v>
      </c>
      <c r="F1406" s="1">
        <f>IFERROR(__xludf.DUMMYFUNCTION("""COMPUTED_VALUE"""),1061594.0)</f>
        <v>1061594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IFERROR(__xludf.DUMMYFUNCTION("""COMPUTED_VALUE"""),64.13)</f>
        <v>64.13</v>
      </c>
      <c r="C1407" s="1">
        <f>IFERROR(__xludf.DUMMYFUNCTION("""COMPUTED_VALUE"""),65.29)</f>
        <v>65.29</v>
      </c>
      <c r="D1407" s="1">
        <f>IFERROR(__xludf.DUMMYFUNCTION("""COMPUTED_VALUE"""),64.13)</f>
        <v>64.13</v>
      </c>
      <c r="E1407" s="1">
        <f>IFERROR(__xludf.DUMMYFUNCTION("""COMPUTED_VALUE"""),64.76)</f>
        <v>64.76</v>
      </c>
      <c r="F1407" s="1">
        <f>IFERROR(__xludf.DUMMYFUNCTION("""COMPUTED_VALUE"""),1278885.0)</f>
        <v>1278885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IFERROR(__xludf.DUMMYFUNCTION("""COMPUTED_VALUE"""),65.15)</f>
        <v>65.15</v>
      </c>
      <c r="C1408" s="1">
        <f>IFERROR(__xludf.DUMMYFUNCTION("""COMPUTED_VALUE"""),65.8)</f>
        <v>65.8</v>
      </c>
      <c r="D1408" s="1">
        <f>IFERROR(__xludf.DUMMYFUNCTION("""COMPUTED_VALUE"""),64.55)</f>
        <v>64.55</v>
      </c>
      <c r="E1408" s="1">
        <f>IFERROR(__xludf.DUMMYFUNCTION("""COMPUTED_VALUE"""),64.77)</f>
        <v>64.77</v>
      </c>
      <c r="F1408" s="1">
        <f>IFERROR(__xludf.DUMMYFUNCTION("""COMPUTED_VALUE"""),1005317.0)</f>
        <v>1005317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IFERROR(__xludf.DUMMYFUNCTION("""COMPUTED_VALUE"""),64.25)</f>
        <v>64.25</v>
      </c>
      <c r="C1409" s="1">
        <f>IFERROR(__xludf.DUMMYFUNCTION("""COMPUTED_VALUE"""),64.32)</f>
        <v>64.32</v>
      </c>
      <c r="D1409" s="1">
        <f>IFERROR(__xludf.DUMMYFUNCTION("""COMPUTED_VALUE"""),61.64)</f>
        <v>61.64</v>
      </c>
      <c r="E1409" s="1">
        <f>IFERROR(__xludf.DUMMYFUNCTION("""COMPUTED_VALUE"""),62.1)</f>
        <v>62.1</v>
      </c>
      <c r="F1409" s="1">
        <f>IFERROR(__xludf.DUMMYFUNCTION("""COMPUTED_VALUE"""),2448376.0)</f>
        <v>2448376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IFERROR(__xludf.DUMMYFUNCTION("""COMPUTED_VALUE"""),62.1)</f>
        <v>62.1</v>
      </c>
      <c r="C1410" s="1">
        <f>IFERROR(__xludf.DUMMYFUNCTION("""COMPUTED_VALUE"""),62.89)</f>
        <v>62.89</v>
      </c>
      <c r="D1410" s="1">
        <f>IFERROR(__xludf.DUMMYFUNCTION("""COMPUTED_VALUE"""),61.64)</f>
        <v>61.64</v>
      </c>
      <c r="E1410" s="1">
        <f>IFERROR(__xludf.DUMMYFUNCTION("""COMPUTED_VALUE"""),62.15)</f>
        <v>62.15</v>
      </c>
      <c r="F1410" s="1">
        <f>IFERROR(__xludf.DUMMYFUNCTION("""COMPUTED_VALUE"""),1193908.0)</f>
        <v>1193908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IFERROR(__xludf.DUMMYFUNCTION("""COMPUTED_VALUE"""),62.61)</f>
        <v>62.61</v>
      </c>
      <c r="C1411" s="1">
        <f>IFERROR(__xludf.DUMMYFUNCTION("""COMPUTED_VALUE"""),63.81)</f>
        <v>63.81</v>
      </c>
      <c r="D1411" s="1">
        <f>IFERROR(__xludf.DUMMYFUNCTION("""COMPUTED_VALUE"""),62.5)</f>
        <v>62.5</v>
      </c>
      <c r="E1411" s="1">
        <f>IFERROR(__xludf.DUMMYFUNCTION("""COMPUTED_VALUE"""),63.41)</f>
        <v>63.41</v>
      </c>
      <c r="F1411" s="1">
        <f>IFERROR(__xludf.DUMMYFUNCTION("""COMPUTED_VALUE"""),1255786.0)</f>
        <v>1255786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IFERROR(__xludf.DUMMYFUNCTION("""COMPUTED_VALUE"""),62.86)</f>
        <v>62.86</v>
      </c>
      <c r="C1412" s="1">
        <f>IFERROR(__xludf.DUMMYFUNCTION("""COMPUTED_VALUE"""),63.0)</f>
        <v>63</v>
      </c>
      <c r="D1412" s="1">
        <f>IFERROR(__xludf.DUMMYFUNCTION("""COMPUTED_VALUE"""),62.15)</f>
        <v>62.15</v>
      </c>
      <c r="E1412" s="1">
        <f>IFERROR(__xludf.DUMMYFUNCTION("""COMPUTED_VALUE"""),62.76)</f>
        <v>62.76</v>
      </c>
      <c r="F1412" s="1">
        <f>IFERROR(__xludf.DUMMYFUNCTION("""COMPUTED_VALUE"""),1494692.0)</f>
        <v>1494692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IFERROR(__xludf.DUMMYFUNCTION("""COMPUTED_VALUE"""),62.11)</f>
        <v>62.11</v>
      </c>
      <c r="C1413" s="1">
        <f>IFERROR(__xludf.DUMMYFUNCTION("""COMPUTED_VALUE"""),62.66)</f>
        <v>62.66</v>
      </c>
      <c r="D1413" s="1">
        <f>IFERROR(__xludf.DUMMYFUNCTION("""COMPUTED_VALUE"""),60.85)</f>
        <v>60.85</v>
      </c>
      <c r="E1413" s="1">
        <f>IFERROR(__xludf.DUMMYFUNCTION("""COMPUTED_VALUE"""),62.51)</f>
        <v>62.51</v>
      </c>
      <c r="F1413" s="1">
        <f>IFERROR(__xludf.DUMMYFUNCTION("""COMPUTED_VALUE"""),1636193.0)</f>
        <v>1636193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IFERROR(__xludf.DUMMYFUNCTION("""COMPUTED_VALUE"""),62.65)</f>
        <v>62.65</v>
      </c>
      <c r="C1414" s="1">
        <f>IFERROR(__xludf.DUMMYFUNCTION("""COMPUTED_VALUE"""),63.18)</f>
        <v>63.18</v>
      </c>
      <c r="D1414" s="1">
        <f>IFERROR(__xludf.DUMMYFUNCTION("""COMPUTED_VALUE"""),62.04)</f>
        <v>62.04</v>
      </c>
      <c r="E1414" s="1">
        <f>IFERROR(__xludf.DUMMYFUNCTION("""COMPUTED_VALUE"""),62.62)</f>
        <v>62.62</v>
      </c>
      <c r="F1414" s="1">
        <f>IFERROR(__xludf.DUMMYFUNCTION("""COMPUTED_VALUE"""),1076059.0)</f>
        <v>1076059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IFERROR(__xludf.DUMMYFUNCTION("""COMPUTED_VALUE"""),62.54)</f>
        <v>62.54</v>
      </c>
      <c r="C1415" s="1">
        <f>IFERROR(__xludf.DUMMYFUNCTION("""COMPUTED_VALUE"""),63.37)</f>
        <v>63.37</v>
      </c>
      <c r="D1415" s="1">
        <f>IFERROR(__xludf.DUMMYFUNCTION("""COMPUTED_VALUE"""),62.23)</f>
        <v>62.23</v>
      </c>
      <c r="E1415" s="1">
        <f>IFERROR(__xludf.DUMMYFUNCTION("""COMPUTED_VALUE"""),63.13)</f>
        <v>63.13</v>
      </c>
      <c r="F1415" s="1">
        <f>IFERROR(__xludf.DUMMYFUNCTION("""COMPUTED_VALUE"""),1068121.0)</f>
        <v>1068121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IFERROR(__xludf.DUMMYFUNCTION("""COMPUTED_VALUE"""),62.93)</f>
        <v>62.93</v>
      </c>
      <c r="C1416" s="1">
        <f>IFERROR(__xludf.DUMMYFUNCTION("""COMPUTED_VALUE"""),63.55)</f>
        <v>63.55</v>
      </c>
      <c r="D1416" s="1">
        <f>IFERROR(__xludf.DUMMYFUNCTION("""COMPUTED_VALUE"""),62.34)</f>
        <v>62.34</v>
      </c>
      <c r="E1416" s="1">
        <f>IFERROR(__xludf.DUMMYFUNCTION("""COMPUTED_VALUE"""),63.53)</f>
        <v>63.53</v>
      </c>
      <c r="F1416" s="1">
        <f>IFERROR(__xludf.DUMMYFUNCTION("""COMPUTED_VALUE"""),923838.0)</f>
        <v>923838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IFERROR(__xludf.DUMMYFUNCTION("""COMPUTED_VALUE"""),63.65)</f>
        <v>63.65</v>
      </c>
      <c r="C1417" s="1">
        <f>IFERROR(__xludf.DUMMYFUNCTION("""COMPUTED_VALUE"""),64.07)</f>
        <v>64.07</v>
      </c>
      <c r="D1417" s="1">
        <f>IFERROR(__xludf.DUMMYFUNCTION("""COMPUTED_VALUE"""),63.3)</f>
        <v>63.3</v>
      </c>
      <c r="E1417" s="1">
        <f>IFERROR(__xludf.DUMMYFUNCTION("""COMPUTED_VALUE"""),63.5)</f>
        <v>63.5</v>
      </c>
      <c r="F1417" s="1">
        <f>IFERROR(__xludf.DUMMYFUNCTION("""COMPUTED_VALUE"""),1174211.0)</f>
        <v>1174211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IFERROR(__xludf.DUMMYFUNCTION("""COMPUTED_VALUE"""),63.09)</f>
        <v>63.09</v>
      </c>
      <c r="C1418" s="1">
        <f>IFERROR(__xludf.DUMMYFUNCTION("""COMPUTED_VALUE"""),63.09)</f>
        <v>63.09</v>
      </c>
      <c r="D1418" s="1">
        <f>IFERROR(__xludf.DUMMYFUNCTION("""COMPUTED_VALUE"""),61.83)</f>
        <v>61.83</v>
      </c>
      <c r="E1418" s="1">
        <f>IFERROR(__xludf.DUMMYFUNCTION("""COMPUTED_VALUE"""),62.53)</f>
        <v>62.53</v>
      </c>
      <c r="F1418" s="1">
        <f>IFERROR(__xludf.DUMMYFUNCTION("""COMPUTED_VALUE"""),965085.0)</f>
        <v>965085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IFERROR(__xludf.DUMMYFUNCTION("""COMPUTED_VALUE"""),61.77)</f>
        <v>61.77</v>
      </c>
      <c r="C1419" s="1">
        <f>IFERROR(__xludf.DUMMYFUNCTION("""COMPUTED_VALUE"""),62.44)</f>
        <v>62.44</v>
      </c>
      <c r="D1419" s="1">
        <f>IFERROR(__xludf.DUMMYFUNCTION("""COMPUTED_VALUE"""),61.26)</f>
        <v>61.26</v>
      </c>
      <c r="E1419" s="1">
        <f>IFERROR(__xludf.DUMMYFUNCTION("""COMPUTED_VALUE"""),61.32)</f>
        <v>61.32</v>
      </c>
      <c r="F1419" s="1">
        <f>IFERROR(__xludf.DUMMYFUNCTION("""COMPUTED_VALUE"""),994870.0)</f>
        <v>994870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IFERROR(__xludf.DUMMYFUNCTION("""COMPUTED_VALUE"""),60.85)</f>
        <v>60.85</v>
      </c>
      <c r="C1420" s="1">
        <f>IFERROR(__xludf.DUMMYFUNCTION("""COMPUTED_VALUE"""),61.22)</f>
        <v>61.22</v>
      </c>
      <c r="D1420" s="1">
        <f>IFERROR(__xludf.DUMMYFUNCTION("""COMPUTED_VALUE"""),59.5)</f>
        <v>59.5</v>
      </c>
      <c r="E1420" s="1">
        <f>IFERROR(__xludf.DUMMYFUNCTION("""COMPUTED_VALUE"""),59.58)</f>
        <v>59.58</v>
      </c>
      <c r="F1420" s="1">
        <f>IFERROR(__xludf.DUMMYFUNCTION("""COMPUTED_VALUE"""),2233023.0)</f>
        <v>2233023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IFERROR(__xludf.DUMMYFUNCTION("""COMPUTED_VALUE"""),56.11)</f>
        <v>56.11</v>
      </c>
      <c r="C1421" s="1">
        <f>IFERROR(__xludf.DUMMYFUNCTION("""COMPUTED_VALUE"""),60.07)</f>
        <v>60.07</v>
      </c>
      <c r="D1421" s="1">
        <f>IFERROR(__xludf.DUMMYFUNCTION("""COMPUTED_VALUE"""),55.27)</f>
        <v>55.27</v>
      </c>
      <c r="E1421" s="1">
        <f>IFERROR(__xludf.DUMMYFUNCTION("""COMPUTED_VALUE"""),57.7)</f>
        <v>57.7</v>
      </c>
      <c r="F1421" s="1">
        <f>IFERROR(__xludf.DUMMYFUNCTION("""COMPUTED_VALUE"""),2524919.0)</f>
        <v>2524919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IFERROR(__xludf.DUMMYFUNCTION("""COMPUTED_VALUE"""),59.5)</f>
        <v>59.5</v>
      </c>
      <c r="C1422" s="1">
        <f>IFERROR(__xludf.DUMMYFUNCTION("""COMPUTED_VALUE"""),60.1)</f>
        <v>60.1</v>
      </c>
      <c r="D1422" s="1">
        <f>IFERROR(__xludf.DUMMYFUNCTION("""COMPUTED_VALUE"""),57.12)</f>
        <v>57.12</v>
      </c>
      <c r="E1422" s="1">
        <f>IFERROR(__xludf.DUMMYFUNCTION("""COMPUTED_VALUE"""),57.18)</f>
        <v>57.18</v>
      </c>
      <c r="F1422" s="1">
        <f>IFERROR(__xludf.DUMMYFUNCTION("""COMPUTED_VALUE"""),1633053.0)</f>
        <v>1633053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IFERROR(__xludf.DUMMYFUNCTION("""COMPUTED_VALUE"""),58.61)</f>
        <v>58.61</v>
      </c>
      <c r="C1423" s="1">
        <f>IFERROR(__xludf.DUMMYFUNCTION("""COMPUTED_VALUE"""),58.79)</f>
        <v>58.79</v>
      </c>
      <c r="D1423" s="1">
        <f>IFERROR(__xludf.DUMMYFUNCTION("""COMPUTED_VALUE"""),56.79)</f>
        <v>56.79</v>
      </c>
      <c r="E1423" s="1">
        <f>IFERROR(__xludf.DUMMYFUNCTION("""COMPUTED_VALUE"""),58.5)</f>
        <v>58.5</v>
      </c>
      <c r="F1423" s="1">
        <f>IFERROR(__xludf.DUMMYFUNCTION("""COMPUTED_VALUE"""),1870708.0)</f>
        <v>1870708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IFERROR(__xludf.DUMMYFUNCTION("""COMPUTED_VALUE"""),59.15)</f>
        <v>59.15</v>
      </c>
      <c r="C1424" s="1">
        <f>IFERROR(__xludf.DUMMYFUNCTION("""COMPUTED_VALUE"""),60.41)</f>
        <v>60.41</v>
      </c>
      <c r="D1424" s="1">
        <f>IFERROR(__xludf.DUMMYFUNCTION("""COMPUTED_VALUE"""),58.64)</f>
        <v>58.64</v>
      </c>
      <c r="E1424" s="1">
        <f>IFERROR(__xludf.DUMMYFUNCTION("""COMPUTED_VALUE"""),60.0)</f>
        <v>60</v>
      </c>
      <c r="F1424" s="1">
        <f>IFERROR(__xludf.DUMMYFUNCTION("""COMPUTED_VALUE"""),1617959.0)</f>
        <v>1617959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IFERROR(__xludf.DUMMYFUNCTION("""COMPUTED_VALUE"""),60.0)</f>
        <v>60</v>
      </c>
      <c r="C1425" s="1">
        <f>IFERROR(__xludf.DUMMYFUNCTION("""COMPUTED_VALUE"""),61.18)</f>
        <v>61.18</v>
      </c>
      <c r="D1425" s="1">
        <f>IFERROR(__xludf.DUMMYFUNCTION("""COMPUTED_VALUE"""),59.93)</f>
        <v>59.93</v>
      </c>
      <c r="E1425" s="1">
        <f>IFERROR(__xludf.DUMMYFUNCTION("""COMPUTED_VALUE"""),61.02)</f>
        <v>61.02</v>
      </c>
      <c r="F1425" s="1">
        <f>IFERROR(__xludf.DUMMYFUNCTION("""COMPUTED_VALUE"""),1501810.0)</f>
        <v>1501810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IFERROR(__xludf.DUMMYFUNCTION("""COMPUTED_VALUE"""),60.66)</f>
        <v>60.66</v>
      </c>
      <c r="C1426" s="1">
        <f>IFERROR(__xludf.DUMMYFUNCTION("""COMPUTED_VALUE"""),62.0)</f>
        <v>62</v>
      </c>
      <c r="D1426" s="1">
        <f>IFERROR(__xludf.DUMMYFUNCTION("""COMPUTED_VALUE"""),60.63)</f>
        <v>60.63</v>
      </c>
      <c r="E1426" s="1">
        <f>IFERROR(__xludf.DUMMYFUNCTION("""COMPUTED_VALUE"""),61.0)</f>
        <v>61</v>
      </c>
      <c r="F1426" s="1">
        <f>IFERROR(__xludf.DUMMYFUNCTION("""COMPUTED_VALUE"""),1936801.0)</f>
        <v>1936801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IFERROR(__xludf.DUMMYFUNCTION("""COMPUTED_VALUE"""),59.83)</f>
        <v>59.83</v>
      </c>
      <c r="C1427" s="1">
        <f>IFERROR(__xludf.DUMMYFUNCTION("""COMPUTED_VALUE"""),60.21)</f>
        <v>60.21</v>
      </c>
      <c r="D1427" s="1">
        <f>IFERROR(__xludf.DUMMYFUNCTION("""COMPUTED_VALUE"""),58.28)</f>
        <v>58.28</v>
      </c>
      <c r="E1427" s="1">
        <f>IFERROR(__xludf.DUMMYFUNCTION("""COMPUTED_VALUE"""),58.56)</f>
        <v>58.56</v>
      </c>
      <c r="F1427" s="1">
        <f>IFERROR(__xludf.DUMMYFUNCTION("""COMPUTED_VALUE"""),2182960.0)</f>
        <v>2182960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IFERROR(__xludf.DUMMYFUNCTION("""COMPUTED_VALUE"""),59.17)</f>
        <v>59.17</v>
      </c>
      <c r="C1428" s="1">
        <f>IFERROR(__xludf.DUMMYFUNCTION("""COMPUTED_VALUE"""),59.84)</f>
        <v>59.84</v>
      </c>
      <c r="D1428" s="1">
        <f>IFERROR(__xludf.DUMMYFUNCTION("""COMPUTED_VALUE"""),58.32)</f>
        <v>58.32</v>
      </c>
      <c r="E1428" s="1">
        <f>IFERROR(__xludf.DUMMYFUNCTION("""COMPUTED_VALUE"""),59.84)</f>
        <v>59.84</v>
      </c>
      <c r="F1428" s="1">
        <f>IFERROR(__xludf.DUMMYFUNCTION("""COMPUTED_VALUE"""),2811610.0)</f>
        <v>2811610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IFERROR(__xludf.DUMMYFUNCTION("""COMPUTED_VALUE"""),60.1)</f>
        <v>60.1</v>
      </c>
      <c r="C1429" s="1">
        <f>IFERROR(__xludf.DUMMYFUNCTION("""COMPUTED_VALUE"""),61.38)</f>
        <v>61.38</v>
      </c>
      <c r="D1429" s="1">
        <f>IFERROR(__xludf.DUMMYFUNCTION("""COMPUTED_VALUE"""),59.94)</f>
        <v>59.94</v>
      </c>
      <c r="E1429" s="1">
        <f>IFERROR(__xludf.DUMMYFUNCTION("""COMPUTED_VALUE"""),60.58)</f>
        <v>60.58</v>
      </c>
      <c r="F1429" s="1">
        <f>IFERROR(__xludf.DUMMYFUNCTION("""COMPUTED_VALUE"""),1357655.0)</f>
        <v>1357655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IFERROR(__xludf.DUMMYFUNCTION("""COMPUTED_VALUE"""),59.46)</f>
        <v>59.46</v>
      </c>
      <c r="C1430" s="1">
        <f>IFERROR(__xludf.DUMMYFUNCTION("""COMPUTED_VALUE"""),60.39)</f>
        <v>60.39</v>
      </c>
      <c r="D1430" s="1">
        <f>IFERROR(__xludf.DUMMYFUNCTION("""COMPUTED_VALUE"""),59.28)</f>
        <v>59.28</v>
      </c>
      <c r="E1430" s="1">
        <f>IFERROR(__xludf.DUMMYFUNCTION("""COMPUTED_VALUE"""),60.02)</f>
        <v>60.02</v>
      </c>
      <c r="F1430" s="1">
        <f>IFERROR(__xludf.DUMMYFUNCTION("""COMPUTED_VALUE"""),1258094.0)</f>
        <v>1258094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IFERROR(__xludf.DUMMYFUNCTION("""COMPUTED_VALUE"""),59.64)</f>
        <v>59.64</v>
      </c>
      <c r="C1431" s="1">
        <f>IFERROR(__xludf.DUMMYFUNCTION("""COMPUTED_VALUE"""),60.28)</f>
        <v>60.28</v>
      </c>
      <c r="D1431" s="1">
        <f>IFERROR(__xludf.DUMMYFUNCTION("""COMPUTED_VALUE"""),58.53)</f>
        <v>58.53</v>
      </c>
      <c r="E1431" s="1">
        <f>IFERROR(__xludf.DUMMYFUNCTION("""COMPUTED_VALUE"""),60.11)</f>
        <v>60.11</v>
      </c>
      <c r="F1431" s="1">
        <f>IFERROR(__xludf.DUMMYFUNCTION("""COMPUTED_VALUE"""),3181395.0)</f>
        <v>3181395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IFERROR(__xludf.DUMMYFUNCTION("""COMPUTED_VALUE"""),60.72)</f>
        <v>60.72</v>
      </c>
      <c r="C1432" s="1">
        <f>IFERROR(__xludf.DUMMYFUNCTION("""COMPUTED_VALUE"""),61.19)</f>
        <v>61.19</v>
      </c>
      <c r="D1432" s="1">
        <f>IFERROR(__xludf.DUMMYFUNCTION("""COMPUTED_VALUE"""),59.43)</f>
        <v>59.43</v>
      </c>
      <c r="E1432" s="1">
        <f>IFERROR(__xludf.DUMMYFUNCTION("""COMPUTED_VALUE"""),59.58)</f>
        <v>59.58</v>
      </c>
      <c r="F1432" s="1">
        <f>IFERROR(__xludf.DUMMYFUNCTION("""COMPUTED_VALUE"""),1600996.0)</f>
        <v>1600996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IFERROR(__xludf.DUMMYFUNCTION("""COMPUTED_VALUE"""),59.53)</f>
        <v>59.53</v>
      </c>
      <c r="C1433" s="1">
        <f>IFERROR(__xludf.DUMMYFUNCTION("""COMPUTED_VALUE"""),60.52)</f>
        <v>60.52</v>
      </c>
      <c r="D1433" s="1">
        <f>IFERROR(__xludf.DUMMYFUNCTION("""COMPUTED_VALUE"""),59.1)</f>
        <v>59.1</v>
      </c>
      <c r="E1433" s="1">
        <f>IFERROR(__xludf.DUMMYFUNCTION("""COMPUTED_VALUE"""),59.82)</f>
        <v>59.82</v>
      </c>
      <c r="F1433" s="1">
        <f>IFERROR(__xludf.DUMMYFUNCTION("""COMPUTED_VALUE"""),1388020.0)</f>
        <v>1388020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IFERROR(__xludf.DUMMYFUNCTION("""COMPUTED_VALUE"""),59.86)</f>
        <v>59.86</v>
      </c>
      <c r="C1434" s="1">
        <f>IFERROR(__xludf.DUMMYFUNCTION("""COMPUTED_VALUE"""),60.52)</f>
        <v>60.52</v>
      </c>
      <c r="D1434" s="1">
        <f>IFERROR(__xludf.DUMMYFUNCTION("""COMPUTED_VALUE"""),59.57)</f>
        <v>59.57</v>
      </c>
      <c r="E1434" s="1">
        <f>IFERROR(__xludf.DUMMYFUNCTION("""COMPUTED_VALUE"""),60.21)</f>
        <v>60.21</v>
      </c>
      <c r="F1434" s="1">
        <f>IFERROR(__xludf.DUMMYFUNCTION("""COMPUTED_VALUE"""),1380396.0)</f>
        <v>1380396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IFERROR(__xludf.DUMMYFUNCTION("""COMPUTED_VALUE"""),59.91)</f>
        <v>59.91</v>
      </c>
      <c r="C1435" s="1">
        <f>IFERROR(__xludf.DUMMYFUNCTION("""COMPUTED_VALUE"""),59.93)</f>
        <v>59.93</v>
      </c>
      <c r="D1435" s="1">
        <f>IFERROR(__xludf.DUMMYFUNCTION("""COMPUTED_VALUE"""),58.71)</f>
        <v>58.71</v>
      </c>
      <c r="E1435" s="1">
        <f>IFERROR(__xludf.DUMMYFUNCTION("""COMPUTED_VALUE"""),58.99)</f>
        <v>58.99</v>
      </c>
      <c r="F1435" s="1">
        <f>IFERROR(__xludf.DUMMYFUNCTION("""COMPUTED_VALUE"""),2526264.0)</f>
        <v>2526264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IFERROR(__xludf.DUMMYFUNCTION("""COMPUTED_VALUE"""),59.26)</f>
        <v>59.26</v>
      </c>
      <c r="C1436" s="1">
        <f>IFERROR(__xludf.DUMMYFUNCTION("""COMPUTED_VALUE"""),61.22)</f>
        <v>61.22</v>
      </c>
      <c r="D1436" s="1">
        <f>IFERROR(__xludf.DUMMYFUNCTION("""COMPUTED_VALUE"""),58.55)</f>
        <v>58.55</v>
      </c>
      <c r="E1436" s="1">
        <f>IFERROR(__xludf.DUMMYFUNCTION("""COMPUTED_VALUE"""),60.82)</f>
        <v>60.82</v>
      </c>
      <c r="F1436" s="1">
        <f>IFERROR(__xludf.DUMMYFUNCTION("""COMPUTED_VALUE"""),2241360.0)</f>
        <v>2241360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IFERROR(__xludf.DUMMYFUNCTION("""COMPUTED_VALUE"""),60.68)</f>
        <v>60.68</v>
      </c>
      <c r="C1437" s="1">
        <f>IFERROR(__xludf.DUMMYFUNCTION("""COMPUTED_VALUE"""),62.07)</f>
        <v>62.07</v>
      </c>
      <c r="D1437" s="1">
        <f>IFERROR(__xludf.DUMMYFUNCTION("""COMPUTED_VALUE"""),60.52)</f>
        <v>60.52</v>
      </c>
      <c r="E1437" s="1">
        <f>IFERROR(__xludf.DUMMYFUNCTION("""COMPUTED_VALUE"""),62.06)</f>
        <v>62.06</v>
      </c>
      <c r="F1437" s="1">
        <f>IFERROR(__xludf.DUMMYFUNCTION("""COMPUTED_VALUE"""),1807738.0)</f>
        <v>1807738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IFERROR(__xludf.DUMMYFUNCTION("""COMPUTED_VALUE"""),62.1)</f>
        <v>62.1</v>
      </c>
      <c r="C1438" s="1">
        <f>IFERROR(__xludf.DUMMYFUNCTION("""COMPUTED_VALUE"""),62.96)</f>
        <v>62.96</v>
      </c>
      <c r="D1438" s="1">
        <f>IFERROR(__xludf.DUMMYFUNCTION("""COMPUTED_VALUE"""),61.68)</f>
        <v>61.68</v>
      </c>
      <c r="E1438" s="1">
        <f>IFERROR(__xludf.DUMMYFUNCTION("""COMPUTED_VALUE"""),61.96)</f>
        <v>61.96</v>
      </c>
      <c r="F1438" s="1">
        <f>IFERROR(__xludf.DUMMYFUNCTION("""COMPUTED_VALUE"""),2181180.0)</f>
        <v>2181180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IFERROR(__xludf.DUMMYFUNCTION("""COMPUTED_VALUE"""),61.05)</f>
        <v>61.05</v>
      </c>
      <c r="C1439" s="1">
        <f>IFERROR(__xludf.DUMMYFUNCTION("""COMPUTED_VALUE"""),61.53)</f>
        <v>61.53</v>
      </c>
      <c r="D1439" s="1">
        <f>IFERROR(__xludf.DUMMYFUNCTION("""COMPUTED_VALUE"""),60.12)</f>
        <v>60.12</v>
      </c>
      <c r="E1439" s="1">
        <f>IFERROR(__xludf.DUMMYFUNCTION("""COMPUTED_VALUE"""),60.27)</f>
        <v>60.27</v>
      </c>
      <c r="F1439" s="1">
        <f>IFERROR(__xludf.DUMMYFUNCTION("""COMPUTED_VALUE"""),3182741.0)</f>
        <v>3182741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IFERROR(__xludf.DUMMYFUNCTION("""COMPUTED_VALUE"""),60.75)</f>
        <v>60.75</v>
      </c>
      <c r="C1440" s="1">
        <f>IFERROR(__xludf.DUMMYFUNCTION("""COMPUTED_VALUE"""),62.68)</f>
        <v>62.68</v>
      </c>
      <c r="D1440" s="1">
        <f>IFERROR(__xludf.DUMMYFUNCTION("""COMPUTED_VALUE"""),60.73)</f>
        <v>60.73</v>
      </c>
      <c r="E1440" s="1">
        <f>IFERROR(__xludf.DUMMYFUNCTION("""COMPUTED_VALUE"""),62.66)</f>
        <v>62.66</v>
      </c>
      <c r="F1440" s="1">
        <f>IFERROR(__xludf.DUMMYFUNCTION("""COMPUTED_VALUE"""),3118609.0)</f>
        <v>3118609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IFERROR(__xludf.DUMMYFUNCTION("""COMPUTED_VALUE"""),60.02)</f>
        <v>60.02</v>
      </c>
      <c r="C1441" s="1">
        <f>IFERROR(__xludf.DUMMYFUNCTION("""COMPUTED_VALUE"""),60.54)</f>
        <v>60.54</v>
      </c>
      <c r="D1441" s="1">
        <f>IFERROR(__xludf.DUMMYFUNCTION("""COMPUTED_VALUE"""),56.68)</f>
        <v>56.68</v>
      </c>
      <c r="E1441" s="1">
        <f>IFERROR(__xludf.DUMMYFUNCTION("""COMPUTED_VALUE"""),59.72)</f>
        <v>59.72</v>
      </c>
      <c r="F1441" s="1">
        <f>IFERROR(__xludf.DUMMYFUNCTION("""COMPUTED_VALUE"""),6101491.0)</f>
        <v>6101491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IFERROR(__xludf.DUMMYFUNCTION("""COMPUTED_VALUE"""),58.55)</f>
        <v>58.55</v>
      </c>
      <c r="C1442" s="1">
        <f>IFERROR(__xludf.DUMMYFUNCTION("""COMPUTED_VALUE"""),59.89)</f>
        <v>59.89</v>
      </c>
      <c r="D1442" s="1">
        <f>IFERROR(__xludf.DUMMYFUNCTION("""COMPUTED_VALUE"""),57.88)</f>
        <v>57.88</v>
      </c>
      <c r="E1442" s="1">
        <f>IFERROR(__xludf.DUMMYFUNCTION("""COMPUTED_VALUE"""),59.32)</f>
        <v>59.32</v>
      </c>
      <c r="F1442" s="1">
        <f>IFERROR(__xludf.DUMMYFUNCTION("""COMPUTED_VALUE"""),3877291.0)</f>
        <v>3877291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IFERROR(__xludf.DUMMYFUNCTION("""COMPUTED_VALUE"""),58.68)</f>
        <v>58.68</v>
      </c>
      <c r="C1443" s="1">
        <f>IFERROR(__xludf.DUMMYFUNCTION("""COMPUTED_VALUE"""),59.44)</f>
        <v>59.44</v>
      </c>
      <c r="D1443" s="1">
        <f>IFERROR(__xludf.DUMMYFUNCTION("""COMPUTED_VALUE"""),58.22)</f>
        <v>58.22</v>
      </c>
      <c r="E1443" s="1">
        <f>IFERROR(__xludf.DUMMYFUNCTION("""COMPUTED_VALUE"""),59.07)</f>
        <v>59.07</v>
      </c>
      <c r="F1443" s="1">
        <f>IFERROR(__xludf.DUMMYFUNCTION("""COMPUTED_VALUE"""),2017333.0)</f>
        <v>2017333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IFERROR(__xludf.DUMMYFUNCTION("""COMPUTED_VALUE"""),59.67)</f>
        <v>59.67</v>
      </c>
      <c r="C1444" s="1">
        <f>IFERROR(__xludf.DUMMYFUNCTION("""COMPUTED_VALUE"""),60.32)</f>
        <v>60.32</v>
      </c>
      <c r="D1444" s="1">
        <f>IFERROR(__xludf.DUMMYFUNCTION("""COMPUTED_VALUE"""),59.31)</f>
        <v>59.31</v>
      </c>
      <c r="E1444" s="1">
        <f>IFERROR(__xludf.DUMMYFUNCTION("""COMPUTED_VALUE"""),59.73)</f>
        <v>59.73</v>
      </c>
      <c r="F1444" s="1">
        <f>IFERROR(__xludf.DUMMYFUNCTION("""COMPUTED_VALUE"""),1279551.0)</f>
        <v>1279551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IFERROR(__xludf.DUMMYFUNCTION("""COMPUTED_VALUE"""),59.28)</f>
        <v>59.28</v>
      </c>
      <c r="C1445" s="1">
        <f>IFERROR(__xludf.DUMMYFUNCTION("""COMPUTED_VALUE"""),59.45)</f>
        <v>59.45</v>
      </c>
      <c r="D1445" s="1">
        <f>IFERROR(__xludf.DUMMYFUNCTION("""COMPUTED_VALUE"""),57.82)</f>
        <v>57.82</v>
      </c>
      <c r="E1445" s="1">
        <f>IFERROR(__xludf.DUMMYFUNCTION("""COMPUTED_VALUE"""),57.9)</f>
        <v>57.9</v>
      </c>
      <c r="F1445" s="1">
        <f>IFERROR(__xludf.DUMMYFUNCTION("""COMPUTED_VALUE"""),1682719.0)</f>
        <v>1682719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IFERROR(__xludf.DUMMYFUNCTION("""COMPUTED_VALUE"""),57.88)</f>
        <v>57.88</v>
      </c>
      <c r="C1446" s="1">
        <f>IFERROR(__xludf.DUMMYFUNCTION("""COMPUTED_VALUE"""),58.31)</f>
        <v>58.31</v>
      </c>
      <c r="D1446" s="1">
        <f>IFERROR(__xludf.DUMMYFUNCTION("""COMPUTED_VALUE"""),57.29)</f>
        <v>57.29</v>
      </c>
      <c r="E1446" s="1">
        <f>IFERROR(__xludf.DUMMYFUNCTION("""COMPUTED_VALUE"""),57.96)</f>
        <v>57.96</v>
      </c>
      <c r="F1446" s="1">
        <f>IFERROR(__xludf.DUMMYFUNCTION("""COMPUTED_VALUE"""),1440628.0)</f>
        <v>1440628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IFERROR(__xludf.DUMMYFUNCTION("""COMPUTED_VALUE"""),59.1)</f>
        <v>59.1</v>
      </c>
      <c r="C1447" s="1">
        <f>IFERROR(__xludf.DUMMYFUNCTION("""COMPUTED_VALUE"""),59.82)</f>
        <v>59.82</v>
      </c>
      <c r="D1447" s="1">
        <f>IFERROR(__xludf.DUMMYFUNCTION("""COMPUTED_VALUE"""),58.76)</f>
        <v>58.76</v>
      </c>
      <c r="E1447" s="1">
        <f>IFERROR(__xludf.DUMMYFUNCTION("""COMPUTED_VALUE"""),59.32)</f>
        <v>59.32</v>
      </c>
      <c r="F1447" s="1">
        <f>IFERROR(__xludf.DUMMYFUNCTION("""COMPUTED_VALUE"""),2284259.0)</f>
        <v>2284259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IFERROR(__xludf.DUMMYFUNCTION("""COMPUTED_VALUE"""),59.55)</f>
        <v>59.55</v>
      </c>
      <c r="C1448" s="1">
        <f>IFERROR(__xludf.DUMMYFUNCTION("""COMPUTED_VALUE"""),59.75)</f>
        <v>59.75</v>
      </c>
      <c r="D1448" s="1">
        <f>IFERROR(__xludf.DUMMYFUNCTION("""COMPUTED_VALUE"""),57.71)</f>
        <v>57.71</v>
      </c>
      <c r="E1448" s="1">
        <f>IFERROR(__xludf.DUMMYFUNCTION("""COMPUTED_VALUE"""),58.65)</f>
        <v>58.65</v>
      </c>
      <c r="F1448" s="1">
        <f>IFERROR(__xludf.DUMMYFUNCTION("""COMPUTED_VALUE"""),2215138.0)</f>
        <v>2215138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IFERROR(__xludf.DUMMYFUNCTION("""COMPUTED_VALUE"""),57.59)</f>
        <v>57.59</v>
      </c>
      <c r="C1449" s="1">
        <f>IFERROR(__xludf.DUMMYFUNCTION("""COMPUTED_VALUE"""),59.78)</f>
        <v>59.78</v>
      </c>
      <c r="D1449" s="1">
        <f>IFERROR(__xludf.DUMMYFUNCTION("""COMPUTED_VALUE"""),57.32)</f>
        <v>57.32</v>
      </c>
      <c r="E1449" s="1">
        <f>IFERROR(__xludf.DUMMYFUNCTION("""COMPUTED_VALUE"""),59.78)</f>
        <v>59.78</v>
      </c>
      <c r="F1449" s="1">
        <f>IFERROR(__xludf.DUMMYFUNCTION("""COMPUTED_VALUE"""),1728052.0)</f>
        <v>1728052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IFERROR(__xludf.DUMMYFUNCTION("""COMPUTED_VALUE"""),60.1)</f>
        <v>60.1</v>
      </c>
      <c r="C1450" s="1">
        <f>IFERROR(__xludf.DUMMYFUNCTION("""COMPUTED_VALUE"""),60.59)</f>
        <v>60.59</v>
      </c>
      <c r="D1450" s="1">
        <f>IFERROR(__xludf.DUMMYFUNCTION("""COMPUTED_VALUE"""),59.64)</f>
        <v>59.64</v>
      </c>
      <c r="E1450" s="1">
        <f>IFERROR(__xludf.DUMMYFUNCTION("""COMPUTED_VALUE"""),60.48)</f>
        <v>60.48</v>
      </c>
      <c r="F1450" s="1">
        <f>IFERROR(__xludf.DUMMYFUNCTION("""COMPUTED_VALUE"""),1581688.0)</f>
        <v>1581688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IFERROR(__xludf.DUMMYFUNCTION("""COMPUTED_VALUE"""),60.22)</f>
        <v>60.22</v>
      </c>
      <c r="C1451" s="1">
        <f>IFERROR(__xludf.DUMMYFUNCTION("""COMPUTED_VALUE"""),60.5)</f>
        <v>60.5</v>
      </c>
      <c r="D1451" s="1">
        <f>IFERROR(__xludf.DUMMYFUNCTION("""COMPUTED_VALUE"""),58.9)</f>
        <v>58.9</v>
      </c>
      <c r="E1451" s="1">
        <f>IFERROR(__xludf.DUMMYFUNCTION("""COMPUTED_VALUE"""),59.22)</f>
        <v>59.22</v>
      </c>
      <c r="F1451" s="1">
        <f>IFERROR(__xludf.DUMMYFUNCTION("""COMPUTED_VALUE"""),1418819.0)</f>
        <v>1418819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IFERROR(__xludf.DUMMYFUNCTION("""COMPUTED_VALUE"""),59.59)</f>
        <v>59.59</v>
      </c>
      <c r="C1452" s="1">
        <f>IFERROR(__xludf.DUMMYFUNCTION("""COMPUTED_VALUE"""),60.33)</f>
        <v>60.33</v>
      </c>
      <c r="D1452" s="1">
        <f>IFERROR(__xludf.DUMMYFUNCTION("""COMPUTED_VALUE"""),58.85)</f>
        <v>58.85</v>
      </c>
      <c r="E1452" s="1">
        <f>IFERROR(__xludf.DUMMYFUNCTION("""COMPUTED_VALUE"""),59.48)</f>
        <v>59.48</v>
      </c>
      <c r="F1452" s="1">
        <f>IFERROR(__xludf.DUMMYFUNCTION("""COMPUTED_VALUE"""),1173301.0)</f>
        <v>1173301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IFERROR(__xludf.DUMMYFUNCTION("""COMPUTED_VALUE"""),59.36)</f>
        <v>59.36</v>
      </c>
      <c r="C1453" s="1">
        <f>IFERROR(__xludf.DUMMYFUNCTION("""COMPUTED_VALUE"""),60.42)</f>
        <v>60.42</v>
      </c>
      <c r="D1453" s="1">
        <f>IFERROR(__xludf.DUMMYFUNCTION("""COMPUTED_VALUE"""),59.12)</f>
        <v>59.12</v>
      </c>
      <c r="E1453" s="1">
        <f>IFERROR(__xludf.DUMMYFUNCTION("""COMPUTED_VALUE"""),59.96)</f>
        <v>59.96</v>
      </c>
      <c r="F1453" s="1">
        <f>IFERROR(__xludf.DUMMYFUNCTION("""COMPUTED_VALUE"""),1468100.0)</f>
        <v>1468100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IFERROR(__xludf.DUMMYFUNCTION("""COMPUTED_VALUE"""),59.16)</f>
        <v>59.16</v>
      </c>
      <c r="C1454" s="1">
        <f>IFERROR(__xludf.DUMMYFUNCTION("""COMPUTED_VALUE"""),59.26)</f>
        <v>59.26</v>
      </c>
      <c r="D1454" s="1">
        <f>IFERROR(__xludf.DUMMYFUNCTION("""COMPUTED_VALUE"""),57.96)</f>
        <v>57.96</v>
      </c>
      <c r="E1454" s="1">
        <f>IFERROR(__xludf.DUMMYFUNCTION("""COMPUTED_VALUE"""),58.77)</f>
        <v>58.77</v>
      </c>
      <c r="F1454" s="1">
        <f>IFERROR(__xludf.DUMMYFUNCTION("""COMPUTED_VALUE"""),2641388.0)</f>
        <v>2641388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IFERROR(__xludf.DUMMYFUNCTION("""COMPUTED_VALUE"""),58.91)</f>
        <v>58.91</v>
      </c>
      <c r="C1455" s="1">
        <f>IFERROR(__xludf.DUMMYFUNCTION("""COMPUTED_VALUE"""),59.0)</f>
        <v>59</v>
      </c>
      <c r="D1455" s="1">
        <f>IFERROR(__xludf.DUMMYFUNCTION("""COMPUTED_VALUE"""),57.26)</f>
        <v>57.26</v>
      </c>
      <c r="E1455" s="1">
        <f>IFERROR(__xludf.DUMMYFUNCTION("""COMPUTED_VALUE"""),57.34)</f>
        <v>57.34</v>
      </c>
      <c r="F1455" s="1">
        <f>IFERROR(__xludf.DUMMYFUNCTION("""COMPUTED_VALUE"""),2430533.0)</f>
        <v>2430533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IFERROR(__xludf.DUMMYFUNCTION("""COMPUTED_VALUE"""),57.21)</f>
        <v>57.21</v>
      </c>
      <c r="C1456" s="1">
        <f>IFERROR(__xludf.DUMMYFUNCTION("""COMPUTED_VALUE"""),57.66)</f>
        <v>57.66</v>
      </c>
      <c r="D1456" s="1">
        <f>IFERROR(__xludf.DUMMYFUNCTION("""COMPUTED_VALUE"""),56.75)</f>
        <v>56.75</v>
      </c>
      <c r="E1456" s="1">
        <f>IFERROR(__xludf.DUMMYFUNCTION("""COMPUTED_VALUE"""),56.91)</f>
        <v>56.91</v>
      </c>
      <c r="F1456" s="1">
        <f>IFERROR(__xludf.DUMMYFUNCTION("""COMPUTED_VALUE"""),2443895.0)</f>
        <v>2443895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IFERROR(__xludf.DUMMYFUNCTION("""COMPUTED_VALUE"""),56.91)</f>
        <v>56.91</v>
      </c>
      <c r="C1457" s="1">
        <f>IFERROR(__xludf.DUMMYFUNCTION("""COMPUTED_VALUE"""),57.29)</f>
        <v>57.29</v>
      </c>
      <c r="D1457" s="1">
        <f>IFERROR(__xludf.DUMMYFUNCTION("""COMPUTED_VALUE"""),55.9)</f>
        <v>55.9</v>
      </c>
      <c r="E1457" s="1">
        <f>IFERROR(__xludf.DUMMYFUNCTION("""COMPUTED_VALUE"""),56.77)</f>
        <v>56.77</v>
      </c>
      <c r="F1457" s="1">
        <f>IFERROR(__xludf.DUMMYFUNCTION("""COMPUTED_VALUE"""),2092451.0)</f>
        <v>2092451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IFERROR(__xludf.DUMMYFUNCTION("""COMPUTED_VALUE"""),56.97)</f>
        <v>56.97</v>
      </c>
      <c r="C1458" s="1">
        <f>IFERROR(__xludf.DUMMYFUNCTION("""COMPUTED_VALUE"""),57.22)</f>
        <v>57.22</v>
      </c>
      <c r="D1458" s="1">
        <f>IFERROR(__xludf.DUMMYFUNCTION("""COMPUTED_VALUE"""),56.25)</f>
        <v>56.25</v>
      </c>
      <c r="E1458" s="1">
        <f>IFERROR(__xludf.DUMMYFUNCTION("""COMPUTED_VALUE"""),56.98)</f>
        <v>56.98</v>
      </c>
      <c r="F1458" s="1">
        <f>IFERROR(__xludf.DUMMYFUNCTION("""COMPUTED_VALUE"""),1762119.0)</f>
        <v>1762119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IFERROR(__xludf.DUMMYFUNCTION("""COMPUTED_VALUE"""),57.01)</f>
        <v>57.01</v>
      </c>
      <c r="C1459" s="1">
        <f>IFERROR(__xludf.DUMMYFUNCTION("""COMPUTED_VALUE"""),57.1)</f>
        <v>57.1</v>
      </c>
      <c r="D1459" s="1">
        <f>IFERROR(__xludf.DUMMYFUNCTION("""COMPUTED_VALUE"""),56.07)</f>
        <v>56.07</v>
      </c>
      <c r="E1459" s="1">
        <f>IFERROR(__xludf.DUMMYFUNCTION("""COMPUTED_VALUE"""),56.18)</f>
        <v>56.18</v>
      </c>
      <c r="F1459" s="1">
        <f>IFERROR(__xludf.DUMMYFUNCTION("""COMPUTED_VALUE"""),2319476.0)</f>
        <v>2319476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IFERROR(__xludf.DUMMYFUNCTION("""COMPUTED_VALUE"""),56.12)</f>
        <v>56.12</v>
      </c>
      <c r="C1460" s="1">
        <f>IFERROR(__xludf.DUMMYFUNCTION("""COMPUTED_VALUE"""),56.94)</f>
        <v>56.94</v>
      </c>
      <c r="D1460" s="1">
        <f>IFERROR(__xludf.DUMMYFUNCTION("""COMPUTED_VALUE"""),56.0)</f>
        <v>56</v>
      </c>
      <c r="E1460" s="1">
        <f>IFERROR(__xludf.DUMMYFUNCTION("""COMPUTED_VALUE"""),56.85)</f>
        <v>56.85</v>
      </c>
      <c r="F1460" s="1">
        <f>IFERROR(__xludf.DUMMYFUNCTION("""COMPUTED_VALUE"""),2276261.0)</f>
        <v>2276261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IFERROR(__xludf.DUMMYFUNCTION("""COMPUTED_VALUE"""),56.86)</f>
        <v>56.86</v>
      </c>
      <c r="C1461" s="1">
        <f>IFERROR(__xludf.DUMMYFUNCTION("""COMPUTED_VALUE"""),57.35)</f>
        <v>57.35</v>
      </c>
      <c r="D1461" s="1">
        <f>IFERROR(__xludf.DUMMYFUNCTION("""COMPUTED_VALUE"""),56.57)</f>
        <v>56.57</v>
      </c>
      <c r="E1461" s="1">
        <f>IFERROR(__xludf.DUMMYFUNCTION("""COMPUTED_VALUE"""),56.95)</f>
        <v>56.95</v>
      </c>
      <c r="F1461" s="1">
        <f>IFERROR(__xludf.DUMMYFUNCTION("""COMPUTED_VALUE"""),1462069.0)</f>
        <v>1462069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IFERROR(__xludf.DUMMYFUNCTION("""COMPUTED_VALUE"""),57.26)</f>
        <v>57.26</v>
      </c>
      <c r="C1462" s="1">
        <f>IFERROR(__xludf.DUMMYFUNCTION("""COMPUTED_VALUE"""),57.34)</f>
        <v>57.34</v>
      </c>
      <c r="D1462" s="1">
        <f>IFERROR(__xludf.DUMMYFUNCTION("""COMPUTED_VALUE"""),56.67)</f>
        <v>56.67</v>
      </c>
      <c r="E1462" s="1">
        <f>IFERROR(__xludf.DUMMYFUNCTION("""COMPUTED_VALUE"""),57.3)</f>
        <v>57.3</v>
      </c>
      <c r="F1462" s="1">
        <f>IFERROR(__xludf.DUMMYFUNCTION("""COMPUTED_VALUE"""),2060301.0)</f>
        <v>2060301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IFERROR(__xludf.DUMMYFUNCTION("""COMPUTED_VALUE"""),57.67)</f>
        <v>57.67</v>
      </c>
      <c r="C1463" s="1">
        <f>IFERROR(__xludf.DUMMYFUNCTION("""COMPUTED_VALUE"""),58.84)</f>
        <v>58.84</v>
      </c>
      <c r="D1463" s="1">
        <f>IFERROR(__xludf.DUMMYFUNCTION("""COMPUTED_VALUE"""),57.66)</f>
        <v>57.66</v>
      </c>
      <c r="E1463" s="1">
        <f>IFERROR(__xludf.DUMMYFUNCTION("""COMPUTED_VALUE"""),58.24)</f>
        <v>58.24</v>
      </c>
      <c r="F1463" s="1">
        <f>IFERROR(__xludf.DUMMYFUNCTION("""COMPUTED_VALUE"""),2329835.0)</f>
        <v>2329835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IFERROR(__xludf.DUMMYFUNCTION("""COMPUTED_VALUE"""),58.76)</f>
        <v>58.76</v>
      </c>
      <c r="C1464" s="1">
        <f>IFERROR(__xludf.DUMMYFUNCTION("""COMPUTED_VALUE"""),58.83)</f>
        <v>58.83</v>
      </c>
      <c r="D1464" s="1">
        <f>IFERROR(__xludf.DUMMYFUNCTION("""COMPUTED_VALUE"""),57.48)</f>
        <v>57.48</v>
      </c>
      <c r="E1464" s="1">
        <f>IFERROR(__xludf.DUMMYFUNCTION("""COMPUTED_VALUE"""),58.05)</f>
        <v>58.05</v>
      </c>
      <c r="F1464" s="1">
        <f>IFERROR(__xludf.DUMMYFUNCTION("""COMPUTED_VALUE"""),1861331.0)</f>
        <v>1861331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IFERROR(__xludf.DUMMYFUNCTION("""COMPUTED_VALUE"""),58.02)</f>
        <v>58.02</v>
      </c>
      <c r="C1465" s="1">
        <f>IFERROR(__xludf.DUMMYFUNCTION("""COMPUTED_VALUE"""),59.0)</f>
        <v>59</v>
      </c>
      <c r="D1465" s="1">
        <f>IFERROR(__xludf.DUMMYFUNCTION("""COMPUTED_VALUE"""),57.91)</f>
        <v>57.91</v>
      </c>
      <c r="E1465" s="1">
        <f>IFERROR(__xludf.DUMMYFUNCTION("""COMPUTED_VALUE"""),58.79)</f>
        <v>58.79</v>
      </c>
      <c r="F1465" s="1">
        <f>IFERROR(__xludf.DUMMYFUNCTION("""COMPUTED_VALUE"""),1534115.0)</f>
        <v>1534115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IFERROR(__xludf.DUMMYFUNCTION("""COMPUTED_VALUE"""),58.49)</f>
        <v>58.49</v>
      </c>
      <c r="C1466" s="1">
        <f>IFERROR(__xludf.DUMMYFUNCTION("""COMPUTED_VALUE"""),58.84)</f>
        <v>58.84</v>
      </c>
      <c r="D1466" s="1">
        <f>IFERROR(__xludf.DUMMYFUNCTION("""COMPUTED_VALUE"""),57.85)</f>
        <v>57.85</v>
      </c>
      <c r="E1466" s="1">
        <f>IFERROR(__xludf.DUMMYFUNCTION("""COMPUTED_VALUE"""),58.21)</f>
        <v>58.21</v>
      </c>
      <c r="F1466" s="1">
        <f>IFERROR(__xludf.DUMMYFUNCTION("""COMPUTED_VALUE"""),1208210.0)</f>
        <v>1208210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IFERROR(__xludf.DUMMYFUNCTION("""COMPUTED_VALUE"""),58.24)</f>
        <v>58.24</v>
      </c>
      <c r="C1467" s="1">
        <f>IFERROR(__xludf.DUMMYFUNCTION("""COMPUTED_VALUE"""),58.46)</f>
        <v>58.46</v>
      </c>
      <c r="D1467" s="1">
        <f>IFERROR(__xludf.DUMMYFUNCTION("""COMPUTED_VALUE"""),57.5)</f>
        <v>57.5</v>
      </c>
      <c r="E1467" s="1">
        <f>IFERROR(__xludf.DUMMYFUNCTION("""COMPUTED_VALUE"""),57.87)</f>
        <v>57.87</v>
      </c>
      <c r="F1467" s="1">
        <f>IFERROR(__xludf.DUMMYFUNCTION("""COMPUTED_VALUE"""),2229953.0)</f>
        <v>2229953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IFERROR(__xludf.DUMMYFUNCTION("""COMPUTED_VALUE"""),57.92)</f>
        <v>57.92</v>
      </c>
      <c r="C1468" s="1">
        <f>IFERROR(__xludf.DUMMYFUNCTION("""COMPUTED_VALUE"""),58.55)</f>
        <v>58.55</v>
      </c>
      <c r="D1468" s="1">
        <f>IFERROR(__xludf.DUMMYFUNCTION("""COMPUTED_VALUE"""),57.68)</f>
        <v>57.68</v>
      </c>
      <c r="E1468" s="1">
        <f>IFERROR(__xludf.DUMMYFUNCTION("""COMPUTED_VALUE"""),58.41)</f>
        <v>58.41</v>
      </c>
      <c r="F1468" s="1">
        <f>IFERROR(__xludf.DUMMYFUNCTION("""COMPUTED_VALUE"""),2129010.0)</f>
        <v>2129010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IFERROR(__xludf.DUMMYFUNCTION("""COMPUTED_VALUE"""),58.27)</f>
        <v>58.27</v>
      </c>
      <c r="C1469" s="1">
        <f>IFERROR(__xludf.DUMMYFUNCTION("""COMPUTED_VALUE"""),59.66)</f>
        <v>59.66</v>
      </c>
      <c r="D1469" s="1">
        <f>IFERROR(__xludf.DUMMYFUNCTION("""COMPUTED_VALUE"""),58.01)</f>
        <v>58.01</v>
      </c>
      <c r="E1469" s="1">
        <f>IFERROR(__xludf.DUMMYFUNCTION("""COMPUTED_VALUE"""),59.01)</f>
        <v>59.01</v>
      </c>
      <c r="F1469" s="1">
        <f>IFERROR(__xludf.DUMMYFUNCTION("""COMPUTED_VALUE"""),1492806.0)</f>
        <v>1492806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IFERROR(__xludf.DUMMYFUNCTION("""COMPUTED_VALUE"""),59.08)</f>
        <v>59.08</v>
      </c>
      <c r="C1470" s="1">
        <f>IFERROR(__xludf.DUMMYFUNCTION("""COMPUTED_VALUE"""),59.34)</f>
        <v>59.34</v>
      </c>
      <c r="D1470" s="1">
        <f>IFERROR(__xludf.DUMMYFUNCTION("""COMPUTED_VALUE"""),58.53)</f>
        <v>58.53</v>
      </c>
      <c r="E1470" s="1">
        <f>IFERROR(__xludf.DUMMYFUNCTION("""COMPUTED_VALUE"""),58.77)</f>
        <v>58.77</v>
      </c>
      <c r="F1470" s="1">
        <f>IFERROR(__xludf.DUMMYFUNCTION("""COMPUTED_VALUE"""),1287588.0)</f>
        <v>1287588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IFERROR(__xludf.DUMMYFUNCTION("""COMPUTED_VALUE"""),58.65)</f>
        <v>58.65</v>
      </c>
      <c r="C1471" s="1">
        <f>IFERROR(__xludf.DUMMYFUNCTION("""COMPUTED_VALUE"""),59.55)</f>
        <v>59.55</v>
      </c>
      <c r="D1471" s="1">
        <f>IFERROR(__xludf.DUMMYFUNCTION("""COMPUTED_VALUE"""),57.75)</f>
        <v>57.75</v>
      </c>
      <c r="E1471" s="1">
        <f>IFERROR(__xludf.DUMMYFUNCTION("""COMPUTED_VALUE"""),57.96)</f>
        <v>57.96</v>
      </c>
      <c r="F1471" s="1">
        <f>IFERROR(__xludf.DUMMYFUNCTION("""COMPUTED_VALUE"""),2286516.0)</f>
        <v>2286516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IFERROR(__xludf.DUMMYFUNCTION("""COMPUTED_VALUE"""),57.41)</f>
        <v>57.41</v>
      </c>
      <c r="C1472" s="1">
        <f>IFERROR(__xludf.DUMMYFUNCTION("""COMPUTED_VALUE"""),58.25)</f>
        <v>58.25</v>
      </c>
      <c r="D1472" s="1">
        <f>IFERROR(__xludf.DUMMYFUNCTION("""COMPUTED_VALUE"""),56.23)</f>
        <v>56.23</v>
      </c>
      <c r="E1472" s="1">
        <f>IFERROR(__xludf.DUMMYFUNCTION("""COMPUTED_VALUE"""),57.15)</f>
        <v>57.15</v>
      </c>
      <c r="F1472" s="1">
        <f>IFERROR(__xludf.DUMMYFUNCTION("""COMPUTED_VALUE"""),2979531.0)</f>
        <v>2979531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IFERROR(__xludf.DUMMYFUNCTION("""COMPUTED_VALUE"""),57.33)</f>
        <v>57.33</v>
      </c>
      <c r="C1473" s="1">
        <f>IFERROR(__xludf.DUMMYFUNCTION("""COMPUTED_VALUE"""),57.55)</f>
        <v>57.55</v>
      </c>
      <c r="D1473" s="1">
        <f>IFERROR(__xludf.DUMMYFUNCTION("""COMPUTED_VALUE"""),56.73)</f>
        <v>56.73</v>
      </c>
      <c r="E1473" s="1">
        <f>IFERROR(__xludf.DUMMYFUNCTION("""COMPUTED_VALUE"""),57.06)</f>
        <v>57.06</v>
      </c>
      <c r="F1473" s="1">
        <f>IFERROR(__xludf.DUMMYFUNCTION("""COMPUTED_VALUE"""),2195366.0)</f>
        <v>2195366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IFERROR(__xludf.DUMMYFUNCTION("""COMPUTED_VALUE"""),56.8)</f>
        <v>56.8</v>
      </c>
      <c r="C1474" s="1">
        <f>IFERROR(__xludf.DUMMYFUNCTION("""COMPUTED_VALUE"""),57.69)</f>
        <v>57.69</v>
      </c>
      <c r="D1474" s="1">
        <f>IFERROR(__xludf.DUMMYFUNCTION("""COMPUTED_VALUE"""),56.62)</f>
        <v>56.62</v>
      </c>
      <c r="E1474" s="1">
        <f>IFERROR(__xludf.DUMMYFUNCTION("""COMPUTED_VALUE"""),57.3)</f>
        <v>57.3</v>
      </c>
      <c r="F1474" s="1">
        <f>IFERROR(__xludf.DUMMYFUNCTION("""COMPUTED_VALUE"""),1740153.0)</f>
        <v>1740153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IFERROR(__xludf.DUMMYFUNCTION("""COMPUTED_VALUE"""),57.18)</f>
        <v>57.18</v>
      </c>
      <c r="C1475" s="1">
        <f>IFERROR(__xludf.DUMMYFUNCTION("""COMPUTED_VALUE"""),57.21)</f>
        <v>57.21</v>
      </c>
      <c r="D1475" s="1">
        <f>IFERROR(__xludf.DUMMYFUNCTION("""COMPUTED_VALUE"""),56.14)</f>
        <v>56.14</v>
      </c>
      <c r="E1475" s="1">
        <f>IFERROR(__xludf.DUMMYFUNCTION("""COMPUTED_VALUE"""),56.45)</f>
        <v>56.45</v>
      </c>
      <c r="F1475" s="1">
        <f>IFERROR(__xludf.DUMMYFUNCTION("""COMPUTED_VALUE"""),1779782.0)</f>
        <v>1779782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IFERROR(__xludf.DUMMYFUNCTION("""COMPUTED_VALUE"""),56.43)</f>
        <v>56.43</v>
      </c>
      <c r="C1476" s="1">
        <f>IFERROR(__xludf.DUMMYFUNCTION("""COMPUTED_VALUE"""),56.67)</f>
        <v>56.67</v>
      </c>
      <c r="D1476" s="1">
        <f>IFERROR(__xludf.DUMMYFUNCTION("""COMPUTED_VALUE"""),55.78)</f>
        <v>55.78</v>
      </c>
      <c r="E1476" s="1">
        <f>IFERROR(__xludf.DUMMYFUNCTION("""COMPUTED_VALUE"""),56.5)</f>
        <v>56.5</v>
      </c>
      <c r="F1476" s="1">
        <f>IFERROR(__xludf.DUMMYFUNCTION("""COMPUTED_VALUE"""),1144973.0)</f>
        <v>1144973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IFERROR(__xludf.DUMMYFUNCTION("""COMPUTED_VALUE"""),56.68)</f>
        <v>56.68</v>
      </c>
      <c r="C1477" s="1">
        <f>IFERROR(__xludf.DUMMYFUNCTION("""COMPUTED_VALUE"""),56.82)</f>
        <v>56.82</v>
      </c>
      <c r="D1477" s="1">
        <f>IFERROR(__xludf.DUMMYFUNCTION("""COMPUTED_VALUE"""),55.99)</f>
        <v>55.99</v>
      </c>
      <c r="E1477" s="1">
        <f>IFERROR(__xludf.DUMMYFUNCTION("""COMPUTED_VALUE"""),56.02)</f>
        <v>56.02</v>
      </c>
      <c r="F1477" s="1">
        <f>IFERROR(__xludf.DUMMYFUNCTION("""COMPUTED_VALUE"""),1193148.0)</f>
        <v>1193148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IFERROR(__xludf.DUMMYFUNCTION("""COMPUTED_VALUE"""),55.6)</f>
        <v>55.6</v>
      </c>
      <c r="C1478" s="1">
        <f>IFERROR(__xludf.DUMMYFUNCTION("""COMPUTED_VALUE"""),56.1)</f>
        <v>56.1</v>
      </c>
      <c r="D1478" s="1">
        <f>IFERROR(__xludf.DUMMYFUNCTION("""COMPUTED_VALUE"""),55.45)</f>
        <v>55.45</v>
      </c>
      <c r="E1478" s="1">
        <f>IFERROR(__xludf.DUMMYFUNCTION("""COMPUTED_VALUE"""),55.45)</f>
        <v>55.45</v>
      </c>
      <c r="F1478" s="1">
        <f>IFERROR(__xludf.DUMMYFUNCTION("""COMPUTED_VALUE"""),1453976.0)</f>
        <v>1453976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IFERROR(__xludf.DUMMYFUNCTION("""COMPUTED_VALUE"""),55.23)</f>
        <v>55.23</v>
      </c>
      <c r="C1479" s="1">
        <f>IFERROR(__xludf.DUMMYFUNCTION("""COMPUTED_VALUE"""),55.49)</f>
        <v>55.49</v>
      </c>
      <c r="D1479" s="1">
        <f>IFERROR(__xludf.DUMMYFUNCTION("""COMPUTED_VALUE"""),53.84)</f>
        <v>53.84</v>
      </c>
      <c r="E1479" s="1">
        <f>IFERROR(__xludf.DUMMYFUNCTION("""COMPUTED_VALUE"""),53.98)</f>
        <v>53.98</v>
      </c>
      <c r="F1479" s="1">
        <f>IFERROR(__xludf.DUMMYFUNCTION("""COMPUTED_VALUE"""),1833558.0)</f>
        <v>1833558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IFERROR(__xludf.DUMMYFUNCTION("""COMPUTED_VALUE"""),53.8)</f>
        <v>53.8</v>
      </c>
      <c r="C1480" s="1">
        <f>IFERROR(__xludf.DUMMYFUNCTION("""COMPUTED_VALUE"""),55.05)</f>
        <v>55.05</v>
      </c>
      <c r="D1480" s="1">
        <f>IFERROR(__xludf.DUMMYFUNCTION("""COMPUTED_VALUE"""),53.46)</f>
        <v>53.46</v>
      </c>
      <c r="E1480" s="1">
        <f>IFERROR(__xludf.DUMMYFUNCTION("""COMPUTED_VALUE"""),55.02)</f>
        <v>55.02</v>
      </c>
      <c r="F1480" s="1">
        <f>IFERROR(__xludf.DUMMYFUNCTION("""COMPUTED_VALUE"""),1820926.0)</f>
        <v>1820926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IFERROR(__xludf.DUMMYFUNCTION("""COMPUTED_VALUE"""),54.99)</f>
        <v>54.99</v>
      </c>
      <c r="C1481" s="1">
        <f>IFERROR(__xludf.DUMMYFUNCTION("""COMPUTED_VALUE"""),56.4)</f>
        <v>56.4</v>
      </c>
      <c r="D1481" s="1">
        <f>IFERROR(__xludf.DUMMYFUNCTION("""COMPUTED_VALUE"""),54.99)</f>
        <v>54.99</v>
      </c>
      <c r="E1481" s="1">
        <f>IFERROR(__xludf.DUMMYFUNCTION("""COMPUTED_VALUE"""),55.62)</f>
        <v>55.62</v>
      </c>
      <c r="F1481" s="1">
        <f>IFERROR(__xludf.DUMMYFUNCTION("""COMPUTED_VALUE"""),2071313.0)</f>
        <v>2071313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IFERROR(__xludf.DUMMYFUNCTION("""COMPUTED_VALUE"""),55.9)</f>
        <v>55.9</v>
      </c>
      <c r="C1482" s="1">
        <f>IFERROR(__xludf.DUMMYFUNCTION("""COMPUTED_VALUE"""),56.69)</f>
        <v>56.69</v>
      </c>
      <c r="D1482" s="1">
        <f>IFERROR(__xludf.DUMMYFUNCTION("""COMPUTED_VALUE"""),55.66)</f>
        <v>55.66</v>
      </c>
      <c r="E1482" s="1">
        <f>IFERROR(__xludf.DUMMYFUNCTION("""COMPUTED_VALUE"""),56.68)</f>
        <v>56.68</v>
      </c>
      <c r="F1482" s="1">
        <f>IFERROR(__xludf.DUMMYFUNCTION("""COMPUTED_VALUE"""),1646874.0)</f>
        <v>1646874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IFERROR(__xludf.DUMMYFUNCTION("""COMPUTED_VALUE"""),56.54)</f>
        <v>56.54</v>
      </c>
      <c r="C1483" s="1">
        <f>IFERROR(__xludf.DUMMYFUNCTION("""COMPUTED_VALUE"""),57.05)</f>
        <v>57.05</v>
      </c>
      <c r="D1483" s="1">
        <f>IFERROR(__xludf.DUMMYFUNCTION("""COMPUTED_VALUE"""),56.1)</f>
        <v>56.1</v>
      </c>
      <c r="E1483" s="1">
        <f>IFERROR(__xludf.DUMMYFUNCTION("""COMPUTED_VALUE"""),56.35)</f>
        <v>56.35</v>
      </c>
      <c r="F1483" s="1">
        <f>IFERROR(__xludf.DUMMYFUNCTION("""COMPUTED_VALUE"""),1427290.0)</f>
        <v>1427290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IFERROR(__xludf.DUMMYFUNCTION("""COMPUTED_VALUE"""),56.7)</f>
        <v>56.7</v>
      </c>
      <c r="C1484" s="1">
        <f>IFERROR(__xludf.DUMMYFUNCTION("""COMPUTED_VALUE"""),57.65)</f>
        <v>57.65</v>
      </c>
      <c r="D1484" s="1">
        <f>IFERROR(__xludf.DUMMYFUNCTION("""COMPUTED_VALUE"""),56.6)</f>
        <v>56.6</v>
      </c>
      <c r="E1484" s="1">
        <f>IFERROR(__xludf.DUMMYFUNCTION("""COMPUTED_VALUE"""),57.41)</f>
        <v>57.41</v>
      </c>
      <c r="F1484" s="1">
        <f>IFERROR(__xludf.DUMMYFUNCTION("""COMPUTED_VALUE"""),1775766.0)</f>
        <v>1775766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IFERROR(__xludf.DUMMYFUNCTION("""COMPUTED_VALUE"""),57.09)</f>
        <v>57.09</v>
      </c>
      <c r="C1485" s="1">
        <f>IFERROR(__xludf.DUMMYFUNCTION("""COMPUTED_VALUE"""),57.23)</f>
        <v>57.23</v>
      </c>
      <c r="D1485" s="1">
        <f>IFERROR(__xludf.DUMMYFUNCTION("""COMPUTED_VALUE"""),56.46)</f>
        <v>56.46</v>
      </c>
      <c r="E1485" s="1">
        <f>IFERROR(__xludf.DUMMYFUNCTION("""COMPUTED_VALUE"""),56.63)</f>
        <v>56.63</v>
      </c>
      <c r="F1485" s="1">
        <f>IFERROR(__xludf.DUMMYFUNCTION("""COMPUTED_VALUE"""),1728070.0)</f>
        <v>1728070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IFERROR(__xludf.DUMMYFUNCTION("""COMPUTED_VALUE"""),56.16)</f>
        <v>56.16</v>
      </c>
      <c r="C1486" s="1">
        <f>IFERROR(__xludf.DUMMYFUNCTION("""COMPUTED_VALUE"""),57.59)</f>
        <v>57.59</v>
      </c>
      <c r="D1486" s="1">
        <f>IFERROR(__xludf.DUMMYFUNCTION("""COMPUTED_VALUE"""),56.15)</f>
        <v>56.15</v>
      </c>
      <c r="E1486" s="1">
        <f>IFERROR(__xludf.DUMMYFUNCTION("""COMPUTED_VALUE"""),57.31)</f>
        <v>57.31</v>
      </c>
      <c r="F1486" s="1">
        <f>IFERROR(__xludf.DUMMYFUNCTION("""COMPUTED_VALUE"""),1516393.0)</f>
        <v>1516393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IFERROR(__xludf.DUMMYFUNCTION("""COMPUTED_VALUE"""),57.46)</f>
        <v>57.46</v>
      </c>
      <c r="C1487" s="1">
        <f>IFERROR(__xludf.DUMMYFUNCTION("""COMPUTED_VALUE"""),58.21)</f>
        <v>58.21</v>
      </c>
      <c r="D1487" s="1">
        <f>IFERROR(__xludf.DUMMYFUNCTION("""COMPUTED_VALUE"""),57.26)</f>
        <v>57.26</v>
      </c>
      <c r="E1487" s="1">
        <f>IFERROR(__xludf.DUMMYFUNCTION("""COMPUTED_VALUE"""),57.89)</f>
        <v>57.89</v>
      </c>
      <c r="F1487" s="1">
        <f>IFERROR(__xludf.DUMMYFUNCTION("""COMPUTED_VALUE"""),1252379.0)</f>
        <v>1252379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IFERROR(__xludf.DUMMYFUNCTION("""COMPUTED_VALUE"""),57.86)</f>
        <v>57.86</v>
      </c>
      <c r="C1488" s="1">
        <f>IFERROR(__xludf.DUMMYFUNCTION("""COMPUTED_VALUE"""),57.86)</f>
        <v>57.86</v>
      </c>
      <c r="D1488" s="1">
        <f>IFERROR(__xludf.DUMMYFUNCTION("""COMPUTED_VALUE"""),56.93)</f>
        <v>56.93</v>
      </c>
      <c r="E1488" s="1">
        <f>IFERROR(__xludf.DUMMYFUNCTION("""COMPUTED_VALUE"""),57.41)</f>
        <v>57.41</v>
      </c>
      <c r="F1488" s="1">
        <f>IFERROR(__xludf.DUMMYFUNCTION("""COMPUTED_VALUE"""),727439.0)</f>
        <v>727439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IFERROR(__xludf.DUMMYFUNCTION("""COMPUTED_VALUE"""),57.31)</f>
        <v>57.31</v>
      </c>
      <c r="C1489" s="1">
        <f>IFERROR(__xludf.DUMMYFUNCTION("""COMPUTED_VALUE"""),57.64)</f>
        <v>57.64</v>
      </c>
      <c r="D1489" s="1">
        <f>IFERROR(__xludf.DUMMYFUNCTION("""COMPUTED_VALUE"""),56.84)</f>
        <v>56.84</v>
      </c>
      <c r="E1489" s="1">
        <f>IFERROR(__xludf.DUMMYFUNCTION("""COMPUTED_VALUE"""),57.3)</f>
        <v>57.3</v>
      </c>
      <c r="F1489" s="1">
        <f>IFERROR(__xludf.DUMMYFUNCTION("""COMPUTED_VALUE"""),1633674.0)</f>
        <v>1633674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IFERROR(__xludf.DUMMYFUNCTION("""COMPUTED_VALUE"""),57.36)</f>
        <v>57.36</v>
      </c>
      <c r="C1490" s="1">
        <f>IFERROR(__xludf.DUMMYFUNCTION("""COMPUTED_VALUE"""),57.95)</f>
        <v>57.95</v>
      </c>
      <c r="D1490" s="1">
        <f>IFERROR(__xludf.DUMMYFUNCTION("""COMPUTED_VALUE"""),56.79)</f>
        <v>56.79</v>
      </c>
      <c r="E1490" s="1">
        <f>IFERROR(__xludf.DUMMYFUNCTION("""COMPUTED_VALUE"""),57.26)</f>
        <v>57.26</v>
      </c>
      <c r="F1490" s="1">
        <f>IFERROR(__xludf.DUMMYFUNCTION("""COMPUTED_VALUE"""),1787289.0)</f>
        <v>1787289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IFERROR(__xludf.DUMMYFUNCTION("""COMPUTED_VALUE"""),57.27)</f>
        <v>57.27</v>
      </c>
      <c r="C1491" s="1">
        <f>IFERROR(__xludf.DUMMYFUNCTION("""COMPUTED_VALUE"""),58.11)</f>
        <v>58.11</v>
      </c>
      <c r="D1491" s="1">
        <f>IFERROR(__xludf.DUMMYFUNCTION("""COMPUTED_VALUE"""),56.52)</f>
        <v>56.52</v>
      </c>
      <c r="E1491" s="1">
        <f>IFERROR(__xludf.DUMMYFUNCTION("""COMPUTED_VALUE"""),57.98)</f>
        <v>57.98</v>
      </c>
      <c r="F1491" s="1">
        <f>IFERROR(__xludf.DUMMYFUNCTION("""COMPUTED_VALUE"""),3107979.0)</f>
        <v>3107979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IFERROR(__xludf.DUMMYFUNCTION("""COMPUTED_VALUE"""),57.99)</f>
        <v>57.99</v>
      </c>
      <c r="C1492" s="1">
        <f>IFERROR(__xludf.DUMMYFUNCTION("""COMPUTED_VALUE"""),59.14)</f>
        <v>59.14</v>
      </c>
      <c r="D1492" s="1">
        <f>IFERROR(__xludf.DUMMYFUNCTION("""COMPUTED_VALUE"""),57.64)</f>
        <v>57.64</v>
      </c>
      <c r="E1492" s="1">
        <f>IFERROR(__xludf.DUMMYFUNCTION("""COMPUTED_VALUE"""),58.22)</f>
        <v>58.22</v>
      </c>
      <c r="F1492" s="1">
        <f>IFERROR(__xludf.DUMMYFUNCTION("""COMPUTED_VALUE"""),2912343.0)</f>
        <v>2912343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IFERROR(__xludf.DUMMYFUNCTION("""COMPUTED_VALUE"""),58.34)</f>
        <v>58.34</v>
      </c>
      <c r="C1493" s="1">
        <f>IFERROR(__xludf.DUMMYFUNCTION("""COMPUTED_VALUE"""),59.56)</f>
        <v>59.56</v>
      </c>
      <c r="D1493" s="1">
        <f>IFERROR(__xludf.DUMMYFUNCTION("""COMPUTED_VALUE"""),58.13)</f>
        <v>58.13</v>
      </c>
      <c r="E1493" s="1">
        <f>IFERROR(__xludf.DUMMYFUNCTION("""COMPUTED_VALUE"""),59.22)</f>
        <v>59.22</v>
      </c>
      <c r="F1493" s="1">
        <f>IFERROR(__xludf.DUMMYFUNCTION("""COMPUTED_VALUE"""),1799744.0)</f>
        <v>1799744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IFERROR(__xludf.DUMMYFUNCTION("""COMPUTED_VALUE"""),59.21)</f>
        <v>59.21</v>
      </c>
      <c r="C1494" s="1">
        <f>IFERROR(__xludf.DUMMYFUNCTION("""COMPUTED_VALUE"""),59.22)</f>
        <v>59.22</v>
      </c>
      <c r="D1494" s="1">
        <f>IFERROR(__xludf.DUMMYFUNCTION("""COMPUTED_VALUE"""),58.2)</f>
        <v>58.2</v>
      </c>
      <c r="E1494" s="1">
        <f>IFERROR(__xludf.DUMMYFUNCTION("""COMPUTED_VALUE"""),58.69)</f>
        <v>58.69</v>
      </c>
      <c r="F1494" s="1">
        <f>IFERROR(__xludf.DUMMYFUNCTION("""COMPUTED_VALUE"""),2152293.0)</f>
        <v>2152293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IFERROR(__xludf.DUMMYFUNCTION("""COMPUTED_VALUE"""),58.28)</f>
        <v>58.28</v>
      </c>
      <c r="C1495" s="1">
        <f>IFERROR(__xludf.DUMMYFUNCTION("""COMPUTED_VALUE"""),59.75)</f>
        <v>59.75</v>
      </c>
      <c r="D1495" s="1">
        <f>IFERROR(__xludf.DUMMYFUNCTION("""COMPUTED_VALUE"""),58.2)</f>
        <v>58.2</v>
      </c>
      <c r="E1495" s="1">
        <f>IFERROR(__xludf.DUMMYFUNCTION("""COMPUTED_VALUE"""),59.25)</f>
        <v>59.25</v>
      </c>
      <c r="F1495" s="1">
        <f>IFERROR(__xludf.DUMMYFUNCTION("""COMPUTED_VALUE"""),1971332.0)</f>
        <v>1971332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IFERROR(__xludf.DUMMYFUNCTION("""COMPUTED_VALUE"""),58.95)</f>
        <v>58.95</v>
      </c>
      <c r="C1496" s="1">
        <f>IFERROR(__xludf.DUMMYFUNCTION("""COMPUTED_VALUE"""),60.0)</f>
        <v>60</v>
      </c>
      <c r="D1496" s="1">
        <f>IFERROR(__xludf.DUMMYFUNCTION("""COMPUTED_VALUE"""),58.55)</f>
        <v>58.55</v>
      </c>
      <c r="E1496" s="1">
        <f>IFERROR(__xludf.DUMMYFUNCTION("""COMPUTED_VALUE"""),58.86)</f>
        <v>58.86</v>
      </c>
      <c r="F1496" s="1">
        <f>IFERROR(__xludf.DUMMYFUNCTION("""COMPUTED_VALUE"""),1588188.0)</f>
        <v>1588188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IFERROR(__xludf.DUMMYFUNCTION("""COMPUTED_VALUE"""),58.78)</f>
        <v>58.78</v>
      </c>
      <c r="C1497" s="1">
        <f>IFERROR(__xludf.DUMMYFUNCTION("""COMPUTED_VALUE"""),59.17)</f>
        <v>59.17</v>
      </c>
      <c r="D1497" s="1">
        <f>IFERROR(__xludf.DUMMYFUNCTION("""COMPUTED_VALUE"""),58.47)</f>
        <v>58.47</v>
      </c>
      <c r="E1497" s="1">
        <f>IFERROR(__xludf.DUMMYFUNCTION("""COMPUTED_VALUE"""),58.65)</f>
        <v>58.65</v>
      </c>
      <c r="F1497" s="1">
        <f>IFERROR(__xludf.DUMMYFUNCTION("""COMPUTED_VALUE"""),1440706.0)</f>
        <v>1440706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IFERROR(__xludf.DUMMYFUNCTION("""COMPUTED_VALUE"""),57.76)</f>
        <v>57.76</v>
      </c>
      <c r="C1498" s="1">
        <f>IFERROR(__xludf.DUMMYFUNCTION("""COMPUTED_VALUE"""),58.06)</f>
        <v>58.06</v>
      </c>
      <c r="D1498" s="1">
        <f>IFERROR(__xludf.DUMMYFUNCTION("""COMPUTED_VALUE"""),57.14)</f>
        <v>57.14</v>
      </c>
      <c r="E1498" s="1">
        <f>IFERROR(__xludf.DUMMYFUNCTION("""COMPUTED_VALUE"""),57.48)</f>
        <v>57.48</v>
      </c>
      <c r="F1498" s="1">
        <f>IFERROR(__xludf.DUMMYFUNCTION("""COMPUTED_VALUE"""),1921437.0)</f>
        <v>1921437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IFERROR(__xludf.DUMMYFUNCTION("""COMPUTED_VALUE"""),57.65)</f>
        <v>57.65</v>
      </c>
      <c r="C1499" s="1">
        <f>IFERROR(__xludf.DUMMYFUNCTION("""COMPUTED_VALUE"""),58.72)</f>
        <v>58.72</v>
      </c>
      <c r="D1499" s="1">
        <f>IFERROR(__xludf.DUMMYFUNCTION("""COMPUTED_VALUE"""),57.2)</f>
        <v>57.2</v>
      </c>
      <c r="E1499" s="1">
        <f>IFERROR(__xludf.DUMMYFUNCTION("""COMPUTED_VALUE"""),57.86)</f>
        <v>57.86</v>
      </c>
      <c r="F1499" s="1">
        <f>IFERROR(__xludf.DUMMYFUNCTION("""COMPUTED_VALUE"""),2755953.0)</f>
        <v>2755953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IFERROR(__xludf.DUMMYFUNCTION("""COMPUTED_VALUE"""),58.09)</f>
        <v>58.09</v>
      </c>
      <c r="C1500" s="1">
        <f>IFERROR(__xludf.DUMMYFUNCTION("""COMPUTED_VALUE"""),59.37)</f>
        <v>59.37</v>
      </c>
      <c r="D1500" s="1">
        <f>IFERROR(__xludf.DUMMYFUNCTION("""COMPUTED_VALUE"""),58.0)</f>
        <v>58</v>
      </c>
      <c r="E1500" s="1">
        <f>IFERROR(__xludf.DUMMYFUNCTION("""COMPUTED_VALUE"""),58.67)</f>
        <v>58.67</v>
      </c>
      <c r="F1500" s="1">
        <f>IFERROR(__xludf.DUMMYFUNCTION("""COMPUTED_VALUE"""),2746015.0)</f>
        <v>2746015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IFERROR(__xludf.DUMMYFUNCTION("""COMPUTED_VALUE"""),58.75)</f>
        <v>58.75</v>
      </c>
      <c r="C1501" s="1">
        <f>IFERROR(__xludf.DUMMYFUNCTION("""COMPUTED_VALUE"""),59.04)</f>
        <v>59.04</v>
      </c>
      <c r="D1501" s="1">
        <f>IFERROR(__xludf.DUMMYFUNCTION("""COMPUTED_VALUE"""),57.22)</f>
        <v>57.22</v>
      </c>
      <c r="E1501" s="1">
        <f>IFERROR(__xludf.DUMMYFUNCTION("""COMPUTED_VALUE"""),58.66)</f>
        <v>58.66</v>
      </c>
      <c r="F1501" s="1">
        <f>IFERROR(__xludf.DUMMYFUNCTION("""COMPUTED_VALUE"""),3797802.0)</f>
        <v>3797802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IFERROR(__xludf.DUMMYFUNCTION("""COMPUTED_VALUE"""),58.81)</f>
        <v>58.81</v>
      </c>
      <c r="C1502" s="1">
        <f>IFERROR(__xludf.DUMMYFUNCTION("""COMPUTED_VALUE"""),59.16)</f>
        <v>59.16</v>
      </c>
      <c r="D1502" s="1">
        <f>IFERROR(__xludf.DUMMYFUNCTION("""COMPUTED_VALUE"""),57.11)</f>
        <v>57.11</v>
      </c>
      <c r="E1502" s="1">
        <f>IFERROR(__xludf.DUMMYFUNCTION("""COMPUTED_VALUE"""),57.15)</f>
        <v>57.15</v>
      </c>
      <c r="F1502" s="1">
        <f>IFERROR(__xludf.DUMMYFUNCTION("""COMPUTED_VALUE"""),4760339.0)</f>
        <v>4760339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IFERROR(__xludf.DUMMYFUNCTION("""COMPUTED_VALUE"""),53.44)</f>
        <v>53.44</v>
      </c>
      <c r="C1503" s="1">
        <f>IFERROR(__xludf.DUMMYFUNCTION("""COMPUTED_VALUE"""),53.9)</f>
        <v>53.9</v>
      </c>
      <c r="D1503" s="1">
        <f>IFERROR(__xludf.DUMMYFUNCTION("""COMPUTED_VALUE"""),50.57)</f>
        <v>50.57</v>
      </c>
      <c r="E1503" s="1">
        <f>IFERROR(__xludf.DUMMYFUNCTION("""COMPUTED_VALUE"""),53.49)</f>
        <v>53.49</v>
      </c>
      <c r="F1503" s="1">
        <f>IFERROR(__xludf.DUMMYFUNCTION("""COMPUTED_VALUE"""),2.0292972E7)</f>
        <v>20292972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IFERROR(__xludf.DUMMYFUNCTION("""COMPUTED_VALUE"""),53.08)</f>
        <v>53.08</v>
      </c>
      <c r="C1504" s="1">
        <f>IFERROR(__xludf.DUMMYFUNCTION("""COMPUTED_VALUE"""),53.25)</f>
        <v>53.25</v>
      </c>
      <c r="D1504" s="1">
        <f>IFERROR(__xludf.DUMMYFUNCTION("""COMPUTED_VALUE"""),51.04)</f>
        <v>51.04</v>
      </c>
      <c r="E1504" s="1">
        <f>IFERROR(__xludf.DUMMYFUNCTION("""COMPUTED_VALUE"""),52.53)</f>
        <v>52.53</v>
      </c>
      <c r="F1504" s="1">
        <f>IFERROR(__xludf.DUMMYFUNCTION("""COMPUTED_VALUE"""),7230553.0)</f>
        <v>7230553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IFERROR(__xludf.DUMMYFUNCTION("""COMPUTED_VALUE"""),52.66)</f>
        <v>52.66</v>
      </c>
      <c r="C1505" s="1">
        <f>IFERROR(__xludf.DUMMYFUNCTION("""COMPUTED_VALUE"""),52.79)</f>
        <v>52.79</v>
      </c>
      <c r="D1505" s="1">
        <f>IFERROR(__xludf.DUMMYFUNCTION("""COMPUTED_VALUE"""),51.19)</f>
        <v>51.19</v>
      </c>
      <c r="E1505" s="1">
        <f>IFERROR(__xludf.DUMMYFUNCTION("""COMPUTED_VALUE"""),51.62)</f>
        <v>51.62</v>
      </c>
      <c r="F1505" s="1">
        <f>IFERROR(__xludf.DUMMYFUNCTION("""COMPUTED_VALUE"""),4475278.0)</f>
        <v>4475278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IFERROR(__xludf.DUMMYFUNCTION("""COMPUTED_VALUE"""),52.12)</f>
        <v>52.12</v>
      </c>
      <c r="C1506" s="1">
        <f>IFERROR(__xludf.DUMMYFUNCTION("""COMPUTED_VALUE"""),53.82)</f>
        <v>53.82</v>
      </c>
      <c r="D1506" s="1">
        <f>IFERROR(__xludf.DUMMYFUNCTION("""COMPUTED_VALUE"""),51.73)</f>
        <v>51.73</v>
      </c>
      <c r="E1506" s="1">
        <f>IFERROR(__xludf.DUMMYFUNCTION("""COMPUTED_VALUE"""),53.62)</f>
        <v>53.62</v>
      </c>
      <c r="F1506" s="1">
        <f>IFERROR(__xludf.DUMMYFUNCTION("""COMPUTED_VALUE"""),2923334.0)</f>
        <v>2923334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IFERROR(__xludf.DUMMYFUNCTION("""COMPUTED_VALUE"""),53.52)</f>
        <v>53.52</v>
      </c>
      <c r="C1507" s="1">
        <f>IFERROR(__xludf.DUMMYFUNCTION("""COMPUTED_VALUE"""),53.75)</f>
        <v>53.75</v>
      </c>
      <c r="D1507" s="1">
        <f>IFERROR(__xludf.DUMMYFUNCTION("""COMPUTED_VALUE"""),53.01)</f>
        <v>53.01</v>
      </c>
      <c r="E1507" s="1">
        <f>IFERROR(__xludf.DUMMYFUNCTION("""COMPUTED_VALUE"""),53.23)</f>
        <v>53.23</v>
      </c>
      <c r="F1507" s="1">
        <f>IFERROR(__xludf.DUMMYFUNCTION("""COMPUTED_VALUE"""),849845.0)</f>
        <v>849845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IFERROR(__xludf.DUMMYFUNCTION("""COMPUTED_VALUE"""),53.0)</f>
        <v>53</v>
      </c>
      <c r="C1508" s="1">
        <f>IFERROR(__xludf.DUMMYFUNCTION("""COMPUTED_VALUE"""),53.32)</f>
        <v>53.32</v>
      </c>
      <c r="D1508" s="1">
        <f>IFERROR(__xludf.DUMMYFUNCTION("""COMPUTED_VALUE"""),52.3)</f>
        <v>52.3</v>
      </c>
      <c r="E1508" s="1">
        <f>IFERROR(__xludf.DUMMYFUNCTION("""COMPUTED_VALUE"""),53.18)</f>
        <v>53.18</v>
      </c>
      <c r="F1508" s="1">
        <f>IFERROR(__xludf.DUMMYFUNCTION("""COMPUTED_VALUE"""),1743040.0)</f>
        <v>1743040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IFERROR(__xludf.DUMMYFUNCTION("""COMPUTED_VALUE"""),53.57)</f>
        <v>53.57</v>
      </c>
      <c r="C1509" s="1">
        <f>IFERROR(__xludf.DUMMYFUNCTION("""COMPUTED_VALUE"""),54.76)</f>
        <v>54.76</v>
      </c>
      <c r="D1509" s="1">
        <f>IFERROR(__xludf.DUMMYFUNCTION("""COMPUTED_VALUE"""),53.48)</f>
        <v>53.48</v>
      </c>
      <c r="E1509" s="1">
        <f>IFERROR(__xludf.DUMMYFUNCTION("""COMPUTED_VALUE"""),54.59)</f>
        <v>54.59</v>
      </c>
      <c r="F1509" s="1">
        <f>IFERROR(__xludf.DUMMYFUNCTION("""COMPUTED_VALUE"""),2071048.0)</f>
        <v>2071048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IFERROR(__xludf.DUMMYFUNCTION("""COMPUTED_VALUE"""),54.37)</f>
        <v>54.37</v>
      </c>
      <c r="C1510" s="1">
        <f>IFERROR(__xludf.DUMMYFUNCTION("""COMPUTED_VALUE"""),54.96)</f>
        <v>54.96</v>
      </c>
      <c r="D1510" s="1">
        <f>IFERROR(__xludf.DUMMYFUNCTION("""COMPUTED_VALUE"""),54.25)</f>
        <v>54.25</v>
      </c>
      <c r="E1510" s="1">
        <f>IFERROR(__xludf.DUMMYFUNCTION("""COMPUTED_VALUE"""),54.56)</f>
        <v>54.56</v>
      </c>
      <c r="F1510" s="1">
        <f>IFERROR(__xludf.DUMMYFUNCTION("""COMPUTED_VALUE"""),1970963.0)</f>
        <v>1970963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IFERROR(__xludf.DUMMYFUNCTION("""COMPUTED_VALUE"""),54.28)</f>
        <v>54.28</v>
      </c>
      <c r="C1511" s="1">
        <f>IFERROR(__xludf.DUMMYFUNCTION("""COMPUTED_VALUE"""),54.92)</f>
        <v>54.92</v>
      </c>
      <c r="D1511" s="1">
        <f>IFERROR(__xludf.DUMMYFUNCTION("""COMPUTED_VALUE"""),53.97)</f>
        <v>53.97</v>
      </c>
      <c r="E1511" s="1">
        <f>IFERROR(__xludf.DUMMYFUNCTION("""COMPUTED_VALUE"""),53.97)</f>
        <v>53.97</v>
      </c>
      <c r="F1511" s="1">
        <f>IFERROR(__xludf.DUMMYFUNCTION("""COMPUTED_VALUE"""),1689020.0)</f>
        <v>1689020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IFERROR(__xludf.DUMMYFUNCTION("""COMPUTED_VALUE"""),53.1)</f>
        <v>53.1</v>
      </c>
      <c r="C1512" s="1">
        <f>IFERROR(__xludf.DUMMYFUNCTION("""COMPUTED_VALUE"""),53.1)</f>
        <v>53.1</v>
      </c>
      <c r="D1512" s="1">
        <f>IFERROR(__xludf.DUMMYFUNCTION("""COMPUTED_VALUE"""),51.92)</f>
        <v>51.92</v>
      </c>
      <c r="E1512" s="1">
        <f>IFERROR(__xludf.DUMMYFUNCTION("""COMPUTED_VALUE"""),52.37)</f>
        <v>52.37</v>
      </c>
      <c r="F1512" s="1">
        <f>IFERROR(__xludf.DUMMYFUNCTION("""COMPUTED_VALUE"""),3222899.0)</f>
        <v>3222899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IFERROR(__xludf.DUMMYFUNCTION("""COMPUTED_VALUE"""),52.46)</f>
        <v>52.46</v>
      </c>
      <c r="C1513" s="1">
        <f>IFERROR(__xludf.DUMMYFUNCTION("""COMPUTED_VALUE"""),52.75)</f>
        <v>52.75</v>
      </c>
      <c r="D1513" s="1">
        <f>IFERROR(__xludf.DUMMYFUNCTION("""COMPUTED_VALUE"""),51.74)</f>
        <v>51.74</v>
      </c>
      <c r="E1513" s="1">
        <f>IFERROR(__xludf.DUMMYFUNCTION("""COMPUTED_VALUE"""),52.12)</f>
        <v>52.12</v>
      </c>
      <c r="F1513" s="1">
        <f>IFERROR(__xludf.DUMMYFUNCTION("""COMPUTED_VALUE"""),2752534.0)</f>
        <v>2752534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IFERROR(__xludf.DUMMYFUNCTION("""COMPUTED_VALUE"""),49.78)</f>
        <v>49.78</v>
      </c>
      <c r="C1514" s="1">
        <f>IFERROR(__xludf.DUMMYFUNCTION("""COMPUTED_VALUE"""),50.72)</f>
        <v>50.72</v>
      </c>
      <c r="D1514" s="1">
        <f>IFERROR(__xludf.DUMMYFUNCTION("""COMPUTED_VALUE"""),47.7)</f>
        <v>47.7</v>
      </c>
      <c r="E1514" s="1">
        <f>IFERROR(__xludf.DUMMYFUNCTION("""COMPUTED_VALUE"""),48.31)</f>
        <v>48.31</v>
      </c>
      <c r="F1514" s="1">
        <f>IFERROR(__xludf.DUMMYFUNCTION("""COMPUTED_VALUE"""),7665791.0)</f>
        <v>7665791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IFERROR(__xludf.DUMMYFUNCTION("""COMPUTED_VALUE"""),47.67)</f>
        <v>47.67</v>
      </c>
      <c r="C1515" s="1">
        <f>IFERROR(__xludf.DUMMYFUNCTION("""COMPUTED_VALUE"""),47.9)</f>
        <v>47.9</v>
      </c>
      <c r="D1515" s="1">
        <f>IFERROR(__xludf.DUMMYFUNCTION("""COMPUTED_VALUE"""),46.75)</f>
        <v>46.75</v>
      </c>
      <c r="E1515" s="1">
        <f>IFERROR(__xludf.DUMMYFUNCTION("""COMPUTED_VALUE"""),47.11)</f>
        <v>47.11</v>
      </c>
      <c r="F1515" s="1">
        <f>IFERROR(__xludf.DUMMYFUNCTION("""COMPUTED_VALUE"""),7094200.0)</f>
        <v>7094200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IFERROR(__xludf.DUMMYFUNCTION("""COMPUTED_VALUE"""),47.7)</f>
        <v>47.7</v>
      </c>
      <c r="C1516" s="1">
        <f>IFERROR(__xludf.DUMMYFUNCTION("""COMPUTED_VALUE"""),47.99)</f>
        <v>47.99</v>
      </c>
      <c r="D1516" s="1">
        <f>IFERROR(__xludf.DUMMYFUNCTION("""COMPUTED_VALUE"""),46.7)</f>
        <v>46.7</v>
      </c>
      <c r="E1516" s="1">
        <f>IFERROR(__xludf.DUMMYFUNCTION("""COMPUTED_VALUE"""),46.8)</f>
        <v>46.8</v>
      </c>
      <c r="F1516" s="1">
        <f>IFERROR(__xludf.DUMMYFUNCTION("""COMPUTED_VALUE"""),4827229.0)</f>
        <v>4827229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IFERROR(__xludf.DUMMYFUNCTION("""COMPUTED_VALUE"""),46.96)</f>
        <v>46.96</v>
      </c>
      <c r="C1517" s="1">
        <f>IFERROR(__xludf.DUMMYFUNCTION("""COMPUTED_VALUE"""),47.19)</f>
        <v>47.19</v>
      </c>
      <c r="D1517" s="1">
        <f>IFERROR(__xludf.DUMMYFUNCTION("""COMPUTED_VALUE"""),46.18)</f>
        <v>46.18</v>
      </c>
      <c r="E1517" s="1">
        <f>IFERROR(__xludf.DUMMYFUNCTION("""COMPUTED_VALUE"""),46.99)</f>
        <v>46.99</v>
      </c>
      <c r="F1517" s="1">
        <f>IFERROR(__xludf.DUMMYFUNCTION("""COMPUTED_VALUE"""),3452510.0)</f>
        <v>3452510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IFERROR(__xludf.DUMMYFUNCTION("""COMPUTED_VALUE"""),48.07)</f>
        <v>48.07</v>
      </c>
      <c r="C1518" s="1">
        <f>IFERROR(__xludf.DUMMYFUNCTION("""COMPUTED_VALUE"""),48.69)</f>
        <v>48.69</v>
      </c>
      <c r="D1518" s="1">
        <f>IFERROR(__xludf.DUMMYFUNCTION("""COMPUTED_VALUE"""),46.86)</f>
        <v>46.86</v>
      </c>
      <c r="E1518" s="1">
        <f>IFERROR(__xludf.DUMMYFUNCTION("""COMPUTED_VALUE"""),47.66)</f>
        <v>47.66</v>
      </c>
      <c r="F1518" s="1">
        <f>IFERROR(__xludf.DUMMYFUNCTION("""COMPUTED_VALUE"""),3438339.0)</f>
        <v>3438339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IFERROR(__xludf.DUMMYFUNCTION("""COMPUTED_VALUE"""),47.83)</f>
        <v>47.83</v>
      </c>
      <c r="C1519" s="1">
        <f>IFERROR(__xludf.DUMMYFUNCTION("""COMPUTED_VALUE"""),48.02)</f>
        <v>48.02</v>
      </c>
      <c r="D1519" s="1">
        <f>IFERROR(__xludf.DUMMYFUNCTION("""COMPUTED_VALUE"""),45.98)</f>
        <v>45.98</v>
      </c>
      <c r="E1519" s="1">
        <f>IFERROR(__xludf.DUMMYFUNCTION("""COMPUTED_VALUE"""),46.24)</f>
        <v>46.24</v>
      </c>
      <c r="F1519" s="1">
        <f>IFERROR(__xludf.DUMMYFUNCTION("""COMPUTED_VALUE"""),3750020.0)</f>
        <v>3750020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IFERROR(__xludf.DUMMYFUNCTION("""COMPUTED_VALUE"""),46.26)</f>
        <v>46.26</v>
      </c>
      <c r="C1520" s="1">
        <f>IFERROR(__xludf.DUMMYFUNCTION("""COMPUTED_VALUE"""),47.35)</f>
        <v>47.35</v>
      </c>
      <c r="D1520" s="1">
        <f>IFERROR(__xludf.DUMMYFUNCTION("""COMPUTED_VALUE"""),45.44)</f>
        <v>45.44</v>
      </c>
      <c r="E1520" s="1">
        <f>IFERROR(__xludf.DUMMYFUNCTION("""COMPUTED_VALUE"""),47.06)</f>
        <v>47.06</v>
      </c>
      <c r="F1520" s="1">
        <f>IFERROR(__xludf.DUMMYFUNCTION("""COMPUTED_VALUE"""),3649322.0)</f>
        <v>3649322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IFERROR(__xludf.DUMMYFUNCTION("""COMPUTED_VALUE"""),45.6)</f>
        <v>45.6</v>
      </c>
      <c r="C1521" s="1">
        <f>IFERROR(__xludf.DUMMYFUNCTION("""COMPUTED_VALUE"""),45.94)</f>
        <v>45.94</v>
      </c>
      <c r="D1521" s="1">
        <f>IFERROR(__xludf.DUMMYFUNCTION("""COMPUTED_VALUE"""),44.09)</f>
        <v>44.09</v>
      </c>
      <c r="E1521" s="1">
        <f>IFERROR(__xludf.DUMMYFUNCTION("""COMPUTED_VALUE"""),45.02)</f>
        <v>45.02</v>
      </c>
      <c r="F1521" s="1">
        <f>IFERROR(__xludf.DUMMYFUNCTION("""COMPUTED_VALUE"""),5513357.0)</f>
        <v>5513357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IFERROR(__xludf.DUMMYFUNCTION("""COMPUTED_VALUE"""),45.16)</f>
        <v>45.16</v>
      </c>
      <c r="C1522" s="1">
        <f>IFERROR(__xludf.DUMMYFUNCTION("""COMPUTED_VALUE"""),45.5)</f>
        <v>45.5</v>
      </c>
      <c r="D1522" s="1">
        <f>IFERROR(__xludf.DUMMYFUNCTION("""COMPUTED_VALUE"""),42.39)</f>
        <v>42.39</v>
      </c>
      <c r="E1522" s="1">
        <f>IFERROR(__xludf.DUMMYFUNCTION("""COMPUTED_VALUE"""),42.99)</f>
        <v>42.99</v>
      </c>
      <c r="F1522" s="1">
        <f>IFERROR(__xludf.DUMMYFUNCTION("""COMPUTED_VALUE"""),5707879.0)</f>
        <v>5707879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IFERROR(__xludf.DUMMYFUNCTION("""COMPUTED_VALUE"""),42.4)</f>
        <v>42.4</v>
      </c>
      <c r="C1523" s="1">
        <f>IFERROR(__xludf.DUMMYFUNCTION("""COMPUTED_VALUE"""),45.16)</f>
        <v>45.16</v>
      </c>
      <c r="D1523" s="1">
        <f>IFERROR(__xludf.DUMMYFUNCTION("""COMPUTED_VALUE"""),41.88)</f>
        <v>41.88</v>
      </c>
      <c r="E1523" s="1">
        <f>IFERROR(__xludf.DUMMYFUNCTION("""COMPUTED_VALUE"""),44.89)</f>
        <v>44.89</v>
      </c>
      <c r="F1523" s="1">
        <f>IFERROR(__xludf.DUMMYFUNCTION("""COMPUTED_VALUE"""),6224686.0)</f>
        <v>6224686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IFERROR(__xludf.DUMMYFUNCTION("""COMPUTED_VALUE"""),44.94)</f>
        <v>44.94</v>
      </c>
      <c r="C1524" s="1">
        <f>IFERROR(__xludf.DUMMYFUNCTION("""COMPUTED_VALUE"""),47.12)</f>
        <v>47.12</v>
      </c>
      <c r="D1524" s="1">
        <f>IFERROR(__xludf.DUMMYFUNCTION("""COMPUTED_VALUE"""),44.87)</f>
        <v>44.87</v>
      </c>
      <c r="E1524" s="1">
        <f>IFERROR(__xludf.DUMMYFUNCTION("""COMPUTED_VALUE"""),45.78)</f>
        <v>45.78</v>
      </c>
      <c r="F1524" s="1">
        <f>IFERROR(__xludf.DUMMYFUNCTION("""COMPUTED_VALUE"""),4305129.0)</f>
        <v>4305129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IFERROR(__xludf.DUMMYFUNCTION("""COMPUTED_VALUE"""),46.58)</f>
        <v>46.58</v>
      </c>
      <c r="C1525" s="1">
        <f>IFERROR(__xludf.DUMMYFUNCTION("""COMPUTED_VALUE"""),46.85)</f>
        <v>46.85</v>
      </c>
      <c r="D1525" s="1">
        <f>IFERROR(__xludf.DUMMYFUNCTION("""COMPUTED_VALUE"""),45.46)</f>
        <v>45.46</v>
      </c>
      <c r="E1525" s="1">
        <f>IFERROR(__xludf.DUMMYFUNCTION("""COMPUTED_VALUE"""),45.85)</f>
        <v>45.85</v>
      </c>
      <c r="F1525" s="1">
        <f>IFERROR(__xludf.DUMMYFUNCTION("""COMPUTED_VALUE"""),2392170.0)</f>
        <v>2392170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IFERROR(__xludf.DUMMYFUNCTION("""COMPUTED_VALUE"""),45.68)</f>
        <v>45.68</v>
      </c>
      <c r="C1526" s="1">
        <f>IFERROR(__xludf.DUMMYFUNCTION("""COMPUTED_VALUE"""),45.86)</f>
        <v>45.86</v>
      </c>
      <c r="D1526" s="1">
        <f>IFERROR(__xludf.DUMMYFUNCTION("""COMPUTED_VALUE"""),44.9)</f>
        <v>44.9</v>
      </c>
      <c r="E1526" s="1">
        <f>IFERROR(__xludf.DUMMYFUNCTION("""COMPUTED_VALUE"""),44.98)</f>
        <v>44.98</v>
      </c>
      <c r="F1526" s="1">
        <f>IFERROR(__xludf.DUMMYFUNCTION("""COMPUTED_VALUE"""),3055719.0)</f>
        <v>3055719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IFERROR(__xludf.DUMMYFUNCTION("""COMPUTED_VALUE"""),45.19)</f>
        <v>45.19</v>
      </c>
      <c r="C1527" s="1">
        <f>IFERROR(__xludf.DUMMYFUNCTION("""COMPUTED_VALUE"""),46.02)</f>
        <v>46.02</v>
      </c>
      <c r="D1527" s="1">
        <f>IFERROR(__xludf.DUMMYFUNCTION("""COMPUTED_VALUE"""),44.81)</f>
        <v>44.81</v>
      </c>
      <c r="E1527" s="1">
        <f>IFERROR(__xludf.DUMMYFUNCTION("""COMPUTED_VALUE"""),45.99)</f>
        <v>45.99</v>
      </c>
      <c r="F1527" s="1">
        <f>IFERROR(__xludf.DUMMYFUNCTION("""COMPUTED_VALUE"""),2451141.0)</f>
        <v>2451141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IFERROR(__xludf.DUMMYFUNCTION("""COMPUTED_VALUE"""),45.57)</f>
        <v>45.57</v>
      </c>
      <c r="C1528" s="1">
        <f>IFERROR(__xludf.DUMMYFUNCTION("""COMPUTED_VALUE"""),46.05)</f>
        <v>46.05</v>
      </c>
      <c r="D1528" s="1">
        <f>IFERROR(__xludf.DUMMYFUNCTION("""COMPUTED_VALUE"""),44.22)</f>
        <v>44.22</v>
      </c>
      <c r="E1528" s="1">
        <f>IFERROR(__xludf.DUMMYFUNCTION("""COMPUTED_VALUE"""),44.64)</f>
        <v>44.64</v>
      </c>
      <c r="F1528" s="1">
        <f>IFERROR(__xludf.DUMMYFUNCTION("""COMPUTED_VALUE"""),4091859.0)</f>
        <v>4091859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IFERROR(__xludf.DUMMYFUNCTION("""COMPUTED_VALUE"""),44.95)</f>
        <v>44.95</v>
      </c>
      <c r="C1529" s="1">
        <f>IFERROR(__xludf.DUMMYFUNCTION("""COMPUTED_VALUE"""),45.13)</f>
        <v>45.13</v>
      </c>
      <c r="D1529" s="1">
        <f>IFERROR(__xludf.DUMMYFUNCTION("""COMPUTED_VALUE"""),42.73)</f>
        <v>42.73</v>
      </c>
      <c r="E1529" s="1">
        <f>IFERROR(__xludf.DUMMYFUNCTION("""COMPUTED_VALUE"""),42.9)</f>
        <v>42.9</v>
      </c>
      <c r="F1529" s="1">
        <f>IFERROR(__xludf.DUMMYFUNCTION("""COMPUTED_VALUE"""),5784574.0)</f>
        <v>5784574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IFERROR(__xludf.DUMMYFUNCTION("""COMPUTED_VALUE"""),43.19)</f>
        <v>43.19</v>
      </c>
      <c r="C1530" s="1">
        <f>IFERROR(__xludf.DUMMYFUNCTION("""COMPUTED_VALUE"""),44.3)</f>
        <v>44.3</v>
      </c>
      <c r="D1530" s="1">
        <f>IFERROR(__xludf.DUMMYFUNCTION("""COMPUTED_VALUE"""),42.97)</f>
        <v>42.97</v>
      </c>
      <c r="E1530" s="1">
        <f>IFERROR(__xludf.DUMMYFUNCTION("""COMPUTED_VALUE"""),44.18)</f>
        <v>44.18</v>
      </c>
      <c r="F1530" s="1">
        <f>IFERROR(__xludf.DUMMYFUNCTION("""COMPUTED_VALUE"""),4488636.0)</f>
        <v>4488636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IFERROR(__xludf.DUMMYFUNCTION("""COMPUTED_VALUE"""),43.63)</f>
        <v>43.63</v>
      </c>
      <c r="C1531" s="1">
        <f>IFERROR(__xludf.DUMMYFUNCTION("""COMPUTED_VALUE"""),44.4)</f>
        <v>44.4</v>
      </c>
      <c r="D1531" s="1">
        <f>IFERROR(__xludf.DUMMYFUNCTION("""COMPUTED_VALUE"""),41.28)</f>
        <v>41.28</v>
      </c>
      <c r="E1531" s="1">
        <f>IFERROR(__xludf.DUMMYFUNCTION("""COMPUTED_VALUE"""),43.93)</f>
        <v>43.93</v>
      </c>
      <c r="F1531" s="1">
        <f>IFERROR(__xludf.DUMMYFUNCTION("""COMPUTED_VALUE"""),6358283.0)</f>
        <v>6358283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IFERROR(__xludf.DUMMYFUNCTION("""COMPUTED_VALUE"""),43.53)</f>
        <v>43.53</v>
      </c>
      <c r="C1532" s="1">
        <f>IFERROR(__xludf.DUMMYFUNCTION("""COMPUTED_VALUE"""),43.56)</f>
        <v>43.56</v>
      </c>
      <c r="D1532" s="1">
        <f>IFERROR(__xludf.DUMMYFUNCTION("""COMPUTED_VALUE"""),41.97)</f>
        <v>41.97</v>
      </c>
      <c r="E1532" s="1">
        <f>IFERROR(__xludf.DUMMYFUNCTION("""COMPUTED_VALUE"""),42.37)</f>
        <v>42.37</v>
      </c>
      <c r="F1532" s="1">
        <f>IFERROR(__xludf.DUMMYFUNCTION("""COMPUTED_VALUE"""),3539204.0)</f>
        <v>3539204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IFERROR(__xludf.DUMMYFUNCTION("""COMPUTED_VALUE"""),42.89)</f>
        <v>42.89</v>
      </c>
      <c r="C1533" s="1">
        <f>IFERROR(__xludf.DUMMYFUNCTION("""COMPUTED_VALUE"""),42.94)</f>
        <v>42.94</v>
      </c>
      <c r="D1533" s="1">
        <f>IFERROR(__xludf.DUMMYFUNCTION("""COMPUTED_VALUE"""),41.25)</f>
        <v>41.25</v>
      </c>
      <c r="E1533" s="1">
        <f>IFERROR(__xludf.DUMMYFUNCTION("""COMPUTED_VALUE"""),42.51)</f>
        <v>42.51</v>
      </c>
      <c r="F1533" s="1">
        <f>IFERROR(__xludf.DUMMYFUNCTION("""COMPUTED_VALUE"""),3042303.0)</f>
        <v>3042303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IFERROR(__xludf.DUMMYFUNCTION("""COMPUTED_VALUE"""),42.56)</f>
        <v>42.56</v>
      </c>
      <c r="C1534" s="1">
        <f>IFERROR(__xludf.DUMMYFUNCTION("""COMPUTED_VALUE"""),44.02)</f>
        <v>44.02</v>
      </c>
      <c r="D1534" s="1">
        <f>IFERROR(__xludf.DUMMYFUNCTION("""COMPUTED_VALUE"""),41.99)</f>
        <v>41.99</v>
      </c>
      <c r="E1534" s="1">
        <f>IFERROR(__xludf.DUMMYFUNCTION("""COMPUTED_VALUE"""),43.9)</f>
        <v>43.9</v>
      </c>
      <c r="F1534" s="1">
        <f>IFERROR(__xludf.DUMMYFUNCTION("""COMPUTED_VALUE"""),3168758.0)</f>
        <v>3168758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IFERROR(__xludf.DUMMYFUNCTION("""COMPUTED_VALUE"""),43.9)</f>
        <v>43.9</v>
      </c>
      <c r="C1535" s="1">
        <f>IFERROR(__xludf.DUMMYFUNCTION("""COMPUTED_VALUE"""),44.41)</f>
        <v>44.41</v>
      </c>
      <c r="D1535" s="1">
        <f>IFERROR(__xludf.DUMMYFUNCTION("""COMPUTED_VALUE"""),43.37)</f>
        <v>43.37</v>
      </c>
      <c r="E1535" s="1">
        <f>IFERROR(__xludf.DUMMYFUNCTION("""COMPUTED_VALUE"""),44.15)</f>
        <v>44.15</v>
      </c>
      <c r="F1535" s="1">
        <f>IFERROR(__xludf.DUMMYFUNCTION("""COMPUTED_VALUE"""),3118464.0)</f>
        <v>3118464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IFERROR(__xludf.DUMMYFUNCTION("""COMPUTED_VALUE"""),43.75)</f>
        <v>43.75</v>
      </c>
      <c r="C1536" s="1">
        <f>IFERROR(__xludf.DUMMYFUNCTION("""COMPUTED_VALUE"""),43.92)</f>
        <v>43.92</v>
      </c>
      <c r="D1536" s="1">
        <f>IFERROR(__xludf.DUMMYFUNCTION("""COMPUTED_VALUE"""),42.25)</f>
        <v>42.25</v>
      </c>
      <c r="E1536" s="1">
        <f>IFERROR(__xludf.DUMMYFUNCTION("""COMPUTED_VALUE"""),42.65)</f>
        <v>42.65</v>
      </c>
      <c r="F1536" s="1">
        <f>IFERROR(__xludf.DUMMYFUNCTION("""COMPUTED_VALUE"""),2889943.0)</f>
        <v>2889943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IFERROR(__xludf.DUMMYFUNCTION("""COMPUTED_VALUE"""),42.39)</f>
        <v>42.39</v>
      </c>
      <c r="C1537" s="1">
        <f>IFERROR(__xludf.DUMMYFUNCTION("""COMPUTED_VALUE"""),43.51)</f>
        <v>43.51</v>
      </c>
      <c r="D1537" s="1">
        <f>IFERROR(__xludf.DUMMYFUNCTION("""COMPUTED_VALUE"""),42.11)</f>
        <v>42.11</v>
      </c>
      <c r="E1537" s="1">
        <f>IFERROR(__xludf.DUMMYFUNCTION("""COMPUTED_VALUE"""),42.86)</f>
        <v>42.86</v>
      </c>
      <c r="F1537" s="1">
        <f>IFERROR(__xludf.DUMMYFUNCTION("""COMPUTED_VALUE"""),2622944.0)</f>
        <v>2622944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IFERROR(__xludf.DUMMYFUNCTION("""COMPUTED_VALUE"""),43.0)</f>
        <v>43</v>
      </c>
      <c r="C1538" s="1">
        <f>IFERROR(__xludf.DUMMYFUNCTION("""COMPUTED_VALUE"""),44.4)</f>
        <v>44.4</v>
      </c>
      <c r="D1538" s="1">
        <f>IFERROR(__xludf.DUMMYFUNCTION("""COMPUTED_VALUE"""),42.71)</f>
        <v>42.71</v>
      </c>
      <c r="E1538" s="1">
        <f>IFERROR(__xludf.DUMMYFUNCTION("""COMPUTED_VALUE"""),43.13)</f>
        <v>43.13</v>
      </c>
      <c r="F1538" s="1">
        <f>IFERROR(__xludf.DUMMYFUNCTION("""COMPUTED_VALUE"""),2559524.0)</f>
        <v>2559524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IFERROR(__xludf.DUMMYFUNCTION("""COMPUTED_VALUE"""),42.11)</f>
        <v>42.11</v>
      </c>
      <c r="C1539" s="1">
        <f>IFERROR(__xludf.DUMMYFUNCTION("""COMPUTED_VALUE"""),42.97)</f>
        <v>42.97</v>
      </c>
      <c r="D1539" s="1">
        <f>IFERROR(__xludf.DUMMYFUNCTION("""COMPUTED_VALUE"""),41.46)</f>
        <v>41.46</v>
      </c>
      <c r="E1539" s="1">
        <f>IFERROR(__xludf.DUMMYFUNCTION("""COMPUTED_VALUE"""),42.15)</f>
        <v>42.15</v>
      </c>
      <c r="F1539" s="1">
        <f>IFERROR(__xludf.DUMMYFUNCTION("""COMPUTED_VALUE"""),3103963.0)</f>
        <v>3103963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IFERROR(__xludf.DUMMYFUNCTION("""COMPUTED_VALUE"""),42.88)</f>
        <v>42.88</v>
      </c>
      <c r="C1540" s="1">
        <f>IFERROR(__xludf.DUMMYFUNCTION("""COMPUTED_VALUE"""),43.75)</f>
        <v>43.75</v>
      </c>
      <c r="D1540" s="1">
        <f>IFERROR(__xludf.DUMMYFUNCTION("""COMPUTED_VALUE"""),42.09)</f>
        <v>42.09</v>
      </c>
      <c r="E1540" s="1">
        <f>IFERROR(__xludf.DUMMYFUNCTION("""COMPUTED_VALUE"""),43.63)</f>
        <v>43.63</v>
      </c>
      <c r="F1540" s="1">
        <f>IFERROR(__xludf.DUMMYFUNCTION("""COMPUTED_VALUE"""),2013508.0)</f>
        <v>2013508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IFERROR(__xludf.DUMMYFUNCTION("""COMPUTED_VALUE"""),44.33)</f>
        <v>44.33</v>
      </c>
      <c r="C1541" s="1">
        <f>IFERROR(__xludf.DUMMYFUNCTION("""COMPUTED_VALUE"""),46.19)</f>
        <v>46.19</v>
      </c>
      <c r="D1541" s="1">
        <f>IFERROR(__xludf.DUMMYFUNCTION("""COMPUTED_VALUE"""),44.13)</f>
        <v>44.13</v>
      </c>
      <c r="E1541" s="1">
        <f>IFERROR(__xludf.DUMMYFUNCTION("""COMPUTED_VALUE"""),46.04)</f>
        <v>46.04</v>
      </c>
      <c r="F1541" s="1">
        <f>IFERROR(__xludf.DUMMYFUNCTION("""COMPUTED_VALUE"""),3070400.0)</f>
        <v>3070400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IFERROR(__xludf.DUMMYFUNCTION("""COMPUTED_VALUE"""),46.74)</f>
        <v>46.74</v>
      </c>
      <c r="C1542" s="1">
        <f>IFERROR(__xludf.DUMMYFUNCTION("""COMPUTED_VALUE"""),48.94)</f>
        <v>48.94</v>
      </c>
      <c r="D1542" s="1">
        <f>IFERROR(__xludf.DUMMYFUNCTION("""COMPUTED_VALUE"""),46.69)</f>
        <v>46.69</v>
      </c>
      <c r="E1542" s="1">
        <f>IFERROR(__xludf.DUMMYFUNCTION("""COMPUTED_VALUE"""),47.95)</f>
        <v>47.95</v>
      </c>
      <c r="F1542" s="1">
        <f>IFERROR(__xludf.DUMMYFUNCTION("""COMPUTED_VALUE"""),4903907.0)</f>
        <v>4903907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IFERROR(__xludf.DUMMYFUNCTION("""COMPUTED_VALUE"""),47.77)</f>
        <v>47.77</v>
      </c>
      <c r="C1543" s="1">
        <f>IFERROR(__xludf.DUMMYFUNCTION("""COMPUTED_VALUE"""),47.98)</f>
        <v>47.98</v>
      </c>
      <c r="D1543" s="1">
        <f>IFERROR(__xludf.DUMMYFUNCTION("""COMPUTED_VALUE"""),46.36)</f>
        <v>46.36</v>
      </c>
      <c r="E1543" s="1">
        <f>IFERROR(__xludf.DUMMYFUNCTION("""COMPUTED_VALUE"""),46.64)</f>
        <v>46.64</v>
      </c>
      <c r="F1543" s="1">
        <f>IFERROR(__xludf.DUMMYFUNCTION("""COMPUTED_VALUE"""),2956750.0)</f>
        <v>2956750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IFERROR(__xludf.DUMMYFUNCTION("""COMPUTED_VALUE"""),46.32)</f>
        <v>46.32</v>
      </c>
      <c r="C1544" s="1">
        <f>IFERROR(__xludf.DUMMYFUNCTION("""COMPUTED_VALUE"""),46.32)</f>
        <v>46.32</v>
      </c>
      <c r="D1544" s="1">
        <f>IFERROR(__xludf.DUMMYFUNCTION("""COMPUTED_VALUE"""),44.3)</f>
        <v>44.3</v>
      </c>
      <c r="E1544" s="1">
        <f>IFERROR(__xludf.DUMMYFUNCTION("""COMPUTED_VALUE"""),45.36)</f>
        <v>45.36</v>
      </c>
      <c r="F1544" s="1">
        <f>IFERROR(__xludf.DUMMYFUNCTION("""COMPUTED_VALUE"""),3717772.0)</f>
        <v>3717772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IFERROR(__xludf.DUMMYFUNCTION("""COMPUTED_VALUE"""),46.01)</f>
        <v>46.01</v>
      </c>
      <c r="C1545" s="1">
        <f>IFERROR(__xludf.DUMMYFUNCTION("""COMPUTED_VALUE"""),46.93)</f>
        <v>46.93</v>
      </c>
      <c r="D1545" s="1">
        <f>IFERROR(__xludf.DUMMYFUNCTION("""COMPUTED_VALUE"""),45.65)</f>
        <v>45.65</v>
      </c>
      <c r="E1545" s="1">
        <f>IFERROR(__xludf.DUMMYFUNCTION("""COMPUTED_VALUE"""),45.85)</f>
        <v>45.85</v>
      </c>
      <c r="F1545" s="1">
        <f>IFERROR(__xludf.DUMMYFUNCTION("""COMPUTED_VALUE"""),2478245.0)</f>
        <v>2478245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IFERROR(__xludf.DUMMYFUNCTION("""COMPUTED_VALUE"""),45.82)</f>
        <v>45.82</v>
      </c>
      <c r="C1546" s="1">
        <f>IFERROR(__xludf.DUMMYFUNCTION("""COMPUTED_VALUE"""),46.33)</f>
        <v>46.33</v>
      </c>
      <c r="D1546" s="1">
        <f>IFERROR(__xludf.DUMMYFUNCTION("""COMPUTED_VALUE"""),44.54)</f>
        <v>44.54</v>
      </c>
      <c r="E1546" s="1">
        <f>IFERROR(__xludf.DUMMYFUNCTION("""COMPUTED_VALUE"""),45.47)</f>
        <v>45.47</v>
      </c>
      <c r="F1546" s="1">
        <f>IFERROR(__xludf.DUMMYFUNCTION("""COMPUTED_VALUE"""),2360565.0)</f>
        <v>2360565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IFERROR(__xludf.DUMMYFUNCTION("""COMPUTED_VALUE"""),44.71)</f>
        <v>44.71</v>
      </c>
      <c r="C1547" s="1">
        <f>IFERROR(__xludf.DUMMYFUNCTION("""COMPUTED_VALUE"""),45.28)</f>
        <v>45.28</v>
      </c>
      <c r="D1547" s="1">
        <f>IFERROR(__xludf.DUMMYFUNCTION("""COMPUTED_VALUE"""),43.47)</f>
        <v>43.47</v>
      </c>
      <c r="E1547" s="1">
        <f>IFERROR(__xludf.DUMMYFUNCTION("""COMPUTED_VALUE"""),45.19)</f>
        <v>45.19</v>
      </c>
      <c r="F1547" s="1">
        <f>IFERROR(__xludf.DUMMYFUNCTION("""COMPUTED_VALUE"""),2421178.0)</f>
        <v>2421178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IFERROR(__xludf.DUMMYFUNCTION("""COMPUTED_VALUE"""),45.22)</f>
        <v>45.22</v>
      </c>
      <c r="C1548" s="1">
        <f>IFERROR(__xludf.DUMMYFUNCTION("""COMPUTED_VALUE"""),46.27)</f>
        <v>46.27</v>
      </c>
      <c r="D1548" s="1">
        <f>IFERROR(__xludf.DUMMYFUNCTION("""COMPUTED_VALUE"""),44.75)</f>
        <v>44.75</v>
      </c>
      <c r="E1548" s="1">
        <f>IFERROR(__xludf.DUMMYFUNCTION("""COMPUTED_VALUE"""),46.26)</f>
        <v>46.26</v>
      </c>
      <c r="F1548" s="1">
        <f>IFERROR(__xludf.DUMMYFUNCTION("""COMPUTED_VALUE"""),2258015.0)</f>
        <v>2258015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IFERROR(__xludf.DUMMYFUNCTION("""COMPUTED_VALUE"""),46.6)</f>
        <v>46.6</v>
      </c>
      <c r="C1549" s="1">
        <f>IFERROR(__xludf.DUMMYFUNCTION("""COMPUTED_VALUE"""),47.61)</f>
        <v>47.61</v>
      </c>
      <c r="D1549" s="1">
        <f>IFERROR(__xludf.DUMMYFUNCTION("""COMPUTED_VALUE"""),46.22)</f>
        <v>46.22</v>
      </c>
      <c r="E1549" s="1">
        <f>IFERROR(__xludf.DUMMYFUNCTION("""COMPUTED_VALUE"""),47.2)</f>
        <v>47.2</v>
      </c>
      <c r="F1549" s="1">
        <f>IFERROR(__xludf.DUMMYFUNCTION("""COMPUTED_VALUE"""),2347729.0)</f>
        <v>2347729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IFERROR(__xludf.DUMMYFUNCTION("""COMPUTED_VALUE"""),47.17)</f>
        <v>47.17</v>
      </c>
      <c r="C1550" s="1">
        <f>IFERROR(__xludf.DUMMYFUNCTION("""COMPUTED_VALUE"""),47.38)</f>
        <v>47.38</v>
      </c>
      <c r="D1550" s="1">
        <f>IFERROR(__xludf.DUMMYFUNCTION("""COMPUTED_VALUE"""),46.25)</f>
        <v>46.25</v>
      </c>
      <c r="E1550" s="1">
        <f>IFERROR(__xludf.DUMMYFUNCTION("""COMPUTED_VALUE"""),46.26)</f>
        <v>46.26</v>
      </c>
      <c r="F1550" s="1">
        <f>IFERROR(__xludf.DUMMYFUNCTION("""COMPUTED_VALUE"""),2119320.0)</f>
        <v>2119320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IFERROR(__xludf.DUMMYFUNCTION("""COMPUTED_VALUE"""),46.89)</f>
        <v>46.89</v>
      </c>
      <c r="C1551" s="1">
        <f>IFERROR(__xludf.DUMMYFUNCTION("""COMPUTED_VALUE"""),47.99)</f>
        <v>47.99</v>
      </c>
      <c r="D1551" s="1">
        <f>IFERROR(__xludf.DUMMYFUNCTION("""COMPUTED_VALUE"""),46.09)</f>
        <v>46.09</v>
      </c>
      <c r="E1551" s="1">
        <f>IFERROR(__xludf.DUMMYFUNCTION("""COMPUTED_VALUE"""),47.98)</f>
        <v>47.98</v>
      </c>
      <c r="F1551" s="1">
        <f>IFERROR(__xludf.DUMMYFUNCTION("""COMPUTED_VALUE"""),2803144.0)</f>
        <v>2803144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IFERROR(__xludf.DUMMYFUNCTION("""COMPUTED_VALUE"""),47.91)</f>
        <v>47.91</v>
      </c>
      <c r="C1552" s="1">
        <f>IFERROR(__xludf.DUMMYFUNCTION("""COMPUTED_VALUE"""),48.54)</f>
        <v>48.54</v>
      </c>
      <c r="D1552" s="1">
        <f>IFERROR(__xludf.DUMMYFUNCTION("""COMPUTED_VALUE"""),46.76)</f>
        <v>46.76</v>
      </c>
      <c r="E1552" s="1">
        <f>IFERROR(__xludf.DUMMYFUNCTION("""COMPUTED_VALUE"""),47.72)</f>
        <v>47.72</v>
      </c>
      <c r="F1552" s="1">
        <f>IFERROR(__xludf.DUMMYFUNCTION("""COMPUTED_VALUE"""),2293590.0)</f>
        <v>2293590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IFERROR(__xludf.DUMMYFUNCTION("""COMPUTED_VALUE"""),47.66)</f>
        <v>47.66</v>
      </c>
      <c r="C1553" s="1">
        <f>IFERROR(__xludf.DUMMYFUNCTION("""COMPUTED_VALUE"""),50.54)</f>
        <v>50.54</v>
      </c>
      <c r="D1553" s="1">
        <f>IFERROR(__xludf.DUMMYFUNCTION("""COMPUTED_VALUE"""),47.52)</f>
        <v>47.52</v>
      </c>
      <c r="E1553" s="1">
        <f>IFERROR(__xludf.DUMMYFUNCTION("""COMPUTED_VALUE"""),50.29)</f>
        <v>50.29</v>
      </c>
      <c r="F1553" s="1">
        <f>IFERROR(__xludf.DUMMYFUNCTION("""COMPUTED_VALUE"""),4314173.0)</f>
        <v>4314173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IFERROR(__xludf.DUMMYFUNCTION("""COMPUTED_VALUE"""),50.43)</f>
        <v>50.43</v>
      </c>
      <c r="C1554" s="1">
        <f>IFERROR(__xludf.DUMMYFUNCTION("""COMPUTED_VALUE"""),53.02)</f>
        <v>53.02</v>
      </c>
      <c r="D1554" s="1">
        <f>IFERROR(__xludf.DUMMYFUNCTION("""COMPUTED_VALUE"""),50.25)</f>
        <v>50.25</v>
      </c>
      <c r="E1554" s="1">
        <f>IFERROR(__xludf.DUMMYFUNCTION("""COMPUTED_VALUE"""),51.35)</f>
        <v>51.35</v>
      </c>
      <c r="F1554" s="1">
        <f>IFERROR(__xludf.DUMMYFUNCTION("""COMPUTED_VALUE"""),4386533.0)</f>
        <v>4386533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IFERROR(__xludf.DUMMYFUNCTION("""COMPUTED_VALUE"""),50.82)</f>
        <v>50.82</v>
      </c>
      <c r="C1555" s="1">
        <f>IFERROR(__xludf.DUMMYFUNCTION("""COMPUTED_VALUE"""),52.81)</f>
        <v>52.81</v>
      </c>
      <c r="D1555" s="1">
        <f>IFERROR(__xludf.DUMMYFUNCTION("""COMPUTED_VALUE"""),50.72)</f>
        <v>50.72</v>
      </c>
      <c r="E1555" s="1">
        <f>IFERROR(__xludf.DUMMYFUNCTION("""COMPUTED_VALUE"""),52.64)</f>
        <v>52.64</v>
      </c>
      <c r="F1555" s="1">
        <f>IFERROR(__xludf.DUMMYFUNCTION("""COMPUTED_VALUE"""),2874657.0)</f>
        <v>2874657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IFERROR(__xludf.DUMMYFUNCTION("""COMPUTED_VALUE"""),52.1)</f>
        <v>52.1</v>
      </c>
      <c r="C1556" s="1">
        <f>IFERROR(__xludf.DUMMYFUNCTION("""COMPUTED_VALUE"""),53.23)</f>
        <v>53.23</v>
      </c>
      <c r="D1556" s="1">
        <f>IFERROR(__xludf.DUMMYFUNCTION("""COMPUTED_VALUE"""),50.48)</f>
        <v>50.48</v>
      </c>
      <c r="E1556" s="1">
        <f>IFERROR(__xludf.DUMMYFUNCTION("""COMPUTED_VALUE"""),50.7)</f>
        <v>50.7</v>
      </c>
      <c r="F1556" s="1">
        <f>IFERROR(__xludf.DUMMYFUNCTION("""COMPUTED_VALUE"""),2761625.0)</f>
        <v>2761625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IFERROR(__xludf.DUMMYFUNCTION("""COMPUTED_VALUE"""),50.91)</f>
        <v>50.91</v>
      </c>
      <c r="C1557" s="1">
        <f>IFERROR(__xludf.DUMMYFUNCTION("""COMPUTED_VALUE"""),51.06)</f>
        <v>51.06</v>
      </c>
      <c r="D1557" s="1">
        <f>IFERROR(__xludf.DUMMYFUNCTION("""COMPUTED_VALUE"""),49.99)</f>
        <v>49.99</v>
      </c>
      <c r="E1557" s="1">
        <f>IFERROR(__xludf.DUMMYFUNCTION("""COMPUTED_VALUE"""),50.99)</f>
        <v>50.99</v>
      </c>
      <c r="F1557" s="1">
        <f>IFERROR(__xludf.DUMMYFUNCTION("""COMPUTED_VALUE"""),1371300.0)</f>
        <v>1371300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IFERROR(__xludf.DUMMYFUNCTION("""COMPUTED_VALUE"""),50.98)</f>
        <v>50.98</v>
      </c>
      <c r="C1558" s="1">
        <f>IFERROR(__xludf.DUMMYFUNCTION("""COMPUTED_VALUE"""),51.67)</f>
        <v>51.67</v>
      </c>
      <c r="D1558" s="1">
        <f>IFERROR(__xludf.DUMMYFUNCTION("""COMPUTED_VALUE"""),50.36)</f>
        <v>50.36</v>
      </c>
      <c r="E1558" s="1">
        <f>IFERROR(__xludf.DUMMYFUNCTION("""COMPUTED_VALUE"""),50.98)</f>
        <v>50.98</v>
      </c>
      <c r="F1558" s="1">
        <f>IFERROR(__xludf.DUMMYFUNCTION("""COMPUTED_VALUE"""),1690286.0)</f>
        <v>1690286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IFERROR(__xludf.DUMMYFUNCTION("""COMPUTED_VALUE"""),51.1)</f>
        <v>51.1</v>
      </c>
      <c r="C1559" s="1">
        <f>IFERROR(__xludf.DUMMYFUNCTION("""COMPUTED_VALUE"""),52.1)</f>
        <v>52.1</v>
      </c>
      <c r="D1559" s="1">
        <f>IFERROR(__xludf.DUMMYFUNCTION("""COMPUTED_VALUE"""),50.18)</f>
        <v>50.18</v>
      </c>
      <c r="E1559" s="1">
        <f>IFERROR(__xludf.DUMMYFUNCTION("""COMPUTED_VALUE"""),51.89)</f>
        <v>51.89</v>
      </c>
      <c r="F1559" s="1">
        <f>IFERROR(__xludf.DUMMYFUNCTION("""COMPUTED_VALUE"""),2487450.0)</f>
        <v>2487450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IFERROR(__xludf.DUMMYFUNCTION("""COMPUTED_VALUE"""),51.5)</f>
        <v>51.5</v>
      </c>
      <c r="C1560" s="1">
        <f>IFERROR(__xludf.DUMMYFUNCTION("""COMPUTED_VALUE"""),51.85)</f>
        <v>51.85</v>
      </c>
      <c r="D1560" s="1">
        <f>IFERROR(__xludf.DUMMYFUNCTION("""COMPUTED_VALUE"""),50.19)</f>
        <v>50.19</v>
      </c>
      <c r="E1560" s="1">
        <f>IFERROR(__xludf.DUMMYFUNCTION("""COMPUTED_VALUE"""),50.83)</f>
        <v>50.83</v>
      </c>
      <c r="F1560" s="1">
        <f>IFERROR(__xludf.DUMMYFUNCTION("""COMPUTED_VALUE"""),1784356.0)</f>
        <v>1784356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IFERROR(__xludf.DUMMYFUNCTION("""COMPUTED_VALUE"""),50.26)</f>
        <v>50.26</v>
      </c>
      <c r="C1561" s="1">
        <f>IFERROR(__xludf.DUMMYFUNCTION("""COMPUTED_VALUE"""),50.45)</f>
        <v>50.45</v>
      </c>
      <c r="D1561" s="1">
        <f>IFERROR(__xludf.DUMMYFUNCTION("""COMPUTED_VALUE"""),48.89)</f>
        <v>48.89</v>
      </c>
      <c r="E1561" s="1">
        <f>IFERROR(__xludf.DUMMYFUNCTION("""COMPUTED_VALUE"""),49.24)</f>
        <v>49.24</v>
      </c>
      <c r="F1561" s="1">
        <f>IFERROR(__xludf.DUMMYFUNCTION("""COMPUTED_VALUE"""),2223586.0)</f>
        <v>2223586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IFERROR(__xludf.DUMMYFUNCTION("""COMPUTED_VALUE"""),49.13)</f>
        <v>49.13</v>
      </c>
      <c r="C1562" s="1">
        <f>IFERROR(__xludf.DUMMYFUNCTION("""COMPUTED_VALUE"""),50.12)</f>
        <v>50.12</v>
      </c>
      <c r="D1562" s="1">
        <f>IFERROR(__xludf.DUMMYFUNCTION("""COMPUTED_VALUE"""),48.52)</f>
        <v>48.52</v>
      </c>
      <c r="E1562" s="1">
        <f>IFERROR(__xludf.DUMMYFUNCTION("""COMPUTED_VALUE"""),50.09)</f>
        <v>50.09</v>
      </c>
      <c r="F1562" s="1">
        <f>IFERROR(__xludf.DUMMYFUNCTION("""COMPUTED_VALUE"""),2341008.0)</f>
        <v>2341008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IFERROR(__xludf.DUMMYFUNCTION("""COMPUTED_VALUE"""),49.36)</f>
        <v>49.36</v>
      </c>
      <c r="C1563" s="1">
        <f>IFERROR(__xludf.DUMMYFUNCTION("""COMPUTED_VALUE"""),49.72)</f>
        <v>49.72</v>
      </c>
      <c r="D1563" s="1">
        <f>IFERROR(__xludf.DUMMYFUNCTION("""COMPUTED_VALUE"""),47.07)</f>
        <v>47.07</v>
      </c>
      <c r="E1563" s="1">
        <f>IFERROR(__xludf.DUMMYFUNCTION("""COMPUTED_VALUE"""),49.31)</f>
        <v>49.31</v>
      </c>
      <c r="F1563" s="1">
        <f>IFERROR(__xludf.DUMMYFUNCTION("""COMPUTED_VALUE"""),602081.0)</f>
        <v>602081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IFERROR(__xludf.DUMMYFUNCTION("""COMPUTED_VALUE"""),49.56)</f>
        <v>49.56</v>
      </c>
      <c r="C1564" s="1">
        <f>IFERROR(__xludf.DUMMYFUNCTION("""COMPUTED_VALUE"""),50.44)</f>
        <v>50.44</v>
      </c>
      <c r="D1564" s="1">
        <f>IFERROR(__xludf.DUMMYFUNCTION("""COMPUTED_VALUE"""),49.44)</f>
        <v>49.44</v>
      </c>
      <c r="E1564" s="1">
        <f>IFERROR(__xludf.DUMMYFUNCTION("""COMPUTED_VALUE"""),50.24)</f>
        <v>50.24</v>
      </c>
      <c r="F1564" s="1">
        <f>IFERROR(__xludf.DUMMYFUNCTION("""COMPUTED_VALUE"""),3420840.0)</f>
        <v>3420840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IFERROR(__xludf.DUMMYFUNCTION("""COMPUTED_VALUE"""),50.3)</f>
        <v>50.3</v>
      </c>
      <c r="C1565" s="1">
        <f>IFERROR(__xludf.DUMMYFUNCTION("""COMPUTED_VALUE"""),50.66)</f>
        <v>50.66</v>
      </c>
      <c r="D1565" s="1">
        <f>IFERROR(__xludf.DUMMYFUNCTION("""COMPUTED_VALUE"""),49.86)</f>
        <v>49.86</v>
      </c>
      <c r="E1565" s="1">
        <f>IFERROR(__xludf.DUMMYFUNCTION("""COMPUTED_VALUE"""),50.57)</f>
        <v>50.57</v>
      </c>
      <c r="F1565" s="1">
        <f>IFERROR(__xludf.DUMMYFUNCTION("""COMPUTED_VALUE"""),1521090.0)</f>
        <v>1521090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IFERROR(__xludf.DUMMYFUNCTION("""COMPUTED_VALUE"""),50.12)</f>
        <v>50.12</v>
      </c>
      <c r="C1566" s="1">
        <f>IFERROR(__xludf.DUMMYFUNCTION("""COMPUTED_VALUE"""),50.65)</f>
        <v>50.65</v>
      </c>
      <c r="D1566" s="1">
        <f>IFERROR(__xludf.DUMMYFUNCTION("""COMPUTED_VALUE"""),49.96)</f>
        <v>49.96</v>
      </c>
      <c r="E1566" s="1">
        <f>IFERROR(__xludf.DUMMYFUNCTION("""COMPUTED_VALUE"""),50.2)</f>
        <v>50.2</v>
      </c>
      <c r="F1566" s="1">
        <f>IFERROR(__xludf.DUMMYFUNCTION("""COMPUTED_VALUE"""),2227510.0)</f>
        <v>2227510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IFERROR(__xludf.DUMMYFUNCTION("""COMPUTED_VALUE"""),50.04)</f>
        <v>50.04</v>
      </c>
      <c r="C1567" s="1">
        <f>IFERROR(__xludf.DUMMYFUNCTION("""COMPUTED_VALUE"""),50.04)</f>
        <v>50.04</v>
      </c>
      <c r="D1567" s="1">
        <f>IFERROR(__xludf.DUMMYFUNCTION("""COMPUTED_VALUE"""),48.31)</f>
        <v>48.31</v>
      </c>
      <c r="E1567" s="1">
        <f>IFERROR(__xludf.DUMMYFUNCTION("""COMPUTED_VALUE"""),48.44)</f>
        <v>48.44</v>
      </c>
      <c r="F1567" s="1">
        <f>IFERROR(__xludf.DUMMYFUNCTION("""COMPUTED_VALUE"""),2113984.0)</f>
        <v>2113984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IFERROR(__xludf.DUMMYFUNCTION("""COMPUTED_VALUE"""),48.21)</f>
        <v>48.21</v>
      </c>
      <c r="C1568" s="1">
        <f>IFERROR(__xludf.DUMMYFUNCTION("""COMPUTED_VALUE"""),48.89)</f>
        <v>48.89</v>
      </c>
      <c r="D1568" s="1">
        <f>IFERROR(__xludf.DUMMYFUNCTION("""COMPUTED_VALUE"""),47.11)</f>
        <v>47.11</v>
      </c>
      <c r="E1568" s="1">
        <f>IFERROR(__xludf.DUMMYFUNCTION("""COMPUTED_VALUE"""),48.83)</f>
        <v>48.83</v>
      </c>
      <c r="F1568" s="1">
        <f>IFERROR(__xludf.DUMMYFUNCTION("""COMPUTED_VALUE"""),2299405.0)</f>
        <v>2299405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IFERROR(__xludf.DUMMYFUNCTION("""COMPUTED_VALUE"""),48.24)</f>
        <v>48.24</v>
      </c>
      <c r="C1569" s="1">
        <f>IFERROR(__xludf.DUMMYFUNCTION("""COMPUTED_VALUE"""),49.11)</f>
        <v>49.11</v>
      </c>
      <c r="D1569" s="1">
        <f>IFERROR(__xludf.DUMMYFUNCTION("""COMPUTED_VALUE"""),48.1)</f>
        <v>48.1</v>
      </c>
      <c r="E1569" s="1">
        <f>IFERROR(__xludf.DUMMYFUNCTION("""COMPUTED_VALUE"""),48.9)</f>
        <v>48.9</v>
      </c>
      <c r="F1569" s="1">
        <f>IFERROR(__xludf.DUMMYFUNCTION("""COMPUTED_VALUE"""),1584642.0)</f>
        <v>1584642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IFERROR(__xludf.DUMMYFUNCTION("""COMPUTED_VALUE"""),48.55)</f>
        <v>48.55</v>
      </c>
      <c r="C1570" s="1">
        <f>IFERROR(__xludf.DUMMYFUNCTION("""COMPUTED_VALUE"""),50.58)</f>
        <v>50.58</v>
      </c>
      <c r="D1570" s="1">
        <f>IFERROR(__xludf.DUMMYFUNCTION("""COMPUTED_VALUE"""),48.52)</f>
        <v>48.52</v>
      </c>
      <c r="E1570" s="1">
        <f>IFERROR(__xludf.DUMMYFUNCTION("""COMPUTED_VALUE"""),50.43)</f>
        <v>50.43</v>
      </c>
      <c r="F1570" s="1">
        <f>IFERROR(__xludf.DUMMYFUNCTION("""COMPUTED_VALUE"""),2335094.0)</f>
        <v>2335094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IFERROR(__xludf.DUMMYFUNCTION("""COMPUTED_VALUE"""),50.66)</f>
        <v>50.66</v>
      </c>
      <c r="C1571" s="1">
        <f>IFERROR(__xludf.DUMMYFUNCTION("""COMPUTED_VALUE"""),51.17)</f>
        <v>51.17</v>
      </c>
      <c r="D1571" s="1">
        <f>IFERROR(__xludf.DUMMYFUNCTION("""COMPUTED_VALUE"""),50.21)</f>
        <v>50.21</v>
      </c>
      <c r="E1571" s="1">
        <f>IFERROR(__xludf.DUMMYFUNCTION("""COMPUTED_VALUE"""),50.81)</f>
        <v>50.81</v>
      </c>
      <c r="F1571" s="1">
        <f>IFERROR(__xludf.DUMMYFUNCTION("""COMPUTED_VALUE"""),1701510.0)</f>
        <v>1701510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IFERROR(__xludf.DUMMYFUNCTION("""COMPUTED_VALUE"""),50.81)</f>
        <v>50.81</v>
      </c>
      <c r="C1572" s="1">
        <f>IFERROR(__xludf.DUMMYFUNCTION("""COMPUTED_VALUE"""),51.37)</f>
        <v>51.37</v>
      </c>
      <c r="D1572" s="1">
        <f>IFERROR(__xludf.DUMMYFUNCTION("""COMPUTED_VALUE"""),50.28)</f>
        <v>50.28</v>
      </c>
      <c r="E1572" s="1">
        <f>IFERROR(__xludf.DUMMYFUNCTION("""COMPUTED_VALUE"""),51.1)</f>
        <v>51.1</v>
      </c>
      <c r="F1572" s="1">
        <f>IFERROR(__xludf.DUMMYFUNCTION("""COMPUTED_VALUE"""),2538105.0)</f>
        <v>2538105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IFERROR(__xludf.DUMMYFUNCTION("""COMPUTED_VALUE"""),50.57)</f>
        <v>50.57</v>
      </c>
      <c r="C1573" s="1">
        <f>IFERROR(__xludf.DUMMYFUNCTION("""COMPUTED_VALUE"""),51.78)</f>
        <v>51.78</v>
      </c>
      <c r="D1573" s="1">
        <f>IFERROR(__xludf.DUMMYFUNCTION("""COMPUTED_VALUE"""),49.77)</f>
        <v>49.77</v>
      </c>
      <c r="E1573" s="1">
        <f>IFERROR(__xludf.DUMMYFUNCTION("""COMPUTED_VALUE"""),51.75)</f>
        <v>51.75</v>
      </c>
      <c r="F1573" s="1">
        <f>IFERROR(__xludf.DUMMYFUNCTION("""COMPUTED_VALUE"""),4399798.0)</f>
        <v>4399798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IFERROR(__xludf.DUMMYFUNCTION("""COMPUTED_VALUE"""),51.74)</f>
        <v>51.74</v>
      </c>
      <c r="C1574" s="1">
        <f>IFERROR(__xludf.DUMMYFUNCTION("""COMPUTED_VALUE"""),51.75)</f>
        <v>51.75</v>
      </c>
      <c r="D1574" s="1">
        <f>IFERROR(__xludf.DUMMYFUNCTION("""COMPUTED_VALUE"""),50.79)</f>
        <v>50.79</v>
      </c>
      <c r="E1574" s="1">
        <f>IFERROR(__xludf.DUMMYFUNCTION("""COMPUTED_VALUE"""),51.15)</f>
        <v>51.15</v>
      </c>
      <c r="F1574" s="1">
        <f>IFERROR(__xludf.DUMMYFUNCTION("""COMPUTED_VALUE"""),3342653.0)</f>
        <v>3342653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IFERROR(__xludf.DUMMYFUNCTION("""COMPUTED_VALUE"""),50.5)</f>
        <v>50.5</v>
      </c>
      <c r="C1575" s="1">
        <f>IFERROR(__xludf.DUMMYFUNCTION("""COMPUTED_VALUE"""),51.36)</f>
        <v>51.36</v>
      </c>
      <c r="D1575" s="1">
        <f>IFERROR(__xludf.DUMMYFUNCTION("""COMPUTED_VALUE"""),50.5)</f>
        <v>50.5</v>
      </c>
      <c r="E1575" s="1">
        <f>IFERROR(__xludf.DUMMYFUNCTION("""COMPUTED_VALUE"""),51.22)</f>
        <v>51.22</v>
      </c>
      <c r="F1575" s="1">
        <f>IFERROR(__xludf.DUMMYFUNCTION("""COMPUTED_VALUE"""),2620659.0)</f>
        <v>2620659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IFERROR(__xludf.DUMMYFUNCTION("""COMPUTED_VALUE"""),51.4)</f>
        <v>51.4</v>
      </c>
      <c r="C1576" s="1">
        <f>IFERROR(__xludf.DUMMYFUNCTION("""COMPUTED_VALUE"""),53.47)</f>
        <v>53.47</v>
      </c>
      <c r="D1576" s="1">
        <f>IFERROR(__xludf.DUMMYFUNCTION("""COMPUTED_VALUE"""),51.2)</f>
        <v>51.2</v>
      </c>
      <c r="E1576" s="1">
        <f>IFERROR(__xludf.DUMMYFUNCTION("""COMPUTED_VALUE"""),53.29)</f>
        <v>53.29</v>
      </c>
      <c r="F1576" s="1">
        <f>IFERROR(__xludf.DUMMYFUNCTION("""COMPUTED_VALUE"""),5120755.0)</f>
        <v>5120755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IFERROR(__xludf.DUMMYFUNCTION("""COMPUTED_VALUE"""),54.66)</f>
        <v>54.66</v>
      </c>
      <c r="C1577" s="1">
        <f>IFERROR(__xludf.DUMMYFUNCTION("""COMPUTED_VALUE"""),54.66)</f>
        <v>54.66</v>
      </c>
      <c r="D1577" s="1">
        <f>IFERROR(__xludf.DUMMYFUNCTION("""COMPUTED_VALUE"""),48.78)</f>
        <v>48.78</v>
      </c>
      <c r="E1577" s="1">
        <f>IFERROR(__xludf.DUMMYFUNCTION("""COMPUTED_VALUE"""),49.48)</f>
        <v>49.48</v>
      </c>
      <c r="F1577" s="1">
        <f>IFERROR(__xludf.DUMMYFUNCTION("""COMPUTED_VALUE"""),1.1247154E7)</f>
        <v>11247154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IFERROR(__xludf.DUMMYFUNCTION("""COMPUTED_VALUE"""),49.75)</f>
        <v>49.75</v>
      </c>
      <c r="C1578" s="1">
        <f>IFERROR(__xludf.DUMMYFUNCTION("""COMPUTED_VALUE"""),51.69)</f>
        <v>51.69</v>
      </c>
      <c r="D1578" s="1">
        <f>IFERROR(__xludf.DUMMYFUNCTION("""COMPUTED_VALUE"""),49.43)</f>
        <v>49.43</v>
      </c>
      <c r="E1578" s="1">
        <f>IFERROR(__xludf.DUMMYFUNCTION("""COMPUTED_VALUE"""),50.98)</f>
        <v>50.98</v>
      </c>
      <c r="F1578" s="1">
        <f>IFERROR(__xludf.DUMMYFUNCTION("""COMPUTED_VALUE"""),4472078.0)</f>
        <v>4472078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IFERROR(__xludf.DUMMYFUNCTION("""COMPUTED_VALUE"""),51.26)</f>
        <v>51.26</v>
      </c>
      <c r="C1579" s="1">
        <f>IFERROR(__xludf.DUMMYFUNCTION("""COMPUTED_VALUE"""),52.49)</f>
        <v>52.49</v>
      </c>
      <c r="D1579" s="1">
        <f>IFERROR(__xludf.DUMMYFUNCTION("""COMPUTED_VALUE"""),50.83)</f>
        <v>50.83</v>
      </c>
      <c r="E1579" s="1">
        <f>IFERROR(__xludf.DUMMYFUNCTION("""COMPUTED_VALUE"""),50.88)</f>
        <v>50.88</v>
      </c>
      <c r="F1579" s="1">
        <f>IFERROR(__xludf.DUMMYFUNCTION("""COMPUTED_VALUE"""),2842109.0)</f>
        <v>2842109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IFERROR(__xludf.DUMMYFUNCTION("""COMPUTED_VALUE"""),51.16)</f>
        <v>51.16</v>
      </c>
      <c r="C1580" s="1">
        <f>IFERROR(__xludf.DUMMYFUNCTION("""COMPUTED_VALUE"""),51.98)</f>
        <v>51.98</v>
      </c>
      <c r="D1580" s="1">
        <f>IFERROR(__xludf.DUMMYFUNCTION("""COMPUTED_VALUE"""),51.07)</f>
        <v>51.07</v>
      </c>
      <c r="E1580" s="1">
        <f>IFERROR(__xludf.DUMMYFUNCTION("""COMPUTED_VALUE"""),51.59)</f>
        <v>51.59</v>
      </c>
      <c r="F1580" s="1">
        <f>IFERROR(__xludf.DUMMYFUNCTION("""COMPUTED_VALUE"""),2326026.0)</f>
        <v>2326026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IFERROR(__xludf.DUMMYFUNCTION("""COMPUTED_VALUE"""),52.18)</f>
        <v>52.18</v>
      </c>
      <c r="C1581" s="1">
        <f>IFERROR(__xludf.DUMMYFUNCTION("""COMPUTED_VALUE"""),53.97)</f>
        <v>53.97</v>
      </c>
      <c r="D1581" s="1">
        <f>IFERROR(__xludf.DUMMYFUNCTION("""COMPUTED_VALUE"""),51.99)</f>
        <v>51.99</v>
      </c>
      <c r="E1581" s="1">
        <f>IFERROR(__xludf.DUMMYFUNCTION("""COMPUTED_VALUE"""),53.94)</f>
        <v>53.94</v>
      </c>
      <c r="F1581" s="1">
        <f>IFERROR(__xludf.DUMMYFUNCTION("""COMPUTED_VALUE"""),3045563.0)</f>
        <v>3045563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IFERROR(__xludf.DUMMYFUNCTION("""COMPUTED_VALUE"""),54.2)</f>
        <v>54.2</v>
      </c>
      <c r="C1582" s="1">
        <f>IFERROR(__xludf.DUMMYFUNCTION("""COMPUTED_VALUE"""),54.33)</f>
        <v>54.33</v>
      </c>
      <c r="D1582" s="1">
        <f>IFERROR(__xludf.DUMMYFUNCTION("""COMPUTED_VALUE"""),53.16)</f>
        <v>53.16</v>
      </c>
      <c r="E1582" s="1">
        <f>IFERROR(__xludf.DUMMYFUNCTION("""COMPUTED_VALUE"""),53.62)</f>
        <v>53.62</v>
      </c>
      <c r="F1582" s="1">
        <f>IFERROR(__xludf.DUMMYFUNCTION("""COMPUTED_VALUE"""),3038846.0)</f>
        <v>3038846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IFERROR(__xludf.DUMMYFUNCTION("""COMPUTED_VALUE"""),53.57)</f>
        <v>53.57</v>
      </c>
      <c r="C1583" s="1">
        <f>IFERROR(__xludf.DUMMYFUNCTION("""COMPUTED_VALUE"""),54.0)</f>
        <v>54</v>
      </c>
      <c r="D1583" s="1">
        <f>IFERROR(__xludf.DUMMYFUNCTION("""COMPUTED_VALUE"""),53.01)</f>
        <v>53.01</v>
      </c>
      <c r="E1583" s="1">
        <f>IFERROR(__xludf.DUMMYFUNCTION("""COMPUTED_VALUE"""),53.67)</f>
        <v>53.67</v>
      </c>
      <c r="F1583" s="1">
        <f>IFERROR(__xludf.DUMMYFUNCTION("""COMPUTED_VALUE"""),1975659.0)</f>
        <v>1975659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IFERROR(__xludf.DUMMYFUNCTION("""COMPUTED_VALUE"""),53.24)</f>
        <v>53.24</v>
      </c>
      <c r="C1584" s="1">
        <f>IFERROR(__xludf.DUMMYFUNCTION("""COMPUTED_VALUE"""),53.79)</f>
        <v>53.79</v>
      </c>
      <c r="D1584" s="1">
        <f>IFERROR(__xludf.DUMMYFUNCTION("""COMPUTED_VALUE"""),52.76)</f>
        <v>52.76</v>
      </c>
      <c r="E1584" s="1">
        <f>IFERROR(__xludf.DUMMYFUNCTION("""COMPUTED_VALUE"""),53.43)</f>
        <v>53.43</v>
      </c>
      <c r="F1584" s="1">
        <f>IFERROR(__xludf.DUMMYFUNCTION("""COMPUTED_VALUE"""),1739830.0)</f>
        <v>1739830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IFERROR(__xludf.DUMMYFUNCTION("""COMPUTED_VALUE"""),53.66)</f>
        <v>53.66</v>
      </c>
      <c r="C1585" s="1">
        <f>IFERROR(__xludf.DUMMYFUNCTION("""COMPUTED_VALUE"""),54.39)</f>
        <v>54.39</v>
      </c>
      <c r="D1585" s="1">
        <f>IFERROR(__xludf.DUMMYFUNCTION("""COMPUTED_VALUE"""),53.49)</f>
        <v>53.49</v>
      </c>
      <c r="E1585" s="1">
        <f>IFERROR(__xludf.DUMMYFUNCTION("""COMPUTED_VALUE"""),54.33)</f>
        <v>54.33</v>
      </c>
      <c r="F1585" s="1">
        <f>IFERROR(__xludf.DUMMYFUNCTION("""COMPUTED_VALUE"""),2332121.0)</f>
        <v>2332121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IFERROR(__xludf.DUMMYFUNCTION("""COMPUTED_VALUE"""),54.39)</f>
        <v>54.39</v>
      </c>
      <c r="C1586" s="1">
        <f>IFERROR(__xludf.DUMMYFUNCTION("""COMPUTED_VALUE"""),54.4)</f>
        <v>54.4</v>
      </c>
      <c r="D1586" s="1">
        <f>IFERROR(__xludf.DUMMYFUNCTION("""COMPUTED_VALUE"""),53.26)</f>
        <v>53.26</v>
      </c>
      <c r="E1586" s="1">
        <f>IFERROR(__xludf.DUMMYFUNCTION("""COMPUTED_VALUE"""),54.14)</f>
        <v>54.14</v>
      </c>
      <c r="F1586" s="1">
        <f>IFERROR(__xludf.DUMMYFUNCTION("""COMPUTED_VALUE"""),2059910.0)</f>
        <v>2059910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IFERROR(__xludf.DUMMYFUNCTION("""COMPUTED_VALUE"""),54.1)</f>
        <v>54.1</v>
      </c>
      <c r="C1587" s="1">
        <f>IFERROR(__xludf.DUMMYFUNCTION("""COMPUTED_VALUE"""),54.72)</f>
        <v>54.72</v>
      </c>
      <c r="D1587" s="1">
        <f>IFERROR(__xludf.DUMMYFUNCTION("""COMPUTED_VALUE"""),51.68)</f>
        <v>51.68</v>
      </c>
      <c r="E1587" s="1">
        <f>IFERROR(__xludf.DUMMYFUNCTION("""COMPUTED_VALUE"""),52.43)</f>
        <v>52.43</v>
      </c>
      <c r="F1587" s="1">
        <f>IFERROR(__xludf.DUMMYFUNCTION("""COMPUTED_VALUE"""),2919090.0)</f>
        <v>2919090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IFERROR(__xludf.DUMMYFUNCTION("""COMPUTED_VALUE"""),51.55)</f>
        <v>51.55</v>
      </c>
      <c r="C1588" s="1">
        <f>IFERROR(__xludf.DUMMYFUNCTION("""COMPUTED_VALUE"""),53.56)</f>
        <v>53.56</v>
      </c>
      <c r="D1588" s="1">
        <f>IFERROR(__xludf.DUMMYFUNCTION("""COMPUTED_VALUE"""),50.63)</f>
        <v>50.63</v>
      </c>
      <c r="E1588" s="1">
        <f>IFERROR(__xludf.DUMMYFUNCTION("""COMPUTED_VALUE"""),53.22)</f>
        <v>53.22</v>
      </c>
      <c r="F1588" s="1">
        <f>IFERROR(__xludf.DUMMYFUNCTION("""COMPUTED_VALUE"""),2185975.0)</f>
        <v>2185975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IFERROR(__xludf.DUMMYFUNCTION("""COMPUTED_VALUE"""),53.2)</f>
        <v>53.2</v>
      </c>
      <c r="C1589" s="1">
        <f>IFERROR(__xludf.DUMMYFUNCTION("""COMPUTED_VALUE"""),53.29)</f>
        <v>53.29</v>
      </c>
      <c r="D1589" s="1">
        <f>IFERROR(__xludf.DUMMYFUNCTION("""COMPUTED_VALUE"""),52.58)</f>
        <v>52.58</v>
      </c>
      <c r="E1589" s="1">
        <f>IFERROR(__xludf.DUMMYFUNCTION("""COMPUTED_VALUE"""),52.99)</f>
        <v>52.99</v>
      </c>
      <c r="F1589" s="1">
        <f>IFERROR(__xludf.DUMMYFUNCTION("""COMPUTED_VALUE"""),1344032.0)</f>
        <v>1344032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IFERROR(__xludf.DUMMYFUNCTION("""COMPUTED_VALUE"""),53.38)</f>
        <v>53.38</v>
      </c>
      <c r="C1590" s="1">
        <f>IFERROR(__xludf.DUMMYFUNCTION("""COMPUTED_VALUE"""),55.87)</f>
        <v>55.87</v>
      </c>
      <c r="D1590" s="1">
        <f>IFERROR(__xludf.DUMMYFUNCTION("""COMPUTED_VALUE"""),53.07)</f>
        <v>53.07</v>
      </c>
      <c r="E1590" s="1">
        <f>IFERROR(__xludf.DUMMYFUNCTION("""COMPUTED_VALUE"""),55.47)</f>
        <v>55.47</v>
      </c>
      <c r="F1590" s="1">
        <f>IFERROR(__xludf.DUMMYFUNCTION("""COMPUTED_VALUE"""),2532214.0)</f>
        <v>2532214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IFERROR(__xludf.DUMMYFUNCTION("""COMPUTED_VALUE"""),55.4)</f>
        <v>55.4</v>
      </c>
      <c r="C1591" s="1">
        <f>IFERROR(__xludf.DUMMYFUNCTION("""COMPUTED_VALUE"""),55.99)</f>
        <v>55.99</v>
      </c>
      <c r="D1591" s="1">
        <f>IFERROR(__xludf.DUMMYFUNCTION("""COMPUTED_VALUE"""),54.79)</f>
        <v>54.79</v>
      </c>
      <c r="E1591" s="1">
        <f>IFERROR(__xludf.DUMMYFUNCTION("""COMPUTED_VALUE"""),55.13)</f>
        <v>55.13</v>
      </c>
      <c r="F1591" s="1">
        <f>IFERROR(__xludf.DUMMYFUNCTION("""COMPUTED_VALUE"""),2357019.0)</f>
        <v>2357019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IFERROR(__xludf.DUMMYFUNCTION("""COMPUTED_VALUE"""),54.85)</f>
        <v>54.85</v>
      </c>
      <c r="C1592" s="1">
        <f>IFERROR(__xludf.DUMMYFUNCTION("""COMPUTED_VALUE"""),55.36)</f>
        <v>55.36</v>
      </c>
      <c r="D1592" s="1">
        <f>IFERROR(__xludf.DUMMYFUNCTION("""COMPUTED_VALUE"""),53.78)</f>
        <v>53.78</v>
      </c>
      <c r="E1592" s="1">
        <f>IFERROR(__xludf.DUMMYFUNCTION("""COMPUTED_VALUE"""),53.93)</f>
        <v>53.93</v>
      </c>
      <c r="F1592" s="1">
        <f>IFERROR(__xludf.DUMMYFUNCTION("""COMPUTED_VALUE"""),1151775.0)</f>
        <v>1151775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IFERROR(__xludf.DUMMYFUNCTION("""COMPUTED_VALUE"""),53.84)</f>
        <v>53.84</v>
      </c>
      <c r="C1593" s="1">
        <f>IFERROR(__xludf.DUMMYFUNCTION("""COMPUTED_VALUE"""),53.84)</f>
        <v>53.84</v>
      </c>
      <c r="D1593" s="1">
        <f>IFERROR(__xludf.DUMMYFUNCTION("""COMPUTED_VALUE"""),52.64)</f>
        <v>52.64</v>
      </c>
      <c r="E1593" s="1">
        <f>IFERROR(__xludf.DUMMYFUNCTION("""COMPUTED_VALUE"""),52.95)</f>
        <v>52.95</v>
      </c>
      <c r="F1593" s="1">
        <f>IFERROR(__xludf.DUMMYFUNCTION("""COMPUTED_VALUE"""),2613551.0)</f>
        <v>2613551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IFERROR(__xludf.DUMMYFUNCTION("""COMPUTED_VALUE"""),53.21)</f>
        <v>53.21</v>
      </c>
      <c r="C1594" s="1">
        <f>IFERROR(__xludf.DUMMYFUNCTION("""COMPUTED_VALUE"""),53.28)</f>
        <v>53.28</v>
      </c>
      <c r="D1594" s="1">
        <f>IFERROR(__xludf.DUMMYFUNCTION("""COMPUTED_VALUE"""),51.95)</f>
        <v>51.95</v>
      </c>
      <c r="E1594" s="1">
        <f>IFERROR(__xludf.DUMMYFUNCTION("""COMPUTED_VALUE"""),52.2)</f>
        <v>52.2</v>
      </c>
      <c r="F1594" s="1">
        <f>IFERROR(__xludf.DUMMYFUNCTION("""COMPUTED_VALUE"""),2337265.0)</f>
        <v>2337265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IFERROR(__xludf.DUMMYFUNCTION("""COMPUTED_VALUE"""),51.47)</f>
        <v>51.47</v>
      </c>
      <c r="C1595" s="1">
        <f>IFERROR(__xludf.DUMMYFUNCTION("""COMPUTED_VALUE"""),52.36)</f>
        <v>52.36</v>
      </c>
      <c r="D1595" s="1">
        <f>IFERROR(__xludf.DUMMYFUNCTION("""COMPUTED_VALUE"""),51.02)</f>
        <v>51.02</v>
      </c>
      <c r="E1595" s="1">
        <f>IFERROR(__xludf.DUMMYFUNCTION("""COMPUTED_VALUE"""),51.92)</f>
        <v>51.92</v>
      </c>
      <c r="F1595" s="1">
        <f>IFERROR(__xludf.DUMMYFUNCTION("""COMPUTED_VALUE"""),1811319.0)</f>
        <v>1811319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IFERROR(__xludf.DUMMYFUNCTION("""COMPUTED_VALUE"""),51.55)</f>
        <v>51.55</v>
      </c>
      <c r="C1596" s="1">
        <f>IFERROR(__xludf.DUMMYFUNCTION("""COMPUTED_VALUE"""),52.19)</f>
        <v>52.19</v>
      </c>
      <c r="D1596" s="1">
        <f>IFERROR(__xludf.DUMMYFUNCTION("""COMPUTED_VALUE"""),50.99)</f>
        <v>50.99</v>
      </c>
      <c r="E1596" s="1">
        <f>IFERROR(__xludf.DUMMYFUNCTION("""COMPUTED_VALUE"""),51.29)</f>
        <v>51.29</v>
      </c>
      <c r="F1596" s="1">
        <f>IFERROR(__xludf.DUMMYFUNCTION("""COMPUTED_VALUE"""),1869303.0)</f>
        <v>1869303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IFERROR(__xludf.DUMMYFUNCTION("""COMPUTED_VALUE"""),51.61)</f>
        <v>51.61</v>
      </c>
      <c r="C1597" s="1">
        <f>IFERROR(__xludf.DUMMYFUNCTION("""COMPUTED_VALUE"""),51.71)</f>
        <v>51.71</v>
      </c>
      <c r="D1597" s="1">
        <f>IFERROR(__xludf.DUMMYFUNCTION("""COMPUTED_VALUE"""),50.47)</f>
        <v>50.47</v>
      </c>
      <c r="E1597" s="1">
        <f>IFERROR(__xludf.DUMMYFUNCTION("""COMPUTED_VALUE"""),50.6)</f>
        <v>50.6</v>
      </c>
      <c r="F1597" s="1">
        <f>IFERROR(__xludf.DUMMYFUNCTION("""COMPUTED_VALUE"""),2077415.0)</f>
        <v>2077415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IFERROR(__xludf.DUMMYFUNCTION("""COMPUTED_VALUE"""),50.41)</f>
        <v>50.41</v>
      </c>
      <c r="C1598" s="1">
        <f>IFERROR(__xludf.DUMMYFUNCTION("""COMPUTED_VALUE"""),50.83)</f>
        <v>50.83</v>
      </c>
      <c r="D1598" s="1">
        <f>IFERROR(__xludf.DUMMYFUNCTION("""COMPUTED_VALUE"""),49.84)</f>
        <v>49.84</v>
      </c>
      <c r="E1598" s="1">
        <f>IFERROR(__xludf.DUMMYFUNCTION("""COMPUTED_VALUE"""),50.41)</f>
        <v>50.41</v>
      </c>
      <c r="F1598" s="1">
        <f>IFERROR(__xludf.DUMMYFUNCTION("""COMPUTED_VALUE"""),1589566.0)</f>
        <v>1589566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IFERROR(__xludf.DUMMYFUNCTION("""COMPUTED_VALUE"""),50.41)</f>
        <v>50.41</v>
      </c>
      <c r="C1599" s="1">
        <f>IFERROR(__xludf.DUMMYFUNCTION("""COMPUTED_VALUE"""),51.55)</f>
        <v>51.55</v>
      </c>
      <c r="D1599" s="1">
        <f>IFERROR(__xludf.DUMMYFUNCTION("""COMPUTED_VALUE"""),50.31)</f>
        <v>50.31</v>
      </c>
      <c r="E1599" s="1">
        <f>IFERROR(__xludf.DUMMYFUNCTION("""COMPUTED_VALUE"""),51.23)</f>
        <v>51.23</v>
      </c>
      <c r="F1599" s="1">
        <f>IFERROR(__xludf.DUMMYFUNCTION("""COMPUTED_VALUE"""),1382007.0)</f>
        <v>1382007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IFERROR(__xludf.DUMMYFUNCTION("""COMPUTED_VALUE"""),51.44)</f>
        <v>51.44</v>
      </c>
      <c r="C1600" s="1">
        <f>IFERROR(__xludf.DUMMYFUNCTION("""COMPUTED_VALUE"""),52.8)</f>
        <v>52.8</v>
      </c>
      <c r="D1600" s="1">
        <f>IFERROR(__xludf.DUMMYFUNCTION("""COMPUTED_VALUE"""),51.2)</f>
        <v>51.2</v>
      </c>
      <c r="E1600" s="1">
        <f>IFERROR(__xludf.DUMMYFUNCTION("""COMPUTED_VALUE"""),52.5)</f>
        <v>52.5</v>
      </c>
      <c r="F1600" s="1">
        <f>IFERROR(__xludf.DUMMYFUNCTION("""COMPUTED_VALUE"""),1686508.0)</f>
        <v>1686508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IFERROR(__xludf.DUMMYFUNCTION("""COMPUTED_VALUE"""),52.22)</f>
        <v>52.22</v>
      </c>
      <c r="C1601" s="1">
        <f>IFERROR(__xludf.DUMMYFUNCTION("""COMPUTED_VALUE"""),52.22)</f>
        <v>52.22</v>
      </c>
      <c r="D1601" s="1">
        <f>IFERROR(__xludf.DUMMYFUNCTION("""COMPUTED_VALUE"""),50.75)</f>
        <v>50.75</v>
      </c>
      <c r="E1601" s="1">
        <f>IFERROR(__xludf.DUMMYFUNCTION("""COMPUTED_VALUE"""),50.97)</f>
        <v>50.97</v>
      </c>
      <c r="F1601" s="1">
        <f>IFERROR(__xludf.DUMMYFUNCTION("""COMPUTED_VALUE"""),2178525.0)</f>
        <v>2178525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IFERROR(__xludf.DUMMYFUNCTION("""COMPUTED_VALUE"""),51.15)</f>
        <v>51.15</v>
      </c>
      <c r="C1602" s="1">
        <f>IFERROR(__xludf.DUMMYFUNCTION("""COMPUTED_VALUE"""),51.3)</f>
        <v>51.3</v>
      </c>
      <c r="D1602" s="1">
        <f>IFERROR(__xludf.DUMMYFUNCTION("""COMPUTED_VALUE"""),50.49)</f>
        <v>50.49</v>
      </c>
      <c r="E1602" s="1">
        <f>IFERROR(__xludf.DUMMYFUNCTION("""COMPUTED_VALUE"""),51.0)</f>
        <v>51</v>
      </c>
      <c r="F1602" s="1">
        <f>IFERROR(__xludf.DUMMYFUNCTION("""COMPUTED_VALUE"""),1959082.0)</f>
        <v>1959082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IFERROR(__xludf.DUMMYFUNCTION("""COMPUTED_VALUE"""),50.85)</f>
        <v>50.85</v>
      </c>
      <c r="C1603" s="1">
        <f>IFERROR(__xludf.DUMMYFUNCTION("""COMPUTED_VALUE"""),51.6)</f>
        <v>51.6</v>
      </c>
      <c r="D1603" s="1">
        <f>IFERROR(__xludf.DUMMYFUNCTION("""COMPUTED_VALUE"""),50.56)</f>
        <v>50.56</v>
      </c>
      <c r="E1603" s="1">
        <f>IFERROR(__xludf.DUMMYFUNCTION("""COMPUTED_VALUE"""),50.67)</f>
        <v>50.67</v>
      </c>
      <c r="F1603" s="1">
        <f>IFERROR(__xludf.DUMMYFUNCTION("""COMPUTED_VALUE"""),3717337.0)</f>
        <v>3717337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IFERROR(__xludf.DUMMYFUNCTION("""COMPUTED_VALUE"""),50.66)</f>
        <v>50.66</v>
      </c>
      <c r="C1604" s="1">
        <f>IFERROR(__xludf.DUMMYFUNCTION("""COMPUTED_VALUE"""),51.09)</f>
        <v>51.09</v>
      </c>
      <c r="D1604" s="1">
        <f>IFERROR(__xludf.DUMMYFUNCTION("""COMPUTED_VALUE"""),50.3)</f>
        <v>50.3</v>
      </c>
      <c r="E1604" s="1">
        <f>IFERROR(__xludf.DUMMYFUNCTION("""COMPUTED_VALUE"""),50.64)</f>
        <v>50.64</v>
      </c>
      <c r="F1604" s="1">
        <f>IFERROR(__xludf.DUMMYFUNCTION("""COMPUTED_VALUE"""),2313435.0)</f>
        <v>2313435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IFERROR(__xludf.DUMMYFUNCTION("""COMPUTED_VALUE"""),50.4)</f>
        <v>50.4</v>
      </c>
      <c r="C1605" s="1">
        <f>IFERROR(__xludf.DUMMYFUNCTION("""COMPUTED_VALUE"""),51.15)</f>
        <v>51.15</v>
      </c>
      <c r="D1605" s="1">
        <f>IFERROR(__xludf.DUMMYFUNCTION("""COMPUTED_VALUE"""),50.08)</f>
        <v>50.08</v>
      </c>
      <c r="E1605" s="1">
        <f>IFERROR(__xludf.DUMMYFUNCTION("""COMPUTED_VALUE"""),50.81)</f>
        <v>50.81</v>
      </c>
      <c r="F1605" s="1">
        <f>IFERROR(__xludf.DUMMYFUNCTION("""COMPUTED_VALUE"""),2286829.0)</f>
        <v>2286829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IFERROR(__xludf.DUMMYFUNCTION("""COMPUTED_VALUE"""),50.79)</f>
        <v>50.79</v>
      </c>
      <c r="C1606" s="1">
        <f>IFERROR(__xludf.DUMMYFUNCTION("""COMPUTED_VALUE"""),51.13)</f>
        <v>51.13</v>
      </c>
      <c r="D1606" s="1">
        <f>IFERROR(__xludf.DUMMYFUNCTION("""COMPUTED_VALUE"""),50.32)</f>
        <v>50.32</v>
      </c>
      <c r="E1606" s="1">
        <f>IFERROR(__xludf.DUMMYFUNCTION("""COMPUTED_VALUE"""),50.79)</f>
        <v>50.79</v>
      </c>
      <c r="F1606" s="1">
        <f>IFERROR(__xludf.DUMMYFUNCTION("""COMPUTED_VALUE"""),3243297.0)</f>
        <v>3243297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IFERROR(__xludf.DUMMYFUNCTION("""COMPUTED_VALUE"""),50.79)</f>
        <v>50.79</v>
      </c>
      <c r="C1607" s="1">
        <f>IFERROR(__xludf.DUMMYFUNCTION("""COMPUTED_VALUE"""),51.91)</f>
        <v>51.91</v>
      </c>
      <c r="D1607" s="1">
        <f>IFERROR(__xludf.DUMMYFUNCTION("""COMPUTED_VALUE"""),50.72)</f>
        <v>50.72</v>
      </c>
      <c r="E1607" s="1">
        <f>IFERROR(__xludf.DUMMYFUNCTION("""COMPUTED_VALUE"""),51.32)</f>
        <v>51.32</v>
      </c>
      <c r="F1607" s="1">
        <f>IFERROR(__xludf.DUMMYFUNCTION("""COMPUTED_VALUE"""),1910006.0)</f>
        <v>1910006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IFERROR(__xludf.DUMMYFUNCTION("""COMPUTED_VALUE"""),51.5)</f>
        <v>51.5</v>
      </c>
      <c r="C1608" s="1">
        <f>IFERROR(__xludf.DUMMYFUNCTION("""COMPUTED_VALUE"""),52.73)</f>
        <v>52.73</v>
      </c>
      <c r="D1608" s="1">
        <f>IFERROR(__xludf.DUMMYFUNCTION("""COMPUTED_VALUE"""),51.31)</f>
        <v>51.31</v>
      </c>
      <c r="E1608" s="1">
        <f>IFERROR(__xludf.DUMMYFUNCTION("""COMPUTED_VALUE"""),52.73)</f>
        <v>52.73</v>
      </c>
      <c r="F1608" s="1">
        <f>IFERROR(__xludf.DUMMYFUNCTION("""COMPUTED_VALUE"""),2299656.0)</f>
        <v>2299656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IFERROR(__xludf.DUMMYFUNCTION("""COMPUTED_VALUE"""),52.82)</f>
        <v>52.82</v>
      </c>
      <c r="C1609" s="1">
        <f>IFERROR(__xludf.DUMMYFUNCTION("""COMPUTED_VALUE"""),52.97)</f>
        <v>52.97</v>
      </c>
      <c r="D1609" s="1">
        <f>IFERROR(__xludf.DUMMYFUNCTION("""COMPUTED_VALUE"""),52.11)</f>
        <v>52.11</v>
      </c>
      <c r="E1609" s="1">
        <f>IFERROR(__xludf.DUMMYFUNCTION("""COMPUTED_VALUE"""),52.13)</f>
        <v>52.13</v>
      </c>
      <c r="F1609" s="1">
        <f>IFERROR(__xludf.DUMMYFUNCTION("""COMPUTED_VALUE"""),1515298.0)</f>
        <v>1515298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IFERROR(__xludf.DUMMYFUNCTION("""COMPUTED_VALUE"""),52.28)</f>
        <v>52.28</v>
      </c>
      <c r="C1610" s="1">
        <f>IFERROR(__xludf.DUMMYFUNCTION("""COMPUTED_VALUE"""),53.14)</f>
        <v>53.14</v>
      </c>
      <c r="D1610" s="1">
        <f>IFERROR(__xludf.DUMMYFUNCTION("""COMPUTED_VALUE"""),51.91)</f>
        <v>51.91</v>
      </c>
      <c r="E1610" s="1">
        <f>IFERROR(__xludf.DUMMYFUNCTION("""COMPUTED_VALUE"""),52.89)</f>
        <v>52.89</v>
      </c>
      <c r="F1610" s="1">
        <f>IFERROR(__xludf.DUMMYFUNCTION("""COMPUTED_VALUE"""),1388439.0)</f>
        <v>1388439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IFERROR(__xludf.DUMMYFUNCTION("""COMPUTED_VALUE"""),53.04)</f>
        <v>53.04</v>
      </c>
      <c r="C1611" s="1">
        <f>IFERROR(__xludf.DUMMYFUNCTION("""COMPUTED_VALUE"""),54.6)</f>
        <v>54.6</v>
      </c>
      <c r="D1611" s="1">
        <f>IFERROR(__xludf.DUMMYFUNCTION("""COMPUTED_VALUE"""),52.87)</f>
        <v>52.87</v>
      </c>
      <c r="E1611" s="1">
        <f>IFERROR(__xludf.DUMMYFUNCTION("""COMPUTED_VALUE"""),54.04)</f>
        <v>54.04</v>
      </c>
      <c r="F1611" s="1">
        <f>IFERROR(__xludf.DUMMYFUNCTION("""COMPUTED_VALUE"""),2317324.0)</f>
        <v>2317324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IFERROR(__xludf.DUMMYFUNCTION("""COMPUTED_VALUE"""),54.08)</f>
        <v>54.08</v>
      </c>
      <c r="C1612" s="1">
        <f>IFERROR(__xludf.DUMMYFUNCTION("""COMPUTED_VALUE"""),54.42)</f>
        <v>54.42</v>
      </c>
      <c r="D1612" s="1">
        <f>IFERROR(__xludf.DUMMYFUNCTION("""COMPUTED_VALUE"""),53.15)</f>
        <v>53.15</v>
      </c>
      <c r="E1612" s="1">
        <f>IFERROR(__xludf.DUMMYFUNCTION("""COMPUTED_VALUE"""),53.39)</f>
        <v>53.39</v>
      </c>
      <c r="F1612" s="1">
        <f>IFERROR(__xludf.DUMMYFUNCTION("""COMPUTED_VALUE"""),1652345.0)</f>
        <v>1652345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IFERROR(__xludf.DUMMYFUNCTION("""COMPUTED_VALUE"""),53.49)</f>
        <v>53.49</v>
      </c>
      <c r="C1613" s="1">
        <f>IFERROR(__xludf.DUMMYFUNCTION("""COMPUTED_VALUE"""),54.23)</f>
        <v>54.23</v>
      </c>
      <c r="D1613" s="1">
        <f>IFERROR(__xludf.DUMMYFUNCTION("""COMPUTED_VALUE"""),53.38)</f>
        <v>53.38</v>
      </c>
      <c r="E1613" s="1">
        <f>IFERROR(__xludf.DUMMYFUNCTION("""COMPUTED_VALUE"""),53.59)</f>
        <v>53.59</v>
      </c>
      <c r="F1613" s="1">
        <f>IFERROR(__xludf.DUMMYFUNCTION("""COMPUTED_VALUE"""),1986697.0)</f>
        <v>1986697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IFERROR(__xludf.DUMMYFUNCTION("""COMPUTED_VALUE"""),53.83)</f>
        <v>53.83</v>
      </c>
      <c r="C1614" s="1">
        <f>IFERROR(__xludf.DUMMYFUNCTION("""COMPUTED_VALUE"""),54.16)</f>
        <v>54.16</v>
      </c>
      <c r="D1614" s="1">
        <f>IFERROR(__xludf.DUMMYFUNCTION("""COMPUTED_VALUE"""),53.47)</f>
        <v>53.47</v>
      </c>
      <c r="E1614" s="1">
        <f>IFERROR(__xludf.DUMMYFUNCTION("""COMPUTED_VALUE"""),53.66)</f>
        <v>53.66</v>
      </c>
      <c r="F1614" s="1">
        <f>IFERROR(__xludf.DUMMYFUNCTION("""COMPUTED_VALUE"""),2505509.0)</f>
        <v>2505509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IFERROR(__xludf.DUMMYFUNCTION("""COMPUTED_VALUE"""),53.38)</f>
        <v>53.38</v>
      </c>
      <c r="C1615" s="1">
        <f>IFERROR(__xludf.DUMMYFUNCTION("""COMPUTED_VALUE"""),53.41)</f>
        <v>53.41</v>
      </c>
      <c r="D1615" s="1">
        <f>IFERROR(__xludf.DUMMYFUNCTION("""COMPUTED_VALUE"""),51.47)</f>
        <v>51.47</v>
      </c>
      <c r="E1615" s="1">
        <f>IFERROR(__xludf.DUMMYFUNCTION("""COMPUTED_VALUE"""),52.09)</f>
        <v>52.09</v>
      </c>
      <c r="F1615" s="1">
        <f>IFERROR(__xludf.DUMMYFUNCTION("""COMPUTED_VALUE"""),3458078.0)</f>
        <v>3458078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IFERROR(__xludf.DUMMYFUNCTION("""COMPUTED_VALUE"""),51.77)</f>
        <v>51.77</v>
      </c>
      <c r="C1616" s="1">
        <f>IFERROR(__xludf.DUMMYFUNCTION("""COMPUTED_VALUE"""),52.3)</f>
        <v>52.3</v>
      </c>
      <c r="D1616" s="1">
        <f>IFERROR(__xludf.DUMMYFUNCTION("""COMPUTED_VALUE"""),51.11)</f>
        <v>51.11</v>
      </c>
      <c r="E1616" s="1">
        <f>IFERROR(__xludf.DUMMYFUNCTION("""COMPUTED_VALUE"""),52.09)</f>
        <v>52.09</v>
      </c>
      <c r="F1616" s="1">
        <f>IFERROR(__xludf.DUMMYFUNCTION("""COMPUTED_VALUE"""),3613326.0)</f>
        <v>3613326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IFERROR(__xludf.DUMMYFUNCTION("""COMPUTED_VALUE"""),51.67)</f>
        <v>51.67</v>
      </c>
      <c r="C1617" s="1">
        <f>IFERROR(__xludf.DUMMYFUNCTION("""COMPUTED_VALUE"""),51.82)</f>
        <v>51.82</v>
      </c>
      <c r="D1617" s="1">
        <f>IFERROR(__xludf.DUMMYFUNCTION("""COMPUTED_VALUE"""),50.53)</f>
        <v>50.53</v>
      </c>
      <c r="E1617" s="1">
        <f>IFERROR(__xludf.DUMMYFUNCTION("""COMPUTED_VALUE"""),51.54)</f>
        <v>51.54</v>
      </c>
      <c r="F1617" s="1">
        <f>IFERROR(__xludf.DUMMYFUNCTION("""COMPUTED_VALUE"""),3729437.0)</f>
        <v>3729437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IFERROR(__xludf.DUMMYFUNCTION("""COMPUTED_VALUE"""),51.27)</f>
        <v>51.27</v>
      </c>
      <c r="C1618" s="1">
        <f>IFERROR(__xludf.DUMMYFUNCTION("""COMPUTED_VALUE"""),52.01)</f>
        <v>52.01</v>
      </c>
      <c r="D1618" s="1">
        <f>IFERROR(__xludf.DUMMYFUNCTION("""COMPUTED_VALUE"""),50.74)</f>
        <v>50.74</v>
      </c>
      <c r="E1618" s="1">
        <f>IFERROR(__xludf.DUMMYFUNCTION("""COMPUTED_VALUE"""),51.92)</f>
        <v>51.92</v>
      </c>
      <c r="F1618" s="1">
        <f>IFERROR(__xludf.DUMMYFUNCTION("""COMPUTED_VALUE"""),2524836.0)</f>
        <v>2524836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IFERROR(__xludf.DUMMYFUNCTION("""COMPUTED_VALUE"""),51.92)</f>
        <v>51.92</v>
      </c>
      <c r="C1619" s="1">
        <f>IFERROR(__xludf.DUMMYFUNCTION("""COMPUTED_VALUE"""),53.5)</f>
        <v>53.5</v>
      </c>
      <c r="D1619" s="1">
        <f>IFERROR(__xludf.DUMMYFUNCTION("""COMPUTED_VALUE"""),51.9)</f>
        <v>51.9</v>
      </c>
      <c r="E1619" s="1">
        <f>IFERROR(__xludf.DUMMYFUNCTION("""COMPUTED_VALUE"""),52.96)</f>
        <v>52.96</v>
      </c>
      <c r="F1619" s="1">
        <f>IFERROR(__xludf.DUMMYFUNCTION("""COMPUTED_VALUE"""),3061606.0)</f>
        <v>3061606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IFERROR(__xludf.DUMMYFUNCTION("""COMPUTED_VALUE"""),53.13)</f>
        <v>53.13</v>
      </c>
      <c r="C1620" s="1">
        <f>IFERROR(__xludf.DUMMYFUNCTION("""COMPUTED_VALUE"""),53.49)</f>
        <v>53.49</v>
      </c>
      <c r="D1620" s="1">
        <f>IFERROR(__xludf.DUMMYFUNCTION("""COMPUTED_VALUE"""),52.5)</f>
        <v>52.5</v>
      </c>
      <c r="E1620" s="1">
        <f>IFERROR(__xludf.DUMMYFUNCTION("""COMPUTED_VALUE"""),52.52)</f>
        <v>52.52</v>
      </c>
      <c r="F1620" s="1">
        <f>IFERROR(__xludf.DUMMYFUNCTION("""COMPUTED_VALUE"""),1994089.0)</f>
        <v>1994089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IFERROR(__xludf.DUMMYFUNCTION("""COMPUTED_VALUE"""),51.94)</f>
        <v>51.94</v>
      </c>
      <c r="C1621" s="1">
        <f>IFERROR(__xludf.DUMMYFUNCTION("""COMPUTED_VALUE"""),51.98)</f>
        <v>51.98</v>
      </c>
      <c r="D1621" s="1">
        <f>IFERROR(__xludf.DUMMYFUNCTION("""COMPUTED_VALUE"""),50.98)</f>
        <v>50.98</v>
      </c>
      <c r="E1621" s="1">
        <f>IFERROR(__xludf.DUMMYFUNCTION("""COMPUTED_VALUE"""),51.81)</f>
        <v>51.81</v>
      </c>
      <c r="F1621" s="1">
        <f>IFERROR(__xludf.DUMMYFUNCTION("""COMPUTED_VALUE"""),2414120.0)</f>
        <v>2414120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IFERROR(__xludf.DUMMYFUNCTION("""COMPUTED_VALUE"""),51.15)</f>
        <v>51.15</v>
      </c>
      <c r="C1622" s="1">
        <f>IFERROR(__xludf.DUMMYFUNCTION("""COMPUTED_VALUE"""),51.15)</f>
        <v>51.15</v>
      </c>
      <c r="D1622" s="1">
        <f>IFERROR(__xludf.DUMMYFUNCTION("""COMPUTED_VALUE"""),49.14)</f>
        <v>49.14</v>
      </c>
      <c r="E1622" s="1">
        <f>IFERROR(__xludf.DUMMYFUNCTION("""COMPUTED_VALUE"""),49.25)</f>
        <v>49.25</v>
      </c>
      <c r="F1622" s="1">
        <f>IFERROR(__xludf.DUMMYFUNCTION("""COMPUTED_VALUE"""),2827530.0)</f>
        <v>2827530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IFERROR(__xludf.DUMMYFUNCTION("""COMPUTED_VALUE"""),49.01)</f>
        <v>49.01</v>
      </c>
      <c r="C1623" s="1">
        <f>IFERROR(__xludf.DUMMYFUNCTION("""COMPUTED_VALUE"""),49.56)</f>
        <v>49.56</v>
      </c>
      <c r="D1623" s="1">
        <f>IFERROR(__xludf.DUMMYFUNCTION("""COMPUTED_VALUE"""),48.65)</f>
        <v>48.65</v>
      </c>
      <c r="E1623" s="1">
        <f>IFERROR(__xludf.DUMMYFUNCTION("""COMPUTED_VALUE"""),49.14)</f>
        <v>49.14</v>
      </c>
      <c r="F1623" s="1">
        <f>IFERROR(__xludf.DUMMYFUNCTION("""COMPUTED_VALUE"""),2337524.0)</f>
        <v>2337524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IFERROR(__xludf.DUMMYFUNCTION("""COMPUTED_VALUE"""),48.88)</f>
        <v>48.88</v>
      </c>
      <c r="C1624" s="1">
        <f>IFERROR(__xludf.DUMMYFUNCTION("""COMPUTED_VALUE"""),49.36)</f>
        <v>49.36</v>
      </c>
      <c r="D1624" s="1">
        <f>IFERROR(__xludf.DUMMYFUNCTION("""COMPUTED_VALUE"""),48.4)</f>
        <v>48.4</v>
      </c>
      <c r="E1624" s="1">
        <f>IFERROR(__xludf.DUMMYFUNCTION("""COMPUTED_VALUE"""),48.9)</f>
        <v>48.9</v>
      </c>
      <c r="F1624" s="1">
        <f>IFERROR(__xludf.DUMMYFUNCTION("""COMPUTED_VALUE"""),2882228.0)</f>
        <v>2882228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IFERROR(__xludf.DUMMYFUNCTION("""COMPUTED_VALUE"""),48.9)</f>
        <v>48.9</v>
      </c>
      <c r="C1625" s="1">
        <f>IFERROR(__xludf.DUMMYFUNCTION("""COMPUTED_VALUE"""),50.27)</f>
        <v>50.27</v>
      </c>
      <c r="D1625" s="1">
        <f>IFERROR(__xludf.DUMMYFUNCTION("""COMPUTED_VALUE"""),48.85)</f>
        <v>48.85</v>
      </c>
      <c r="E1625" s="1">
        <f>IFERROR(__xludf.DUMMYFUNCTION("""COMPUTED_VALUE"""),49.36)</f>
        <v>49.36</v>
      </c>
      <c r="F1625" s="1">
        <f>IFERROR(__xludf.DUMMYFUNCTION("""COMPUTED_VALUE"""),2658768.0)</f>
        <v>2658768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IFERROR(__xludf.DUMMYFUNCTION("""COMPUTED_VALUE"""),48.93)</f>
        <v>48.93</v>
      </c>
      <c r="C1626" s="1">
        <f>IFERROR(__xludf.DUMMYFUNCTION("""COMPUTED_VALUE"""),49.44)</f>
        <v>49.44</v>
      </c>
      <c r="D1626" s="1">
        <f>IFERROR(__xludf.DUMMYFUNCTION("""COMPUTED_VALUE"""),47.87)</f>
        <v>47.87</v>
      </c>
      <c r="E1626" s="1">
        <f>IFERROR(__xludf.DUMMYFUNCTION("""COMPUTED_VALUE"""),49.2)</f>
        <v>49.2</v>
      </c>
      <c r="F1626" s="1">
        <f>IFERROR(__xludf.DUMMYFUNCTION("""COMPUTED_VALUE"""),2490878.0)</f>
        <v>2490878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IFERROR(__xludf.DUMMYFUNCTION("""COMPUTED_VALUE"""),49.85)</f>
        <v>49.85</v>
      </c>
      <c r="C1627" s="1">
        <f>IFERROR(__xludf.DUMMYFUNCTION("""COMPUTED_VALUE"""),51.01)</f>
        <v>51.01</v>
      </c>
      <c r="D1627" s="1">
        <f>IFERROR(__xludf.DUMMYFUNCTION("""COMPUTED_VALUE"""),49.85)</f>
        <v>49.85</v>
      </c>
      <c r="E1627" s="1">
        <f>IFERROR(__xludf.DUMMYFUNCTION("""COMPUTED_VALUE"""),50.12)</f>
        <v>50.12</v>
      </c>
      <c r="F1627" s="1">
        <f>IFERROR(__xludf.DUMMYFUNCTION("""COMPUTED_VALUE"""),5855805.0)</f>
        <v>5855805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IFERROR(__xludf.DUMMYFUNCTION("""COMPUTED_VALUE"""),50.74)</f>
        <v>50.74</v>
      </c>
      <c r="C1628" s="1">
        <f>IFERROR(__xludf.DUMMYFUNCTION("""COMPUTED_VALUE"""),51.84)</f>
        <v>51.84</v>
      </c>
      <c r="D1628" s="1">
        <f>IFERROR(__xludf.DUMMYFUNCTION("""COMPUTED_VALUE"""),50.61)</f>
        <v>50.61</v>
      </c>
      <c r="E1628" s="1">
        <f>IFERROR(__xludf.DUMMYFUNCTION("""COMPUTED_VALUE"""),50.63)</f>
        <v>50.63</v>
      </c>
      <c r="F1628" s="1">
        <f>IFERROR(__xludf.DUMMYFUNCTION("""COMPUTED_VALUE"""),6155973.0)</f>
        <v>6155973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IFERROR(__xludf.DUMMYFUNCTION("""COMPUTED_VALUE"""),49.11)</f>
        <v>49.11</v>
      </c>
      <c r="C1629" s="1">
        <f>IFERROR(__xludf.DUMMYFUNCTION("""COMPUTED_VALUE"""),49.64)</f>
        <v>49.64</v>
      </c>
      <c r="D1629" s="1">
        <f>IFERROR(__xludf.DUMMYFUNCTION("""COMPUTED_VALUE"""),47.9)</f>
        <v>47.9</v>
      </c>
      <c r="E1629" s="1">
        <f>IFERROR(__xludf.DUMMYFUNCTION("""COMPUTED_VALUE"""),48.14)</f>
        <v>48.14</v>
      </c>
      <c r="F1629" s="1">
        <f>IFERROR(__xludf.DUMMYFUNCTION("""COMPUTED_VALUE"""),9807906.0)</f>
        <v>9807906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IFERROR(__xludf.DUMMYFUNCTION("""COMPUTED_VALUE"""),47.98)</f>
        <v>47.98</v>
      </c>
      <c r="C1630" s="1">
        <f>IFERROR(__xludf.DUMMYFUNCTION("""COMPUTED_VALUE"""),48.26)</f>
        <v>48.26</v>
      </c>
      <c r="D1630" s="1">
        <f>IFERROR(__xludf.DUMMYFUNCTION("""COMPUTED_VALUE"""),46.36)</f>
        <v>46.36</v>
      </c>
      <c r="E1630" s="1">
        <f>IFERROR(__xludf.DUMMYFUNCTION("""COMPUTED_VALUE"""),46.5)</f>
        <v>46.5</v>
      </c>
      <c r="F1630" s="1">
        <f>IFERROR(__xludf.DUMMYFUNCTION("""COMPUTED_VALUE"""),6071396.0)</f>
        <v>6071396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IFERROR(__xludf.DUMMYFUNCTION("""COMPUTED_VALUE"""),47.21)</f>
        <v>47.21</v>
      </c>
      <c r="C1631" s="1">
        <f>IFERROR(__xludf.DUMMYFUNCTION("""COMPUTED_VALUE"""),48.19)</f>
        <v>48.19</v>
      </c>
      <c r="D1631" s="1">
        <f>IFERROR(__xludf.DUMMYFUNCTION("""COMPUTED_VALUE"""),46.87)</f>
        <v>46.87</v>
      </c>
      <c r="E1631" s="1">
        <f>IFERROR(__xludf.DUMMYFUNCTION("""COMPUTED_VALUE"""),46.98)</f>
        <v>46.98</v>
      </c>
      <c r="F1631" s="1">
        <f>IFERROR(__xludf.DUMMYFUNCTION("""COMPUTED_VALUE"""),3706080.0)</f>
        <v>3706080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IFERROR(__xludf.DUMMYFUNCTION("""COMPUTED_VALUE"""),45.69)</f>
        <v>45.69</v>
      </c>
      <c r="C1632" s="1">
        <f>IFERROR(__xludf.DUMMYFUNCTION("""COMPUTED_VALUE"""),46.68)</f>
        <v>46.68</v>
      </c>
      <c r="D1632" s="1">
        <f>IFERROR(__xludf.DUMMYFUNCTION("""COMPUTED_VALUE"""),45.47)</f>
        <v>45.47</v>
      </c>
      <c r="E1632" s="1">
        <f>IFERROR(__xludf.DUMMYFUNCTION("""COMPUTED_VALUE"""),46.32)</f>
        <v>46.32</v>
      </c>
      <c r="F1632" s="1">
        <f>IFERROR(__xludf.DUMMYFUNCTION("""COMPUTED_VALUE"""),4647836.0)</f>
        <v>4647836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IFERROR(__xludf.DUMMYFUNCTION("""COMPUTED_VALUE"""),45.86)</f>
        <v>45.86</v>
      </c>
      <c r="C1633" s="1">
        <f>IFERROR(__xludf.DUMMYFUNCTION("""COMPUTED_VALUE"""),45.99)</f>
        <v>45.99</v>
      </c>
      <c r="D1633" s="1">
        <f>IFERROR(__xludf.DUMMYFUNCTION("""COMPUTED_VALUE"""),45.06)</f>
        <v>45.06</v>
      </c>
      <c r="E1633" s="1">
        <f>IFERROR(__xludf.DUMMYFUNCTION("""COMPUTED_VALUE"""),45.7)</f>
        <v>45.7</v>
      </c>
      <c r="F1633" s="1">
        <f>IFERROR(__xludf.DUMMYFUNCTION("""COMPUTED_VALUE"""),4532969.0)</f>
        <v>4532969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IFERROR(__xludf.DUMMYFUNCTION("""COMPUTED_VALUE"""),46.61)</f>
        <v>46.61</v>
      </c>
      <c r="C1634" s="1">
        <f>IFERROR(__xludf.DUMMYFUNCTION("""COMPUTED_VALUE"""),47.29)</f>
        <v>47.29</v>
      </c>
      <c r="D1634" s="1">
        <f>IFERROR(__xludf.DUMMYFUNCTION("""COMPUTED_VALUE"""),46.23)</f>
        <v>46.23</v>
      </c>
      <c r="E1634" s="1">
        <f>IFERROR(__xludf.DUMMYFUNCTION("""COMPUTED_VALUE"""),46.71)</f>
        <v>46.71</v>
      </c>
      <c r="F1634" s="1">
        <f>IFERROR(__xludf.DUMMYFUNCTION("""COMPUTED_VALUE"""),2824547.0)</f>
        <v>2824547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IFERROR(__xludf.DUMMYFUNCTION("""COMPUTED_VALUE"""),47.22)</f>
        <v>47.22</v>
      </c>
      <c r="C1635" s="1">
        <f>IFERROR(__xludf.DUMMYFUNCTION("""COMPUTED_VALUE"""),48.31)</f>
        <v>48.31</v>
      </c>
      <c r="D1635" s="1">
        <f>IFERROR(__xludf.DUMMYFUNCTION("""COMPUTED_VALUE"""),47.16)</f>
        <v>47.16</v>
      </c>
      <c r="E1635" s="1">
        <f>IFERROR(__xludf.DUMMYFUNCTION("""COMPUTED_VALUE"""),48.02)</f>
        <v>48.02</v>
      </c>
      <c r="F1635" s="1">
        <f>IFERROR(__xludf.DUMMYFUNCTION("""COMPUTED_VALUE"""),2751181.0)</f>
        <v>2751181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IFERROR(__xludf.DUMMYFUNCTION("""COMPUTED_VALUE"""),47.91)</f>
        <v>47.91</v>
      </c>
      <c r="C1636" s="1">
        <f>IFERROR(__xludf.DUMMYFUNCTION("""COMPUTED_VALUE"""),49.13)</f>
        <v>49.13</v>
      </c>
      <c r="D1636" s="1">
        <f>IFERROR(__xludf.DUMMYFUNCTION("""COMPUTED_VALUE"""),47.38)</f>
        <v>47.38</v>
      </c>
      <c r="E1636" s="1">
        <f>IFERROR(__xludf.DUMMYFUNCTION("""COMPUTED_VALUE"""),49.03)</f>
        <v>49.03</v>
      </c>
      <c r="F1636" s="1">
        <f>IFERROR(__xludf.DUMMYFUNCTION("""COMPUTED_VALUE"""),3445983.0)</f>
        <v>3445983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IFERROR(__xludf.DUMMYFUNCTION("""COMPUTED_VALUE"""),49.43)</f>
        <v>49.43</v>
      </c>
      <c r="C1637" s="1">
        <f>IFERROR(__xludf.DUMMYFUNCTION("""COMPUTED_VALUE"""),50.45)</f>
        <v>50.45</v>
      </c>
      <c r="D1637" s="1">
        <f>IFERROR(__xludf.DUMMYFUNCTION("""COMPUTED_VALUE"""),49.21)</f>
        <v>49.21</v>
      </c>
      <c r="E1637" s="1">
        <f>IFERROR(__xludf.DUMMYFUNCTION("""COMPUTED_VALUE"""),49.66)</f>
        <v>49.66</v>
      </c>
      <c r="F1637" s="1">
        <f>IFERROR(__xludf.DUMMYFUNCTION("""COMPUTED_VALUE"""),2408313.0)</f>
        <v>2408313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IFERROR(__xludf.DUMMYFUNCTION("""COMPUTED_VALUE"""),49.07)</f>
        <v>49.07</v>
      </c>
      <c r="C1638" s="1">
        <f>IFERROR(__xludf.DUMMYFUNCTION("""COMPUTED_VALUE"""),49.2)</f>
        <v>49.2</v>
      </c>
      <c r="D1638" s="1">
        <f>IFERROR(__xludf.DUMMYFUNCTION("""COMPUTED_VALUE"""),47.0)</f>
        <v>47</v>
      </c>
      <c r="E1638" s="1">
        <f>IFERROR(__xludf.DUMMYFUNCTION("""COMPUTED_VALUE"""),47.76)</f>
        <v>47.76</v>
      </c>
      <c r="F1638" s="1">
        <f>IFERROR(__xludf.DUMMYFUNCTION("""COMPUTED_VALUE"""),3365740.0)</f>
        <v>3365740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IFERROR(__xludf.DUMMYFUNCTION("""COMPUTED_VALUE"""),48.21)</f>
        <v>48.21</v>
      </c>
      <c r="C1639" s="1">
        <f>IFERROR(__xludf.DUMMYFUNCTION("""COMPUTED_VALUE"""),50.59)</f>
        <v>50.59</v>
      </c>
      <c r="D1639" s="1">
        <f>IFERROR(__xludf.DUMMYFUNCTION("""COMPUTED_VALUE"""),48.21)</f>
        <v>48.21</v>
      </c>
      <c r="E1639" s="1">
        <f>IFERROR(__xludf.DUMMYFUNCTION("""COMPUTED_VALUE"""),50.45)</f>
        <v>50.45</v>
      </c>
      <c r="F1639" s="1">
        <f>IFERROR(__xludf.DUMMYFUNCTION("""COMPUTED_VALUE"""),5203662.0)</f>
        <v>5203662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IFERROR(__xludf.DUMMYFUNCTION("""COMPUTED_VALUE"""),50.4)</f>
        <v>50.4</v>
      </c>
      <c r="C1640" s="1">
        <f>IFERROR(__xludf.DUMMYFUNCTION("""COMPUTED_VALUE"""),51.09)</f>
        <v>51.09</v>
      </c>
      <c r="D1640" s="1">
        <f>IFERROR(__xludf.DUMMYFUNCTION("""COMPUTED_VALUE"""),49.99)</f>
        <v>49.99</v>
      </c>
      <c r="E1640" s="1">
        <f>IFERROR(__xludf.DUMMYFUNCTION("""COMPUTED_VALUE"""),50.44)</f>
        <v>50.44</v>
      </c>
      <c r="F1640" s="1">
        <f>IFERROR(__xludf.DUMMYFUNCTION("""COMPUTED_VALUE"""),1931472.0)</f>
        <v>1931472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IFERROR(__xludf.DUMMYFUNCTION("""COMPUTED_VALUE"""),51.06)</f>
        <v>51.06</v>
      </c>
      <c r="C1641" s="1">
        <f>IFERROR(__xludf.DUMMYFUNCTION("""COMPUTED_VALUE"""),52.75)</f>
        <v>52.75</v>
      </c>
      <c r="D1641" s="1">
        <f>IFERROR(__xludf.DUMMYFUNCTION("""COMPUTED_VALUE"""),50.99)</f>
        <v>50.99</v>
      </c>
      <c r="E1641" s="1">
        <f>IFERROR(__xludf.DUMMYFUNCTION("""COMPUTED_VALUE"""),52.67)</f>
        <v>52.67</v>
      </c>
      <c r="F1641" s="1">
        <f>IFERROR(__xludf.DUMMYFUNCTION("""COMPUTED_VALUE"""),2457163.0)</f>
        <v>2457163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IFERROR(__xludf.DUMMYFUNCTION("""COMPUTED_VALUE"""),52.74)</f>
        <v>52.74</v>
      </c>
      <c r="C1642" s="1">
        <f>IFERROR(__xludf.DUMMYFUNCTION("""COMPUTED_VALUE"""),53.67)</f>
        <v>53.67</v>
      </c>
      <c r="D1642" s="1">
        <f>IFERROR(__xludf.DUMMYFUNCTION("""COMPUTED_VALUE"""),52.68)</f>
        <v>52.68</v>
      </c>
      <c r="E1642" s="1">
        <f>IFERROR(__xludf.DUMMYFUNCTION("""COMPUTED_VALUE"""),53.32)</f>
        <v>53.32</v>
      </c>
      <c r="F1642" s="1">
        <f>IFERROR(__xludf.DUMMYFUNCTION("""COMPUTED_VALUE"""),2640758.0)</f>
        <v>2640758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IFERROR(__xludf.DUMMYFUNCTION("""COMPUTED_VALUE"""),53.96)</f>
        <v>53.96</v>
      </c>
      <c r="C1643" s="1">
        <f>IFERROR(__xludf.DUMMYFUNCTION("""COMPUTED_VALUE"""),54.95)</f>
        <v>54.95</v>
      </c>
      <c r="D1643" s="1">
        <f>IFERROR(__xludf.DUMMYFUNCTION("""COMPUTED_VALUE"""),53.94)</f>
        <v>53.94</v>
      </c>
      <c r="E1643" s="1">
        <f>IFERROR(__xludf.DUMMYFUNCTION("""COMPUTED_VALUE"""),54.78)</f>
        <v>54.78</v>
      </c>
      <c r="F1643" s="1">
        <f>IFERROR(__xludf.DUMMYFUNCTION("""COMPUTED_VALUE"""),2880385.0)</f>
        <v>2880385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IFERROR(__xludf.DUMMYFUNCTION("""COMPUTED_VALUE"""),54.69)</f>
        <v>54.69</v>
      </c>
      <c r="C1644" s="1">
        <f>IFERROR(__xludf.DUMMYFUNCTION("""COMPUTED_VALUE"""),55.0)</f>
        <v>55</v>
      </c>
      <c r="D1644" s="1">
        <f>IFERROR(__xludf.DUMMYFUNCTION("""COMPUTED_VALUE"""),54.28)</f>
        <v>54.28</v>
      </c>
      <c r="E1644" s="1">
        <f>IFERROR(__xludf.DUMMYFUNCTION("""COMPUTED_VALUE"""),54.6)</f>
        <v>54.6</v>
      </c>
      <c r="F1644" s="1">
        <f>IFERROR(__xludf.DUMMYFUNCTION("""COMPUTED_VALUE"""),1890822.0)</f>
        <v>1890822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IFERROR(__xludf.DUMMYFUNCTION("""COMPUTED_VALUE"""),55.01)</f>
        <v>55.01</v>
      </c>
      <c r="C1645" s="1">
        <f>IFERROR(__xludf.DUMMYFUNCTION("""COMPUTED_VALUE"""),55.55)</f>
        <v>55.55</v>
      </c>
      <c r="D1645" s="1">
        <f>IFERROR(__xludf.DUMMYFUNCTION("""COMPUTED_VALUE"""),54.83)</f>
        <v>54.83</v>
      </c>
      <c r="E1645" s="1">
        <f>IFERROR(__xludf.DUMMYFUNCTION("""COMPUTED_VALUE"""),55.4)</f>
        <v>55.4</v>
      </c>
      <c r="F1645" s="1">
        <f>IFERROR(__xludf.DUMMYFUNCTION("""COMPUTED_VALUE"""),1769301.0)</f>
        <v>1769301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IFERROR(__xludf.DUMMYFUNCTION("""COMPUTED_VALUE"""),55.77)</f>
        <v>55.77</v>
      </c>
      <c r="C1646" s="1">
        <f>IFERROR(__xludf.DUMMYFUNCTION("""COMPUTED_VALUE"""),55.78)</f>
        <v>55.78</v>
      </c>
      <c r="D1646" s="1">
        <f>IFERROR(__xludf.DUMMYFUNCTION("""COMPUTED_VALUE"""),55.09)</f>
        <v>55.09</v>
      </c>
      <c r="E1646" s="1">
        <f>IFERROR(__xludf.DUMMYFUNCTION("""COMPUTED_VALUE"""),55.23)</f>
        <v>55.23</v>
      </c>
      <c r="F1646" s="1">
        <f>IFERROR(__xludf.DUMMYFUNCTION("""COMPUTED_VALUE"""),1512329.0)</f>
        <v>1512329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IFERROR(__xludf.DUMMYFUNCTION("""COMPUTED_VALUE"""),55.11)</f>
        <v>55.11</v>
      </c>
      <c r="C1647" s="1">
        <f>IFERROR(__xludf.DUMMYFUNCTION("""COMPUTED_VALUE"""),55.81)</f>
        <v>55.81</v>
      </c>
      <c r="D1647" s="1">
        <f>IFERROR(__xludf.DUMMYFUNCTION("""COMPUTED_VALUE"""),54.98)</f>
        <v>54.98</v>
      </c>
      <c r="E1647" s="1">
        <f>IFERROR(__xludf.DUMMYFUNCTION("""COMPUTED_VALUE"""),55.47)</f>
        <v>55.47</v>
      </c>
      <c r="F1647" s="1">
        <f>IFERROR(__xludf.DUMMYFUNCTION("""COMPUTED_VALUE"""),1987471.0)</f>
        <v>1987471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IFERROR(__xludf.DUMMYFUNCTION("""COMPUTED_VALUE"""),54.95)</f>
        <v>54.95</v>
      </c>
      <c r="C1648" s="1">
        <f>IFERROR(__xludf.DUMMYFUNCTION("""COMPUTED_VALUE"""),55.29)</f>
        <v>55.29</v>
      </c>
      <c r="D1648" s="1">
        <f>IFERROR(__xludf.DUMMYFUNCTION("""COMPUTED_VALUE"""),54.49)</f>
        <v>54.49</v>
      </c>
      <c r="E1648" s="1">
        <f>IFERROR(__xludf.DUMMYFUNCTION("""COMPUTED_VALUE"""),54.72)</f>
        <v>54.72</v>
      </c>
      <c r="F1648" s="1">
        <f>IFERROR(__xludf.DUMMYFUNCTION("""COMPUTED_VALUE"""),1916253.0)</f>
        <v>1916253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IFERROR(__xludf.DUMMYFUNCTION("""COMPUTED_VALUE"""),55.05)</f>
        <v>55.05</v>
      </c>
      <c r="C1649" s="1">
        <f>IFERROR(__xludf.DUMMYFUNCTION("""COMPUTED_VALUE"""),56.24)</f>
        <v>56.24</v>
      </c>
      <c r="D1649" s="1">
        <f>IFERROR(__xludf.DUMMYFUNCTION("""COMPUTED_VALUE"""),55.03)</f>
        <v>55.03</v>
      </c>
      <c r="E1649" s="1">
        <f>IFERROR(__xludf.DUMMYFUNCTION("""COMPUTED_VALUE"""),56.04)</f>
        <v>56.04</v>
      </c>
      <c r="F1649" s="1">
        <f>IFERROR(__xludf.DUMMYFUNCTION("""COMPUTED_VALUE"""),2236508.0)</f>
        <v>2236508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IFERROR(__xludf.DUMMYFUNCTION("""COMPUTED_VALUE"""),57.11)</f>
        <v>57.11</v>
      </c>
      <c r="C1650" s="1">
        <f>IFERROR(__xludf.DUMMYFUNCTION("""COMPUTED_VALUE"""),58.72)</f>
        <v>58.72</v>
      </c>
      <c r="D1650" s="1">
        <f>IFERROR(__xludf.DUMMYFUNCTION("""COMPUTED_VALUE"""),56.58)</f>
        <v>56.58</v>
      </c>
      <c r="E1650" s="1">
        <f>IFERROR(__xludf.DUMMYFUNCTION("""COMPUTED_VALUE"""),57.56)</f>
        <v>57.56</v>
      </c>
      <c r="F1650" s="1">
        <f>IFERROR(__xludf.DUMMYFUNCTION("""COMPUTED_VALUE"""),4857563.0)</f>
        <v>4857563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IFERROR(__xludf.DUMMYFUNCTION("""COMPUTED_VALUE"""),57.56)</f>
        <v>57.56</v>
      </c>
      <c r="C1651" s="1">
        <f>IFERROR(__xludf.DUMMYFUNCTION("""COMPUTED_VALUE"""),58.26)</f>
        <v>58.26</v>
      </c>
      <c r="D1651" s="1">
        <f>IFERROR(__xludf.DUMMYFUNCTION("""COMPUTED_VALUE"""),57.01)</f>
        <v>57.01</v>
      </c>
      <c r="E1651" s="1">
        <f>IFERROR(__xludf.DUMMYFUNCTION("""COMPUTED_VALUE"""),57.95)</f>
        <v>57.95</v>
      </c>
      <c r="F1651" s="1">
        <f>IFERROR(__xludf.DUMMYFUNCTION("""COMPUTED_VALUE"""),1445453.0)</f>
        <v>1445453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IFERROR(__xludf.DUMMYFUNCTION("""COMPUTED_VALUE"""),57.87)</f>
        <v>57.87</v>
      </c>
      <c r="C1652" s="1">
        <f>IFERROR(__xludf.DUMMYFUNCTION("""COMPUTED_VALUE"""),58.22)</f>
        <v>58.22</v>
      </c>
      <c r="D1652" s="1">
        <f>IFERROR(__xludf.DUMMYFUNCTION("""COMPUTED_VALUE"""),57.37)</f>
        <v>57.37</v>
      </c>
      <c r="E1652" s="1">
        <f>IFERROR(__xludf.DUMMYFUNCTION("""COMPUTED_VALUE"""),57.8)</f>
        <v>57.8</v>
      </c>
      <c r="F1652" s="1">
        <f>IFERROR(__xludf.DUMMYFUNCTION("""COMPUTED_VALUE"""),1306566.0)</f>
        <v>1306566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IFERROR(__xludf.DUMMYFUNCTION("""COMPUTED_VALUE"""),57.66)</f>
        <v>57.66</v>
      </c>
      <c r="C1653" s="1">
        <f>IFERROR(__xludf.DUMMYFUNCTION("""COMPUTED_VALUE"""),58.74)</f>
        <v>58.74</v>
      </c>
      <c r="D1653" s="1">
        <f>IFERROR(__xludf.DUMMYFUNCTION("""COMPUTED_VALUE"""),57.64)</f>
        <v>57.64</v>
      </c>
      <c r="E1653" s="1">
        <f>IFERROR(__xludf.DUMMYFUNCTION("""COMPUTED_VALUE"""),58.63)</f>
        <v>58.63</v>
      </c>
      <c r="F1653" s="1">
        <f>IFERROR(__xludf.DUMMYFUNCTION("""COMPUTED_VALUE"""),1406066.0)</f>
        <v>1406066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IFERROR(__xludf.DUMMYFUNCTION("""COMPUTED_VALUE"""),58.64)</f>
        <v>58.64</v>
      </c>
      <c r="C1654" s="1">
        <f>IFERROR(__xludf.DUMMYFUNCTION("""COMPUTED_VALUE"""),58.92)</f>
        <v>58.92</v>
      </c>
      <c r="D1654" s="1">
        <f>IFERROR(__xludf.DUMMYFUNCTION("""COMPUTED_VALUE"""),58.04)</f>
        <v>58.04</v>
      </c>
      <c r="E1654" s="1">
        <f>IFERROR(__xludf.DUMMYFUNCTION("""COMPUTED_VALUE"""),58.44)</f>
        <v>58.44</v>
      </c>
      <c r="F1654" s="1">
        <f>IFERROR(__xludf.DUMMYFUNCTION("""COMPUTED_VALUE"""),1360408.0)</f>
        <v>1360408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IFERROR(__xludf.DUMMYFUNCTION("""COMPUTED_VALUE"""),58.09)</f>
        <v>58.09</v>
      </c>
      <c r="C1655" s="1">
        <f>IFERROR(__xludf.DUMMYFUNCTION("""COMPUTED_VALUE"""),58.48)</f>
        <v>58.48</v>
      </c>
      <c r="D1655" s="1">
        <f>IFERROR(__xludf.DUMMYFUNCTION("""COMPUTED_VALUE"""),57.09)</f>
        <v>57.09</v>
      </c>
      <c r="E1655" s="1">
        <f>IFERROR(__xludf.DUMMYFUNCTION("""COMPUTED_VALUE"""),58.35)</f>
        <v>58.35</v>
      </c>
      <c r="F1655" s="1">
        <f>IFERROR(__xludf.DUMMYFUNCTION("""COMPUTED_VALUE"""),2011964.0)</f>
        <v>2011964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IFERROR(__xludf.DUMMYFUNCTION("""COMPUTED_VALUE"""),58.33)</f>
        <v>58.33</v>
      </c>
      <c r="C1656" s="1">
        <f>IFERROR(__xludf.DUMMYFUNCTION("""COMPUTED_VALUE"""),58.48)</f>
        <v>58.48</v>
      </c>
      <c r="D1656" s="1">
        <f>IFERROR(__xludf.DUMMYFUNCTION("""COMPUTED_VALUE"""),57.72)</f>
        <v>57.72</v>
      </c>
      <c r="E1656" s="1">
        <f>IFERROR(__xludf.DUMMYFUNCTION("""COMPUTED_VALUE"""),58.26)</f>
        <v>58.26</v>
      </c>
      <c r="F1656" s="1">
        <f>IFERROR(__xludf.DUMMYFUNCTION("""COMPUTED_VALUE"""),1904036.0)</f>
        <v>1904036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IFERROR(__xludf.DUMMYFUNCTION("""COMPUTED_VALUE"""),58.07)</f>
        <v>58.07</v>
      </c>
      <c r="C1657" s="1">
        <f>IFERROR(__xludf.DUMMYFUNCTION("""COMPUTED_VALUE"""),58.38)</f>
        <v>58.38</v>
      </c>
      <c r="D1657" s="1">
        <f>IFERROR(__xludf.DUMMYFUNCTION("""COMPUTED_VALUE"""),57.61)</f>
        <v>57.61</v>
      </c>
      <c r="E1657" s="1">
        <f>IFERROR(__xludf.DUMMYFUNCTION("""COMPUTED_VALUE"""),58.14)</f>
        <v>58.14</v>
      </c>
      <c r="F1657" s="1">
        <f>IFERROR(__xludf.DUMMYFUNCTION("""COMPUTED_VALUE"""),1226698.0)</f>
        <v>1226698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IFERROR(__xludf.DUMMYFUNCTION("""COMPUTED_VALUE"""),57.97)</f>
        <v>57.97</v>
      </c>
      <c r="C1658" s="1">
        <f>IFERROR(__xludf.DUMMYFUNCTION("""COMPUTED_VALUE"""),58.16)</f>
        <v>58.16</v>
      </c>
      <c r="D1658" s="1">
        <f>IFERROR(__xludf.DUMMYFUNCTION("""COMPUTED_VALUE"""),55.25)</f>
        <v>55.25</v>
      </c>
      <c r="E1658" s="1">
        <f>IFERROR(__xludf.DUMMYFUNCTION("""COMPUTED_VALUE"""),55.57)</f>
        <v>55.57</v>
      </c>
      <c r="F1658" s="1">
        <f>IFERROR(__xludf.DUMMYFUNCTION("""COMPUTED_VALUE"""),3079239.0)</f>
        <v>3079239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IFERROR(__xludf.DUMMYFUNCTION("""COMPUTED_VALUE"""),55.57)</f>
        <v>55.57</v>
      </c>
      <c r="C1659" s="1">
        <f>IFERROR(__xludf.DUMMYFUNCTION("""COMPUTED_VALUE"""),56.21)</f>
        <v>56.21</v>
      </c>
      <c r="D1659" s="1">
        <f>IFERROR(__xludf.DUMMYFUNCTION("""COMPUTED_VALUE"""),54.86)</f>
        <v>54.86</v>
      </c>
      <c r="E1659" s="1">
        <f>IFERROR(__xludf.DUMMYFUNCTION("""COMPUTED_VALUE"""),56.2)</f>
        <v>56.2</v>
      </c>
      <c r="F1659" s="1">
        <f>IFERROR(__xludf.DUMMYFUNCTION("""COMPUTED_VALUE"""),2001507.0)</f>
        <v>2001507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IFERROR(__xludf.DUMMYFUNCTION("""COMPUTED_VALUE"""),56.27)</f>
        <v>56.27</v>
      </c>
      <c r="C1660" s="1">
        <f>IFERROR(__xludf.DUMMYFUNCTION("""COMPUTED_VALUE"""),57.74)</f>
        <v>57.74</v>
      </c>
      <c r="D1660" s="1">
        <f>IFERROR(__xludf.DUMMYFUNCTION("""COMPUTED_VALUE"""),56.27)</f>
        <v>56.27</v>
      </c>
      <c r="E1660" s="1">
        <f>IFERROR(__xludf.DUMMYFUNCTION("""COMPUTED_VALUE"""),57.52)</f>
        <v>57.52</v>
      </c>
      <c r="F1660" s="1">
        <f>IFERROR(__xludf.DUMMYFUNCTION("""COMPUTED_VALUE"""),2649787.0)</f>
        <v>2649787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IFERROR(__xludf.DUMMYFUNCTION("""COMPUTED_VALUE"""),58.18)</f>
        <v>58.18</v>
      </c>
      <c r="C1661" s="1">
        <f>IFERROR(__xludf.DUMMYFUNCTION("""COMPUTED_VALUE"""),59.59)</f>
        <v>59.59</v>
      </c>
      <c r="D1661" s="1">
        <f>IFERROR(__xludf.DUMMYFUNCTION("""COMPUTED_VALUE"""),58.16)</f>
        <v>58.16</v>
      </c>
      <c r="E1661" s="1">
        <f>IFERROR(__xludf.DUMMYFUNCTION("""COMPUTED_VALUE"""),58.85)</f>
        <v>58.85</v>
      </c>
      <c r="F1661" s="1">
        <f>IFERROR(__xludf.DUMMYFUNCTION("""COMPUTED_VALUE"""),3296179.0)</f>
        <v>3296179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IFERROR(__xludf.DUMMYFUNCTION("""COMPUTED_VALUE"""),58.79)</f>
        <v>58.79</v>
      </c>
      <c r="C1662" s="1">
        <f>IFERROR(__xludf.DUMMYFUNCTION("""COMPUTED_VALUE"""),58.94)</f>
        <v>58.94</v>
      </c>
      <c r="D1662" s="1">
        <f>IFERROR(__xludf.DUMMYFUNCTION("""COMPUTED_VALUE"""),58.34)</f>
        <v>58.34</v>
      </c>
      <c r="E1662" s="1">
        <f>IFERROR(__xludf.DUMMYFUNCTION("""COMPUTED_VALUE"""),58.68)</f>
        <v>58.68</v>
      </c>
      <c r="F1662" s="1">
        <f>IFERROR(__xludf.DUMMYFUNCTION("""COMPUTED_VALUE"""),1323159.0)</f>
        <v>1323159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IFERROR(__xludf.DUMMYFUNCTION("""COMPUTED_VALUE"""),58.54)</f>
        <v>58.54</v>
      </c>
      <c r="C1663" s="1">
        <f>IFERROR(__xludf.DUMMYFUNCTION("""COMPUTED_VALUE"""),59.65)</f>
        <v>59.65</v>
      </c>
      <c r="D1663" s="1">
        <f>IFERROR(__xludf.DUMMYFUNCTION("""COMPUTED_VALUE"""),58.54)</f>
        <v>58.54</v>
      </c>
      <c r="E1663" s="1">
        <f>IFERROR(__xludf.DUMMYFUNCTION("""COMPUTED_VALUE"""),58.74)</f>
        <v>58.74</v>
      </c>
      <c r="F1663" s="1">
        <f>IFERROR(__xludf.DUMMYFUNCTION("""COMPUTED_VALUE"""),2154715.0)</f>
        <v>2154715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IFERROR(__xludf.DUMMYFUNCTION("""COMPUTED_VALUE"""),58.77)</f>
        <v>58.77</v>
      </c>
      <c r="C1664" s="1">
        <f>IFERROR(__xludf.DUMMYFUNCTION("""COMPUTED_VALUE"""),58.79)</f>
        <v>58.79</v>
      </c>
      <c r="D1664" s="1">
        <f>IFERROR(__xludf.DUMMYFUNCTION("""COMPUTED_VALUE"""),58.14)</f>
        <v>58.14</v>
      </c>
      <c r="E1664" s="1">
        <f>IFERROR(__xludf.DUMMYFUNCTION("""COMPUTED_VALUE"""),58.36)</f>
        <v>58.36</v>
      </c>
      <c r="F1664" s="1">
        <f>IFERROR(__xludf.DUMMYFUNCTION("""COMPUTED_VALUE"""),968925.0)</f>
        <v>968925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IFERROR(__xludf.DUMMYFUNCTION("""COMPUTED_VALUE"""),58.91)</f>
        <v>58.91</v>
      </c>
      <c r="C1665" s="1">
        <f>IFERROR(__xludf.DUMMYFUNCTION("""COMPUTED_VALUE"""),59.81)</f>
        <v>59.81</v>
      </c>
      <c r="D1665" s="1">
        <f>IFERROR(__xludf.DUMMYFUNCTION("""COMPUTED_VALUE"""),58.55)</f>
        <v>58.55</v>
      </c>
      <c r="E1665" s="1">
        <f>IFERROR(__xludf.DUMMYFUNCTION("""COMPUTED_VALUE"""),59.17)</f>
        <v>59.17</v>
      </c>
      <c r="F1665" s="1">
        <f>IFERROR(__xludf.DUMMYFUNCTION("""COMPUTED_VALUE"""),2089834.0)</f>
        <v>2089834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IFERROR(__xludf.DUMMYFUNCTION("""COMPUTED_VALUE"""),59.17)</f>
        <v>59.17</v>
      </c>
      <c r="C1666" s="1">
        <f>IFERROR(__xludf.DUMMYFUNCTION("""COMPUTED_VALUE"""),60.34)</f>
        <v>60.34</v>
      </c>
      <c r="D1666" s="1">
        <f>IFERROR(__xludf.DUMMYFUNCTION("""COMPUTED_VALUE"""),59.13)</f>
        <v>59.13</v>
      </c>
      <c r="E1666" s="1">
        <f>IFERROR(__xludf.DUMMYFUNCTION("""COMPUTED_VALUE"""),59.56)</f>
        <v>59.56</v>
      </c>
      <c r="F1666" s="1">
        <f>IFERROR(__xludf.DUMMYFUNCTION("""COMPUTED_VALUE"""),1433362.0)</f>
        <v>1433362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IFERROR(__xludf.DUMMYFUNCTION("""COMPUTED_VALUE"""),59.68)</f>
        <v>59.68</v>
      </c>
      <c r="C1667" s="1">
        <f>IFERROR(__xludf.DUMMYFUNCTION("""COMPUTED_VALUE"""),60.53)</f>
        <v>60.53</v>
      </c>
      <c r="D1667" s="1">
        <f>IFERROR(__xludf.DUMMYFUNCTION("""COMPUTED_VALUE"""),59.48)</f>
        <v>59.48</v>
      </c>
      <c r="E1667" s="1">
        <f>IFERROR(__xludf.DUMMYFUNCTION("""COMPUTED_VALUE"""),60.51)</f>
        <v>60.51</v>
      </c>
      <c r="F1667" s="1">
        <f>IFERROR(__xludf.DUMMYFUNCTION("""COMPUTED_VALUE"""),1452773.0)</f>
        <v>1452773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IFERROR(__xludf.DUMMYFUNCTION("""COMPUTED_VALUE"""),60.34)</f>
        <v>60.34</v>
      </c>
      <c r="C1668" s="1">
        <f>IFERROR(__xludf.DUMMYFUNCTION("""COMPUTED_VALUE"""),60.49)</f>
        <v>60.49</v>
      </c>
      <c r="D1668" s="1">
        <f>IFERROR(__xludf.DUMMYFUNCTION("""COMPUTED_VALUE"""),59.71)</f>
        <v>59.71</v>
      </c>
      <c r="E1668" s="1">
        <f>IFERROR(__xludf.DUMMYFUNCTION("""COMPUTED_VALUE"""),60.16)</f>
        <v>60.16</v>
      </c>
      <c r="F1668" s="1">
        <f>IFERROR(__xludf.DUMMYFUNCTION("""COMPUTED_VALUE"""),1181304.0)</f>
        <v>1181304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IFERROR(__xludf.DUMMYFUNCTION("""COMPUTED_VALUE"""),60.08)</f>
        <v>60.08</v>
      </c>
      <c r="C1669" s="1">
        <f>IFERROR(__xludf.DUMMYFUNCTION("""COMPUTED_VALUE"""),60.15)</f>
        <v>60.15</v>
      </c>
      <c r="D1669" s="1">
        <f>IFERROR(__xludf.DUMMYFUNCTION("""COMPUTED_VALUE"""),58.51)</f>
        <v>58.51</v>
      </c>
      <c r="E1669" s="1">
        <f>IFERROR(__xludf.DUMMYFUNCTION("""COMPUTED_VALUE"""),58.82)</f>
        <v>58.82</v>
      </c>
      <c r="F1669" s="1">
        <f>IFERROR(__xludf.DUMMYFUNCTION("""COMPUTED_VALUE"""),1990309.0)</f>
        <v>1990309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IFERROR(__xludf.DUMMYFUNCTION("""COMPUTED_VALUE"""),59.15)</f>
        <v>59.15</v>
      </c>
      <c r="C1670" s="1">
        <f>IFERROR(__xludf.DUMMYFUNCTION("""COMPUTED_VALUE"""),59.51)</f>
        <v>59.51</v>
      </c>
      <c r="D1670" s="1">
        <f>IFERROR(__xludf.DUMMYFUNCTION("""COMPUTED_VALUE"""),58.23)</f>
        <v>58.23</v>
      </c>
      <c r="E1670" s="1">
        <f>IFERROR(__xludf.DUMMYFUNCTION("""COMPUTED_VALUE"""),59.15)</f>
        <v>59.15</v>
      </c>
      <c r="F1670" s="1">
        <f>IFERROR(__xludf.DUMMYFUNCTION("""COMPUTED_VALUE"""),3130666.0)</f>
        <v>3130666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IFERROR(__xludf.DUMMYFUNCTION("""COMPUTED_VALUE"""),58.93)</f>
        <v>58.93</v>
      </c>
      <c r="C1671" s="1">
        <f>IFERROR(__xludf.DUMMYFUNCTION("""COMPUTED_VALUE"""),59.55)</f>
        <v>59.55</v>
      </c>
      <c r="D1671" s="1">
        <f>IFERROR(__xludf.DUMMYFUNCTION("""COMPUTED_VALUE"""),57.92)</f>
        <v>57.92</v>
      </c>
      <c r="E1671" s="1">
        <f>IFERROR(__xludf.DUMMYFUNCTION("""COMPUTED_VALUE"""),59.3)</f>
        <v>59.3</v>
      </c>
      <c r="F1671" s="1">
        <f>IFERROR(__xludf.DUMMYFUNCTION("""COMPUTED_VALUE"""),2963562.0)</f>
        <v>2963562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IFERROR(__xludf.DUMMYFUNCTION("""COMPUTED_VALUE"""),59.2)</f>
        <v>59.2</v>
      </c>
      <c r="C1672" s="1">
        <f>IFERROR(__xludf.DUMMYFUNCTION("""COMPUTED_VALUE"""),59.25)</f>
        <v>59.25</v>
      </c>
      <c r="D1672" s="1">
        <f>IFERROR(__xludf.DUMMYFUNCTION("""COMPUTED_VALUE"""),58.32)</f>
        <v>58.32</v>
      </c>
      <c r="E1672" s="1">
        <f>IFERROR(__xludf.DUMMYFUNCTION("""COMPUTED_VALUE"""),58.93)</f>
        <v>58.93</v>
      </c>
      <c r="F1672" s="1">
        <f>IFERROR(__xludf.DUMMYFUNCTION("""COMPUTED_VALUE"""),2371242.0)</f>
        <v>2371242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IFERROR(__xludf.DUMMYFUNCTION("""COMPUTED_VALUE"""),59.4)</f>
        <v>59.4</v>
      </c>
      <c r="C1673" s="1">
        <f>IFERROR(__xludf.DUMMYFUNCTION("""COMPUTED_VALUE"""),59.78)</f>
        <v>59.78</v>
      </c>
      <c r="D1673" s="1">
        <f>IFERROR(__xludf.DUMMYFUNCTION("""COMPUTED_VALUE"""),59.02)</f>
        <v>59.02</v>
      </c>
      <c r="E1673" s="1">
        <f>IFERROR(__xludf.DUMMYFUNCTION("""COMPUTED_VALUE"""),59.09)</f>
        <v>59.09</v>
      </c>
      <c r="F1673" s="1">
        <f>IFERROR(__xludf.DUMMYFUNCTION("""COMPUTED_VALUE"""),1703553.0)</f>
        <v>1703553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IFERROR(__xludf.DUMMYFUNCTION("""COMPUTED_VALUE"""),58.96)</f>
        <v>58.96</v>
      </c>
      <c r="C1674" s="1">
        <f>IFERROR(__xludf.DUMMYFUNCTION("""COMPUTED_VALUE"""),59.31)</f>
        <v>59.31</v>
      </c>
      <c r="D1674" s="1">
        <f>IFERROR(__xludf.DUMMYFUNCTION("""COMPUTED_VALUE"""),58.09)</f>
        <v>58.09</v>
      </c>
      <c r="E1674" s="1">
        <f>IFERROR(__xludf.DUMMYFUNCTION("""COMPUTED_VALUE"""),58.22)</f>
        <v>58.22</v>
      </c>
      <c r="F1674" s="1">
        <f>IFERROR(__xludf.DUMMYFUNCTION("""COMPUTED_VALUE"""),1311584.0)</f>
        <v>1311584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IFERROR(__xludf.DUMMYFUNCTION("""COMPUTED_VALUE"""),57.9)</f>
        <v>57.9</v>
      </c>
      <c r="C1675" s="1">
        <f>IFERROR(__xludf.DUMMYFUNCTION("""COMPUTED_VALUE"""),58.78)</f>
        <v>58.78</v>
      </c>
      <c r="D1675" s="1">
        <f>IFERROR(__xludf.DUMMYFUNCTION("""COMPUTED_VALUE"""),57.9)</f>
        <v>57.9</v>
      </c>
      <c r="E1675" s="1">
        <f>IFERROR(__xludf.DUMMYFUNCTION("""COMPUTED_VALUE"""),58.38)</f>
        <v>58.38</v>
      </c>
      <c r="F1675" s="1">
        <f>IFERROR(__xludf.DUMMYFUNCTION("""COMPUTED_VALUE"""),1260942.0)</f>
        <v>1260942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IFERROR(__xludf.DUMMYFUNCTION("""COMPUTED_VALUE"""),58.55)</f>
        <v>58.55</v>
      </c>
      <c r="C1676" s="1">
        <f>IFERROR(__xludf.DUMMYFUNCTION("""COMPUTED_VALUE"""),59.55)</f>
        <v>59.55</v>
      </c>
      <c r="D1676" s="1">
        <f>IFERROR(__xludf.DUMMYFUNCTION("""COMPUTED_VALUE"""),58.41)</f>
        <v>58.41</v>
      </c>
      <c r="E1676" s="1">
        <f>IFERROR(__xludf.DUMMYFUNCTION("""COMPUTED_VALUE"""),58.7)</f>
        <v>58.7</v>
      </c>
      <c r="F1676" s="1">
        <f>IFERROR(__xludf.DUMMYFUNCTION("""COMPUTED_VALUE"""),1510493.0)</f>
        <v>1510493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IFERROR(__xludf.DUMMYFUNCTION("""COMPUTED_VALUE"""),58.7)</f>
        <v>58.7</v>
      </c>
      <c r="C1677" s="1">
        <f>IFERROR(__xludf.DUMMYFUNCTION("""COMPUTED_VALUE"""),59.69)</f>
        <v>59.69</v>
      </c>
      <c r="D1677" s="1">
        <f>IFERROR(__xludf.DUMMYFUNCTION("""COMPUTED_VALUE"""),58.58)</f>
        <v>58.58</v>
      </c>
      <c r="E1677" s="1">
        <f>IFERROR(__xludf.DUMMYFUNCTION("""COMPUTED_VALUE"""),59.48)</f>
        <v>59.48</v>
      </c>
      <c r="F1677" s="1">
        <f>IFERROR(__xludf.DUMMYFUNCTION("""COMPUTED_VALUE"""),1039443.0)</f>
        <v>1039443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IFERROR(__xludf.DUMMYFUNCTION("""COMPUTED_VALUE"""),59.19)</f>
        <v>59.19</v>
      </c>
      <c r="C1678" s="1">
        <f>IFERROR(__xludf.DUMMYFUNCTION("""COMPUTED_VALUE"""),59.73)</f>
        <v>59.73</v>
      </c>
      <c r="D1678" s="1">
        <f>IFERROR(__xludf.DUMMYFUNCTION("""COMPUTED_VALUE"""),58.88)</f>
        <v>58.88</v>
      </c>
      <c r="E1678" s="1">
        <f>IFERROR(__xludf.DUMMYFUNCTION("""COMPUTED_VALUE"""),59.5)</f>
        <v>59.5</v>
      </c>
      <c r="F1678" s="1">
        <f>IFERROR(__xludf.DUMMYFUNCTION("""COMPUTED_VALUE"""),830158.0)</f>
        <v>830158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IFERROR(__xludf.DUMMYFUNCTION("""COMPUTED_VALUE"""),59.52)</f>
        <v>59.52</v>
      </c>
      <c r="C1679" s="1">
        <f>IFERROR(__xludf.DUMMYFUNCTION("""COMPUTED_VALUE"""),59.53)</f>
        <v>59.53</v>
      </c>
      <c r="D1679" s="1">
        <f>IFERROR(__xludf.DUMMYFUNCTION("""COMPUTED_VALUE"""),58.26)</f>
        <v>58.26</v>
      </c>
      <c r="E1679" s="1">
        <f>IFERROR(__xludf.DUMMYFUNCTION("""COMPUTED_VALUE"""),58.95)</f>
        <v>58.95</v>
      </c>
      <c r="F1679" s="1">
        <f>IFERROR(__xludf.DUMMYFUNCTION("""COMPUTED_VALUE"""),1471908.0)</f>
        <v>1471908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IFERROR(__xludf.DUMMYFUNCTION("""COMPUTED_VALUE"""),59.03)</f>
        <v>59.03</v>
      </c>
      <c r="C1680" s="1">
        <f>IFERROR(__xludf.DUMMYFUNCTION("""COMPUTED_VALUE"""),59.48)</f>
        <v>59.48</v>
      </c>
      <c r="D1680" s="1">
        <f>IFERROR(__xludf.DUMMYFUNCTION("""COMPUTED_VALUE"""),58.39)</f>
        <v>58.39</v>
      </c>
      <c r="E1680" s="1">
        <f>IFERROR(__xludf.DUMMYFUNCTION("""COMPUTED_VALUE"""),59.01)</f>
        <v>59.01</v>
      </c>
      <c r="F1680" s="1">
        <f>IFERROR(__xludf.DUMMYFUNCTION("""COMPUTED_VALUE"""),1139066.0)</f>
        <v>1139066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IFERROR(__xludf.DUMMYFUNCTION("""COMPUTED_VALUE"""),59.52)</f>
        <v>59.52</v>
      </c>
      <c r="C1681" s="1">
        <f>IFERROR(__xludf.DUMMYFUNCTION("""COMPUTED_VALUE"""),60.12)</f>
        <v>60.12</v>
      </c>
      <c r="D1681" s="1">
        <f>IFERROR(__xludf.DUMMYFUNCTION("""COMPUTED_VALUE"""),59.44)</f>
        <v>59.44</v>
      </c>
      <c r="E1681" s="1">
        <f>IFERROR(__xludf.DUMMYFUNCTION("""COMPUTED_VALUE"""),60.06)</f>
        <v>60.06</v>
      </c>
      <c r="F1681" s="1">
        <f>IFERROR(__xludf.DUMMYFUNCTION("""COMPUTED_VALUE"""),1029113.0)</f>
        <v>1029113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IFERROR(__xludf.DUMMYFUNCTION("""COMPUTED_VALUE"""),59.99)</f>
        <v>59.99</v>
      </c>
      <c r="C1682" s="1">
        <f>IFERROR(__xludf.DUMMYFUNCTION("""COMPUTED_VALUE"""),60.1)</f>
        <v>60.1</v>
      </c>
      <c r="D1682" s="1">
        <f>IFERROR(__xludf.DUMMYFUNCTION("""COMPUTED_VALUE"""),59.24)</f>
        <v>59.24</v>
      </c>
      <c r="E1682" s="1">
        <f>IFERROR(__xludf.DUMMYFUNCTION("""COMPUTED_VALUE"""),59.52)</f>
        <v>59.52</v>
      </c>
      <c r="F1682" s="1">
        <f>IFERROR(__xludf.DUMMYFUNCTION("""COMPUTED_VALUE"""),2411799.0)</f>
        <v>2411799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IFERROR(__xludf.DUMMYFUNCTION("""COMPUTED_VALUE"""),59.66)</f>
        <v>59.66</v>
      </c>
      <c r="C1683" s="1">
        <f>IFERROR(__xludf.DUMMYFUNCTION("""COMPUTED_VALUE"""),60.81)</f>
        <v>60.81</v>
      </c>
      <c r="D1683" s="1">
        <f>IFERROR(__xludf.DUMMYFUNCTION("""COMPUTED_VALUE"""),59.52)</f>
        <v>59.52</v>
      </c>
      <c r="E1683" s="1">
        <f>IFERROR(__xludf.DUMMYFUNCTION("""COMPUTED_VALUE"""),60.6)</f>
        <v>60.6</v>
      </c>
      <c r="F1683" s="1">
        <f>IFERROR(__xludf.DUMMYFUNCTION("""COMPUTED_VALUE"""),3740857.0)</f>
        <v>3740857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IFERROR(__xludf.DUMMYFUNCTION("""COMPUTED_VALUE"""),60.3)</f>
        <v>60.3</v>
      </c>
      <c r="C1684" s="1">
        <f>IFERROR(__xludf.DUMMYFUNCTION("""COMPUTED_VALUE"""),60.54)</f>
        <v>60.54</v>
      </c>
      <c r="D1684" s="1">
        <f>IFERROR(__xludf.DUMMYFUNCTION("""COMPUTED_VALUE"""),59.94)</f>
        <v>59.94</v>
      </c>
      <c r="E1684" s="1">
        <f>IFERROR(__xludf.DUMMYFUNCTION("""COMPUTED_VALUE"""),60.17)</f>
        <v>60.17</v>
      </c>
      <c r="F1684" s="1">
        <f>IFERROR(__xludf.DUMMYFUNCTION("""COMPUTED_VALUE"""),1488520.0)</f>
        <v>1488520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IFERROR(__xludf.DUMMYFUNCTION("""COMPUTED_VALUE"""),58.19)</f>
        <v>58.19</v>
      </c>
      <c r="C1685" s="1">
        <f>IFERROR(__xludf.DUMMYFUNCTION("""COMPUTED_VALUE"""),58.72)</f>
        <v>58.72</v>
      </c>
      <c r="D1685" s="1">
        <f>IFERROR(__xludf.DUMMYFUNCTION("""COMPUTED_VALUE"""),55.22)</f>
        <v>55.22</v>
      </c>
      <c r="E1685" s="1">
        <f>IFERROR(__xludf.DUMMYFUNCTION("""COMPUTED_VALUE"""),55.23)</f>
        <v>55.23</v>
      </c>
      <c r="F1685" s="1">
        <f>IFERROR(__xludf.DUMMYFUNCTION("""COMPUTED_VALUE"""),3490543.0)</f>
        <v>3490543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IFERROR(__xludf.DUMMYFUNCTION("""COMPUTED_VALUE"""),54.94)</f>
        <v>54.94</v>
      </c>
      <c r="C1686" s="1">
        <f>IFERROR(__xludf.DUMMYFUNCTION("""COMPUTED_VALUE"""),57.11)</f>
        <v>57.11</v>
      </c>
      <c r="D1686" s="1">
        <f>IFERROR(__xludf.DUMMYFUNCTION("""COMPUTED_VALUE"""),54.72)</f>
        <v>54.72</v>
      </c>
      <c r="E1686" s="1">
        <f>IFERROR(__xludf.DUMMYFUNCTION("""COMPUTED_VALUE"""),56.8)</f>
        <v>56.8</v>
      </c>
      <c r="F1686" s="1">
        <f>IFERROR(__xludf.DUMMYFUNCTION("""COMPUTED_VALUE"""),2433020.0)</f>
        <v>2433020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IFERROR(__xludf.DUMMYFUNCTION("""COMPUTED_VALUE"""),56.23)</f>
        <v>56.23</v>
      </c>
      <c r="C1687" s="1">
        <f>IFERROR(__xludf.DUMMYFUNCTION("""COMPUTED_VALUE"""),56.76)</f>
        <v>56.76</v>
      </c>
      <c r="D1687" s="1">
        <f>IFERROR(__xludf.DUMMYFUNCTION("""COMPUTED_VALUE"""),55.72)</f>
        <v>55.72</v>
      </c>
      <c r="E1687" s="1">
        <f>IFERROR(__xludf.DUMMYFUNCTION("""COMPUTED_VALUE"""),56.43)</f>
        <v>56.43</v>
      </c>
      <c r="F1687" s="1">
        <f>IFERROR(__xludf.DUMMYFUNCTION("""COMPUTED_VALUE"""),1860152.0)</f>
        <v>1860152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IFERROR(__xludf.DUMMYFUNCTION("""COMPUTED_VALUE"""),56.58)</f>
        <v>56.58</v>
      </c>
      <c r="C1688" s="1">
        <f>IFERROR(__xludf.DUMMYFUNCTION("""COMPUTED_VALUE"""),57.06)</f>
        <v>57.06</v>
      </c>
      <c r="D1688" s="1">
        <f>IFERROR(__xludf.DUMMYFUNCTION("""COMPUTED_VALUE"""),55.95)</f>
        <v>55.95</v>
      </c>
      <c r="E1688" s="1">
        <f>IFERROR(__xludf.DUMMYFUNCTION("""COMPUTED_VALUE"""),56.73)</f>
        <v>56.73</v>
      </c>
      <c r="F1688" s="1">
        <f>IFERROR(__xludf.DUMMYFUNCTION("""COMPUTED_VALUE"""),1285913.0)</f>
        <v>1285913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IFERROR(__xludf.DUMMYFUNCTION("""COMPUTED_VALUE"""),56.74)</f>
        <v>56.74</v>
      </c>
      <c r="C1689" s="1">
        <f>IFERROR(__xludf.DUMMYFUNCTION("""COMPUTED_VALUE"""),57.32)</f>
        <v>57.32</v>
      </c>
      <c r="D1689" s="1">
        <f>IFERROR(__xludf.DUMMYFUNCTION("""COMPUTED_VALUE"""),56.51)</f>
        <v>56.51</v>
      </c>
      <c r="E1689" s="1">
        <f>IFERROR(__xludf.DUMMYFUNCTION("""COMPUTED_VALUE"""),56.9)</f>
        <v>56.9</v>
      </c>
      <c r="F1689" s="1">
        <f>IFERROR(__xludf.DUMMYFUNCTION("""COMPUTED_VALUE"""),2353182.0)</f>
        <v>2353182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IFERROR(__xludf.DUMMYFUNCTION("""COMPUTED_VALUE"""),56.61)</f>
        <v>56.61</v>
      </c>
      <c r="C1690" s="1">
        <f>IFERROR(__xludf.DUMMYFUNCTION("""COMPUTED_VALUE"""),56.76)</f>
        <v>56.76</v>
      </c>
      <c r="D1690" s="1">
        <f>IFERROR(__xludf.DUMMYFUNCTION("""COMPUTED_VALUE"""),55.89)</f>
        <v>55.89</v>
      </c>
      <c r="E1690" s="1">
        <f>IFERROR(__xludf.DUMMYFUNCTION("""COMPUTED_VALUE"""),56.5)</f>
        <v>56.5</v>
      </c>
      <c r="F1690" s="1">
        <f>IFERROR(__xludf.DUMMYFUNCTION("""COMPUTED_VALUE"""),4606636.0)</f>
        <v>4606636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IFERROR(__xludf.DUMMYFUNCTION("""COMPUTED_VALUE"""),57.16)</f>
        <v>57.16</v>
      </c>
      <c r="C1691" s="1">
        <f>IFERROR(__xludf.DUMMYFUNCTION("""COMPUTED_VALUE"""),57.7)</f>
        <v>57.7</v>
      </c>
      <c r="D1691" s="1">
        <f>IFERROR(__xludf.DUMMYFUNCTION("""COMPUTED_VALUE"""),56.56)</f>
        <v>56.56</v>
      </c>
      <c r="E1691" s="1">
        <f>IFERROR(__xludf.DUMMYFUNCTION("""COMPUTED_VALUE"""),56.58)</f>
        <v>56.58</v>
      </c>
      <c r="F1691" s="1">
        <f>IFERROR(__xludf.DUMMYFUNCTION("""COMPUTED_VALUE"""),4379121.0)</f>
        <v>4379121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IFERROR(__xludf.DUMMYFUNCTION("""COMPUTED_VALUE"""),56.82)</f>
        <v>56.82</v>
      </c>
      <c r="C1692" s="1">
        <f>IFERROR(__xludf.DUMMYFUNCTION("""COMPUTED_VALUE"""),57.15)</f>
        <v>57.15</v>
      </c>
      <c r="D1692" s="1">
        <f>IFERROR(__xludf.DUMMYFUNCTION("""COMPUTED_VALUE"""),55.66)</f>
        <v>55.66</v>
      </c>
      <c r="E1692" s="1">
        <f>IFERROR(__xludf.DUMMYFUNCTION("""COMPUTED_VALUE"""),55.76)</f>
        <v>55.76</v>
      </c>
      <c r="F1692" s="1">
        <f>IFERROR(__xludf.DUMMYFUNCTION("""COMPUTED_VALUE"""),3982102.0)</f>
        <v>3982102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IFERROR(__xludf.DUMMYFUNCTION("""COMPUTED_VALUE"""),53.98)</f>
        <v>53.98</v>
      </c>
      <c r="C1693" s="1">
        <f>IFERROR(__xludf.DUMMYFUNCTION("""COMPUTED_VALUE"""),54.89)</f>
        <v>54.89</v>
      </c>
      <c r="D1693" s="1">
        <f>IFERROR(__xludf.DUMMYFUNCTION("""COMPUTED_VALUE"""),53.23)</f>
        <v>53.23</v>
      </c>
      <c r="E1693" s="1">
        <f>IFERROR(__xludf.DUMMYFUNCTION("""COMPUTED_VALUE"""),54.62)</f>
        <v>54.62</v>
      </c>
      <c r="F1693" s="1">
        <f>IFERROR(__xludf.DUMMYFUNCTION("""COMPUTED_VALUE"""),5553454.0)</f>
        <v>5553454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IFERROR(__xludf.DUMMYFUNCTION("""COMPUTED_VALUE"""),55.15)</f>
        <v>55.15</v>
      </c>
      <c r="C1694" s="1">
        <f>IFERROR(__xludf.DUMMYFUNCTION("""COMPUTED_VALUE"""),55.5)</f>
        <v>55.5</v>
      </c>
      <c r="D1694" s="1">
        <f>IFERROR(__xludf.DUMMYFUNCTION("""COMPUTED_VALUE"""),54.29)</f>
        <v>54.29</v>
      </c>
      <c r="E1694" s="1">
        <f>IFERROR(__xludf.DUMMYFUNCTION("""COMPUTED_VALUE"""),54.35)</f>
        <v>54.35</v>
      </c>
      <c r="F1694" s="1">
        <f>IFERROR(__xludf.DUMMYFUNCTION("""COMPUTED_VALUE"""),2636407.0)</f>
        <v>2636407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IFERROR(__xludf.DUMMYFUNCTION("""COMPUTED_VALUE"""),53.95)</f>
        <v>53.95</v>
      </c>
      <c r="C1695" s="1">
        <f>IFERROR(__xludf.DUMMYFUNCTION("""COMPUTED_VALUE"""),54.4)</f>
        <v>54.4</v>
      </c>
      <c r="D1695" s="1">
        <f>IFERROR(__xludf.DUMMYFUNCTION("""COMPUTED_VALUE"""),53.51)</f>
        <v>53.51</v>
      </c>
      <c r="E1695" s="1">
        <f>IFERROR(__xludf.DUMMYFUNCTION("""COMPUTED_VALUE"""),53.74)</f>
        <v>53.74</v>
      </c>
      <c r="F1695" s="1">
        <f>IFERROR(__xludf.DUMMYFUNCTION("""COMPUTED_VALUE"""),2616640.0)</f>
        <v>2616640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IFERROR(__xludf.DUMMYFUNCTION("""COMPUTED_VALUE"""),53.48)</f>
        <v>53.48</v>
      </c>
      <c r="C1696" s="1">
        <f>IFERROR(__xludf.DUMMYFUNCTION("""COMPUTED_VALUE"""),54.13)</f>
        <v>54.13</v>
      </c>
      <c r="D1696" s="1">
        <f>IFERROR(__xludf.DUMMYFUNCTION("""COMPUTED_VALUE"""),53.22)</f>
        <v>53.22</v>
      </c>
      <c r="E1696" s="1">
        <f>IFERROR(__xludf.DUMMYFUNCTION("""COMPUTED_VALUE"""),53.59)</f>
        <v>53.59</v>
      </c>
      <c r="F1696" s="1">
        <f>IFERROR(__xludf.DUMMYFUNCTION("""COMPUTED_VALUE"""),2371025.0)</f>
        <v>2371025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IFERROR(__xludf.DUMMYFUNCTION("""COMPUTED_VALUE"""),53.57)</f>
        <v>53.57</v>
      </c>
      <c r="C1697" s="1">
        <f>IFERROR(__xludf.DUMMYFUNCTION("""COMPUTED_VALUE"""),54.11)</f>
        <v>54.11</v>
      </c>
      <c r="D1697" s="1">
        <f>IFERROR(__xludf.DUMMYFUNCTION("""COMPUTED_VALUE"""),53.45)</f>
        <v>53.45</v>
      </c>
      <c r="E1697" s="1">
        <f>IFERROR(__xludf.DUMMYFUNCTION("""COMPUTED_VALUE"""),53.7)</f>
        <v>53.7</v>
      </c>
      <c r="F1697" s="1">
        <f>IFERROR(__xludf.DUMMYFUNCTION("""COMPUTED_VALUE"""),1545405.0)</f>
        <v>1545405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IFERROR(__xludf.DUMMYFUNCTION("""COMPUTED_VALUE"""),53.68)</f>
        <v>53.68</v>
      </c>
      <c r="C1698" s="1">
        <f>IFERROR(__xludf.DUMMYFUNCTION("""COMPUTED_VALUE"""),53.89)</f>
        <v>53.89</v>
      </c>
      <c r="D1698" s="1">
        <f>IFERROR(__xludf.DUMMYFUNCTION("""COMPUTED_VALUE"""),52.78)</f>
        <v>52.78</v>
      </c>
      <c r="E1698" s="1">
        <f>IFERROR(__xludf.DUMMYFUNCTION("""COMPUTED_VALUE"""),53.12)</f>
        <v>53.12</v>
      </c>
      <c r="F1698" s="1">
        <f>IFERROR(__xludf.DUMMYFUNCTION("""COMPUTED_VALUE"""),1802415.0)</f>
        <v>1802415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IFERROR(__xludf.DUMMYFUNCTION("""COMPUTED_VALUE"""),52.94)</f>
        <v>52.94</v>
      </c>
      <c r="C1699" s="1">
        <f>IFERROR(__xludf.DUMMYFUNCTION("""COMPUTED_VALUE"""),53.3)</f>
        <v>53.3</v>
      </c>
      <c r="D1699" s="1">
        <f>IFERROR(__xludf.DUMMYFUNCTION("""COMPUTED_VALUE"""),52.07)</f>
        <v>52.07</v>
      </c>
      <c r="E1699" s="1">
        <f>IFERROR(__xludf.DUMMYFUNCTION("""COMPUTED_VALUE"""),52.17)</f>
        <v>52.17</v>
      </c>
      <c r="F1699" s="1">
        <f>IFERROR(__xludf.DUMMYFUNCTION("""COMPUTED_VALUE"""),1498735.0)</f>
        <v>1498735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IFERROR(__xludf.DUMMYFUNCTION("""COMPUTED_VALUE"""),52.29)</f>
        <v>52.29</v>
      </c>
      <c r="C1700" s="1">
        <f>IFERROR(__xludf.DUMMYFUNCTION("""COMPUTED_VALUE"""),53.64)</f>
        <v>53.64</v>
      </c>
      <c r="D1700" s="1">
        <f>IFERROR(__xludf.DUMMYFUNCTION("""COMPUTED_VALUE"""),51.85)</f>
        <v>51.85</v>
      </c>
      <c r="E1700" s="1">
        <f>IFERROR(__xludf.DUMMYFUNCTION("""COMPUTED_VALUE"""),53.35)</f>
        <v>53.35</v>
      </c>
      <c r="F1700" s="1">
        <f>IFERROR(__xludf.DUMMYFUNCTION("""COMPUTED_VALUE"""),2289997.0)</f>
        <v>2289997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IFERROR(__xludf.DUMMYFUNCTION("""COMPUTED_VALUE"""),52.84)</f>
        <v>52.84</v>
      </c>
      <c r="C1701" s="1">
        <f>IFERROR(__xludf.DUMMYFUNCTION("""COMPUTED_VALUE"""),52.85)</f>
        <v>52.85</v>
      </c>
      <c r="D1701" s="1">
        <f>IFERROR(__xludf.DUMMYFUNCTION("""COMPUTED_VALUE"""),51.57)</f>
        <v>51.57</v>
      </c>
      <c r="E1701" s="1">
        <f>IFERROR(__xludf.DUMMYFUNCTION("""COMPUTED_VALUE"""),52.52)</f>
        <v>52.52</v>
      </c>
      <c r="F1701" s="1">
        <f>IFERROR(__xludf.DUMMYFUNCTION("""COMPUTED_VALUE"""),2194819.0)</f>
        <v>2194819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IFERROR(__xludf.DUMMYFUNCTION("""COMPUTED_VALUE"""),52.68)</f>
        <v>52.68</v>
      </c>
      <c r="C1702" s="1">
        <f>IFERROR(__xludf.DUMMYFUNCTION("""COMPUTED_VALUE"""),52.84)</f>
        <v>52.84</v>
      </c>
      <c r="D1702" s="1">
        <f>IFERROR(__xludf.DUMMYFUNCTION("""COMPUTED_VALUE"""),51.52)</f>
        <v>51.52</v>
      </c>
      <c r="E1702" s="1">
        <f>IFERROR(__xludf.DUMMYFUNCTION("""COMPUTED_VALUE"""),51.65)</f>
        <v>51.65</v>
      </c>
      <c r="F1702" s="1">
        <f>IFERROR(__xludf.DUMMYFUNCTION("""COMPUTED_VALUE"""),2174396.0)</f>
        <v>2174396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IFERROR(__xludf.DUMMYFUNCTION("""COMPUTED_VALUE"""),52.32)</f>
        <v>52.32</v>
      </c>
      <c r="C1703" s="1">
        <f>IFERROR(__xludf.DUMMYFUNCTION("""COMPUTED_VALUE"""),53.95)</f>
        <v>53.95</v>
      </c>
      <c r="D1703" s="1">
        <f>IFERROR(__xludf.DUMMYFUNCTION("""COMPUTED_VALUE"""),52.01)</f>
        <v>52.01</v>
      </c>
      <c r="E1703" s="1">
        <f>IFERROR(__xludf.DUMMYFUNCTION("""COMPUTED_VALUE"""),53.1)</f>
        <v>53.1</v>
      </c>
      <c r="F1703" s="1">
        <f>IFERROR(__xludf.DUMMYFUNCTION("""COMPUTED_VALUE"""),2837792.0)</f>
        <v>2837792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IFERROR(__xludf.DUMMYFUNCTION("""COMPUTED_VALUE"""),52.77)</f>
        <v>52.77</v>
      </c>
      <c r="C1704" s="1">
        <f>IFERROR(__xludf.DUMMYFUNCTION("""COMPUTED_VALUE"""),53.09)</f>
        <v>53.09</v>
      </c>
      <c r="D1704" s="1">
        <f>IFERROR(__xludf.DUMMYFUNCTION("""COMPUTED_VALUE"""),52.58)</f>
        <v>52.58</v>
      </c>
      <c r="E1704" s="1">
        <f>IFERROR(__xludf.DUMMYFUNCTION("""COMPUTED_VALUE"""),52.78)</f>
        <v>52.78</v>
      </c>
      <c r="F1704" s="1">
        <f>IFERROR(__xludf.DUMMYFUNCTION("""COMPUTED_VALUE"""),1361992.0)</f>
        <v>1361992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IFERROR(__xludf.DUMMYFUNCTION("""COMPUTED_VALUE"""),53.13)</f>
        <v>53.13</v>
      </c>
      <c r="C1705" s="1">
        <f>IFERROR(__xludf.DUMMYFUNCTION("""COMPUTED_VALUE"""),53.17)</f>
        <v>53.17</v>
      </c>
      <c r="D1705" s="1">
        <f>IFERROR(__xludf.DUMMYFUNCTION("""COMPUTED_VALUE"""),51.97)</f>
        <v>51.97</v>
      </c>
      <c r="E1705" s="1">
        <f>IFERROR(__xludf.DUMMYFUNCTION("""COMPUTED_VALUE"""),52.33)</f>
        <v>52.33</v>
      </c>
      <c r="F1705" s="1">
        <f>IFERROR(__xludf.DUMMYFUNCTION("""COMPUTED_VALUE"""),1800514.0)</f>
        <v>1800514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IFERROR(__xludf.DUMMYFUNCTION("""COMPUTED_VALUE"""),52.75)</f>
        <v>52.75</v>
      </c>
      <c r="C1706" s="1">
        <f>IFERROR(__xludf.DUMMYFUNCTION("""COMPUTED_VALUE"""),53.33)</f>
        <v>53.33</v>
      </c>
      <c r="D1706" s="1">
        <f>IFERROR(__xludf.DUMMYFUNCTION("""COMPUTED_VALUE"""),52.62)</f>
        <v>52.62</v>
      </c>
      <c r="E1706" s="1">
        <f>IFERROR(__xludf.DUMMYFUNCTION("""COMPUTED_VALUE"""),52.64)</f>
        <v>52.64</v>
      </c>
      <c r="F1706" s="1">
        <f>IFERROR(__xludf.DUMMYFUNCTION("""COMPUTED_VALUE"""),974932.0)</f>
        <v>974932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IFERROR(__xludf.DUMMYFUNCTION("""COMPUTED_VALUE"""),52.44)</f>
        <v>52.44</v>
      </c>
      <c r="C1707" s="1">
        <f>IFERROR(__xludf.DUMMYFUNCTION("""COMPUTED_VALUE"""),52.48)</f>
        <v>52.48</v>
      </c>
      <c r="D1707" s="1">
        <f>IFERROR(__xludf.DUMMYFUNCTION("""COMPUTED_VALUE"""),50.93)</f>
        <v>50.93</v>
      </c>
      <c r="E1707" s="1">
        <f>IFERROR(__xludf.DUMMYFUNCTION("""COMPUTED_VALUE"""),51.14)</f>
        <v>51.14</v>
      </c>
      <c r="F1707" s="1">
        <f>IFERROR(__xludf.DUMMYFUNCTION("""COMPUTED_VALUE"""),1932918.0)</f>
        <v>1932918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IFERROR(__xludf.DUMMYFUNCTION("""COMPUTED_VALUE"""),51.37)</f>
        <v>51.37</v>
      </c>
      <c r="C1708" s="1">
        <f>IFERROR(__xludf.DUMMYFUNCTION("""COMPUTED_VALUE"""),51.79)</f>
        <v>51.79</v>
      </c>
      <c r="D1708" s="1">
        <f>IFERROR(__xludf.DUMMYFUNCTION("""COMPUTED_VALUE"""),50.96)</f>
        <v>50.96</v>
      </c>
      <c r="E1708" s="1">
        <f>IFERROR(__xludf.DUMMYFUNCTION("""COMPUTED_VALUE"""),51.6)</f>
        <v>51.6</v>
      </c>
      <c r="F1708" s="1">
        <f>IFERROR(__xludf.DUMMYFUNCTION("""COMPUTED_VALUE"""),1689638.0)</f>
        <v>1689638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IFERROR(__xludf.DUMMYFUNCTION("""COMPUTED_VALUE"""),51.11)</f>
        <v>51.11</v>
      </c>
      <c r="C1709" s="1">
        <f>IFERROR(__xludf.DUMMYFUNCTION("""COMPUTED_VALUE"""),51.62)</f>
        <v>51.62</v>
      </c>
      <c r="D1709" s="1">
        <f>IFERROR(__xludf.DUMMYFUNCTION("""COMPUTED_VALUE"""),50.61)</f>
        <v>50.61</v>
      </c>
      <c r="E1709" s="1">
        <f>IFERROR(__xludf.DUMMYFUNCTION("""COMPUTED_VALUE"""),51.51)</f>
        <v>51.51</v>
      </c>
      <c r="F1709" s="1">
        <f>IFERROR(__xludf.DUMMYFUNCTION("""COMPUTED_VALUE"""),1603959.0)</f>
        <v>1603959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IFERROR(__xludf.DUMMYFUNCTION("""COMPUTED_VALUE"""),51.79)</f>
        <v>51.79</v>
      </c>
      <c r="C1710" s="1">
        <f>IFERROR(__xludf.DUMMYFUNCTION("""COMPUTED_VALUE"""),52.14)</f>
        <v>52.14</v>
      </c>
      <c r="D1710" s="1">
        <f>IFERROR(__xludf.DUMMYFUNCTION("""COMPUTED_VALUE"""),50.93)</f>
        <v>50.93</v>
      </c>
      <c r="E1710" s="1">
        <f>IFERROR(__xludf.DUMMYFUNCTION("""COMPUTED_VALUE"""),51.25)</f>
        <v>51.25</v>
      </c>
      <c r="F1710" s="1">
        <f>IFERROR(__xludf.DUMMYFUNCTION("""COMPUTED_VALUE"""),2190185.0)</f>
        <v>2190185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IFERROR(__xludf.DUMMYFUNCTION("""COMPUTED_VALUE"""),51.25)</f>
        <v>51.25</v>
      </c>
      <c r="C1711" s="1">
        <f>IFERROR(__xludf.DUMMYFUNCTION("""COMPUTED_VALUE"""),51.44)</f>
        <v>51.44</v>
      </c>
      <c r="D1711" s="1">
        <f>IFERROR(__xludf.DUMMYFUNCTION("""COMPUTED_VALUE"""),50.95)</f>
        <v>50.95</v>
      </c>
      <c r="E1711" s="1">
        <f>IFERROR(__xludf.DUMMYFUNCTION("""COMPUTED_VALUE"""),51.11)</f>
        <v>51.11</v>
      </c>
      <c r="F1711" s="1">
        <f>IFERROR(__xludf.DUMMYFUNCTION("""COMPUTED_VALUE"""),1432155.0)</f>
        <v>1432155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IFERROR(__xludf.DUMMYFUNCTION("""COMPUTED_VALUE"""),51.74)</f>
        <v>51.74</v>
      </c>
      <c r="C1712" s="1">
        <f>IFERROR(__xludf.DUMMYFUNCTION("""COMPUTED_VALUE"""),51.93)</f>
        <v>51.93</v>
      </c>
      <c r="D1712" s="1">
        <f>IFERROR(__xludf.DUMMYFUNCTION("""COMPUTED_VALUE"""),50.76)</f>
        <v>50.76</v>
      </c>
      <c r="E1712" s="1">
        <f>IFERROR(__xludf.DUMMYFUNCTION("""COMPUTED_VALUE"""),51.04)</f>
        <v>51.04</v>
      </c>
      <c r="F1712" s="1">
        <f>IFERROR(__xludf.DUMMYFUNCTION("""COMPUTED_VALUE"""),2122544.0)</f>
        <v>2122544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IFERROR(__xludf.DUMMYFUNCTION("""COMPUTED_VALUE"""),51.19)</f>
        <v>51.19</v>
      </c>
      <c r="C1713" s="1">
        <f>IFERROR(__xludf.DUMMYFUNCTION("""COMPUTED_VALUE"""),51.94)</f>
        <v>51.94</v>
      </c>
      <c r="D1713" s="1">
        <f>IFERROR(__xludf.DUMMYFUNCTION("""COMPUTED_VALUE"""),51.03)</f>
        <v>51.03</v>
      </c>
      <c r="E1713" s="1">
        <f>IFERROR(__xludf.DUMMYFUNCTION("""COMPUTED_VALUE"""),51.76)</f>
        <v>51.76</v>
      </c>
      <c r="F1713" s="1">
        <f>IFERROR(__xludf.DUMMYFUNCTION("""COMPUTED_VALUE"""),1254643.0)</f>
        <v>1254643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IFERROR(__xludf.DUMMYFUNCTION("""COMPUTED_VALUE"""),51.58)</f>
        <v>51.58</v>
      </c>
      <c r="C1714" s="1">
        <f>IFERROR(__xludf.DUMMYFUNCTION("""COMPUTED_VALUE"""),51.78)</f>
        <v>51.78</v>
      </c>
      <c r="D1714" s="1">
        <f>IFERROR(__xludf.DUMMYFUNCTION("""COMPUTED_VALUE"""),50.6)</f>
        <v>50.6</v>
      </c>
      <c r="E1714" s="1">
        <f>IFERROR(__xludf.DUMMYFUNCTION("""COMPUTED_VALUE"""),50.83)</f>
        <v>50.83</v>
      </c>
      <c r="F1714" s="1">
        <f>IFERROR(__xludf.DUMMYFUNCTION("""COMPUTED_VALUE"""),2469251.0)</f>
        <v>2469251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IFERROR(__xludf.DUMMYFUNCTION("""COMPUTED_VALUE"""),50.45)</f>
        <v>50.45</v>
      </c>
      <c r="C1715" s="1">
        <f>IFERROR(__xludf.DUMMYFUNCTION("""COMPUTED_VALUE"""),50.54)</f>
        <v>50.54</v>
      </c>
      <c r="D1715" s="1">
        <f>IFERROR(__xludf.DUMMYFUNCTION("""COMPUTED_VALUE"""),49.84)</f>
        <v>49.84</v>
      </c>
      <c r="E1715" s="1">
        <f>IFERROR(__xludf.DUMMYFUNCTION("""COMPUTED_VALUE"""),50.05)</f>
        <v>50.05</v>
      </c>
      <c r="F1715" s="1">
        <f>IFERROR(__xludf.DUMMYFUNCTION("""COMPUTED_VALUE"""),2866737.0)</f>
        <v>2866737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IFERROR(__xludf.DUMMYFUNCTION("""COMPUTED_VALUE"""),52.37)</f>
        <v>52.37</v>
      </c>
      <c r="C1716" s="1">
        <f>IFERROR(__xludf.DUMMYFUNCTION("""COMPUTED_VALUE"""),52.75)</f>
        <v>52.75</v>
      </c>
      <c r="D1716" s="1">
        <f>IFERROR(__xludf.DUMMYFUNCTION("""COMPUTED_VALUE"""),50.51)</f>
        <v>50.51</v>
      </c>
      <c r="E1716" s="1">
        <f>IFERROR(__xludf.DUMMYFUNCTION("""COMPUTED_VALUE"""),51.5)</f>
        <v>51.5</v>
      </c>
      <c r="F1716" s="1">
        <f>IFERROR(__xludf.DUMMYFUNCTION("""COMPUTED_VALUE"""),4061216.0)</f>
        <v>4061216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IFERROR(__xludf.DUMMYFUNCTION("""COMPUTED_VALUE"""),51.13)</f>
        <v>51.13</v>
      </c>
      <c r="C1717" s="1">
        <f>IFERROR(__xludf.DUMMYFUNCTION("""COMPUTED_VALUE"""),51.28)</f>
        <v>51.28</v>
      </c>
      <c r="D1717" s="1">
        <f>IFERROR(__xludf.DUMMYFUNCTION("""COMPUTED_VALUE"""),50.6)</f>
        <v>50.6</v>
      </c>
      <c r="E1717" s="1">
        <f>IFERROR(__xludf.DUMMYFUNCTION("""COMPUTED_VALUE"""),50.93)</f>
        <v>50.93</v>
      </c>
      <c r="F1717" s="1">
        <f>IFERROR(__xludf.DUMMYFUNCTION("""COMPUTED_VALUE"""),1877631.0)</f>
        <v>1877631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IFERROR(__xludf.DUMMYFUNCTION("""COMPUTED_VALUE"""),50.63)</f>
        <v>50.63</v>
      </c>
      <c r="C1718" s="1">
        <f>IFERROR(__xludf.DUMMYFUNCTION("""COMPUTED_VALUE"""),51.89)</f>
        <v>51.89</v>
      </c>
      <c r="D1718" s="1">
        <f>IFERROR(__xludf.DUMMYFUNCTION("""COMPUTED_VALUE"""),50.51)</f>
        <v>50.51</v>
      </c>
      <c r="E1718" s="1">
        <f>IFERROR(__xludf.DUMMYFUNCTION("""COMPUTED_VALUE"""),51.54)</f>
        <v>51.54</v>
      </c>
      <c r="F1718" s="1">
        <f>IFERROR(__xludf.DUMMYFUNCTION("""COMPUTED_VALUE"""),2474659.0)</f>
        <v>2474659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IFERROR(__xludf.DUMMYFUNCTION("""COMPUTED_VALUE"""),51.5)</f>
        <v>51.5</v>
      </c>
      <c r="C1719" s="1">
        <f>IFERROR(__xludf.DUMMYFUNCTION("""COMPUTED_VALUE"""),51.53)</f>
        <v>51.53</v>
      </c>
      <c r="D1719" s="1">
        <f>IFERROR(__xludf.DUMMYFUNCTION("""COMPUTED_VALUE"""),50.51)</f>
        <v>50.51</v>
      </c>
      <c r="E1719" s="1">
        <f>IFERROR(__xludf.DUMMYFUNCTION("""COMPUTED_VALUE"""),50.59)</f>
        <v>50.59</v>
      </c>
      <c r="F1719" s="1">
        <f>IFERROR(__xludf.DUMMYFUNCTION("""COMPUTED_VALUE"""),2881340.0)</f>
        <v>2881340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IFERROR(__xludf.DUMMYFUNCTION("""COMPUTED_VALUE"""),49.69)</f>
        <v>49.69</v>
      </c>
      <c r="C1720" s="1">
        <f>IFERROR(__xludf.DUMMYFUNCTION("""COMPUTED_VALUE"""),49.95)</f>
        <v>49.95</v>
      </c>
      <c r="D1720" s="1">
        <f>IFERROR(__xludf.DUMMYFUNCTION("""COMPUTED_VALUE"""),48.79)</f>
        <v>48.79</v>
      </c>
      <c r="E1720" s="1">
        <f>IFERROR(__xludf.DUMMYFUNCTION("""COMPUTED_VALUE"""),49.77)</f>
        <v>49.77</v>
      </c>
      <c r="F1720" s="1">
        <f>IFERROR(__xludf.DUMMYFUNCTION("""COMPUTED_VALUE"""),3640348.0)</f>
        <v>3640348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IFERROR(__xludf.DUMMYFUNCTION("""COMPUTED_VALUE"""),49.81)</f>
        <v>49.81</v>
      </c>
      <c r="C1721" s="1">
        <f>IFERROR(__xludf.DUMMYFUNCTION("""COMPUTED_VALUE"""),50.07)</f>
        <v>50.07</v>
      </c>
      <c r="D1721" s="1">
        <f>IFERROR(__xludf.DUMMYFUNCTION("""COMPUTED_VALUE"""),49.36)</f>
        <v>49.36</v>
      </c>
      <c r="E1721" s="1">
        <f>IFERROR(__xludf.DUMMYFUNCTION("""COMPUTED_VALUE"""),49.94)</f>
        <v>49.94</v>
      </c>
      <c r="F1721" s="1">
        <f>IFERROR(__xludf.DUMMYFUNCTION("""COMPUTED_VALUE"""),1813181.0)</f>
        <v>1813181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IFERROR(__xludf.DUMMYFUNCTION("""COMPUTED_VALUE"""),49.89)</f>
        <v>49.89</v>
      </c>
      <c r="C1722" s="1">
        <f>IFERROR(__xludf.DUMMYFUNCTION("""COMPUTED_VALUE"""),49.89)</f>
        <v>49.89</v>
      </c>
      <c r="D1722" s="1">
        <f>IFERROR(__xludf.DUMMYFUNCTION("""COMPUTED_VALUE"""),48.03)</f>
        <v>48.03</v>
      </c>
      <c r="E1722" s="1">
        <f>IFERROR(__xludf.DUMMYFUNCTION("""COMPUTED_VALUE"""),48.65)</f>
        <v>48.65</v>
      </c>
      <c r="F1722" s="1">
        <f>IFERROR(__xludf.DUMMYFUNCTION("""COMPUTED_VALUE"""),2226637.0)</f>
        <v>2226637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IFERROR(__xludf.DUMMYFUNCTION("""COMPUTED_VALUE"""),48.48)</f>
        <v>48.48</v>
      </c>
      <c r="C1723" s="1">
        <f>IFERROR(__xludf.DUMMYFUNCTION("""COMPUTED_VALUE"""),49.2)</f>
        <v>49.2</v>
      </c>
      <c r="D1723" s="1">
        <f>IFERROR(__xludf.DUMMYFUNCTION("""COMPUTED_VALUE"""),48.34)</f>
        <v>48.34</v>
      </c>
      <c r="E1723" s="1">
        <f>IFERROR(__xludf.DUMMYFUNCTION("""COMPUTED_VALUE"""),48.73)</f>
        <v>48.73</v>
      </c>
      <c r="F1723" s="1">
        <f>IFERROR(__xludf.DUMMYFUNCTION("""COMPUTED_VALUE"""),1743567.0)</f>
        <v>1743567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IFERROR(__xludf.DUMMYFUNCTION("""COMPUTED_VALUE"""),48.83)</f>
        <v>48.83</v>
      </c>
      <c r="C1724" s="1">
        <f>IFERROR(__xludf.DUMMYFUNCTION("""COMPUTED_VALUE"""),49.83)</f>
        <v>49.83</v>
      </c>
      <c r="D1724" s="1">
        <f>IFERROR(__xludf.DUMMYFUNCTION("""COMPUTED_VALUE"""),48.83)</f>
        <v>48.83</v>
      </c>
      <c r="E1724" s="1">
        <f>IFERROR(__xludf.DUMMYFUNCTION("""COMPUTED_VALUE"""),49.62)</f>
        <v>49.62</v>
      </c>
      <c r="F1724" s="1">
        <f>IFERROR(__xludf.DUMMYFUNCTION("""COMPUTED_VALUE"""),2777144.0)</f>
        <v>2777144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IFERROR(__xludf.DUMMYFUNCTION("""COMPUTED_VALUE"""),49.58)</f>
        <v>49.58</v>
      </c>
      <c r="C1725" s="1">
        <f>IFERROR(__xludf.DUMMYFUNCTION("""COMPUTED_VALUE"""),51.84)</f>
        <v>51.84</v>
      </c>
      <c r="D1725" s="1">
        <f>IFERROR(__xludf.DUMMYFUNCTION("""COMPUTED_VALUE"""),49.38)</f>
        <v>49.38</v>
      </c>
      <c r="E1725" s="1">
        <f>IFERROR(__xludf.DUMMYFUNCTION("""COMPUTED_VALUE"""),50.51)</f>
        <v>50.51</v>
      </c>
      <c r="F1725" s="1">
        <f>IFERROR(__xludf.DUMMYFUNCTION("""COMPUTED_VALUE"""),3398984.0)</f>
        <v>3398984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IFERROR(__xludf.DUMMYFUNCTION("""COMPUTED_VALUE"""),51.35)</f>
        <v>51.35</v>
      </c>
      <c r="C1726" s="1">
        <f>IFERROR(__xludf.DUMMYFUNCTION("""COMPUTED_VALUE"""),51.61)</f>
        <v>51.61</v>
      </c>
      <c r="D1726" s="1">
        <f>IFERROR(__xludf.DUMMYFUNCTION("""COMPUTED_VALUE"""),50.79)</f>
        <v>50.79</v>
      </c>
      <c r="E1726" s="1">
        <f>IFERROR(__xludf.DUMMYFUNCTION("""COMPUTED_VALUE"""),51.51)</f>
        <v>51.51</v>
      </c>
      <c r="F1726" s="1">
        <f>IFERROR(__xludf.DUMMYFUNCTION("""COMPUTED_VALUE"""),2654831.0)</f>
        <v>2654831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IFERROR(__xludf.DUMMYFUNCTION("""COMPUTED_VALUE"""),49.91)</f>
        <v>49.91</v>
      </c>
      <c r="C1727" s="1">
        <f>IFERROR(__xludf.DUMMYFUNCTION("""COMPUTED_VALUE"""),50.41)</f>
        <v>50.41</v>
      </c>
      <c r="D1727" s="1">
        <f>IFERROR(__xludf.DUMMYFUNCTION("""COMPUTED_VALUE"""),48.47)</f>
        <v>48.47</v>
      </c>
      <c r="E1727" s="1">
        <f>IFERROR(__xludf.DUMMYFUNCTION("""COMPUTED_VALUE"""),48.68)</f>
        <v>48.68</v>
      </c>
      <c r="F1727" s="1">
        <f>IFERROR(__xludf.DUMMYFUNCTION("""COMPUTED_VALUE"""),4727840.0)</f>
        <v>4727840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IFERROR(__xludf.DUMMYFUNCTION("""COMPUTED_VALUE"""),47.65)</f>
        <v>47.65</v>
      </c>
      <c r="C1728" s="1">
        <f>IFERROR(__xludf.DUMMYFUNCTION("""COMPUTED_VALUE"""),50.95)</f>
        <v>50.95</v>
      </c>
      <c r="D1728" s="1">
        <f>IFERROR(__xludf.DUMMYFUNCTION("""COMPUTED_VALUE"""),47.5)</f>
        <v>47.5</v>
      </c>
      <c r="E1728" s="1">
        <f>IFERROR(__xludf.DUMMYFUNCTION("""COMPUTED_VALUE"""),50.62)</f>
        <v>50.62</v>
      </c>
      <c r="F1728" s="1">
        <f>IFERROR(__xludf.DUMMYFUNCTION("""COMPUTED_VALUE"""),3231823.0)</f>
        <v>3231823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IFERROR(__xludf.DUMMYFUNCTION("""COMPUTED_VALUE"""),50.89)</f>
        <v>50.89</v>
      </c>
      <c r="C1729" s="1">
        <f>IFERROR(__xludf.DUMMYFUNCTION("""COMPUTED_VALUE"""),53.51)</f>
        <v>53.51</v>
      </c>
      <c r="D1729" s="1">
        <f>IFERROR(__xludf.DUMMYFUNCTION("""COMPUTED_VALUE"""),50.88)</f>
        <v>50.88</v>
      </c>
      <c r="E1729" s="1">
        <f>IFERROR(__xludf.DUMMYFUNCTION("""COMPUTED_VALUE"""),52.73)</f>
        <v>52.73</v>
      </c>
      <c r="F1729" s="1">
        <f>IFERROR(__xludf.DUMMYFUNCTION("""COMPUTED_VALUE"""),3013440.0)</f>
        <v>3013440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IFERROR(__xludf.DUMMYFUNCTION("""COMPUTED_VALUE"""),52.65)</f>
        <v>52.65</v>
      </c>
      <c r="C1730" s="1">
        <f>IFERROR(__xludf.DUMMYFUNCTION("""COMPUTED_VALUE"""),54.97)</f>
        <v>54.97</v>
      </c>
      <c r="D1730" s="1">
        <f>IFERROR(__xludf.DUMMYFUNCTION("""COMPUTED_VALUE"""),52.5)</f>
        <v>52.5</v>
      </c>
      <c r="E1730" s="1">
        <f>IFERROR(__xludf.DUMMYFUNCTION("""COMPUTED_VALUE"""),54.78)</f>
        <v>54.78</v>
      </c>
      <c r="F1730" s="1">
        <f>IFERROR(__xludf.DUMMYFUNCTION("""COMPUTED_VALUE"""),3068070.0)</f>
        <v>3068070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IFERROR(__xludf.DUMMYFUNCTION("""COMPUTED_VALUE"""),54.48)</f>
        <v>54.48</v>
      </c>
      <c r="C1731" s="1">
        <f>IFERROR(__xludf.DUMMYFUNCTION("""COMPUTED_VALUE"""),58.16)</f>
        <v>58.16</v>
      </c>
      <c r="D1731" s="1">
        <f>IFERROR(__xludf.DUMMYFUNCTION("""COMPUTED_VALUE"""),54.41)</f>
        <v>54.41</v>
      </c>
      <c r="E1731" s="1">
        <f>IFERROR(__xludf.DUMMYFUNCTION("""COMPUTED_VALUE"""),56.89)</f>
        <v>56.89</v>
      </c>
      <c r="F1731" s="1">
        <f>IFERROR(__xludf.DUMMYFUNCTION("""COMPUTED_VALUE"""),4188571.0)</f>
        <v>4188571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IFERROR(__xludf.DUMMYFUNCTION("""COMPUTED_VALUE"""),57.21)</f>
        <v>57.21</v>
      </c>
      <c r="C1732" s="1">
        <f>IFERROR(__xludf.DUMMYFUNCTION("""COMPUTED_VALUE"""),57.21)</f>
        <v>57.21</v>
      </c>
      <c r="D1732" s="1">
        <f>IFERROR(__xludf.DUMMYFUNCTION("""COMPUTED_VALUE"""),55.97)</f>
        <v>55.97</v>
      </c>
      <c r="E1732" s="1">
        <f>IFERROR(__xludf.DUMMYFUNCTION("""COMPUTED_VALUE"""),56.24)</f>
        <v>56.24</v>
      </c>
      <c r="F1732" s="1">
        <f>IFERROR(__xludf.DUMMYFUNCTION("""COMPUTED_VALUE"""),3479434.0)</f>
        <v>3479434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IFERROR(__xludf.DUMMYFUNCTION("""COMPUTED_VALUE"""),56.08)</f>
        <v>56.08</v>
      </c>
      <c r="C1733" s="1">
        <f>IFERROR(__xludf.DUMMYFUNCTION("""COMPUTED_VALUE"""),56.31)</f>
        <v>56.31</v>
      </c>
      <c r="D1733" s="1">
        <f>IFERROR(__xludf.DUMMYFUNCTION("""COMPUTED_VALUE"""),55.13)</f>
        <v>55.13</v>
      </c>
      <c r="E1733" s="1">
        <f>IFERROR(__xludf.DUMMYFUNCTION("""COMPUTED_VALUE"""),56.0)</f>
        <v>56</v>
      </c>
      <c r="F1733" s="1">
        <f>IFERROR(__xludf.DUMMYFUNCTION("""COMPUTED_VALUE"""),2019277.0)</f>
        <v>2019277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IFERROR(__xludf.DUMMYFUNCTION("""COMPUTED_VALUE"""),55.29)</f>
        <v>55.29</v>
      </c>
      <c r="C1734" s="1">
        <f>IFERROR(__xludf.DUMMYFUNCTION("""COMPUTED_VALUE"""),56.16)</f>
        <v>56.16</v>
      </c>
      <c r="D1734" s="1">
        <f>IFERROR(__xludf.DUMMYFUNCTION("""COMPUTED_VALUE"""),54.17)</f>
        <v>54.17</v>
      </c>
      <c r="E1734" s="1">
        <f>IFERROR(__xludf.DUMMYFUNCTION("""COMPUTED_VALUE"""),55.7)</f>
        <v>55.7</v>
      </c>
      <c r="F1734" s="1">
        <f>IFERROR(__xludf.DUMMYFUNCTION("""COMPUTED_VALUE"""),1998260.0)</f>
        <v>1998260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IFERROR(__xludf.DUMMYFUNCTION("""COMPUTED_VALUE"""),55.66)</f>
        <v>55.66</v>
      </c>
      <c r="C1735" s="1">
        <f>IFERROR(__xludf.DUMMYFUNCTION("""COMPUTED_VALUE"""),56.2)</f>
        <v>56.2</v>
      </c>
      <c r="D1735" s="1">
        <f>IFERROR(__xludf.DUMMYFUNCTION("""COMPUTED_VALUE"""),55.15)</f>
        <v>55.15</v>
      </c>
      <c r="E1735" s="1">
        <f>IFERROR(__xludf.DUMMYFUNCTION("""COMPUTED_VALUE"""),55.23)</f>
        <v>55.23</v>
      </c>
      <c r="F1735" s="1">
        <f>IFERROR(__xludf.DUMMYFUNCTION("""COMPUTED_VALUE"""),1697280.0)</f>
        <v>1697280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IFERROR(__xludf.DUMMYFUNCTION("""COMPUTED_VALUE"""),55.95)</f>
        <v>55.95</v>
      </c>
      <c r="C1736" s="1">
        <f>IFERROR(__xludf.DUMMYFUNCTION("""COMPUTED_VALUE"""),56.85)</f>
        <v>56.85</v>
      </c>
      <c r="D1736" s="1">
        <f>IFERROR(__xludf.DUMMYFUNCTION("""COMPUTED_VALUE"""),55.52)</f>
        <v>55.52</v>
      </c>
      <c r="E1736" s="1">
        <f>IFERROR(__xludf.DUMMYFUNCTION("""COMPUTED_VALUE"""),56.57)</f>
        <v>56.57</v>
      </c>
      <c r="F1736" s="1">
        <f>IFERROR(__xludf.DUMMYFUNCTION("""COMPUTED_VALUE"""),1736887.0)</f>
        <v>1736887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IFERROR(__xludf.DUMMYFUNCTION("""COMPUTED_VALUE"""),57.06)</f>
        <v>57.06</v>
      </c>
      <c r="C1737" s="1">
        <f>IFERROR(__xludf.DUMMYFUNCTION("""COMPUTED_VALUE"""),57.86)</f>
        <v>57.86</v>
      </c>
      <c r="D1737" s="1">
        <f>IFERROR(__xludf.DUMMYFUNCTION("""COMPUTED_VALUE"""),57.0)</f>
        <v>57</v>
      </c>
      <c r="E1737" s="1">
        <f>IFERROR(__xludf.DUMMYFUNCTION("""COMPUTED_VALUE"""),57.8)</f>
        <v>57.8</v>
      </c>
      <c r="F1737" s="1">
        <f>IFERROR(__xludf.DUMMYFUNCTION("""COMPUTED_VALUE"""),1797496.0)</f>
        <v>1797496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IFERROR(__xludf.DUMMYFUNCTION("""COMPUTED_VALUE"""),57.62)</f>
        <v>57.62</v>
      </c>
      <c r="C1738" s="1">
        <f>IFERROR(__xludf.DUMMYFUNCTION("""COMPUTED_VALUE"""),58.41)</f>
        <v>58.41</v>
      </c>
      <c r="D1738" s="1">
        <f>IFERROR(__xludf.DUMMYFUNCTION("""COMPUTED_VALUE"""),57.47)</f>
        <v>57.47</v>
      </c>
      <c r="E1738" s="1">
        <f>IFERROR(__xludf.DUMMYFUNCTION("""COMPUTED_VALUE"""),58.4)</f>
        <v>58.4</v>
      </c>
      <c r="F1738" s="1">
        <f>IFERROR(__xludf.DUMMYFUNCTION("""COMPUTED_VALUE"""),1383478.0)</f>
        <v>1383478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IFERROR(__xludf.DUMMYFUNCTION("""COMPUTED_VALUE"""),58.36)</f>
        <v>58.36</v>
      </c>
      <c r="C1739" s="1">
        <f>IFERROR(__xludf.DUMMYFUNCTION("""COMPUTED_VALUE"""),58.86)</f>
        <v>58.86</v>
      </c>
      <c r="D1739" s="1">
        <f>IFERROR(__xludf.DUMMYFUNCTION("""COMPUTED_VALUE"""),58.24)</f>
        <v>58.24</v>
      </c>
      <c r="E1739" s="1">
        <f>IFERROR(__xludf.DUMMYFUNCTION("""COMPUTED_VALUE"""),58.38)</f>
        <v>58.38</v>
      </c>
      <c r="F1739" s="1">
        <f>IFERROR(__xludf.DUMMYFUNCTION("""COMPUTED_VALUE"""),455528.0)</f>
        <v>455528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IFERROR(__xludf.DUMMYFUNCTION("""COMPUTED_VALUE"""),58.28)</f>
        <v>58.28</v>
      </c>
      <c r="C1740" s="1">
        <f>IFERROR(__xludf.DUMMYFUNCTION("""COMPUTED_VALUE"""),58.61)</f>
        <v>58.61</v>
      </c>
      <c r="D1740" s="1">
        <f>IFERROR(__xludf.DUMMYFUNCTION("""COMPUTED_VALUE"""),57.32)</f>
        <v>57.32</v>
      </c>
      <c r="E1740" s="1">
        <f>IFERROR(__xludf.DUMMYFUNCTION("""COMPUTED_VALUE"""),57.37)</f>
        <v>57.37</v>
      </c>
      <c r="F1740" s="1">
        <f>IFERROR(__xludf.DUMMYFUNCTION("""COMPUTED_VALUE"""),1407885.0)</f>
        <v>1407885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IFERROR(__xludf.DUMMYFUNCTION("""COMPUTED_VALUE"""),57.73)</f>
        <v>57.73</v>
      </c>
      <c r="C1741" s="1">
        <f>IFERROR(__xludf.DUMMYFUNCTION("""COMPUTED_VALUE"""),58.07)</f>
        <v>58.07</v>
      </c>
      <c r="D1741" s="1">
        <f>IFERROR(__xludf.DUMMYFUNCTION("""COMPUTED_VALUE"""),56.96)</f>
        <v>56.96</v>
      </c>
      <c r="E1741" s="1">
        <f>IFERROR(__xludf.DUMMYFUNCTION("""COMPUTED_VALUE"""),57.51)</f>
        <v>57.51</v>
      </c>
      <c r="F1741" s="1">
        <f>IFERROR(__xludf.DUMMYFUNCTION("""COMPUTED_VALUE"""),1141598.0)</f>
        <v>1141598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IFERROR(__xludf.DUMMYFUNCTION("""COMPUTED_VALUE"""),57.56)</f>
        <v>57.56</v>
      </c>
      <c r="C1742" s="1">
        <f>IFERROR(__xludf.DUMMYFUNCTION("""COMPUTED_VALUE"""),58.04)</f>
        <v>58.04</v>
      </c>
      <c r="D1742" s="1">
        <f>IFERROR(__xludf.DUMMYFUNCTION("""COMPUTED_VALUE"""),57.35)</f>
        <v>57.35</v>
      </c>
      <c r="E1742" s="1">
        <f>IFERROR(__xludf.DUMMYFUNCTION("""COMPUTED_VALUE"""),57.79)</f>
        <v>57.79</v>
      </c>
      <c r="F1742" s="1">
        <f>IFERROR(__xludf.DUMMYFUNCTION("""COMPUTED_VALUE"""),1408609.0)</f>
        <v>1408609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IFERROR(__xludf.DUMMYFUNCTION("""COMPUTED_VALUE"""),58.15)</f>
        <v>58.15</v>
      </c>
      <c r="C1743" s="1">
        <f>IFERROR(__xludf.DUMMYFUNCTION("""COMPUTED_VALUE"""),59.38)</f>
        <v>59.38</v>
      </c>
      <c r="D1743" s="1">
        <f>IFERROR(__xludf.DUMMYFUNCTION("""COMPUTED_VALUE"""),57.76)</f>
        <v>57.76</v>
      </c>
      <c r="E1743" s="1">
        <f>IFERROR(__xludf.DUMMYFUNCTION("""COMPUTED_VALUE"""),59.1)</f>
        <v>59.1</v>
      </c>
      <c r="F1743" s="1">
        <f>IFERROR(__xludf.DUMMYFUNCTION("""COMPUTED_VALUE"""),2332673.0)</f>
        <v>2332673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IFERROR(__xludf.DUMMYFUNCTION("""COMPUTED_VALUE"""),59.16)</f>
        <v>59.16</v>
      </c>
      <c r="C1744" s="1">
        <f>IFERROR(__xludf.DUMMYFUNCTION("""COMPUTED_VALUE"""),59.27)</f>
        <v>59.27</v>
      </c>
      <c r="D1744" s="1">
        <f>IFERROR(__xludf.DUMMYFUNCTION("""COMPUTED_VALUE"""),57.9)</f>
        <v>57.9</v>
      </c>
      <c r="E1744" s="1">
        <f>IFERROR(__xludf.DUMMYFUNCTION("""COMPUTED_VALUE"""),57.99)</f>
        <v>57.99</v>
      </c>
      <c r="F1744" s="1">
        <f>IFERROR(__xludf.DUMMYFUNCTION("""COMPUTED_VALUE"""),2162841.0)</f>
        <v>2162841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IFERROR(__xludf.DUMMYFUNCTION("""COMPUTED_VALUE"""),58.55)</f>
        <v>58.55</v>
      </c>
      <c r="C1745" s="1">
        <f>IFERROR(__xludf.DUMMYFUNCTION("""COMPUTED_VALUE"""),58.89)</f>
        <v>58.89</v>
      </c>
      <c r="D1745" s="1">
        <f>IFERROR(__xludf.DUMMYFUNCTION("""COMPUTED_VALUE"""),58.04)</f>
        <v>58.04</v>
      </c>
      <c r="E1745" s="1">
        <f>IFERROR(__xludf.DUMMYFUNCTION("""COMPUTED_VALUE"""),58.08)</f>
        <v>58.08</v>
      </c>
      <c r="F1745" s="1">
        <f>IFERROR(__xludf.DUMMYFUNCTION("""COMPUTED_VALUE"""),1956660.0)</f>
        <v>1956660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IFERROR(__xludf.DUMMYFUNCTION("""COMPUTED_VALUE"""),58.66)</f>
        <v>58.66</v>
      </c>
      <c r="C1746" s="1">
        <f>IFERROR(__xludf.DUMMYFUNCTION("""COMPUTED_VALUE"""),60.56)</f>
        <v>60.56</v>
      </c>
      <c r="D1746" s="1">
        <f>IFERROR(__xludf.DUMMYFUNCTION("""COMPUTED_VALUE"""),58.66)</f>
        <v>58.66</v>
      </c>
      <c r="E1746" s="1">
        <f>IFERROR(__xludf.DUMMYFUNCTION("""COMPUTED_VALUE"""),60.5)</f>
        <v>60.5</v>
      </c>
      <c r="F1746" s="1">
        <f>IFERROR(__xludf.DUMMYFUNCTION("""COMPUTED_VALUE"""),2160323.0)</f>
        <v>2160323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IFERROR(__xludf.DUMMYFUNCTION("""COMPUTED_VALUE"""),60.34)</f>
        <v>60.34</v>
      </c>
      <c r="C1747" s="1">
        <f>IFERROR(__xludf.DUMMYFUNCTION("""COMPUTED_VALUE"""),62.98)</f>
        <v>62.98</v>
      </c>
      <c r="D1747" s="1">
        <f>IFERROR(__xludf.DUMMYFUNCTION("""COMPUTED_VALUE"""),60.34)</f>
        <v>60.34</v>
      </c>
      <c r="E1747" s="1">
        <f>IFERROR(__xludf.DUMMYFUNCTION("""COMPUTED_VALUE"""),62.8)</f>
        <v>62.8</v>
      </c>
      <c r="F1747" s="1">
        <f>IFERROR(__xludf.DUMMYFUNCTION("""COMPUTED_VALUE"""),2005607.0)</f>
        <v>2005607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IFERROR(__xludf.DUMMYFUNCTION("""COMPUTED_VALUE"""),62.87)</f>
        <v>62.87</v>
      </c>
      <c r="C1748" s="1">
        <f>IFERROR(__xludf.DUMMYFUNCTION("""COMPUTED_VALUE"""),64.88)</f>
        <v>64.88</v>
      </c>
      <c r="D1748" s="1">
        <f>IFERROR(__xludf.DUMMYFUNCTION("""COMPUTED_VALUE"""),62.77)</f>
        <v>62.77</v>
      </c>
      <c r="E1748" s="1">
        <f>IFERROR(__xludf.DUMMYFUNCTION("""COMPUTED_VALUE"""),64.16)</f>
        <v>64.16</v>
      </c>
      <c r="F1748" s="1">
        <f>IFERROR(__xludf.DUMMYFUNCTION("""COMPUTED_VALUE"""),2630073.0)</f>
        <v>2630073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IFERROR(__xludf.DUMMYFUNCTION("""COMPUTED_VALUE"""),63.95)</f>
        <v>63.95</v>
      </c>
      <c r="C1749" s="1">
        <f>IFERROR(__xludf.DUMMYFUNCTION("""COMPUTED_VALUE"""),64.06)</f>
        <v>64.06</v>
      </c>
      <c r="D1749" s="1">
        <f>IFERROR(__xludf.DUMMYFUNCTION("""COMPUTED_VALUE"""),62.69)</f>
        <v>62.69</v>
      </c>
      <c r="E1749" s="1">
        <f>IFERROR(__xludf.DUMMYFUNCTION("""COMPUTED_VALUE"""),62.8)</f>
        <v>62.8</v>
      </c>
      <c r="F1749" s="1">
        <f>IFERROR(__xludf.DUMMYFUNCTION("""COMPUTED_VALUE"""),2252321.0)</f>
        <v>2252321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IFERROR(__xludf.DUMMYFUNCTION("""COMPUTED_VALUE"""),62.78)</f>
        <v>62.78</v>
      </c>
      <c r="C1750" s="1">
        <f>IFERROR(__xludf.DUMMYFUNCTION("""COMPUTED_VALUE"""),63.33)</f>
        <v>63.33</v>
      </c>
      <c r="D1750" s="1">
        <f>IFERROR(__xludf.DUMMYFUNCTION("""COMPUTED_VALUE"""),62.08)</f>
        <v>62.08</v>
      </c>
      <c r="E1750" s="1">
        <f>IFERROR(__xludf.DUMMYFUNCTION("""COMPUTED_VALUE"""),62.8)</f>
        <v>62.8</v>
      </c>
      <c r="F1750" s="1">
        <f>IFERROR(__xludf.DUMMYFUNCTION("""COMPUTED_VALUE"""),3030553.0)</f>
        <v>3030553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IFERROR(__xludf.DUMMYFUNCTION("""COMPUTED_VALUE"""),63.15)</f>
        <v>63.15</v>
      </c>
      <c r="C1751" s="1">
        <f>IFERROR(__xludf.DUMMYFUNCTION("""COMPUTED_VALUE"""),63.26)</f>
        <v>63.26</v>
      </c>
      <c r="D1751" s="1">
        <f>IFERROR(__xludf.DUMMYFUNCTION("""COMPUTED_VALUE"""),61.67)</f>
        <v>61.67</v>
      </c>
      <c r="E1751" s="1">
        <f>IFERROR(__xludf.DUMMYFUNCTION("""COMPUTED_VALUE"""),61.93)</f>
        <v>61.93</v>
      </c>
      <c r="F1751" s="1">
        <f>IFERROR(__xludf.DUMMYFUNCTION("""COMPUTED_VALUE"""),2328446.0)</f>
        <v>2328446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IFERROR(__xludf.DUMMYFUNCTION("""COMPUTED_VALUE"""),61.95)</f>
        <v>61.95</v>
      </c>
      <c r="C1752" s="1">
        <f>IFERROR(__xludf.DUMMYFUNCTION("""COMPUTED_VALUE"""),62.32)</f>
        <v>62.32</v>
      </c>
      <c r="D1752" s="1">
        <f>IFERROR(__xludf.DUMMYFUNCTION("""COMPUTED_VALUE"""),61.27)</f>
        <v>61.27</v>
      </c>
      <c r="E1752" s="1">
        <f>IFERROR(__xludf.DUMMYFUNCTION("""COMPUTED_VALUE"""),61.42)</f>
        <v>61.42</v>
      </c>
      <c r="F1752" s="1">
        <f>IFERROR(__xludf.DUMMYFUNCTION("""COMPUTED_VALUE"""),2280587.0)</f>
        <v>2280587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IFERROR(__xludf.DUMMYFUNCTION("""COMPUTED_VALUE"""),61.51)</f>
        <v>61.51</v>
      </c>
      <c r="C1753" s="1">
        <f>IFERROR(__xludf.DUMMYFUNCTION("""COMPUTED_VALUE"""),62.92)</f>
        <v>62.92</v>
      </c>
      <c r="D1753" s="1">
        <f>IFERROR(__xludf.DUMMYFUNCTION("""COMPUTED_VALUE"""),61.51)</f>
        <v>61.51</v>
      </c>
      <c r="E1753" s="1">
        <f>IFERROR(__xludf.DUMMYFUNCTION("""COMPUTED_VALUE"""),62.82)</f>
        <v>62.82</v>
      </c>
      <c r="F1753" s="1">
        <f>IFERROR(__xludf.DUMMYFUNCTION("""COMPUTED_VALUE"""),1880008.0)</f>
        <v>1880008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IFERROR(__xludf.DUMMYFUNCTION("""COMPUTED_VALUE"""),62.93)</f>
        <v>62.93</v>
      </c>
      <c r="C1754" s="1">
        <f>IFERROR(__xludf.DUMMYFUNCTION("""COMPUTED_VALUE"""),63.84)</f>
        <v>63.84</v>
      </c>
      <c r="D1754" s="1">
        <f>IFERROR(__xludf.DUMMYFUNCTION("""COMPUTED_VALUE"""),61.93)</f>
        <v>61.93</v>
      </c>
      <c r="E1754" s="1">
        <f>IFERROR(__xludf.DUMMYFUNCTION("""COMPUTED_VALUE"""),62.15)</f>
        <v>62.15</v>
      </c>
      <c r="F1754" s="1">
        <f>IFERROR(__xludf.DUMMYFUNCTION("""COMPUTED_VALUE"""),2805668.0)</f>
        <v>2805668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IFERROR(__xludf.DUMMYFUNCTION("""COMPUTED_VALUE"""),62.15)</f>
        <v>62.15</v>
      </c>
      <c r="C1755" s="1">
        <f>IFERROR(__xludf.DUMMYFUNCTION("""COMPUTED_VALUE"""),62.78)</f>
        <v>62.78</v>
      </c>
      <c r="D1755" s="1">
        <f>IFERROR(__xludf.DUMMYFUNCTION("""COMPUTED_VALUE"""),62.02)</f>
        <v>62.02</v>
      </c>
      <c r="E1755" s="1">
        <f>IFERROR(__xludf.DUMMYFUNCTION("""COMPUTED_VALUE"""),62.36)</f>
        <v>62.36</v>
      </c>
      <c r="F1755" s="1">
        <f>IFERROR(__xludf.DUMMYFUNCTION("""COMPUTED_VALUE"""),3333664.0)</f>
        <v>3333664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IFERROR(__xludf.DUMMYFUNCTION("""COMPUTED_VALUE"""),61.87)</f>
        <v>61.87</v>
      </c>
      <c r="C1756" s="1">
        <f>IFERROR(__xludf.DUMMYFUNCTION("""COMPUTED_VALUE"""),66.64)</f>
        <v>66.64</v>
      </c>
      <c r="D1756" s="1">
        <f>IFERROR(__xludf.DUMMYFUNCTION("""COMPUTED_VALUE"""),61.73)</f>
        <v>61.73</v>
      </c>
      <c r="E1756" s="1">
        <f>IFERROR(__xludf.DUMMYFUNCTION("""COMPUTED_VALUE"""),66.16)</f>
        <v>66.16</v>
      </c>
      <c r="F1756" s="1">
        <f>IFERROR(__xludf.DUMMYFUNCTION("""COMPUTED_VALUE"""),4929970.0)</f>
        <v>4929970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IFERROR(__xludf.DUMMYFUNCTION("""COMPUTED_VALUE"""),66.02)</f>
        <v>66.02</v>
      </c>
      <c r="C1757" s="1">
        <f>IFERROR(__xludf.DUMMYFUNCTION("""COMPUTED_VALUE"""),66.43)</f>
        <v>66.43</v>
      </c>
      <c r="D1757" s="1">
        <f>IFERROR(__xludf.DUMMYFUNCTION("""COMPUTED_VALUE"""),65.57)</f>
        <v>65.57</v>
      </c>
      <c r="E1757" s="1">
        <f>IFERROR(__xludf.DUMMYFUNCTION("""COMPUTED_VALUE"""),66.0)</f>
        <v>66</v>
      </c>
      <c r="F1757" s="1">
        <f>IFERROR(__xludf.DUMMYFUNCTION("""COMPUTED_VALUE"""),2365035.0)</f>
        <v>2365035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IFERROR(__xludf.DUMMYFUNCTION("""COMPUTED_VALUE"""),65.76)</f>
        <v>65.76</v>
      </c>
      <c r="C1758" s="1">
        <f>IFERROR(__xludf.DUMMYFUNCTION("""COMPUTED_VALUE"""),66.07)</f>
        <v>66.07</v>
      </c>
      <c r="D1758" s="1">
        <f>IFERROR(__xludf.DUMMYFUNCTION("""COMPUTED_VALUE"""),63.58)</f>
        <v>63.58</v>
      </c>
      <c r="E1758" s="1">
        <f>IFERROR(__xludf.DUMMYFUNCTION("""COMPUTED_VALUE"""),64.06)</f>
        <v>64.06</v>
      </c>
      <c r="F1758" s="1">
        <f>IFERROR(__xludf.DUMMYFUNCTION("""COMPUTED_VALUE"""),2333813.0)</f>
        <v>2333813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IFERROR(__xludf.DUMMYFUNCTION("""COMPUTED_VALUE"""),64.04)</f>
        <v>64.04</v>
      </c>
      <c r="C1759" s="1">
        <f>IFERROR(__xludf.DUMMYFUNCTION("""COMPUTED_VALUE"""),64.8)</f>
        <v>64.8</v>
      </c>
      <c r="D1759" s="1">
        <f>IFERROR(__xludf.DUMMYFUNCTION("""COMPUTED_VALUE"""),63.44)</f>
        <v>63.44</v>
      </c>
      <c r="E1759" s="1">
        <f>IFERROR(__xludf.DUMMYFUNCTION("""COMPUTED_VALUE"""),64.04)</f>
        <v>64.04</v>
      </c>
      <c r="F1759" s="1">
        <f>IFERROR(__xludf.DUMMYFUNCTION("""COMPUTED_VALUE"""),1070049.0)</f>
        <v>1070049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IFERROR(__xludf.DUMMYFUNCTION("""COMPUTED_VALUE"""),64.22)</f>
        <v>64.22</v>
      </c>
      <c r="C1760" s="1">
        <f>IFERROR(__xludf.DUMMYFUNCTION("""COMPUTED_VALUE"""),64.66)</f>
        <v>64.66</v>
      </c>
      <c r="D1760" s="1">
        <f>IFERROR(__xludf.DUMMYFUNCTION("""COMPUTED_VALUE"""),63.92)</f>
        <v>63.92</v>
      </c>
      <c r="E1760" s="1">
        <f>IFERROR(__xludf.DUMMYFUNCTION("""COMPUTED_VALUE"""),64.31)</f>
        <v>64.31</v>
      </c>
      <c r="F1760" s="1">
        <f>IFERROR(__xludf.DUMMYFUNCTION("""COMPUTED_VALUE"""),1216092.0)</f>
        <v>1216092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IFERROR(__xludf.DUMMYFUNCTION("""COMPUTED_VALUE"""),64.61)</f>
        <v>64.61</v>
      </c>
      <c r="C1761" s="1">
        <f>IFERROR(__xludf.DUMMYFUNCTION("""COMPUTED_VALUE"""),65.95)</f>
        <v>65.95</v>
      </c>
      <c r="D1761" s="1">
        <f>IFERROR(__xludf.DUMMYFUNCTION("""COMPUTED_VALUE"""),63.55)</f>
        <v>63.55</v>
      </c>
      <c r="E1761" s="1">
        <f>IFERROR(__xludf.DUMMYFUNCTION("""COMPUTED_VALUE"""),63.79)</f>
        <v>63.79</v>
      </c>
      <c r="F1761" s="1">
        <f>IFERROR(__xludf.DUMMYFUNCTION("""COMPUTED_VALUE"""),1703273.0)</f>
        <v>1703273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IFERROR(__xludf.DUMMYFUNCTION("""COMPUTED_VALUE"""),64.0)</f>
        <v>64</v>
      </c>
      <c r="C1762" s="1">
        <f>IFERROR(__xludf.DUMMYFUNCTION("""COMPUTED_VALUE"""),64.6)</f>
        <v>64.6</v>
      </c>
      <c r="D1762" s="1">
        <f>IFERROR(__xludf.DUMMYFUNCTION("""COMPUTED_VALUE"""),63.5)</f>
        <v>63.5</v>
      </c>
      <c r="E1762" s="1">
        <f>IFERROR(__xludf.DUMMYFUNCTION("""COMPUTED_VALUE"""),63.9)</f>
        <v>63.9</v>
      </c>
      <c r="F1762" s="1">
        <f>IFERROR(__xludf.DUMMYFUNCTION("""COMPUTED_VALUE"""),1098873.0)</f>
        <v>1098873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IFERROR(__xludf.DUMMYFUNCTION("""COMPUTED_VALUE"""),64.2)</f>
        <v>64.2</v>
      </c>
      <c r="C1763" s="1">
        <f>IFERROR(__xludf.DUMMYFUNCTION("""COMPUTED_VALUE"""),64.58)</f>
        <v>64.58</v>
      </c>
      <c r="D1763" s="1">
        <f>IFERROR(__xludf.DUMMYFUNCTION("""COMPUTED_VALUE"""),63.52)</f>
        <v>63.52</v>
      </c>
      <c r="E1763" s="1">
        <f>IFERROR(__xludf.DUMMYFUNCTION("""COMPUTED_VALUE"""),64.39)</f>
        <v>64.39</v>
      </c>
      <c r="F1763" s="1">
        <f>IFERROR(__xludf.DUMMYFUNCTION("""COMPUTED_VALUE"""),1811519.0)</f>
        <v>1811519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IFERROR(__xludf.DUMMYFUNCTION("""COMPUTED_VALUE"""),65.03)</f>
        <v>65.03</v>
      </c>
      <c r="C1764" s="1">
        <f>IFERROR(__xludf.DUMMYFUNCTION("""COMPUTED_VALUE"""),65.92)</f>
        <v>65.92</v>
      </c>
      <c r="D1764" s="1">
        <f>IFERROR(__xludf.DUMMYFUNCTION("""COMPUTED_VALUE"""),64.1)</f>
        <v>64.1</v>
      </c>
      <c r="E1764" s="1">
        <f>IFERROR(__xludf.DUMMYFUNCTION("""COMPUTED_VALUE"""),64.82)</f>
        <v>64.82</v>
      </c>
      <c r="F1764" s="1">
        <f>IFERROR(__xludf.DUMMYFUNCTION("""COMPUTED_VALUE"""),2302606.0)</f>
        <v>2302606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IFERROR(__xludf.DUMMYFUNCTION("""COMPUTED_VALUE"""),65.18)</f>
        <v>65.18</v>
      </c>
      <c r="C1765" s="1">
        <f>IFERROR(__xludf.DUMMYFUNCTION("""COMPUTED_VALUE"""),67.6)</f>
        <v>67.6</v>
      </c>
      <c r="D1765" s="1">
        <f>IFERROR(__xludf.DUMMYFUNCTION("""COMPUTED_VALUE"""),65.08)</f>
        <v>65.08</v>
      </c>
      <c r="E1765" s="1">
        <f>IFERROR(__xludf.DUMMYFUNCTION("""COMPUTED_VALUE"""),66.76)</f>
        <v>66.76</v>
      </c>
      <c r="F1765" s="1">
        <f>IFERROR(__xludf.DUMMYFUNCTION("""COMPUTED_VALUE"""),3485940.0)</f>
        <v>3485940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IFERROR(__xludf.DUMMYFUNCTION("""COMPUTED_VALUE"""),66.17)</f>
        <v>66.17</v>
      </c>
      <c r="C1766" s="1">
        <f>IFERROR(__xludf.DUMMYFUNCTION("""COMPUTED_VALUE"""),67.17)</f>
        <v>67.17</v>
      </c>
      <c r="D1766" s="1">
        <f>IFERROR(__xludf.DUMMYFUNCTION("""COMPUTED_VALUE"""),65.34)</f>
        <v>65.34</v>
      </c>
      <c r="E1766" s="1">
        <f>IFERROR(__xludf.DUMMYFUNCTION("""COMPUTED_VALUE"""),66.38)</f>
        <v>66.38</v>
      </c>
      <c r="F1766" s="1">
        <f>IFERROR(__xludf.DUMMYFUNCTION("""COMPUTED_VALUE"""),2052177.0)</f>
        <v>2052177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IFERROR(__xludf.DUMMYFUNCTION("""COMPUTED_VALUE"""),66.19)</f>
        <v>66.19</v>
      </c>
      <c r="C1767" s="1">
        <f>IFERROR(__xludf.DUMMYFUNCTION("""COMPUTED_VALUE"""),66.51)</f>
        <v>66.51</v>
      </c>
      <c r="D1767" s="1">
        <f>IFERROR(__xludf.DUMMYFUNCTION("""COMPUTED_VALUE"""),65.37)</f>
        <v>65.37</v>
      </c>
      <c r="E1767" s="1">
        <f>IFERROR(__xludf.DUMMYFUNCTION("""COMPUTED_VALUE"""),65.4)</f>
        <v>65.4</v>
      </c>
      <c r="F1767" s="1">
        <f>IFERROR(__xludf.DUMMYFUNCTION("""COMPUTED_VALUE"""),1277429.0)</f>
        <v>1277429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IFERROR(__xludf.DUMMYFUNCTION("""COMPUTED_VALUE"""),65.46)</f>
        <v>65.46</v>
      </c>
      <c r="C1768" s="1">
        <f>IFERROR(__xludf.DUMMYFUNCTION("""COMPUTED_VALUE"""),65.87)</f>
        <v>65.87</v>
      </c>
      <c r="D1768" s="1">
        <f>IFERROR(__xludf.DUMMYFUNCTION("""COMPUTED_VALUE"""),64.85)</f>
        <v>64.85</v>
      </c>
      <c r="E1768" s="1">
        <f>IFERROR(__xludf.DUMMYFUNCTION("""COMPUTED_VALUE"""),65.19)</f>
        <v>65.19</v>
      </c>
      <c r="F1768" s="1">
        <f>IFERROR(__xludf.DUMMYFUNCTION("""COMPUTED_VALUE"""),1557353.0)</f>
        <v>1557353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IFERROR(__xludf.DUMMYFUNCTION("""COMPUTED_VALUE"""),65.01)</f>
        <v>65.01</v>
      </c>
      <c r="C1769" s="1">
        <f>IFERROR(__xludf.DUMMYFUNCTION("""COMPUTED_VALUE"""),66.73)</f>
        <v>66.73</v>
      </c>
      <c r="D1769" s="1">
        <f>IFERROR(__xludf.DUMMYFUNCTION("""COMPUTED_VALUE"""),65.0)</f>
        <v>65</v>
      </c>
      <c r="E1769" s="1">
        <f>IFERROR(__xludf.DUMMYFUNCTION("""COMPUTED_VALUE"""),65.68)</f>
        <v>65.68</v>
      </c>
      <c r="F1769" s="1">
        <f>IFERROR(__xludf.DUMMYFUNCTION("""COMPUTED_VALUE"""),2462390.0)</f>
        <v>2462390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IFERROR(__xludf.DUMMYFUNCTION("""COMPUTED_VALUE"""),67.09)</f>
        <v>67.09</v>
      </c>
      <c r="C1770" s="1">
        <f>IFERROR(__xludf.DUMMYFUNCTION("""COMPUTED_VALUE"""),68.06)</f>
        <v>68.06</v>
      </c>
      <c r="D1770" s="1">
        <f>IFERROR(__xludf.DUMMYFUNCTION("""COMPUTED_VALUE"""),66.25)</f>
        <v>66.25</v>
      </c>
      <c r="E1770" s="1">
        <f>IFERROR(__xludf.DUMMYFUNCTION("""COMPUTED_VALUE"""),66.89)</f>
        <v>66.89</v>
      </c>
      <c r="F1770" s="1">
        <f>IFERROR(__xludf.DUMMYFUNCTION("""COMPUTED_VALUE"""),2431931.0)</f>
        <v>2431931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IFERROR(__xludf.DUMMYFUNCTION("""COMPUTED_VALUE"""),66.95)</f>
        <v>66.95</v>
      </c>
      <c r="C1771" s="1">
        <f>IFERROR(__xludf.DUMMYFUNCTION("""COMPUTED_VALUE"""),67.1)</f>
        <v>67.1</v>
      </c>
      <c r="D1771" s="1">
        <f>IFERROR(__xludf.DUMMYFUNCTION("""COMPUTED_VALUE"""),65.48)</f>
        <v>65.48</v>
      </c>
      <c r="E1771" s="1">
        <f>IFERROR(__xludf.DUMMYFUNCTION("""COMPUTED_VALUE"""),66.81)</f>
        <v>66.81</v>
      </c>
      <c r="F1771" s="1">
        <f>IFERROR(__xludf.DUMMYFUNCTION("""COMPUTED_VALUE"""),1278194.0)</f>
        <v>1278194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IFERROR(__xludf.DUMMYFUNCTION("""COMPUTED_VALUE"""),66.82)</f>
        <v>66.82</v>
      </c>
      <c r="C1772" s="1">
        <f>IFERROR(__xludf.DUMMYFUNCTION("""COMPUTED_VALUE"""),67.51)</f>
        <v>67.51</v>
      </c>
      <c r="D1772" s="1">
        <f>IFERROR(__xludf.DUMMYFUNCTION("""COMPUTED_VALUE"""),66.73)</f>
        <v>66.73</v>
      </c>
      <c r="E1772" s="1">
        <f>IFERROR(__xludf.DUMMYFUNCTION("""COMPUTED_VALUE"""),67.17)</f>
        <v>67.17</v>
      </c>
      <c r="F1772" s="1">
        <f>IFERROR(__xludf.DUMMYFUNCTION("""COMPUTED_VALUE"""),1063040.0)</f>
        <v>1063040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IFERROR(__xludf.DUMMYFUNCTION("""COMPUTED_VALUE"""),67.17)</f>
        <v>67.17</v>
      </c>
      <c r="C1773" s="1">
        <f>IFERROR(__xludf.DUMMYFUNCTION("""COMPUTED_VALUE"""),67.32)</f>
        <v>67.32</v>
      </c>
      <c r="D1773" s="1">
        <f>IFERROR(__xludf.DUMMYFUNCTION("""COMPUTED_VALUE"""),66.2)</f>
        <v>66.2</v>
      </c>
      <c r="E1773" s="1">
        <f>IFERROR(__xludf.DUMMYFUNCTION("""COMPUTED_VALUE"""),66.47)</f>
        <v>66.47</v>
      </c>
      <c r="F1773" s="1">
        <f>IFERROR(__xludf.DUMMYFUNCTION("""COMPUTED_VALUE"""),1402518.0)</f>
        <v>1402518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IFERROR(__xludf.DUMMYFUNCTION("""COMPUTED_VALUE"""),66.25)</f>
        <v>66.25</v>
      </c>
      <c r="C1774" s="1">
        <f>IFERROR(__xludf.DUMMYFUNCTION("""COMPUTED_VALUE"""),66.39)</f>
        <v>66.39</v>
      </c>
      <c r="D1774" s="1">
        <f>IFERROR(__xludf.DUMMYFUNCTION("""COMPUTED_VALUE"""),65.22)</f>
        <v>65.22</v>
      </c>
      <c r="E1774" s="1">
        <f>IFERROR(__xludf.DUMMYFUNCTION("""COMPUTED_VALUE"""),65.68)</f>
        <v>65.68</v>
      </c>
      <c r="F1774" s="1">
        <f>IFERROR(__xludf.DUMMYFUNCTION("""COMPUTED_VALUE"""),2267565.0)</f>
        <v>2267565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IFERROR(__xludf.DUMMYFUNCTION("""COMPUTED_VALUE"""),65.67)</f>
        <v>65.67</v>
      </c>
      <c r="C1775" s="1">
        <f>IFERROR(__xludf.DUMMYFUNCTION("""COMPUTED_VALUE"""),66.88)</f>
        <v>66.88</v>
      </c>
      <c r="D1775" s="1">
        <f>IFERROR(__xludf.DUMMYFUNCTION("""COMPUTED_VALUE"""),65.67)</f>
        <v>65.67</v>
      </c>
      <c r="E1775" s="1">
        <f>IFERROR(__xludf.DUMMYFUNCTION("""COMPUTED_VALUE"""),66.47)</f>
        <v>66.47</v>
      </c>
      <c r="F1775" s="1">
        <f>IFERROR(__xludf.DUMMYFUNCTION("""COMPUTED_VALUE"""),1994854.0)</f>
        <v>1994854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IFERROR(__xludf.DUMMYFUNCTION("""COMPUTED_VALUE"""),66.68)</f>
        <v>66.68</v>
      </c>
      <c r="C1776" s="1">
        <f>IFERROR(__xludf.DUMMYFUNCTION("""COMPUTED_VALUE"""),67.11)</f>
        <v>67.11</v>
      </c>
      <c r="D1776" s="1">
        <f>IFERROR(__xludf.DUMMYFUNCTION("""COMPUTED_VALUE"""),66.11)</f>
        <v>66.11</v>
      </c>
      <c r="E1776" s="1">
        <f>IFERROR(__xludf.DUMMYFUNCTION("""COMPUTED_VALUE"""),66.65)</f>
        <v>66.65</v>
      </c>
      <c r="F1776" s="1">
        <f>IFERROR(__xludf.DUMMYFUNCTION("""COMPUTED_VALUE"""),1306557.0)</f>
        <v>1306557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IFERROR(__xludf.DUMMYFUNCTION("""COMPUTED_VALUE"""),66.2)</f>
        <v>66.2</v>
      </c>
      <c r="C1777" s="1">
        <f>IFERROR(__xludf.DUMMYFUNCTION("""COMPUTED_VALUE"""),67.35)</f>
        <v>67.35</v>
      </c>
      <c r="D1777" s="1">
        <f>IFERROR(__xludf.DUMMYFUNCTION("""COMPUTED_VALUE"""),66.13)</f>
        <v>66.13</v>
      </c>
      <c r="E1777" s="1">
        <f>IFERROR(__xludf.DUMMYFUNCTION("""COMPUTED_VALUE"""),67.13)</f>
        <v>67.13</v>
      </c>
      <c r="F1777" s="1">
        <f>IFERROR(__xludf.DUMMYFUNCTION("""COMPUTED_VALUE"""),1768808.0)</f>
        <v>1768808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IFERROR(__xludf.DUMMYFUNCTION("""COMPUTED_VALUE"""),67.51)</f>
        <v>67.51</v>
      </c>
      <c r="C1778" s="1">
        <f>IFERROR(__xludf.DUMMYFUNCTION("""COMPUTED_VALUE"""),68.72)</f>
        <v>68.72</v>
      </c>
      <c r="D1778" s="1">
        <f>IFERROR(__xludf.DUMMYFUNCTION("""COMPUTED_VALUE"""),67.31)</f>
        <v>67.31</v>
      </c>
      <c r="E1778" s="1">
        <f>IFERROR(__xludf.DUMMYFUNCTION("""COMPUTED_VALUE"""),68.21)</f>
        <v>68.21</v>
      </c>
      <c r="F1778" s="1">
        <f>IFERROR(__xludf.DUMMYFUNCTION("""COMPUTED_VALUE"""),2608697.0)</f>
        <v>2608697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IFERROR(__xludf.DUMMYFUNCTION("""COMPUTED_VALUE"""),68.19)</f>
        <v>68.19</v>
      </c>
      <c r="C1779" s="1">
        <f>IFERROR(__xludf.DUMMYFUNCTION("""COMPUTED_VALUE"""),68.39)</f>
        <v>68.39</v>
      </c>
      <c r="D1779" s="1">
        <f>IFERROR(__xludf.DUMMYFUNCTION("""COMPUTED_VALUE"""),67.85)</f>
        <v>67.85</v>
      </c>
      <c r="E1779" s="1">
        <f>IFERROR(__xludf.DUMMYFUNCTION("""COMPUTED_VALUE"""),68.2)</f>
        <v>68.2</v>
      </c>
      <c r="F1779" s="1">
        <f>IFERROR(__xludf.DUMMYFUNCTION("""COMPUTED_VALUE"""),2866913.0)</f>
        <v>2866913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IFERROR(__xludf.DUMMYFUNCTION("""COMPUTED_VALUE"""),68.34)</f>
        <v>68.34</v>
      </c>
      <c r="C1780" s="1">
        <f>IFERROR(__xludf.DUMMYFUNCTION("""COMPUTED_VALUE"""),68.86)</f>
        <v>68.86</v>
      </c>
      <c r="D1780" s="1">
        <f>IFERROR(__xludf.DUMMYFUNCTION("""COMPUTED_VALUE"""),67.56)</f>
        <v>67.56</v>
      </c>
      <c r="E1780" s="1">
        <f>IFERROR(__xludf.DUMMYFUNCTION("""COMPUTED_VALUE"""),67.67)</f>
        <v>67.67</v>
      </c>
      <c r="F1780" s="1">
        <f>IFERROR(__xludf.DUMMYFUNCTION("""COMPUTED_VALUE"""),1622716.0)</f>
        <v>1622716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IFERROR(__xludf.DUMMYFUNCTION("""COMPUTED_VALUE"""),67.87)</f>
        <v>67.87</v>
      </c>
      <c r="C1781" s="1">
        <f>IFERROR(__xludf.DUMMYFUNCTION("""COMPUTED_VALUE"""),67.97)</f>
        <v>67.97</v>
      </c>
      <c r="D1781" s="1">
        <f>IFERROR(__xludf.DUMMYFUNCTION("""COMPUTED_VALUE"""),67.18)</f>
        <v>67.18</v>
      </c>
      <c r="E1781" s="1">
        <f>IFERROR(__xludf.DUMMYFUNCTION("""COMPUTED_VALUE"""),67.46)</f>
        <v>67.46</v>
      </c>
      <c r="F1781" s="1">
        <f>IFERROR(__xludf.DUMMYFUNCTION("""COMPUTED_VALUE"""),1084433.0)</f>
        <v>1084433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IFERROR(__xludf.DUMMYFUNCTION("""COMPUTED_VALUE"""),67.3)</f>
        <v>67.3</v>
      </c>
      <c r="C1782" s="1">
        <f>IFERROR(__xludf.DUMMYFUNCTION("""COMPUTED_VALUE"""),67.47)</f>
        <v>67.47</v>
      </c>
      <c r="D1782" s="1">
        <f>IFERROR(__xludf.DUMMYFUNCTION("""COMPUTED_VALUE"""),66.22)</f>
        <v>66.22</v>
      </c>
      <c r="E1782" s="1">
        <f>IFERROR(__xludf.DUMMYFUNCTION("""COMPUTED_VALUE"""),66.89)</f>
        <v>66.89</v>
      </c>
      <c r="F1782" s="1">
        <f>IFERROR(__xludf.DUMMYFUNCTION("""COMPUTED_VALUE"""),2534460.0)</f>
        <v>2534460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IFERROR(__xludf.DUMMYFUNCTION("""COMPUTED_VALUE"""),66.85)</f>
        <v>66.85</v>
      </c>
      <c r="C1783" s="1">
        <f>IFERROR(__xludf.DUMMYFUNCTION("""COMPUTED_VALUE"""),66.92)</f>
        <v>66.92</v>
      </c>
      <c r="D1783" s="1">
        <f>IFERROR(__xludf.DUMMYFUNCTION("""COMPUTED_VALUE"""),65.74)</f>
        <v>65.74</v>
      </c>
      <c r="E1783" s="1">
        <f>IFERROR(__xludf.DUMMYFUNCTION("""COMPUTED_VALUE"""),66.71)</f>
        <v>66.71</v>
      </c>
      <c r="F1783" s="1">
        <f>IFERROR(__xludf.DUMMYFUNCTION("""COMPUTED_VALUE"""),3275669.0)</f>
        <v>3275669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IFERROR(__xludf.DUMMYFUNCTION("""COMPUTED_VALUE"""),65.0)</f>
        <v>65</v>
      </c>
      <c r="C1784" s="1">
        <f>IFERROR(__xludf.DUMMYFUNCTION("""COMPUTED_VALUE"""),66.55)</f>
        <v>66.55</v>
      </c>
      <c r="D1784" s="1">
        <f>IFERROR(__xludf.DUMMYFUNCTION("""COMPUTED_VALUE"""),64.7)</f>
        <v>64.7</v>
      </c>
      <c r="E1784" s="1">
        <f>IFERROR(__xludf.DUMMYFUNCTION("""COMPUTED_VALUE"""),65.19)</f>
        <v>65.19</v>
      </c>
      <c r="F1784" s="1">
        <f>IFERROR(__xludf.DUMMYFUNCTION("""COMPUTED_VALUE"""),2931719.0)</f>
        <v>2931719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IFERROR(__xludf.DUMMYFUNCTION("""COMPUTED_VALUE"""),65.37)</f>
        <v>65.37</v>
      </c>
      <c r="C1785" s="1">
        <f>IFERROR(__xludf.DUMMYFUNCTION("""COMPUTED_VALUE"""),65.77)</f>
        <v>65.77</v>
      </c>
      <c r="D1785" s="1">
        <f>IFERROR(__xludf.DUMMYFUNCTION("""COMPUTED_VALUE"""),64.63)</f>
        <v>64.63</v>
      </c>
      <c r="E1785" s="1">
        <f>IFERROR(__xludf.DUMMYFUNCTION("""COMPUTED_VALUE"""),65.0)</f>
        <v>65</v>
      </c>
      <c r="F1785" s="1">
        <f>IFERROR(__xludf.DUMMYFUNCTION("""COMPUTED_VALUE"""),1689935.0)</f>
        <v>1689935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IFERROR(__xludf.DUMMYFUNCTION("""COMPUTED_VALUE"""),65.03)</f>
        <v>65.03</v>
      </c>
      <c r="C1786" s="1">
        <f>IFERROR(__xludf.DUMMYFUNCTION("""COMPUTED_VALUE"""),66.11)</f>
        <v>66.11</v>
      </c>
      <c r="D1786" s="1">
        <f>IFERROR(__xludf.DUMMYFUNCTION("""COMPUTED_VALUE"""),65.03)</f>
        <v>65.03</v>
      </c>
      <c r="E1786" s="1">
        <f>IFERROR(__xludf.DUMMYFUNCTION("""COMPUTED_VALUE"""),65.69)</f>
        <v>65.69</v>
      </c>
      <c r="F1786" s="1">
        <f>IFERROR(__xludf.DUMMYFUNCTION("""COMPUTED_VALUE"""),1428378.0)</f>
        <v>1428378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IFERROR(__xludf.DUMMYFUNCTION("""COMPUTED_VALUE"""),65.37)</f>
        <v>65.37</v>
      </c>
      <c r="C1787" s="1">
        <f>IFERROR(__xludf.DUMMYFUNCTION("""COMPUTED_VALUE"""),65.59)</f>
        <v>65.59</v>
      </c>
      <c r="D1787" s="1">
        <f>IFERROR(__xludf.DUMMYFUNCTION("""COMPUTED_VALUE"""),64.67)</f>
        <v>64.67</v>
      </c>
      <c r="E1787" s="1">
        <f>IFERROR(__xludf.DUMMYFUNCTION("""COMPUTED_VALUE"""),65.11)</f>
        <v>65.11</v>
      </c>
      <c r="F1787" s="1">
        <f>IFERROR(__xludf.DUMMYFUNCTION("""COMPUTED_VALUE"""),1340321.0)</f>
        <v>1340321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IFERROR(__xludf.DUMMYFUNCTION("""COMPUTED_VALUE"""),65.16)</f>
        <v>65.16</v>
      </c>
      <c r="C1788" s="1">
        <f>IFERROR(__xludf.DUMMYFUNCTION("""COMPUTED_VALUE"""),65.85)</f>
        <v>65.85</v>
      </c>
      <c r="D1788" s="1">
        <f>IFERROR(__xludf.DUMMYFUNCTION("""COMPUTED_VALUE"""),65.02)</f>
        <v>65.02</v>
      </c>
      <c r="E1788" s="1">
        <f>IFERROR(__xludf.DUMMYFUNCTION("""COMPUTED_VALUE"""),65.83)</f>
        <v>65.83</v>
      </c>
      <c r="F1788" s="1">
        <f>IFERROR(__xludf.DUMMYFUNCTION("""COMPUTED_VALUE"""),1669370.0)</f>
        <v>1669370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IFERROR(__xludf.DUMMYFUNCTION("""COMPUTED_VALUE"""),65.53)</f>
        <v>65.53</v>
      </c>
      <c r="C1789" s="1">
        <f>IFERROR(__xludf.DUMMYFUNCTION("""COMPUTED_VALUE"""),66.94)</f>
        <v>66.94</v>
      </c>
      <c r="D1789" s="1">
        <f>IFERROR(__xludf.DUMMYFUNCTION("""COMPUTED_VALUE"""),65.5)</f>
        <v>65.5</v>
      </c>
      <c r="E1789" s="1">
        <f>IFERROR(__xludf.DUMMYFUNCTION("""COMPUTED_VALUE"""),66.76)</f>
        <v>66.76</v>
      </c>
      <c r="F1789" s="1">
        <f>IFERROR(__xludf.DUMMYFUNCTION("""COMPUTED_VALUE"""),2276220.0)</f>
        <v>2276220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IFERROR(__xludf.DUMMYFUNCTION("""COMPUTED_VALUE"""),66.84)</f>
        <v>66.84</v>
      </c>
      <c r="C1790" s="1">
        <f>IFERROR(__xludf.DUMMYFUNCTION("""COMPUTED_VALUE"""),67.68)</f>
        <v>67.68</v>
      </c>
      <c r="D1790" s="1">
        <f>IFERROR(__xludf.DUMMYFUNCTION("""COMPUTED_VALUE"""),66.11)</f>
        <v>66.11</v>
      </c>
      <c r="E1790" s="1">
        <f>IFERROR(__xludf.DUMMYFUNCTION("""COMPUTED_VALUE"""),67.44)</f>
        <v>67.44</v>
      </c>
      <c r="F1790" s="1">
        <f>IFERROR(__xludf.DUMMYFUNCTION("""COMPUTED_VALUE"""),1432574.0)</f>
        <v>1432574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IFERROR(__xludf.DUMMYFUNCTION("""COMPUTED_VALUE"""),67.72)</f>
        <v>67.72</v>
      </c>
      <c r="C1791" s="1">
        <f>IFERROR(__xludf.DUMMYFUNCTION("""COMPUTED_VALUE"""),67.91)</f>
        <v>67.91</v>
      </c>
      <c r="D1791" s="1">
        <f>IFERROR(__xludf.DUMMYFUNCTION("""COMPUTED_VALUE"""),66.75)</f>
        <v>66.75</v>
      </c>
      <c r="E1791" s="1">
        <f>IFERROR(__xludf.DUMMYFUNCTION("""COMPUTED_VALUE"""),67.54)</f>
        <v>67.54</v>
      </c>
      <c r="F1791" s="1">
        <f>IFERROR(__xludf.DUMMYFUNCTION("""COMPUTED_VALUE"""),1531024.0)</f>
        <v>1531024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IFERROR(__xludf.DUMMYFUNCTION("""COMPUTED_VALUE"""),67.79)</f>
        <v>67.79</v>
      </c>
      <c r="C1792" s="1">
        <f>IFERROR(__xludf.DUMMYFUNCTION("""COMPUTED_VALUE"""),67.95)</f>
        <v>67.95</v>
      </c>
      <c r="D1792" s="1">
        <f>IFERROR(__xludf.DUMMYFUNCTION("""COMPUTED_VALUE"""),67.03)</f>
        <v>67.03</v>
      </c>
      <c r="E1792" s="1">
        <f>IFERROR(__xludf.DUMMYFUNCTION("""COMPUTED_VALUE"""),67.5)</f>
        <v>67.5</v>
      </c>
      <c r="F1792" s="1">
        <f>IFERROR(__xludf.DUMMYFUNCTION("""COMPUTED_VALUE"""),1437186.0)</f>
        <v>1437186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IFERROR(__xludf.DUMMYFUNCTION("""COMPUTED_VALUE"""),67.5)</f>
        <v>67.5</v>
      </c>
      <c r="C1793" s="1">
        <f>IFERROR(__xludf.DUMMYFUNCTION("""COMPUTED_VALUE"""),68.31)</f>
        <v>68.31</v>
      </c>
      <c r="D1793" s="1">
        <f>IFERROR(__xludf.DUMMYFUNCTION("""COMPUTED_VALUE"""),67.3)</f>
        <v>67.3</v>
      </c>
      <c r="E1793" s="1">
        <f>IFERROR(__xludf.DUMMYFUNCTION("""COMPUTED_VALUE"""),68.22)</f>
        <v>68.22</v>
      </c>
      <c r="F1793" s="1">
        <f>IFERROR(__xludf.DUMMYFUNCTION("""COMPUTED_VALUE"""),1308614.0)</f>
        <v>1308614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IFERROR(__xludf.DUMMYFUNCTION("""COMPUTED_VALUE"""),67.91)</f>
        <v>67.91</v>
      </c>
      <c r="C1794" s="1">
        <f>IFERROR(__xludf.DUMMYFUNCTION("""COMPUTED_VALUE"""),68.86)</f>
        <v>68.86</v>
      </c>
      <c r="D1794" s="1">
        <f>IFERROR(__xludf.DUMMYFUNCTION("""COMPUTED_VALUE"""),67.79)</f>
        <v>67.79</v>
      </c>
      <c r="E1794" s="1">
        <f>IFERROR(__xludf.DUMMYFUNCTION("""COMPUTED_VALUE"""),68.6)</f>
        <v>68.6</v>
      </c>
      <c r="F1794" s="1">
        <f>IFERROR(__xludf.DUMMYFUNCTION("""COMPUTED_VALUE"""),1793110.0)</f>
        <v>1793110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IFERROR(__xludf.DUMMYFUNCTION("""COMPUTED_VALUE"""),68.5)</f>
        <v>68.5</v>
      </c>
      <c r="C1795" s="1">
        <f>IFERROR(__xludf.DUMMYFUNCTION("""COMPUTED_VALUE"""),69.11)</f>
        <v>69.11</v>
      </c>
      <c r="D1795" s="1">
        <f>IFERROR(__xludf.DUMMYFUNCTION("""COMPUTED_VALUE"""),68.2)</f>
        <v>68.2</v>
      </c>
      <c r="E1795" s="1">
        <f>IFERROR(__xludf.DUMMYFUNCTION("""COMPUTED_VALUE"""),68.28)</f>
        <v>68.28</v>
      </c>
      <c r="F1795" s="1">
        <f>IFERROR(__xludf.DUMMYFUNCTION("""COMPUTED_VALUE"""),1606836.0)</f>
        <v>1606836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IFERROR(__xludf.DUMMYFUNCTION("""COMPUTED_VALUE"""),67.63)</f>
        <v>67.63</v>
      </c>
      <c r="C1796" s="1">
        <f>IFERROR(__xludf.DUMMYFUNCTION("""COMPUTED_VALUE"""),67.65)</f>
        <v>67.65</v>
      </c>
      <c r="D1796" s="1">
        <f>IFERROR(__xludf.DUMMYFUNCTION("""COMPUTED_VALUE"""),66.39)</f>
        <v>66.39</v>
      </c>
      <c r="E1796" s="1">
        <f>IFERROR(__xludf.DUMMYFUNCTION("""COMPUTED_VALUE"""),67.02)</f>
        <v>67.02</v>
      </c>
      <c r="F1796" s="1">
        <f>IFERROR(__xludf.DUMMYFUNCTION("""COMPUTED_VALUE"""),2383545.0)</f>
        <v>2383545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IFERROR(__xludf.DUMMYFUNCTION("""COMPUTED_VALUE"""),67.58)</f>
        <v>67.58</v>
      </c>
      <c r="C1797" s="1">
        <f>IFERROR(__xludf.DUMMYFUNCTION("""COMPUTED_VALUE"""),68.57)</f>
        <v>68.57</v>
      </c>
      <c r="D1797" s="1">
        <f>IFERROR(__xludf.DUMMYFUNCTION("""COMPUTED_VALUE"""),67.19)</f>
        <v>67.19</v>
      </c>
      <c r="E1797" s="1">
        <f>IFERROR(__xludf.DUMMYFUNCTION("""COMPUTED_VALUE"""),68.25)</f>
        <v>68.25</v>
      </c>
      <c r="F1797" s="1">
        <f>IFERROR(__xludf.DUMMYFUNCTION("""COMPUTED_VALUE"""),1658161.0)</f>
        <v>1658161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IFERROR(__xludf.DUMMYFUNCTION("""COMPUTED_VALUE"""),67.86)</f>
        <v>67.86</v>
      </c>
      <c r="C1798" s="1">
        <f>IFERROR(__xludf.DUMMYFUNCTION("""COMPUTED_VALUE"""),68.24)</f>
        <v>68.24</v>
      </c>
      <c r="D1798" s="1">
        <f>IFERROR(__xludf.DUMMYFUNCTION("""COMPUTED_VALUE"""),67.31)</f>
        <v>67.31</v>
      </c>
      <c r="E1798" s="1">
        <f>IFERROR(__xludf.DUMMYFUNCTION("""COMPUTED_VALUE"""),67.55)</f>
        <v>67.55</v>
      </c>
      <c r="F1798" s="1">
        <f>IFERROR(__xludf.DUMMYFUNCTION("""COMPUTED_VALUE"""),1453399.0)</f>
        <v>1453399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IFERROR(__xludf.DUMMYFUNCTION("""COMPUTED_VALUE"""),67.47)</f>
        <v>67.47</v>
      </c>
      <c r="C1799" s="1">
        <f>IFERROR(__xludf.DUMMYFUNCTION("""COMPUTED_VALUE"""),67.79)</f>
        <v>67.79</v>
      </c>
      <c r="D1799" s="1">
        <f>IFERROR(__xludf.DUMMYFUNCTION("""COMPUTED_VALUE"""),65.96)</f>
        <v>65.96</v>
      </c>
      <c r="E1799" s="1">
        <f>IFERROR(__xludf.DUMMYFUNCTION("""COMPUTED_VALUE"""),66.07)</f>
        <v>66.07</v>
      </c>
      <c r="F1799" s="1">
        <f>IFERROR(__xludf.DUMMYFUNCTION("""COMPUTED_VALUE"""),1368582.0)</f>
        <v>1368582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IFERROR(__xludf.DUMMYFUNCTION("""COMPUTED_VALUE"""),65.86)</f>
        <v>65.86</v>
      </c>
      <c r="C1800" s="1">
        <f>IFERROR(__xludf.DUMMYFUNCTION("""COMPUTED_VALUE"""),66.24)</f>
        <v>66.24</v>
      </c>
      <c r="D1800" s="1">
        <f>IFERROR(__xludf.DUMMYFUNCTION("""COMPUTED_VALUE"""),64.89)</f>
        <v>64.89</v>
      </c>
      <c r="E1800" s="1">
        <f>IFERROR(__xludf.DUMMYFUNCTION("""COMPUTED_VALUE"""),65.83)</f>
        <v>65.83</v>
      </c>
      <c r="F1800" s="1">
        <f>IFERROR(__xludf.DUMMYFUNCTION("""COMPUTED_VALUE"""),1961204.0)</f>
        <v>1961204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IFERROR(__xludf.DUMMYFUNCTION("""COMPUTED_VALUE"""),65.94)</f>
        <v>65.94</v>
      </c>
      <c r="C1801" s="1">
        <f>IFERROR(__xludf.DUMMYFUNCTION("""COMPUTED_VALUE"""),66.21)</f>
        <v>66.21</v>
      </c>
      <c r="D1801" s="1">
        <f>IFERROR(__xludf.DUMMYFUNCTION("""COMPUTED_VALUE"""),65.6)</f>
        <v>65.6</v>
      </c>
      <c r="E1801" s="1">
        <f>IFERROR(__xludf.DUMMYFUNCTION("""COMPUTED_VALUE"""),66.07)</f>
        <v>66.07</v>
      </c>
      <c r="F1801" s="1">
        <f>IFERROR(__xludf.DUMMYFUNCTION("""COMPUTED_VALUE"""),1397743.0)</f>
        <v>1397743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IFERROR(__xludf.DUMMYFUNCTION("""COMPUTED_VALUE"""),65.72)</f>
        <v>65.72</v>
      </c>
      <c r="C1802" s="1">
        <f>IFERROR(__xludf.DUMMYFUNCTION("""COMPUTED_VALUE"""),65.94)</f>
        <v>65.94</v>
      </c>
      <c r="D1802" s="1">
        <f>IFERROR(__xludf.DUMMYFUNCTION("""COMPUTED_VALUE"""),64.18)</f>
        <v>64.18</v>
      </c>
      <c r="E1802" s="1">
        <f>IFERROR(__xludf.DUMMYFUNCTION("""COMPUTED_VALUE"""),64.54)</f>
        <v>64.54</v>
      </c>
      <c r="F1802" s="1">
        <f>IFERROR(__xludf.DUMMYFUNCTION("""COMPUTED_VALUE"""),3043041.0)</f>
        <v>3043041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IFERROR(__xludf.DUMMYFUNCTION("""COMPUTED_VALUE"""),65.51)</f>
        <v>65.51</v>
      </c>
      <c r="C1803" s="1">
        <f>IFERROR(__xludf.DUMMYFUNCTION("""COMPUTED_VALUE"""),66.44)</f>
        <v>66.44</v>
      </c>
      <c r="D1803" s="1">
        <f>IFERROR(__xludf.DUMMYFUNCTION("""COMPUTED_VALUE"""),62.64)</f>
        <v>62.64</v>
      </c>
      <c r="E1803" s="1">
        <f>IFERROR(__xludf.DUMMYFUNCTION("""COMPUTED_VALUE"""),65.18)</f>
        <v>65.18</v>
      </c>
      <c r="F1803" s="1">
        <f>IFERROR(__xludf.DUMMYFUNCTION("""COMPUTED_VALUE"""),6525326.0)</f>
        <v>6525326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IFERROR(__xludf.DUMMYFUNCTION("""COMPUTED_VALUE"""),64.91)</f>
        <v>64.91</v>
      </c>
      <c r="C1804" s="1">
        <f>IFERROR(__xludf.DUMMYFUNCTION("""COMPUTED_VALUE"""),66.15)</f>
        <v>66.15</v>
      </c>
      <c r="D1804" s="1">
        <f>IFERROR(__xludf.DUMMYFUNCTION("""COMPUTED_VALUE"""),64.8)</f>
        <v>64.8</v>
      </c>
      <c r="E1804" s="1">
        <f>IFERROR(__xludf.DUMMYFUNCTION("""COMPUTED_VALUE"""),65.03)</f>
        <v>65.03</v>
      </c>
      <c r="F1804" s="1">
        <f>IFERROR(__xludf.DUMMYFUNCTION("""COMPUTED_VALUE"""),1833065.0)</f>
        <v>1833065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IFERROR(__xludf.DUMMYFUNCTION("""COMPUTED_VALUE"""),65.24)</f>
        <v>65.24</v>
      </c>
      <c r="C1805" s="1">
        <f>IFERROR(__xludf.DUMMYFUNCTION("""COMPUTED_VALUE"""),65.55)</f>
        <v>65.55</v>
      </c>
      <c r="D1805" s="1">
        <f>IFERROR(__xludf.DUMMYFUNCTION("""COMPUTED_VALUE"""),64.46)</f>
        <v>64.46</v>
      </c>
      <c r="E1805" s="1">
        <f>IFERROR(__xludf.DUMMYFUNCTION("""COMPUTED_VALUE"""),64.87)</f>
        <v>64.87</v>
      </c>
      <c r="F1805" s="1">
        <f>IFERROR(__xludf.DUMMYFUNCTION("""COMPUTED_VALUE"""),1946013.0)</f>
        <v>1946013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IFERROR(__xludf.DUMMYFUNCTION("""COMPUTED_VALUE"""),64.3)</f>
        <v>64.3</v>
      </c>
      <c r="C1806" s="1">
        <f>IFERROR(__xludf.DUMMYFUNCTION("""COMPUTED_VALUE"""),64.54)</f>
        <v>64.54</v>
      </c>
      <c r="D1806" s="1">
        <f>IFERROR(__xludf.DUMMYFUNCTION("""COMPUTED_VALUE"""),63.77)</f>
        <v>63.77</v>
      </c>
      <c r="E1806" s="1">
        <f>IFERROR(__xludf.DUMMYFUNCTION("""COMPUTED_VALUE"""),63.9)</f>
        <v>63.9</v>
      </c>
      <c r="F1806" s="1">
        <f>IFERROR(__xludf.DUMMYFUNCTION("""COMPUTED_VALUE"""),1760199.0)</f>
        <v>1760199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IFERROR(__xludf.DUMMYFUNCTION("""COMPUTED_VALUE"""),63.72)</f>
        <v>63.72</v>
      </c>
      <c r="C1807" s="1">
        <f>IFERROR(__xludf.DUMMYFUNCTION("""COMPUTED_VALUE"""),64.83)</f>
        <v>64.83</v>
      </c>
      <c r="D1807" s="1">
        <f>IFERROR(__xludf.DUMMYFUNCTION("""COMPUTED_VALUE"""),63.6)</f>
        <v>63.6</v>
      </c>
      <c r="E1807" s="1">
        <f>IFERROR(__xludf.DUMMYFUNCTION("""COMPUTED_VALUE"""),63.81)</f>
        <v>63.81</v>
      </c>
      <c r="F1807" s="1">
        <f>IFERROR(__xludf.DUMMYFUNCTION("""COMPUTED_VALUE"""),1882047.0)</f>
        <v>1882047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IFERROR(__xludf.DUMMYFUNCTION("""COMPUTED_VALUE"""),64.05)</f>
        <v>64.05</v>
      </c>
      <c r="C1808" s="1">
        <f>IFERROR(__xludf.DUMMYFUNCTION("""COMPUTED_VALUE"""),65.14)</f>
        <v>65.14</v>
      </c>
      <c r="D1808" s="1">
        <f>IFERROR(__xludf.DUMMYFUNCTION("""COMPUTED_VALUE"""),63.88)</f>
        <v>63.88</v>
      </c>
      <c r="E1808" s="1">
        <f>IFERROR(__xludf.DUMMYFUNCTION("""COMPUTED_VALUE"""),64.61)</f>
        <v>64.61</v>
      </c>
      <c r="F1808" s="1">
        <f>IFERROR(__xludf.DUMMYFUNCTION("""COMPUTED_VALUE"""),1348175.0)</f>
        <v>1348175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IFERROR(__xludf.DUMMYFUNCTION("""COMPUTED_VALUE"""),64.28)</f>
        <v>64.28</v>
      </c>
      <c r="C1809" s="1">
        <f>IFERROR(__xludf.DUMMYFUNCTION("""COMPUTED_VALUE"""),64.98)</f>
        <v>64.98</v>
      </c>
      <c r="D1809" s="1">
        <f>IFERROR(__xludf.DUMMYFUNCTION("""COMPUTED_VALUE"""),63.61)</f>
        <v>63.61</v>
      </c>
      <c r="E1809" s="1">
        <f>IFERROR(__xludf.DUMMYFUNCTION("""COMPUTED_VALUE"""),63.77)</f>
        <v>63.77</v>
      </c>
      <c r="F1809" s="1">
        <f>IFERROR(__xludf.DUMMYFUNCTION("""COMPUTED_VALUE"""),1266559.0)</f>
        <v>1266559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IFERROR(__xludf.DUMMYFUNCTION("""COMPUTED_VALUE"""),64.15)</f>
        <v>64.15</v>
      </c>
      <c r="C1810" s="1">
        <f>IFERROR(__xludf.DUMMYFUNCTION("""COMPUTED_VALUE"""),64.82)</f>
        <v>64.82</v>
      </c>
      <c r="D1810" s="1">
        <f>IFERROR(__xludf.DUMMYFUNCTION("""COMPUTED_VALUE"""),63.85)</f>
        <v>63.85</v>
      </c>
      <c r="E1810" s="1">
        <f>IFERROR(__xludf.DUMMYFUNCTION("""COMPUTED_VALUE"""),64.2)</f>
        <v>64.2</v>
      </c>
      <c r="F1810" s="1">
        <f>IFERROR(__xludf.DUMMYFUNCTION("""COMPUTED_VALUE"""),1139221.0)</f>
        <v>1139221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IFERROR(__xludf.DUMMYFUNCTION("""COMPUTED_VALUE"""),64.16)</f>
        <v>64.16</v>
      </c>
      <c r="C1811" s="1">
        <f>IFERROR(__xludf.DUMMYFUNCTION("""COMPUTED_VALUE"""),64.37)</f>
        <v>64.37</v>
      </c>
      <c r="D1811" s="1">
        <f>IFERROR(__xludf.DUMMYFUNCTION("""COMPUTED_VALUE"""),63.27)</f>
        <v>63.27</v>
      </c>
      <c r="E1811" s="1">
        <f>IFERROR(__xludf.DUMMYFUNCTION("""COMPUTED_VALUE"""),63.39)</f>
        <v>63.39</v>
      </c>
      <c r="F1811" s="1">
        <f>IFERROR(__xludf.DUMMYFUNCTION("""COMPUTED_VALUE"""),1667718.0)</f>
        <v>1667718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IFERROR(__xludf.DUMMYFUNCTION("""COMPUTED_VALUE"""),63.18)</f>
        <v>63.18</v>
      </c>
      <c r="C1812" s="1">
        <f>IFERROR(__xludf.DUMMYFUNCTION("""COMPUTED_VALUE"""),63.39)</f>
        <v>63.39</v>
      </c>
      <c r="D1812" s="1">
        <f>IFERROR(__xludf.DUMMYFUNCTION("""COMPUTED_VALUE"""),62.18)</f>
        <v>62.18</v>
      </c>
      <c r="E1812" s="1">
        <f>IFERROR(__xludf.DUMMYFUNCTION("""COMPUTED_VALUE"""),62.98)</f>
        <v>62.98</v>
      </c>
      <c r="F1812" s="1">
        <f>IFERROR(__xludf.DUMMYFUNCTION("""COMPUTED_VALUE"""),2547892.0)</f>
        <v>2547892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IFERROR(__xludf.DUMMYFUNCTION("""COMPUTED_VALUE"""),62.98)</f>
        <v>62.98</v>
      </c>
      <c r="C1813" s="1">
        <f>IFERROR(__xludf.DUMMYFUNCTION("""COMPUTED_VALUE"""),63.8)</f>
        <v>63.8</v>
      </c>
      <c r="D1813" s="1">
        <f>IFERROR(__xludf.DUMMYFUNCTION("""COMPUTED_VALUE"""),62.03)</f>
        <v>62.03</v>
      </c>
      <c r="E1813" s="1">
        <f>IFERROR(__xludf.DUMMYFUNCTION("""COMPUTED_VALUE"""),63.51)</f>
        <v>63.51</v>
      </c>
      <c r="F1813" s="1">
        <f>IFERROR(__xludf.DUMMYFUNCTION("""COMPUTED_VALUE"""),2689321.0)</f>
        <v>2689321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IFERROR(__xludf.DUMMYFUNCTION("""COMPUTED_VALUE"""),63.57)</f>
        <v>63.57</v>
      </c>
      <c r="C1814" s="1">
        <f>IFERROR(__xludf.DUMMYFUNCTION("""COMPUTED_VALUE"""),63.96)</f>
        <v>63.96</v>
      </c>
      <c r="D1814" s="1">
        <f>IFERROR(__xludf.DUMMYFUNCTION("""COMPUTED_VALUE"""),62.65)</f>
        <v>62.65</v>
      </c>
      <c r="E1814" s="1">
        <f>IFERROR(__xludf.DUMMYFUNCTION("""COMPUTED_VALUE"""),63.54)</f>
        <v>63.54</v>
      </c>
      <c r="F1814" s="1">
        <f>IFERROR(__xludf.DUMMYFUNCTION("""COMPUTED_VALUE"""),1756135.0)</f>
        <v>1756135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IFERROR(__xludf.DUMMYFUNCTION("""COMPUTED_VALUE"""),63.99)</f>
        <v>63.99</v>
      </c>
      <c r="C1815" s="1">
        <f>IFERROR(__xludf.DUMMYFUNCTION("""COMPUTED_VALUE"""),63.99)</f>
        <v>63.99</v>
      </c>
      <c r="D1815" s="1">
        <f>IFERROR(__xludf.DUMMYFUNCTION("""COMPUTED_VALUE"""),61.23)</f>
        <v>61.23</v>
      </c>
      <c r="E1815" s="1">
        <f>IFERROR(__xludf.DUMMYFUNCTION("""COMPUTED_VALUE"""),61.69)</f>
        <v>61.69</v>
      </c>
      <c r="F1815" s="1">
        <f>IFERROR(__xludf.DUMMYFUNCTION("""COMPUTED_VALUE"""),4293336.0)</f>
        <v>4293336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IFERROR(__xludf.DUMMYFUNCTION("""COMPUTED_VALUE"""),61.59)</f>
        <v>61.59</v>
      </c>
      <c r="C1816" s="1">
        <f>IFERROR(__xludf.DUMMYFUNCTION("""COMPUTED_VALUE"""),62.01)</f>
        <v>62.01</v>
      </c>
      <c r="D1816" s="1">
        <f>IFERROR(__xludf.DUMMYFUNCTION("""COMPUTED_VALUE"""),60.93)</f>
        <v>60.93</v>
      </c>
      <c r="E1816" s="1">
        <f>IFERROR(__xludf.DUMMYFUNCTION("""COMPUTED_VALUE"""),61.17)</f>
        <v>61.17</v>
      </c>
      <c r="F1816" s="1">
        <f>IFERROR(__xludf.DUMMYFUNCTION("""COMPUTED_VALUE"""),2541552.0)</f>
        <v>2541552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IFERROR(__xludf.DUMMYFUNCTION("""COMPUTED_VALUE"""),61.34)</f>
        <v>61.34</v>
      </c>
      <c r="C1817" s="1">
        <f>IFERROR(__xludf.DUMMYFUNCTION("""COMPUTED_VALUE"""),61.5)</f>
        <v>61.5</v>
      </c>
      <c r="D1817" s="1">
        <f>IFERROR(__xludf.DUMMYFUNCTION("""COMPUTED_VALUE"""),58.81)</f>
        <v>58.81</v>
      </c>
      <c r="E1817" s="1">
        <f>IFERROR(__xludf.DUMMYFUNCTION("""COMPUTED_VALUE"""),59.47)</f>
        <v>59.47</v>
      </c>
      <c r="F1817" s="1">
        <f>IFERROR(__xludf.DUMMYFUNCTION("""COMPUTED_VALUE"""),3509359.0)</f>
        <v>3509359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IFERROR(__xludf.DUMMYFUNCTION("""COMPUTED_VALUE"""),59.43)</f>
        <v>59.43</v>
      </c>
      <c r="C1818" s="1">
        <f>IFERROR(__xludf.DUMMYFUNCTION("""COMPUTED_VALUE"""),61.01)</f>
        <v>61.01</v>
      </c>
      <c r="D1818" s="1">
        <f>IFERROR(__xludf.DUMMYFUNCTION("""COMPUTED_VALUE"""),58.92)</f>
        <v>58.92</v>
      </c>
      <c r="E1818" s="1">
        <f>IFERROR(__xludf.DUMMYFUNCTION("""COMPUTED_VALUE"""),60.07)</f>
        <v>60.07</v>
      </c>
      <c r="F1818" s="1">
        <f>IFERROR(__xludf.DUMMYFUNCTION("""COMPUTED_VALUE"""),2668898.0)</f>
        <v>2668898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IFERROR(__xludf.DUMMYFUNCTION("""COMPUTED_VALUE"""),59.94)</f>
        <v>59.94</v>
      </c>
      <c r="C1819" s="1">
        <f>IFERROR(__xludf.DUMMYFUNCTION("""COMPUTED_VALUE"""),60.59)</f>
        <v>60.59</v>
      </c>
      <c r="D1819" s="1">
        <f>IFERROR(__xludf.DUMMYFUNCTION("""COMPUTED_VALUE"""),58.99)</f>
        <v>58.99</v>
      </c>
      <c r="E1819" s="1">
        <f>IFERROR(__xludf.DUMMYFUNCTION("""COMPUTED_VALUE"""),60.04)</f>
        <v>60.04</v>
      </c>
      <c r="F1819" s="1">
        <f>IFERROR(__xludf.DUMMYFUNCTION("""COMPUTED_VALUE"""),1862775.0)</f>
        <v>1862775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IFERROR(__xludf.DUMMYFUNCTION("""COMPUTED_VALUE"""),60.21)</f>
        <v>60.21</v>
      </c>
      <c r="C1820" s="1">
        <f>IFERROR(__xludf.DUMMYFUNCTION("""COMPUTED_VALUE"""),60.66)</f>
        <v>60.66</v>
      </c>
      <c r="D1820" s="1">
        <f>IFERROR(__xludf.DUMMYFUNCTION("""COMPUTED_VALUE"""),59.18)</f>
        <v>59.18</v>
      </c>
      <c r="E1820" s="1">
        <f>IFERROR(__xludf.DUMMYFUNCTION("""COMPUTED_VALUE"""),59.6)</f>
        <v>59.6</v>
      </c>
      <c r="F1820" s="1">
        <f>IFERROR(__xludf.DUMMYFUNCTION("""COMPUTED_VALUE"""),1410307.0)</f>
        <v>1410307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IFERROR(__xludf.DUMMYFUNCTION("""COMPUTED_VALUE"""),58.91)</f>
        <v>58.91</v>
      </c>
      <c r="C1821" s="1">
        <f>IFERROR(__xludf.DUMMYFUNCTION("""COMPUTED_VALUE"""),59.18)</f>
        <v>59.18</v>
      </c>
      <c r="D1821" s="1">
        <f>IFERROR(__xludf.DUMMYFUNCTION("""COMPUTED_VALUE"""),57.83)</f>
        <v>57.83</v>
      </c>
      <c r="E1821" s="1">
        <f>IFERROR(__xludf.DUMMYFUNCTION("""COMPUTED_VALUE"""),58.87)</f>
        <v>58.87</v>
      </c>
      <c r="F1821" s="1">
        <f>IFERROR(__xludf.DUMMYFUNCTION("""COMPUTED_VALUE"""),2728579.0)</f>
        <v>2728579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IFERROR(__xludf.DUMMYFUNCTION("""COMPUTED_VALUE"""),58.88)</f>
        <v>58.88</v>
      </c>
      <c r="C1822" s="1">
        <f>IFERROR(__xludf.DUMMYFUNCTION("""COMPUTED_VALUE"""),59.92)</f>
        <v>59.92</v>
      </c>
      <c r="D1822" s="1">
        <f>IFERROR(__xludf.DUMMYFUNCTION("""COMPUTED_VALUE"""),58.64)</f>
        <v>58.64</v>
      </c>
      <c r="E1822" s="1">
        <f>IFERROR(__xludf.DUMMYFUNCTION("""COMPUTED_VALUE"""),59.76)</f>
        <v>59.76</v>
      </c>
      <c r="F1822" s="1">
        <f>IFERROR(__xludf.DUMMYFUNCTION("""COMPUTED_VALUE"""),2984319.0)</f>
        <v>2984319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IFERROR(__xludf.DUMMYFUNCTION("""COMPUTED_VALUE"""),59.94)</f>
        <v>59.94</v>
      </c>
      <c r="C1823" s="1">
        <f>IFERROR(__xludf.DUMMYFUNCTION("""COMPUTED_VALUE"""),60.37)</f>
        <v>60.37</v>
      </c>
      <c r="D1823" s="1">
        <f>IFERROR(__xludf.DUMMYFUNCTION("""COMPUTED_VALUE"""),59.47)</f>
        <v>59.47</v>
      </c>
      <c r="E1823" s="1">
        <f>IFERROR(__xludf.DUMMYFUNCTION("""COMPUTED_VALUE"""),60.05)</f>
        <v>60.05</v>
      </c>
      <c r="F1823" s="1">
        <f>IFERROR(__xludf.DUMMYFUNCTION("""COMPUTED_VALUE"""),1489706.0)</f>
        <v>1489706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IFERROR(__xludf.DUMMYFUNCTION("""COMPUTED_VALUE"""),59.92)</f>
        <v>59.92</v>
      </c>
      <c r="C1824" s="1">
        <f>IFERROR(__xludf.DUMMYFUNCTION("""COMPUTED_VALUE"""),60.73)</f>
        <v>60.73</v>
      </c>
      <c r="D1824" s="1">
        <f>IFERROR(__xludf.DUMMYFUNCTION("""COMPUTED_VALUE"""),59.92)</f>
        <v>59.92</v>
      </c>
      <c r="E1824" s="1">
        <f>IFERROR(__xludf.DUMMYFUNCTION("""COMPUTED_VALUE"""),60.06)</f>
        <v>60.06</v>
      </c>
      <c r="F1824" s="1">
        <f>IFERROR(__xludf.DUMMYFUNCTION("""COMPUTED_VALUE"""),1355031.0)</f>
        <v>1355031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IFERROR(__xludf.DUMMYFUNCTION("""COMPUTED_VALUE"""),59.8)</f>
        <v>59.8</v>
      </c>
      <c r="C1825" s="1">
        <f>IFERROR(__xludf.DUMMYFUNCTION("""COMPUTED_VALUE"""),59.96)</f>
        <v>59.96</v>
      </c>
      <c r="D1825" s="1">
        <f>IFERROR(__xludf.DUMMYFUNCTION("""COMPUTED_VALUE"""),58.13)</f>
        <v>58.13</v>
      </c>
      <c r="E1825" s="1">
        <f>IFERROR(__xludf.DUMMYFUNCTION("""COMPUTED_VALUE"""),59.22)</f>
        <v>59.22</v>
      </c>
      <c r="F1825" s="1">
        <f>IFERROR(__xludf.DUMMYFUNCTION("""COMPUTED_VALUE"""),3993208.0)</f>
        <v>3993208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IFERROR(__xludf.DUMMYFUNCTION("""COMPUTED_VALUE"""),58.2)</f>
        <v>58.2</v>
      </c>
      <c r="C1826" s="1">
        <f>IFERROR(__xludf.DUMMYFUNCTION("""COMPUTED_VALUE"""),58.5)</f>
        <v>58.5</v>
      </c>
      <c r="D1826" s="1">
        <f>IFERROR(__xludf.DUMMYFUNCTION("""COMPUTED_VALUE"""),56.01)</f>
        <v>56.01</v>
      </c>
      <c r="E1826" s="1">
        <f>IFERROR(__xludf.DUMMYFUNCTION("""COMPUTED_VALUE"""),56.67)</f>
        <v>56.67</v>
      </c>
      <c r="F1826" s="1">
        <f>IFERROR(__xludf.DUMMYFUNCTION("""COMPUTED_VALUE"""),5489857.0)</f>
        <v>5489857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IFERROR(__xludf.DUMMYFUNCTION("""COMPUTED_VALUE"""),56.37)</f>
        <v>56.37</v>
      </c>
      <c r="C1827" s="1">
        <f>IFERROR(__xludf.DUMMYFUNCTION("""COMPUTED_VALUE"""),57.0)</f>
        <v>57</v>
      </c>
      <c r="D1827" s="1">
        <f>IFERROR(__xludf.DUMMYFUNCTION("""COMPUTED_VALUE"""),55.6)</f>
        <v>55.6</v>
      </c>
      <c r="E1827" s="1">
        <f>IFERROR(__xludf.DUMMYFUNCTION("""COMPUTED_VALUE"""),55.82)</f>
        <v>55.82</v>
      </c>
      <c r="F1827" s="1">
        <f>IFERROR(__xludf.DUMMYFUNCTION("""COMPUTED_VALUE"""),5023417.0)</f>
        <v>5023417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IFERROR(__xludf.DUMMYFUNCTION("""COMPUTED_VALUE"""),57.0)</f>
        <v>57</v>
      </c>
      <c r="C1828" s="1">
        <f>IFERROR(__xludf.DUMMYFUNCTION("""COMPUTED_VALUE"""),58.05)</f>
        <v>58.05</v>
      </c>
      <c r="D1828" s="1">
        <f>IFERROR(__xludf.DUMMYFUNCTION("""COMPUTED_VALUE"""),56.5)</f>
        <v>56.5</v>
      </c>
      <c r="E1828" s="1">
        <f>IFERROR(__xludf.DUMMYFUNCTION("""COMPUTED_VALUE"""),56.66)</f>
        <v>56.66</v>
      </c>
      <c r="F1828" s="1">
        <f>IFERROR(__xludf.DUMMYFUNCTION("""COMPUTED_VALUE"""),7991714.0)</f>
        <v>7991714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IFERROR(__xludf.DUMMYFUNCTION("""COMPUTED_VALUE"""),55.08)</f>
        <v>55.08</v>
      </c>
      <c r="C1829" s="1">
        <f>IFERROR(__xludf.DUMMYFUNCTION("""COMPUTED_VALUE"""),58.2)</f>
        <v>58.2</v>
      </c>
      <c r="D1829" s="1">
        <f>IFERROR(__xludf.DUMMYFUNCTION("""COMPUTED_VALUE"""),54.29)</f>
        <v>54.29</v>
      </c>
      <c r="E1829" s="1">
        <f>IFERROR(__xludf.DUMMYFUNCTION("""COMPUTED_VALUE"""),58.0)</f>
        <v>58</v>
      </c>
      <c r="F1829" s="1">
        <f>IFERROR(__xludf.DUMMYFUNCTION("""COMPUTED_VALUE"""),1.1001139E7)</f>
        <v>11001139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IFERROR(__xludf.DUMMYFUNCTION("""COMPUTED_VALUE"""),57.8)</f>
        <v>57.8</v>
      </c>
      <c r="C1830" s="1">
        <f>IFERROR(__xludf.DUMMYFUNCTION("""COMPUTED_VALUE"""),58.17)</f>
        <v>58.17</v>
      </c>
      <c r="D1830" s="1">
        <f>IFERROR(__xludf.DUMMYFUNCTION("""COMPUTED_VALUE"""),55.71)</f>
        <v>55.71</v>
      </c>
      <c r="E1830" s="1">
        <f>IFERROR(__xludf.DUMMYFUNCTION("""COMPUTED_VALUE"""),56.5)</f>
        <v>56.5</v>
      </c>
      <c r="F1830" s="1">
        <f>IFERROR(__xludf.DUMMYFUNCTION("""COMPUTED_VALUE"""),7366324.0)</f>
        <v>7366324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IFERROR(__xludf.DUMMYFUNCTION("""COMPUTED_VALUE"""),56.51)</f>
        <v>56.51</v>
      </c>
      <c r="C1831" s="1">
        <f>IFERROR(__xludf.DUMMYFUNCTION("""COMPUTED_VALUE"""),57.89)</f>
        <v>57.89</v>
      </c>
      <c r="D1831" s="1">
        <f>IFERROR(__xludf.DUMMYFUNCTION("""COMPUTED_VALUE"""),56.49)</f>
        <v>56.49</v>
      </c>
      <c r="E1831" s="1">
        <f>IFERROR(__xludf.DUMMYFUNCTION("""COMPUTED_VALUE"""),57.11)</f>
        <v>57.11</v>
      </c>
      <c r="F1831" s="1">
        <f>IFERROR(__xludf.DUMMYFUNCTION("""COMPUTED_VALUE"""),3355816.0)</f>
        <v>3355816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IFERROR(__xludf.DUMMYFUNCTION("""COMPUTED_VALUE"""),57.1)</f>
        <v>57.1</v>
      </c>
      <c r="C1832" s="1">
        <f>IFERROR(__xludf.DUMMYFUNCTION("""COMPUTED_VALUE"""),57.61)</f>
        <v>57.61</v>
      </c>
      <c r="D1832" s="1">
        <f>IFERROR(__xludf.DUMMYFUNCTION("""COMPUTED_VALUE"""),56.35)</f>
        <v>56.35</v>
      </c>
      <c r="E1832" s="1">
        <f>IFERROR(__xludf.DUMMYFUNCTION("""COMPUTED_VALUE"""),57.24)</f>
        <v>57.24</v>
      </c>
      <c r="F1832" s="1">
        <f>IFERROR(__xludf.DUMMYFUNCTION("""COMPUTED_VALUE"""),2400703.0)</f>
        <v>2400703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IFERROR(__xludf.DUMMYFUNCTION("""COMPUTED_VALUE"""),57.17)</f>
        <v>57.17</v>
      </c>
      <c r="C1833" s="1">
        <f>IFERROR(__xludf.DUMMYFUNCTION("""COMPUTED_VALUE"""),57.24)</f>
        <v>57.24</v>
      </c>
      <c r="D1833" s="1">
        <f>IFERROR(__xludf.DUMMYFUNCTION("""COMPUTED_VALUE"""),56.1)</f>
        <v>56.1</v>
      </c>
      <c r="E1833" s="1">
        <f>IFERROR(__xludf.DUMMYFUNCTION("""COMPUTED_VALUE"""),56.24)</f>
        <v>56.24</v>
      </c>
      <c r="F1833" s="1">
        <f>IFERROR(__xludf.DUMMYFUNCTION("""COMPUTED_VALUE"""),1620257.0)</f>
        <v>1620257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IFERROR(__xludf.DUMMYFUNCTION("""COMPUTED_VALUE"""),56.15)</f>
        <v>56.15</v>
      </c>
      <c r="C1834" s="1">
        <f>IFERROR(__xludf.DUMMYFUNCTION("""COMPUTED_VALUE"""),56.5)</f>
        <v>56.5</v>
      </c>
      <c r="D1834" s="1">
        <f>IFERROR(__xludf.DUMMYFUNCTION("""COMPUTED_VALUE"""),55.37)</f>
        <v>55.37</v>
      </c>
      <c r="E1834" s="1">
        <f>IFERROR(__xludf.DUMMYFUNCTION("""COMPUTED_VALUE"""),55.37)</f>
        <v>55.37</v>
      </c>
      <c r="F1834" s="1">
        <f>IFERROR(__xludf.DUMMYFUNCTION("""COMPUTED_VALUE"""),1926168.0)</f>
        <v>1926168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IFERROR(__xludf.DUMMYFUNCTION("""COMPUTED_VALUE"""),55.58)</f>
        <v>55.58</v>
      </c>
      <c r="C1835" s="1">
        <f>IFERROR(__xludf.DUMMYFUNCTION("""COMPUTED_VALUE"""),56.19)</f>
        <v>56.19</v>
      </c>
      <c r="D1835" s="1">
        <f>IFERROR(__xludf.DUMMYFUNCTION("""COMPUTED_VALUE"""),55.11)</f>
        <v>55.11</v>
      </c>
      <c r="E1835" s="1">
        <f>IFERROR(__xludf.DUMMYFUNCTION("""COMPUTED_VALUE"""),56.13)</f>
        <v>56.13</v>
      </c>
      <c r="F1835" s="1">
        <f>IFERROR(__xludf.DUMMYFUNCTION("""COMPUTED_VALUE"""),1687487.0)</f>
        <v>1687487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IFERROR(__xludf.DUMMYFUNCTION("""COMPUTED_VALUE"""),55.75)</f>
        <v>55.75</v>
      </c>
      <c r="C1836" s="1">
        <f>IFERROR(__xludf.DUMMYFUNCTION("""COMPUTED_VALUE"""),55.94)</f>
        <v>55.94</v>
      </c>
      <c r="D1836" s="1">
        <f>IFERROR(__xludf.DUMMYFUNCTION("""COMPUTED_VALUE"""),55.05)</f>
        <v>55.05</v>
      </c>
      <c r="E1836" s="1">
        <f>IFERROR(__xludf.DUMMYFUNCTION("""COMPUTED_VALUE"""),55.61)</f>
        <v>55.61</v>
      </c>
      <c r="F1836" s="1">
        <f>IFERROR(__xludf.DUMMYFUNCTION("""COMPUTED_VALUE"""),2083282.0)</f>
        <v>2083282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IFERROR(__xludf.DUMMYFUNCTION("""COMPUTED_VALUE"""),56.0)</f>
        <v>56</v>
      </c>
      <c r="C1837" s="1">
        <f>IFERROR(__xludf.DUMMYFUNCTION("""COMPUTED_VALUE"""),57.86)</f>
        <v>57.86</v>
      </c>
      <c r="D1837" s="1">
        <f>IFERROR(__xludf.DUMMYFUNCTION("""COMPUTED_VALUE"""),56.0)</f>
        <v>56</v>
      </c>
      <c r="E1837" s="1">
        <f>IFERROR(__xludf.DUMMYFUNCTION("""COMPUTED_VALUE"""),57.17)</f>
        <v>57.17</v>
      </c>
      <c r="F1837" s="1">
        <f>IFERROR(__xludf.DUMMYFUNCTION("""COMPUTED_VALUE"""),3641927.0)</f>
        <v>3641927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IFERROR(__xludf.DUMMYFUNCTION("""COMPUTED_VALUE"""),57.51)</f>
        <v>57.51</v>
      </c>
      <c r="C1838" s="1">
        <f>IFERROR(__xludf.DUMMYFUNCTION("""COMPUTED_VALUE"""),58.9)</f>
        <v>58.9</v>
      </c>
      <c r="D1838" s="1">
        <f>IFERROR(__xludf.DUMMYFUNCTION("""COMPUTED_VALUE"""),57.51)</f>
        <v>57.51</v>
      </c>
      <c r="E1838" s="1">
        <f>IFERROR(__xludf.DUMMYFUNCTION("""COMPUTED_VALUE"""),58.8)</f>
        <v>58.8</v>
      </c>
      <c r="F1838" s="1">
        <f>IFERROR(__xludf.DUMMYFUNCTION("""COMPUTED_VALUE"""),3301794.0)</f>
        <v>3301794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IFERROR(__xludf.DUMMYFUNCTION("""COMPUTED_VALUE"""),58.71)</f>
        <v>58.71</v>
      </c>
      <c r="C1839" s="1">
        <f>IFERROR(__xludf.DUMMYFUNCTION("""COMPUTED_VALUE"""),59.13)</f>
        <v>59.13</v>
      </c>
      <c r="D1839" s="1">
        <f>IFERROR(__xludf.DUMMYFUNCTION("""COMPUTED_VALUE"""),57.7)</f>
        <v>57.7</v>
      </c>
      <c r="E1839" s="1">
        <f>IFERROR(__xludf.DUMMYFUNCTION("""COMPUTED_VALUE"""),58.31)</f>
        <v>58.31</v>
      </c>
      <c r="F1839" s="1">
        <f>IFERROR(__xludf.DUMMYFUNCTION("""COMPUTED_VALUE"""),2821382.0)</f>
        <v>2821382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IFERROR(__xludf.DUMMYFUNCTION("""COMPUTED_VALUE"""),59.69)</f>
        <v>59.69</v>
      </c>
      <c r="C1840" s="1">
        <f>IFERROR(__xludf.DUMMYFUNCTION("""COMPUTED_VALUE"""),59.89)</f>
        <v>59.89</v>
      </c>
      <c r="D1840" s="1">
        <f>IFERROR(__xludf.DUMMYFUNCTION("""COMPUTED_VALUE"""),58.85)</f>
        <v>58.85</v>
      </c>
      <c r="E1840" s="1">
        <f>IFERROR(__xludf.DUMMYFUNCTION("""COMPUTED_VALUE"""),59.69)</f>
        <v>59.69</v>
      </c>
      <c r="F1840" s="1">
        <f>IFERROR(__xludf.DUMMYFUNCTION("""COMPUTED_VALUE"""),2571244.0)</f>
        <v>2571244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IFERROR(__xludf.DUMMYFUNCTION("""COMPUTED_VALUE"""),59.98)</f>
        <v>59.98</v>
      </c>
      <c r="C1841" s="1">
        <f>IFERROR(__xludf.DUMMYFUNCTION("""COMPUTED_VALUE"""),60.61)</f>
        <v>60.61</v>
      </c>
      <c r="D1841" s="1">
        <f>IFERROR(__xludf.DUMMYFUNCTION("""COMPUTED_VALUE"""),58.61)</f>
        <v>58.61</v>
      </c>
      <c r="E1841" s="1">
        <f>IFERROR(__xludf.DUMMYFUNCTION("""COMPUTED_VALUE"""),58.74)</f>
        <v>58.74</v>
      </c>
      <c r="F1841" s="1">
        <f>IFERROR(__xludf.DUMMYFUNCTION("""COMPUTED_VALUE"""),3043090.0)</f>
        <v>3043090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IFERROR(__xludf.DUMMYFUNCTION("""COMPUTED_VALUE"""),58.91)</f>
        <v>58.91</v>
      </c>
      <c r="C1842" s="1">
        <f>IFERROR(__xludf.DUMMYFUNCTION("""COMPUTED_VALUE"""),60.48)</f>
        <v>60.48</v>
      </c>
      <c r="D1842" s="1">
        <f>IFERROR(__xludf.DUMMYFUNCTION("""COMPUTED_VALUE"""),58.71)</f>
        <v>58.71</v>
      </c>
      <c r="E1842" s="1">
        <f>IFERROR(__xludf.DUMMYFUNCTION("""COMPUTED_VALUE"""),59.96)</f>
        <v>59.96</v>
      </c>
      <c r="F1842" s="1">
        <f>IFERROR(__xludf.DUMMYFUNCTION("""COMPUTED_VALUE"""),4056398.0)</f>
        <v>4056398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IFERROR(__xludf.DUMMYFUNCTION("""COMPUTED_VALUE"""),59.93)</f>
        <v>59.93</v>
      </c>
      <c r="C1843" s="1">
        <f>IFERROR(__xludf.DUMMYFUNCTION("""COMPUTED_VALUE"""),60.72)</f>
        <v>60.72</v>
      </c>
      <c r="D1843" s="1">
        <f>IFERROR(__xludf.DUMMYFUNCTION("""COMPUTED_VALUE"""),59.59)</f>
        <v>59.59</v>
      </c>
      <c r="E1843" s="1">
        <f>IFERROR(__xludf.DUMMYFUNCTION("""COMPUTED_VALUE"""),60.08)</f>
        <v>60.08</v>
      </c>
      <c r="F1843" s="1">
        <f>IFERROR(__xludf.DUMMYFUNCTION("""COMPUTED_VALUE"""),2006251.0)</f>
        <v>2006251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IFERROR(__xludf.DUMMYFUNCTION("""COMPUTED_VALUE"""),60.06)</f>
        <v>60.06</v>
      </c>
      <c r="C1844" s="1">
        <f>IFERROR(__xludf.DUMMYFUNCTION("""COMPUTED_VALUE"""),60.06)</f>
        <v>60.06</v>
      </c>
      <c r="D1844" s="1">
        <f>IFERROR(__xludf.DUMMYFUNCTION("""COMPUTED_VALUE"""),58.31)</f>
        <v>58.31</v>
      </c>
      <c r="E1844" s="1">
        <f>IFERROR(__xludf.DUMMYFUNCTION("""COMPUTED_VALUE"""),58.5)</f>
        <v>58.5</v>
      </c>
      <c r="F1844" s="1">
        <f>IFERROR(__xludf.DUMMYFUNCTION("""COMPUTED_VALUE"""),3722194.0)</f>
        <v>3722194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IFERROR(__xludf.DUMMYFUNCTION("""COMPUTED_VALUE"""),58.7)</f>
        <v>58.7</v>
      </c>
      <c r="C1845" s="1">
        <f>IFERROR(__xludf.DUMMYFUNCTION("""COMPUTED_VALUE"""),58.8)</f>
        <v>58.8</v>
      </c>
      <c r="D1845" s="1">
        <f>IFERROR(__xludf.DUMMYFUNCTION("""COMPUTED_VALUE"""),57.97)</f>
        <v>57.97</v>
      </c>
      <c r="E1845" s="1">
        <f>IFERROR(__xludf.DUMMYFUNCTION("""COMPUTED_VALUE"""),58.15)</f>
        <v>58.15</v>
      </c>
      <c r="F1845" s="1">
        <f>IFERROR(__xludf.DUMMYFUNCTION("""COMPUTED_VALUE"""),2152439.0)</f>
        <v>2152439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IFERROR(__xludf.DUMMYFUNCTION("""COMPUTED_VALUE"""),58.18)</f>
        <v>58.18</v>
      </c>
      <c r="C1846" s="1">
        <f>IFERROR(__xludf.DUMMYFUNCTION("""COMPUTED_VALUE"""),58.59)</f>
        <v>58.59</v>
      </c>
      <c r="D1846" s="1">
        <f>IFERROR(__xludf.DUMMYFUNCTION("""COMPUTED_VALUE"""),56.53)</f>
        <v>56.53</v>
      </c>
      <c r="E1846" s="1">
        <f>IFERROR(__xludf.DUMMYFUNCTION("""COMPUTED_VALUE"""),57.88)</f>
        <v>57.88</v>
      </c>
      <c r="F1846" s="1">
        <f>IFERROR(__xludf.DUMMYFUNCTION("""COMPUTED_VALUE"""),3104791.0)</f>
        <v>3104791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IFERROR(__xludf.DUMMYFUNCTION("""COMPUTED_VALUE"""),57.8)</f>
        <v>57.8</v>
      </c>
      <c r="C1847" s="1">
        <f>IFERROR(__xludf.DUMMYFUNCTION("""COMPUTED_VALUE"""),58.57)</f>
        <v>58.57</v>
      </c>
      <c r="D1847" s="1">
        <f>IFERROR(__xludf.DUMMYFUNCTION("""COMPUTED_VALUE"""),57.55)</f>
        <v>57.55</v>
      </c>
      <c r="E1847" s="1">
        <f>IFERROR(__xludf.DUMMYFUNCTION("""COMPUTED_VALUE"""),58.52)</f>
        <v>58.52</v>
      </c>
      <c r="F1847" s="1">
        <f>IFERROR(__xludf.DUMMYFUNCTION("""COMPUTED_VALUE"""),2088804.0)</f>
        <v>2088804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IFERROR(__xludf.DUMMYFUNCTION("""COMPUTED_VALUE"""),58.6)</f>
        <v>58.6</v>
      </c>
      <c r="C1848" s="1">
        <f>IFERROR(__xludf.DUMMYFUNCTION("""COMPUTED_VALUE"""),59.26)</f>
        <v>59.26</v>
      </c>
      <c r="D1848" s="1">
        <f>IFERROR(__xludf.DUMMYFUNCTION("""COMPUTED_VALUE"""),58.45)</f>
        <v>58.45</v>
      </c>
      <c r="E1848" s="1">
        <f>IFERROR(__xludf.DUMMYFUNCTION("""COMPUTED_VALUE"""),58.71)</f>
        <v>58.71</v>
      </c>
      <c r="F1848" s="1">
        <f>IFERROR(__xludf.DUMMYFUNCTION("""COMPUTED_VALUE"""),1714026.0)</f>
        <v>1714026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IFERROR(__xludf.DUMMYFUNCTION("""COMPUTED_VALUE"""),59.13)</f>
        <v>59.13</v>
      </c>
      <c r="C1849" s="1">
        <f>IFERROR(__xludf.DUMMYFUNCTION("""COMPUTED_VALUE"""),59.78)</f>
        <v>59.78</v>
      </c>
      <c r="D1849" s="1">
        <f>IFERROR(__xludf.DUMMYFUNCTION("""COMPUTED_VALUE"""),58.1)</f>
        <v>58.1</v>
      </c>
      <c r="E1849" s="1">
        <f>IFERROR(__xludf.DUMMYFUNCTION("""COMPUTED_VALUE"""),59.71)</f>
        <v>59.71</v>
      </c>
      <c r="F1849" s="1">
        <f>IFERROR(__xludf.DUMMYFUNCTION("""COMPUTED_VALUE"""),2180181.0)</f>
        <v>2180181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IFERROR(__xludf.DUMMYFUNCTION("""COMPUTED_VALUE"""),59.81)</f>
        <v>59.81</v>
      </c>
      <c r="C1850" s="1">
        <f>IFERROR(__xludf.DUMMYFUNCTION("""COMPUTED_VALUE"""),60.73)</f>
        <v>60.73</v>
      </c>
      <c r="D1850" s="1">
        <f>IFERROR(__xludf.DUMMYFUNCTION("""COMPUTED_VALUE"""),59.55)</f>
        <v>59.55</v>
      </c>
      <c r="E1850" s="1">
        <f>IFERROR(__xludf.DUMMYFUNCTION("""COMPUTED_VALUE"""),60.28)</f>
        <v>60.28</v>
      </c>
      <c r="F1850" s="1">
        <f>IFERROR(__xludf.DUMMYFUNCTION("""COMPUTED_VALUE"""),2641479.0)</f>
        <v>2641479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IFERROR(__xludf.DUMMYFUNCTION("""COMPUTED_VALUE"""),60.18)</f>
        <v>60.18</v>
      </c>
      <c r="C1851" s="1">
        <f>IFERROR(__xludf.DUMMYFUNCTION("""COMPUTED_VALUE"""),60.61)</f>
        <v>60.61</v>
      </c>
      <c r="D1851" s="1">
        <f>IFERROR(__xludf.DUMMYFUNCTION("""COMPUTED_VALUE"""),59.47)</f>
        <v>59.47</v>
      </c>
      <c r="E1851" s="1">
        <f>IFERROR(__xludf.DUMMYFUNCTION("""COMPUTED_VALUE"""),60.28)</f>
        <v>60.28</v>
      </c>
      <c r="F1851" s="1">
        <f>IFERROR(__xludf.DUMMYFUNCTION("""COMPUTED_VALUE"""),2184799.0)</f>
        <v>2184799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IFERROR(__xludf.DUMMYFUNCTION("""COMPUTED_VALUE"""),60.19)</f>
        <v>60.19</v>
      </c>
      <c r="C1852" s="1">
        <f>IFERROR(__xludf.DUMMYFUNCTION("""COMPUTED_VALUE"""),60.47)</f>
        <v>60.47</v>
      </c>
      <c r="D1852" s="1">
        <f>IFERROR(__xludf.DUMMYFUNCTION("""COMPUTED_VALUE"""),59.55)</f>
        <v>59.55</v>
      </c>
      <c r="E1852" s="1">
        <f>IFERROR(__xludf.DUMMYFUNCTION("""COMPUTED_VALUE"""),59.93)</f>
        <v>59.93</v>
      </c>
      <c r="F1852" s="1">
        <f>IFERROR(__xludf.DUMMYFUNCTION("""COMPUTED_VALUE"""),1469517.0)</f>
        <v>1469517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IFERROR(__xludf.DUMMYFUNCTION("""COMPUTED_VALUE"""),59.62)</f>
        <v>59.62</v>
      </c>
      <c r="C1853" s="1">
        <f>IFERROR(__xludf.DUMMYFUNCTION("""COMPUTED_VALUE"""),59.74)</f>
        <v>59.74</v>
      </c>
      <c r="D1853" s="1">
        <f>IFERROR(__xludf.DUMMYFUNCTION("""COMPUTED_VALUE"""),58.26)</f>
        <v>58.26</v>
      </c>
      <c r="E1853" s="1">
        <f>IFERROR(__xludf.DUMMYFUNCTION("""COMPUTED_VALUE"""),59.28)</f>
        <v>59.28</v>
      </c>
      <c r="F1853" s="1">
        <f>IFERROR(__xludf.DUMMYFUNCTION("""COMPUTED_VALUE"""),1741203.0)</f>
        <v>1741203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IFERROR(__xludf.DUMMYFUNCTION("""COMPUTED_VALUE"""),58.95)</f>
        <v>58.95</v>
      </c>
      <c r="C1854" s="1">
        <f>IFERROR(__xludf.DUMMYFUNCTION("""COMPUTED_VALUE"""),59.46)</f>
        <v>59.46</v>
      </c>
      <c r="D1854" s="1">
        <f>IFERROR(__xludf.DUMMYFUNCTION("""COMPUTED_VALUE"""),58.59)</f>
        <v>58.59</v>
      </c>
      <c r="E1854" s="1">
        <f>IFERROR(__xludf.DUMMYFUNCTION("""COMPUTED_VALUE"""),59.39)</f>
        <v>59.39</v>
      </c>
      <c r="F1854" s="1">
        <f>IFERROR(__xludf.DUMMYFUNCTION("""COMPUTED_VALUE"""),1909681.0)</f>
        <v>1909681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IFERROR(__xludf.DUMMYFUNCTION("""COMPUTED_VALUE"""),59.68)</f>
        <v>59.68</v>
      </c>
      <c r="C1855" s="1">
        <f>IFERROR(__xludf.DUMMYFUNCTION("""COMPUTED_VALUE"""),61.42)</f>
        <v>61.42</v>
      </c>
      <c r="D1855" s="1">
        <f>IFERROR(__xludf.DUMMYFUNCTION("""COMPUTED_VALUE"""),59.6)</f>
        <v>59.6</v>
      </c>
      <c r="E1855" s="1">
        <f>IFERROR(__xludf.DUMMYFUNCTION("""COMPUTED_VALUE"""),61.14)</f>
        <v>61.14</v>
      </c>
      <c r="F1855" s="1">
        <f>IFERROR(__xludf.DUMMYFUNCTION("""COMPUTED_VALUE"""),3144455.0)</f>
        <v>3144455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IFERROR(__xludf.DUMMYFUNCTION("""COMPUTED_VALUE"""),61.33)</f>
        <v>61.33</v>
      </c>
      <c r="C1856" s="1">
        <f>IFERROR(__xludf.DUMMYFUNCTION("""COMPUTED_VALUE"""),61.74)</f>
        <v>61.74</v>
      </c>
      <c r="D1856" s="1">
        <f>IFERROR(__xludf.DUMMYFUNCTION("""COMPUTED_VALUE"""),60.66)</f>
        <v>60.66</v>
      </c>
      <c r="E1856" s="1">
        <f>IFERROR(__xludf.DUMMYFUNCTION("""COMPUTED_VALUE"""),61.66)</f>
        <v>61.66</v>
      </c>
      <c r="F1856" s="1">
        <f>IFERROR(__xludf.DUMMYFUNCTION("""COMPUTED_VALUE"""),3306212.0)</f>
        <v>3306212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IFERROR(__xludf.DUMMYFUNCTION("""COMPUTED_VALUE"""),60.87)</f>
        <v>60.87</v>
      </c>
      <c r="C1857" s="1">
        <f>IFERROR(__xludf.DUMMYFUNCTION("""COMPUTED_VALUE"""),61.43)</f>
        <v>61.43</v>
      </c>
      <c r="D1857" s="1">
        <f>IFERROR(__xludf.DUMMYFUNCTION("""COMPUTED_VALUE"""),59.56)</f>
        <v>59.56</v>
      </c>
      <c r="E1857" s="1">
        <f>IFERROR(__xludf.DUMMYFUNCTION("""COMPUTED_VALUE"""),60.02)</f>
        <v>60.02</v>
      </c>
      <c r="F1857" s="1">
        <f>IFERROR(__xludf.DUMMYFUNCTION("""COMPUTED_VALUE"""),3084716.0)</f>
        <v>3084716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IFERROR(__xludf.DUMMYFUNCTION("""COMPUTED_VALUE"""),61.23)</f>
        <v>61.23</v>
      </c>
      <c r="C1858" s="1">
        <f>IFERROR(__xludf.DUMMYFUNCTION("""COMPUTED_VALUE"""),64.66)</f>
        <v>64.66</v>
      </c>
      <c r="D1858" s="1">
        <f>IFERROR(__xludf.DUMMYFUNCTION("""COMPUTED_VALUE"""),61.03)</f>
        <v>61.03</v>
      </c>
      <c r="E1858" s="1">
        <f>IFERROR(__xludf.DUMMYFUNCTION("""COMPUTED_VALUE"""),63.71)</f>
        <v>63.71</v>
      </c>
      <c r="F1858" s="1">
        <f>IFERROR(__xludf.DUMMYFUNCTION("""COMPUTED_VALUE"""),7334537.0)</f>
        <v>7334537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IFERROR(__xludf.DUMMYFUNCTION("""COMPUTED_VALUE"""),64.01)</f>
        <v>64.01</v>
      </c>
      <c r="C1859" s="1">
        <f>IFERROR(__xludf.DUMMYFUNCTION("""COMPUTED_VALUE"""),64.96)</f>
        <v>64.96</v>
      </c>
      <c r="D1859" s="1">
        <f>IFERROR(__xludf.DUMMYFUNCTION("""COMPUTED_VALUE"""),62.95)</f>
        <v>62.95</v>
      </c>
      <c r="E1859" s="1">
        <f>IFERROR(__xludf.DUMMYFUNCTION("""COMPUTED_VALUE"""),64.75)</f>
        <v>64.75</v>
      </c>
      <c r="F1859" s="1">
        <f>IFERROR(__xludf.DUMMYFUNCTION("""COMPUTED_VALUE"""),2533112.0)</f>
        <v>2533112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IFERROR(__xludf.DUMMYFUNCTION("""COMPUTED_VALUE"""),65.06)</f>
        <v>65.06</v>
      </c>
      <c r="C1860" s="1">
        <f>IFERROR(__xludf.DUMMYFUNCTION("""COMPUTED_VALUE"""),65.8)</f>
        <v>65.8</v>
      </c>
      <c r="D1860" s="1">
        <f>IFERROR(__xludf.DUMMYFUNCTION("""COMPUTED_VALUE"""),64.9)</f>
        <v>64.9</v>
      </c>
      <c r="E1860" s="1">
        <f>IFERROR(__xludf.DUMMYFUNCTION("""COMPUTED_VALUE"""),65.03)</f>
        <v>65.03</v>
      </c>
      <c r="F1860" s="1">
        <f>IFERROR(__xludf.DUMMYFUNCTION("""COMPUTED_VALUE"""),1802163.0)</f>
        <v>1802163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IFERROR(__xludf.DUMMYFUNCTION("""COMPUTED_VALUE"""),64.78)</f>
        <v>64.78</v>
      </c>
      <c r="C1861" s="1">
        <f>IFERROR(__xludf.DUMMYFUNCTION("""COMPUTED_VALUE"""),65.12)</f>
        <v>65.12</v>
      </c>
      <c r="D1861" s="1">
        <f>IFERROR(__xludf.DUMMYFUNCTION("""COMPUTED_VALUE"""),64.4)</f>
        <v>64.4</v>
      </c>
      <c r="E1861" s="1">
        <f>IFERROR(__xludf.DUMMYFUNCTION("""COMPUTED_VALUE"""),64.49)</f>
        <v>64.49</v>
      </c>
      <c r="F1861" s="1">
        <f>IFERROR(__xludf.DUMMYFUNCTION("""COMPUTED_VALUE"""),1986691.0)</f>
        <v>1986691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IFERROR(__xludf.DUMMYFUNCTION("""COMPUTED_VALUE"""),64.28)</f>
        <v>64.28</v>
      </c>
      <c r="C1862" s="1">
        <f>IFERROR(__xludf.DUMMYFUNCTION("""COMPUTED_VALUE"""),64.83)</f>
        <v>64.83</v>
      </c>
      <c r="D1862" s="1">
        <f>IFERROR(__xludf.DUMMYFUNCTION("""COMPUTED_VALUE"""),63.97)</f>
        <v>63.97</v>
      </c>
      <c r="E1862" s="1">
        <f>IFERROR(__xludf.DUMMYFUNCTION("""COMPUTED_VALUE"""),64.51)</f>
        <v>64.51</v>
      </c>
      <c r="F1862" s="1">
        <f>IFERROR(__xludf.DUMMYFUNCTION("""COMPUTED_VALUE"""),1944381.0)</f>
        <v>1944381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IFERROR(__xludf.DUMMYFUNCTION("""COMPUTED_VALUE"""),65.17)</f>
        <v>65.17</v>
      </c>
      <c r="C1863" s="1">
        <f>IFERROR(__xludf.DUMMYFUNCTION("""COMPUTED_VALUE"""),65.31)</f>
        <v>65.31</v>
      </c>
      <c r="D1863" s="1">
        <f>IFERROR(__xludf.DUMMYFUNCTION("""COMPUTED_VALUE"""),63.87)</f>
        <v>63.87</v>
      </c>
      <c r="E1863" s="1">
        <f>IFERROR(__xludf.DUMMYFUNCTION("""COMPUTED_VALUE"""),64.69)</f>
        <v>64.69</v>
      </c>
      <c r="F1863" s="1">
        <f>IFERROR(__xludf.DUMMYFUNCTION("""COMPUTED_VALUE"""),1736325.0)</f>
        <v>1736325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IFERROR(__xludf.DUMMYFUNCTION("""COMPUTED_VALUE"""),64.47)</f>
        <v>64.47</v>
      </c>
      <c r="C1864" s="1">
        <f>IFERROR(__xludf.DUMMYFUNCTION("""COMPUTED_VALUE"""),64.92)</f>
        <v>64.92</v>
      </c>
      <c r="D1864" s="1">
        <f>IFERROR(__xludf.DUMMYFUNCTION("""COMPUTED_VALUE"""),64.05)</f>
        <v>64.05</v>
      </c>
      <c r="E1864" s="1">
        <f>IFERROR(__xludf.DUMMYFUNCTION("""COMPUTED_VALUE"""),64.72)</f>
        <v>64.72</v>
      </c>
      <c r="F1864" s="1">
        <f>IFERROR(__xludf.DUMMYFUNCTION("""COMPUTED_VALUE"""),1292956.0)</f>
        <v>1292956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IFERROR(__xludf.DUMMYFUNCTION("""COMPUTED_VALUE"""),64.65)</f>
        <v>64.65</v>
      </c>
      <c r="C1865" s="1">
        <f>IFERROR(__xludf.DUMMYFUNCTION("""COMPUTED_VALUE"""),64.87)</f>
        <v>64.87</v>
      </c>
      <c r="D1865" s="1">
        <f>IFERROR(__xludf.DUMMYFUNCTION("""COMPUTED_VALUE"""),63.4)</f>
        <v>63.4</v>
      </c>
      <c r="E1865" s="1">
        <f>IFERROR(__xludf.DUMMYFUNCTION("""COMPUTED_VALUE"""),63.54)</f>
        <v>63.54</v>
      </c>
      <c r="F1865" s="1">
        <f>IFERROR(__xludf.DUMMYFUNCTION("""COMPUTED_VALUE"""),1662251.0)</f>
        <v>1662251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IFERROR(__xludf.DUMMYFUNCTION("""COMPUTED_VALUE"""),63.68)</f>
        <v>63.68</v>
      </c>
      <c r="C1866" s="1">
        <f>IFERROR(__xludf.DUMMYFUNCTION("""COMPUTED_VALUE"""),63.74)</f>
        <v>63.74</v>
      </c>
      <c r="D1866" s="1">
        <f>IFERROR(__xludf.DUMMYFUNCTION("""COMPUTED_VALUE"""),61.78)</f>
        <v>61.78</v>
      </c>
      <c r="E1866" s="1">
        <f>IFERROR(__xludf.DUMMYFUNCTION("""COMPUTED_VALUE"""),62.83)</f>
        <v>62.83</v>
      </c>
      <c r="F1866" s="1">
        <f>IFERROR(__xludf.DUMMYFUNCTION("""COMPUTED_VALUE"""),2504954.0)</f>
        <v>2504954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IFERROR(__xludf.DUMMYFUNCTION("""COMPUTED_VALUE"""),63.16)</f>
        <v>63.16</v>
      </c>
      <c r="C1867" s="1">
        <f>IFERROR(__xludf.DUMMYFUNCTION("""COMPUTED_VALUE"""),64.0)</f>
        <v>64</v>
      </c>
      <c r="D1867" s="1">
        <f>IFERROR(__xludf.DUMMYFUNCTION("""COMPUTED_VALUE"""),62.18)</f>
        <v>62.18</v>
      </c>
      <c r="E1867" s="1">
        <f>IFERROR(__xludf.DUMMYFUNCTION("""COMPUTED_VALUE"""),63.93)</f>
        <v>63.93</v>
      </c>
      <c r="F1867" s="1">
        <f>IFERROR(__xludf.DUMMYFUNCTION("""COMPUTED_VALUE"""),2706592.0)</f>
        <v>2706592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IFERROR(__xludf.DUMMYFUNCTION("""COMPUTED_VALUE"""),63.89)</f>
        <v>63.89</v>
      </c>
      <c r="C1868" s="1">
        <f>IFERROR(__xludf.DUMMYFUNCTION("""COMPUTED_VALUE"""),64.33)</f>
        <v>64.33</v>
      </c>
      <c r="D1868" s="1">
        <f>IFERROR(__xludf.DUMMYFUNCTION("""COMPUTED_VALUE"""),62.84)</f>
        <v>62.84</v>
      </c>
      <c r="E1868" s="1">
        <f>IFERROR(__xludf.DUMMYFUNCTION("""COMPUTED_VALUE"""),63.6)</f>
        <v>63.6</v>
      </c>
      <c r="F1868" s="1">
        <f>IFERROR(__xludf.DUMMYFUNCTION("""COMPUTED_VALUE"""),1773718.0)</f>
        <v>1773718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IFERROR(__xludf.DUMMYFUNCTION("""COMPUTED_VALUE"""),63.48)</f>
        <v>63.48</v>
      </c>
      <c r="C1869" s="1">
        <f>IFERROR(__xludf.DUMMYFUNCTION("""COMPUTED_VALUE"""),63.49)</f>
        <v>63.49</v>
      </c>
      <c r="D1869" s="1">
        <f>IFERROR(__xludf.DUMMYFUNCTION("""COMPUTED_VALUE"""),61.83)</f>
        <v>61.83</v>
      </c>
      <c r="E1869" s="1">
        <f>IFERROR(__xludf.DUMMYFUNCTION("""COMPUTED_VALUE"""),62.59)</f>
        <v>62.59</v>
      </c>
      <c r="F1869" s="1">
        <f>IFERROR(__xludf.DUMMYFUNCTION("""COMPUTED_VALUE"""),2609616.0)</f>
        <v>2609616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IFERROR(__xludf.DUMMYFUNCTION("""COMPUTED_VALUE"""),62.05)</f>
        <v>62.05</v>
      </c>
      <c r="C1870" s="1">
        <f>IFERROR(__xludf.DUMMYFUNCTION("""COMPUTED_VALUE"""),62.34)</f>
        <v>62.34</v>
      </c>
      <c r="D1870" s="1">
        <f>IFERROR(__xludf.DUMMYFUNCTION("""COMPUTED_VALUE"""),61.16)</f>
        <v>61.16</v>
      </c>
      <c r="E1870" s="1">
        <f>IFERROR(__xludf.DUMMYFUNCTION("""COMPUTED_VALUE"""),61.64)</f>
        <v>61.64</v>
      </c>
      <c r="F1870" s="1">
        <f>IFERROR(__xludf.DUMMYFUNCTION("""COMPUTED_VALUE"""),2573916.0)</f>
        <v>2573916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IFERROR(__xludf.DUMMYFUNCTION("""COMPUTED_VALUE"""),61.98)</f>
        <v>61.98</v>
      </c>
      <c r="C1871" s="1">
        <f>IFERROR(__xludf.DUMMYFUNCTION("""COMPUTED_VALUE"""),63.0)</f>
        <v>63</v>
      </c>
      <c r="D1871" s="1">
        <f>IFERROR(__xludf.DUMMYFUNCTION("""COMPUTED_VALUE"""),61.17)</f>
        <v>61.17</v>
      </c>
      <c r="E1871" s="1">
        <f>IFERROR(__xludf.DUMMYFUNCTION("""COMPUTED_VALUE"""),62.47)</f>
        <v>62.47</v>
      </c>
      <c r="F1871" s="1">
        <f>IFERROR(__xludf.DUMMYFUNCTION("""COMPUTED_VALUE"""),2444498.0)</f>
        <v>2444498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IFERROR(__xludf.DUMMYFUNCTION("""COMPUTED_VALUE"""),62.34)</f>
        <v>62.34</v>
      </c>
      <c r="C1872" s="1">
        <f>IFERROR(__xludf.DUMMYFUNCTION("""COMPUTED_VALUE"""),62.89)</f>
        <v>62.89</v>
      </c>
      <c r="D1872" s="1">
        <f>IFERROR(__xludf.DUMMYFUNCTION("""COMPUTED_VALUE"""),60.55)</f>
        <v>60.55</v>
      </c>
      <c r="E1872" s="1">
        <f>IFERROR(__xludf.DUMMYFUNCTION("""COMPUTED_VALUE"""),60.76)</f>
        <v>60.76</v>
      </c>
      <c r="F1872" s="1">
        <f>IFERROR(__xludf.DUMMYFUNCTION("""COMPUTED_VALUE"""),2785068.0)</f>
        <v>2785068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IFERROR(__xludf.DUMMYFUNCTION("""COMPUTED_VALUE"""),60.58)</f>
        <v>60.58</v>
      </c>
      <c r="C1873" s="1">
        <f>IFERROR(__xludf.DUMMYFUNCTION("""COMPUTED_VALUE"""),60.84)</f>
        <v>60.84</v>
      </c>
      <c r="D1873" s="1">
        <f>IFERROR(__xludf.DUMMYFUNCTION("""COMPUTED_VALUE"""),59.12)</f>
        <v>59.12</v>
      </c>
      <c r="E1873" s="1">
        <f>IFERROR(__xludf.DUMMYFUNCTION("""COMPUTED_VALUE"""),59.61)</f>
        <v>59.61</v>
      </c>
      <c r="F1873" s="1">
        <f>IFERROR(__xludf.DUMMYFUNCTION("""COMPUTED_VALUE"""),3397694.0)</f>
        <v>3397694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IFERROR(__xludf.DUMMYFUNCTION("""COMPUTED_VALUE"""),59.56)</f>
        <v>59.56</v>
      </c>
      <c r="C1874" s="1">
        <f>IFERROR(__xludf.DUMMYFUNCTION("""COMPUTED_VALUE"""),61.43)</f>
        <v>61.43</v>
      </c>
      <c r="D1874" s="1">
        <f>IFERROR(__xludf.DUMMYFUNCTION("""COMPUTED_VALUE"""),59.56)</f>
        <v>59.56</v>
      </c>
      <c r="E1874" s="1">
        <f>IFERROR(__xludf.DUMMYFUNCTION("""COMPUTED_VALUE"""),60.8)</f>
        <v>60.8</v>
      </c>
      <c r="F1874" s="1">
        <f>IFERROR(__xludf.DUMMYFUNCTION("""COMPUTED_VALUE"""),2595120.0)</f>
        <v>2595120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IFERROR(__xludf.DUMMYFUNCTION("""COMPUTED_VALUE"""),60.65)</f>
        <v>60.65</v>
      </c>
      <c r="C1875" s="1">
        <f>IFERROR(__xludf.DUMMYFUNCTION("""COMPUTED_VALUE"""),61.65)</f>
        <v>61.65</v>
      </c>
      <c r="D1875" s="1">
        <f>IFERROR(__xludf.DUMMYFUNCTION("""COMPUTED_VALUE"""),59.23)</f>
        <v>59.23</v>
      </c>
      <c r="E1875" s="1">
        <f>IFERROR(__xludf.DUMMYFUNCTION("""COMPUTED_VALUE"""),61.63)</f>
        <v>61.63</v>
      </c>
      <c r="F1875" s="1">
        <f>IFERROR(__xludf.DUMMYFUNCTION("""COMPUTED_VALUE"""),2618644.0)</f>
        <v>2618644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IFERROR(__xludf.DUMMYFUNCTION("""COMPUTED_VALUE"""),61.67)</f>
        <v>61.67</v>
      </c>
      <c r="C1876" s="1">
        <f>IFERROR(__xludf.DUMMYFUNCTION("""COMPUTED_VALUE"""),61.95)</f>
        <v>61.95</v>
      </c>
      <c r="D1876" s="1">
        <f>IFERROR(__xludf.DUMMYFUNCTION("""COMPUTED_VALUE"""),60.74)</f>
        <v>60.74</v>
      </c>
      <c r="E1876" s="1">
        <f>IFERROR(__xludf.DUMMYFUNCTION("""COMPUTED_VALUE"""),61.83)</f>
        <v>61.83</v>
      </c>
      <c r="F1876" s="1">
        <f>IFERROR(__xludf.DUMMYFUNCTION("""COMPUTED_VALUE"""),1552296.0)</f>
        <v>1552296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IFERROR(__xludf.DUMMYFUNCTION("""COMPUTED_VALUE"""),61.36)</f>
        <v>61.36</v>
      </c>
      <c r="C1877" s="1">
        <f>IFERROR(__xludf.DUMMYFUNCTION("""COMPUTED_VALUE"""),61.73)</f>
        <v>61.73</v>
      </c>
      <c r="D1877" s="1">
        <f>IFERROR(__xludf.DUMMYFUNCTION("""COMPUTED_VALUE"""),60.46)</f>
        <v>60.46</v>
      </c>
      <c r="E1877" s="1">
        <f>IFERROR(__xludf.DUMMYFUNCTION("""COMPUTED_VALUE"""),61.55)</f>
        <v>61.55</v>
      </c>
      <c r="F1877" s="1">
        <f>IFERROR(__xludf.DUMMYFUNCTION("""COMPUTED_VALUE"""),2221606.0)</f>
        <v>2221606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IFERROR(__xludf.DUMMYFUNCTION("""COMPUTED_VALUE"""),61.37)</f>
        <v>61.37</v>
      </c>
      <c r="C1878" s="1">
        <f>IFERROR(__xludf.DUMMYFUNCTION("""COMPUTED_VALUE"""),61.37)</f>
        <v>61.37</v>
      </c>
      <c r="D1878" s="1">
        <f>IFERROR(__xludf.DUMMYFUNCTION("""COMPUTED_VALUE"""),59.8)</f>
        <v>59.8</v>
      </c>
      <c r="E1878" s="1">
        <f>IFERROR(__xludf.DUMMYFUNCTION("""COMPUTED_VALUE"""),60.69)</f>
        <v>60.69</v>
      </c>
      <c r="F1878" s="1">
        <f>IFERROR(__xludf.DUMMYFUNCTION("""COMPUTED_VALUE"""),3041649.0)</f>
        <v>3041649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IFERROR(__xludf.DUMMYFUNCTION("""COMPUTED_VALUE"""),60.92)</f>
        <v>60.92</v>
      </c>
      <c r="C1879" s="1">
        <f>IFERROR(__xludf.DUMMYFUNCTION("""COMPUTED_VALUE"""),61.93)</f>
        <v>61.93</v>
      </c>
      <c r="D1879" s="1">
        <f>IFERROR(__xludf.DUMMYFUNCTION("""COMPUTED_VALUE"""),59.99)</f>
        <v>59.99</v>
      </c>
      <c r="E1879" s="1">
        <f>IFERROR(__xludf.DUMMYFUNCTION("""COMPUTED_VALUE"""),61.65)</f>
        <v>61.65</v>
      </c>
      <c r="F1879" s="1">
        <f>IFERROR(__xludf.DUMMYFUNCTION("""COMPUTED_VALUE"""),4013613.0)</f>
        <v>4013613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IFERROR(__xludf.DUMMYFUNCTION("""COMPUTED_VALUE"""),61.46)</f>
        <v>61.46</v>
      </c>
      <c r="C1880" s="1">
        <f>IFERROR(__xludf.DUMMYFUNCTION("""COMPUTED_VALUE"""),61.59)</f>
        <v>61.59</v>
      </c>
      <c r="D1880" s="1">
        <f>IFERROR(__xludf.DUMMYFUNCTION("""COMPUTED_VALUE"""),59.14)</f>
        <v>59.14</v>
      </c>
      <c r="E1880" s="1">
        <f>IFERROR(__xludf.DUMMYFUNCTION("""COMPUTED_VALUE"""),59.26)</f>
        <v>59.26</v>
      </c>
      <c r="F1880" s="1">
        <f>IFERROR(__xludf.DUMMYFUNCTION("""COMPUTED_VALUE"""),5644867.0)</f>
        <v>5644867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IFERROR(__xludf.DUMMYFUNCTION("""COMPUTED_VALUE"""),63.82)</f>
        <v>63.82</v>
      </c>
      <c r="C1881" s="1">
        <f>IFERROR(__xludf.DUMMYFUNCTION("""COMPUTED_VALUE"""),63.95)</f>
        <v>63.95</v>
      </c>
      <c r="D1881" s="1">
        <f>IFERROR(__xludf.DUMMYFUNCTION("""COMPUTED_VALUE"""),58.34)</f>
        <v>58.34</v>
      </c>
      <c r="E1881" s="1">
        <f>IFERROR(__xludf.DUMMYFUNCTION("""COMPUTED_VALUE"""),59.74)</f>
        <v>59.74</v>
      </c>
      <c r="F1881" s="1">
        <f>IFERROR(__xludf.DUMMYFUNCTION("""COMPUTED_VALUE"""),1.1717361E7)</f>
        <v>11717361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IFERROR(__xludf.DUMMYFUNCTION("""COMPUTED_VALUE"""),59.82)</f>
        <v>59.82</v>
      </c>
      <c r="C1882" s="1">
        <f>IFERROR(__xludf.DUMMYFUNCTION("""COMPUTED_VALUE"""),63.05)</f>
        <v>63.05</v>
      </c>
      <c r="D1882" s="1">
        <f>IFERROR(__xludf.DUMMYFUNCTION("""COMPUTED_VALUE"""),59.64)</f>
        <v>59.64</v>
      </c>
      <c r="E1882" s="1">
        <f>IFERROR(__xludf.DUMMYFUNCTION("""COMPUTED_VALUE"""),62.5)</f>
        <v>62.5</v>
      </c>
      <c r="F1882" s="1">
        <f>IFERROR(__xludf.DUMMYFUNCTION("""COMPUTED_VALUE"""),6826870.0)</f>
        <v>6826870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IFERROR(__xludf.DUMMYFUNCTION("""COMPUTED_VALUE"""),62.43)</f>
        <v>62.43</v>
      </c>
      <c r="C1883" s="1">
        <f>IFERROR(__xludf.DUMMYFUNCTION("""COMPUTED_VALUE"""),62.61)</f>
        <v>62.61</v>
      </c>
      <c r="D1883" s="1">
        <f>IFERROR(__xludf.DUMMYFUNCTION("""COMPUTED_VALUE"""),61.2)</f>
        <v>61.2</v>
      </c>
      <c r="E1883" s="1">
        <f>IFERROR(__xludf.DUMMYFUNCTION("""COMPUTED_VALUE"""),61.71)</f>
        <v>61.71</v>
      </c>
      <c r="F1883" s="1">
        <f>IFERROR(__xludf.DUMMYFUNCTION("""COMPUTED_VALUE"""),3205466.0)</f>
        <v>3205466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IFERROR(__xludf.DUMMYFUNCTION("""COMPUTED_VALUE"""),62.0)</f>
        <v>62</v>
      </c>
      <c r="C1884" s="1">
        <f>IFERROR(__xludf.DUMMYFUNCTION("""COMPUTED_VALUE"""),63.59)</f>
        <v>63.59</v>
      </c>
      <c r="D1884" s="1">
        <f>IFERROR(__xludf.DUMMYFUNCTION("""COMPUTED_VALUE"""),61.85)</f>
        <v>61.85</v>
      </c>
      <c r="E1884" s="1">
        <f>IFERROR(__xludf.DUMMYFUNCTION("""COMPUTED_VALUE"""),63.38)</f>
        <v>63.38</v>
      </c>
      <c r="F1884" s="1">
        <f>IFERROR(__xludf.DUMMYFUNCTION("""COMPUTED_VALUE"""),3068388.0)</f>
        <v>3068388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IFERROR(__xludf.DUMMYFUNCTION("""COMPUTED_VALUE"""),63.75)</f>
        <v>63.75</v>
      </c>
      <c r="C1885" s="1">
        <f>IFERROR(__xludf.DUMMYFUNCTION("""COMPUTED_VALUE"""),64.28)</f>
        <v>64.28</v>
      </c>
      <c r="D1885" s="1">
        <f>IFERROR(__xludf.DUMMYFUNCTION("""COMPUTED_VALUE"""),63.0)</f>
        <v>63</v>
      </c>
      <c r="E1885" s="1">
        <f>IFERROR(__xludf.DUMMYFUNCTION("""COMPUTED_VALUE"""),63.1)</f>
        <v>63.1</v>
      </c>
      <c r="F1885" s="1">
        <f>IFERROR(__xludf.DUMMYFUNCTION("""COMPUTED_VALUE"""),1818515.0)</f>
        <v>1818515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IFERROR(__xludf.DUMMYFUNCTION("""COMPUTED_VALUE"""),63.05)</f>
        <v>63.05</v>
      </c>
      <c r="C1886" s="1">
        <f>IFERROR(__xludf.DUMMYFUNCTION("""COMPUTED_VALUE"""),63.61)</f>
        <v>63.61</v>
      </c>
      <c r="D1886" s="1">
        <f>IFERROR(__xludf.DUMMYFUNCTION("""COMPUTED_VALUE"""),61.65)</f>
        <v>61.65</v>
      </c>
      <c r="E1886" s="1">
        <f>IFERROR(__xludf.DUMMYFUNCTION("""COMPUTED_VALUE"""),62.09)</f>
        <v>62.09</v>
      </c>
      <c r="F1886" s="1">
        <f>IFERROR(__xludf.DUMMYFUNCTION("""COMPUTED_VALUE"""),2867181.0)</f>
        <v>2867181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IFERROR(__xludf.DUMMYFUNCTION("""COMPUTED_VALUE"""),62.27)</f>
        <v>62.27</v>
      </c>
      <c r="C1887" s="1">
        <f>IFERROR(__xludf.DUMMYFUNCTION("""COMPUTED_VALUE"""),63.1)</f>
        <v>63.1</v>
      </c>
      <c r="D1887" s="1">
        <f>IFERROR(__xludf.DUMMYFUNCTION("""COMPUTED_VALUE"""),61.85)</f>
        <v>61.85</v>
      </c>
      <c r="E1887" s="1">
        <f>IFERROR(__xludf.DUMMYFUNCTION("""COMPUTED_VALUE"""),62.26)</f>
        <v>62.26</v>
      </c>
      <c r="F1887" s="1">
        <f>IFERROR(__xludf.DUMMYFUNCTION("""COMPUTED_VALUE"""),1473122.0)</f>
        <v>1473122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IFERROR(__xludf.DUMMYFUNCTION("""COMPUTED_VALUE"""),62.46)</f>
        <v>62.46</v>
      </c>
      <c r="C1888" s="1">
        <f>IFERROR(__xludf.DUMMYFUNCTION("""COMPUTED_VALUE"""),63.46)</f>
        <v>63.46</v>
      </c>
      <c r="D1888" s="1">
        <f>IFERROR(__xludf.DUMMYFUNCTION("""COMPUTED_VALUE"""),62.25)</f>
        <v>62.25</v>
      </c>
      <c r="E1888" s="1">
        <f>IFERROR(__xludf.DUMMYFUNCTION("""COMPUTED_VALUE"""),63.06)</f>
        <v>63.06</v>
      </c>
      <c r="F1888" s="1">
        <f>IFERROR(__xludf.DUMMYFUNCTION("""COMPUTED_VALUE"""),2035525.0)</f>
        <v>2035525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IFERROR(__xludf.DUMMYFUNCTION("""COMPUTED_VALUE"""),63.4)</f>
        <v>63.4</v>
      </c>
      <c r="C1889" s="1">
        <f>IFERROR(__xludf.DUMMYFUNCTION("""COMPUTED_VALUE"""),64.5)</f>
        <v>64.5</v>
      </c>
      <c r="D1889" s="1">
        <f>IFERROR(__xludf.DUMMYFUNCTION("""COMPUTED_VALUE"""),62.94)</f>
        <v>62.94</v>
      </c>
      <c r="E1889" s="1">
        <f>IFERROR(__xludf.DUMMYFUNCTION("""COMPUTED_VALUE"""),63.74)</f>
        <v>63.74</v>
      </c>
      <c r="F1889" s="1">
        <f>IFERROR(__xludf.DUMMYFUNCTION("""COMPUTED_VALUE"""),1320904.0)</f>
        <v>1320904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IFERROR(__xludf.DUMMYFUNCTION("""COMPUTED_VALUE"""),63.53)</f>
        <v>63.53</v>
      </c>
      <c r="C1890" s="1">
        <f>IFERROR(__xludf.DUMMYFUNCTION("""COMPUTED_VALUE"""),64.04)</f>
        <v>64.04</v>
      </c>
      <c r="D1890" s="1">
        <f>IFERROR(__xludf.DUMMYFUNCTION("""COMPUTED_VALUE"""),62.22)</f>
        <v>62.22</v>
      </c>
      <c r="E1890" s="1">
        <f>IFERROR(__xludf.DUMMYFUNCTION("""COMPUTED_VALUE"""),63.37)</f>
        <v>63.37</v>
      </c>
      <c r="F1890" s="1">
        <f>IFERROR(__xludf.DUMMYFUNCTION("""COMPUTED_VALUE"""),2196914.0)</f>
        <v>2196914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IFERROR(__xludf.DUMMYFUNCTION("""COMPUTED_VALUE"""),63.34)</f>
        <v>63.34</v>
      </c>
      <c r="C1891" s="1">
        <f>IFERROR(__xludf.DUMMYFUNCTION("""COMPUTED_VALUE"""),64.23)</f>
        <v>64.23</v>
      </c>
      <c r="D1891" s="1">
        <f>IFERROR(__xludf.DUMMYFUNCTION("""COMPUTED_VALUE"""),62.96)</f>
        <v>62.96</v>
      </c>
      <c r="E1891" s="1">
        <f>IFERROR(__xludf.DUMMYFUNCTION("""COMPUTED_VALUE"""),63.51)</f>
        <v>63.51</v>
      </c>
      <c r="F1891" s="1">
        <f>IFERROR(__xludf.DUMMYFUNCTION("""COMPUTED_VALUE"""),2096649.0)</f>
        <v>2096649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IFERROR(__xludf.DUMMYFUNCTION("""COMPUTED_VALUE"""),63.62)</f>
        <v>63.62</v>
      </c>
      <c r="C1892" s="1">
        <f>IFERROR(__xludf.DUMMYFUNCTION("""COMPUTED_VALUE"""),64.47)</f>
        <v>64.47</v>
      </c>
      <c r="D1892" s="1">
        <f>IFERROR(__xludf.DUMMYFUNCTION("""COMPUTED_VALUE"""),63.13)</f>
        <v>63.13</v>
      </c>
      <c r="E1892" s="1">
        <f>IFERROR(__xludf.DUMMYFUNCTION("""COMPUTED_VALUE"""),63.95)</f>
        <v>63.95</v>
      </c>
      <c r="F1892" s="1">
        <f>IFERROR(__xludf.DUMMYFUNCTION("""COMPUTED_VALUE"""),2068294.0)</f>
        <v>2068294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IFERROR(__xludf.DUMMYFUNCTION("""COMPUTED_VALUE"""),63.51)</f>
        <v>63.51</v>
      </c>
      <c r="C1893" s="1">
        <f>IFERROR(__xludf.DUMMYFUNCTION("""COMPUTED_VALUE"""),64.32)</f>
        <v>64.32</v>
      </c>
      <c r="D1893" s="1">
        <f>IFERROR(__xludf.DUMMYFUNCTION("""COMPUTED_VALUE"""),63.25)</f>
        <v>63.25</v>
      </c>
      <c r="E1893" s="1">
        <f>IFERROR(__xludf.DUMMYFUNCTION("""COMPUTED_VALUE"""),64.2)</f>
        <v>64.2</v>
      </c>
      <c r="F1893" s="1">
        <f>IFERROR(__xludf.DUMMYFUNCTION("""COMPUTED_VALUE"""),1777320.0)</f>
        <v>1777320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IFERROR(__xludf.DUMMYFUNCTION("""COMPUTED_VALUE"""),64.35)</f>
        <v>64.35</v>
      </c>
      <c r="C1894" s="1">
        <f>IFERROR(__xludf.DUMMYFUNCTION("""COMPUTED_VALUE"""),64.5)</f>
        <v>64.5</v>
      </c>
      <c r="D1894" s="1">
        <f>IFERROR(__xludf.DUMMYFUNCTION("""COMPUTED_VALUE"""),63.16)</f>
        <v>63.16</v>
      </c>
      <c r="E1894" s="1">
        <f>IFERROR(__xludf.DUMMYFUNCTION("""COMPUTED_VALUE"""),63.67)</f>
        <v>63.67</v>
      </c>
      <c r="F1894" s="1">
        <f>IFERROR(__xludf.DUMMYFUNCTION("""COMPUTED_VALUE"""),1618095.0)</f>
        <v>1618095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IFERROR(__xludf.DUMMYFUNCTION("""COMPUTED_VALUE"""),64.15)</f>
        <v>64.15</v>
      </c>
      <c r="C1895" s="1">
        <f>IFERROR(__xludf.DUMMYFUNCTION("""COMPUTED_VALUE"""),65.3)</f>
        <v>65.3</v>
      </c>
      <c r="D1895" s="1">
        <f>IFERROR(__xludf.DUMMYFUNCTION("""COMPUTED_VALUE"""),63.72)</f>
        <v>63.72</v>
      </c>
      <c r="E1895" s="1">
        <f>IFERROR(__xludf.DUMMYFUNCTION("""COMPUTED_VALUE"""),64.2)</f>
        <v>64.2</v>
      </c>
      <c r="F1895" s="1">
        <f>IFERROR(__xludf.DUMMYFUNCTION("""COMPUTED_VALUE"""),1709469.0)</f>
        <v>1709469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IFERROR(__xludf.DUMMYFUNCTION("""COMPUTED_VALUE"""),64.43)</f>
        <v>64.43</v>
      </c>
      <c r="C1896" s="1">
        <f>IFERROR(__xludf.DUMMYFUNCTION("""COMPUTED_VALUE"""),65.7)</f>
        <v>65.7</v>
      </c>
      <c r="D1896" s="1">
        <f>IFERROR(__xludf.DUMMYFUNCTION("""COMPUTED_VALUE"""),64.21)</f>
        <v>64.21</v>
      </c>
      <c r="E1896" s="1">
        <f>IFERROR(__xludf.DUMMYFUNCTION("""COMPUTED_VALUE"""),65.03)</f>
        <v>65.03</v>
      </c>
      <c r="F1896" s="1">
        <f>IFERROR(__xludf.DUMMYFUNCTION("""COMPUTED_VALUE"""),1660095.0)</f>
        <v>1660095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IFERROR(__xludf.DUMMYFUNCTION("""COMPUTED_VALUE"""),65.02)</f>
        <v>65.02</v>
      </c>
      <c r="C1897" s="1">
        <f>IFERROR(__xludf.DUMMYFUNCTION("""COMPUTED_VALUE"""),65.29)</f>
        <v>65.29</v>
      </c>
      <c r="D1897" s="1">
        <f>IFERROR(__xludf.DUMMYFUNCTION("""COMPUTED_VALUE"""),64.08)</f>
        <v>64.08</v>
      </c>
      <c r="E1897" s="1">
        <f>IFERROR(__xludf.DUMMYFUNCTION("""COMPUTED_VALUE"""),64.42)</f>
        <v>64.42</v>
      </c>
      <c r="F1897" s="1">
        <f>IFERROR(__xludf.DUMMYFUNCTION("""COMPUTED_VALUE"""),1367884.0)</f>
        <v>1367884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IFERROR(__xludf.DUMMYFUNCTION("""COMPUTED_VALUE"""),64.5)</f>
        <v>64.5</v>
      </c>
      <c r="C1898" s="1">
        <f>IFERROR(__xludf.DUMMYFUNCTION("""COMPUTED_VALUE"""),65.46)</f>
        <v>65.46</v>
      </c>
      <c r="D1898" s="1">
        <f>IFERROR(__xludf.DUMMYFUNCTION("""COMPUTED_VALUE"""),64.35)</f>
        <v>64.35</v>
      </c>
      <c r="E1898" s="1">
        <f>IFERROR(__xludf.DUMMYFUNCTION("""COMPUTED_VALUE"""),65.03)</f>
        <v>65.03</v>
      </c>
      <c r="F1898" s="1">
        <f>IFERROR(__xludf.DUMMYFUNCTION("""COMPUTED_VALUE"""),1155952.0)</f>
        <v>1155952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IFERROR(__xludf.DUMMYFUNCTION("""COMPUTED_VALUE"""),64.77)</f>
        <v>64.77</v>
      </c>
      <c r="C1899" s="1">
        <f>IFERROR(__xludf.DUMMYFUNCTION("""COMPUTED_VALUE"""),65.19)</f>
        <v>65.19</v>
      </c>
      <c r="D1899" s="1">
        <f>IFERROR(__xludf.DUMMYFUNCTION("""COMPUTED_VALUE"""),64.09)</f>
        <v>64.09</v>
      </c>
      <c r="E1899" s="1">
        <f>IFERROR(__xludf.DUMMYFUNCTION("""COMPUTED_VALUE"""),64.74)</f>
        <v>64.74</v>
      </c>
      <c r="F1899" s="1">
        <f>IFERROR(__xludf.DUMMYFUNCTION("""COMPUTED_VALUE"""),1622633.0)</f>
        <v>1622633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IFERROR(__xludf.DUMMYFUNCTION("""COMPUTED_VALUE"""),64.9)</f>
        <v>64.9</v>
      </c>
      <c r="C1900" s="1">
        <f>IFERROR(__xludf.DUMMYFUNCTION("""COMPUTED_VALUE"""),65.37)</f>
        <v>65.37</v>
      </c>
      <c r="D1900" s="1">
        <f>IFERROR(__xludf.DUMMYFUNCTION("""COMPUTED_VALUE"""),64.65)</f>
        <v>64.65</v>
      </c>
      <c r="E1900" s="1">
        <f>IFERROR(__xludf.DUMMYFUNCTION("""COMPUTED_VALUE"""),64.83)</f>
        <v>64.83</v>
      </c>
      <c r="F1900" s="1">
        <f>IFERROR(__xludf.DUMMYFUNCTION("""COMPUTED_VALUE"""),1201827.0)</f>
        <v>1201827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IFERROR(__xludf.DUMMYFUNCTION("""COMPUTED_VALUE"""),64.83)</f>
        <v>64.83</v>
      </c>
      <c r="C1901" s="1">
        <f>IFERROR(__xludf.DUMMYFUNCTION("""COMPUTED_VALUE"""),65.18)</f>
        <v>65.18</v>
      </c>
      <c r="D1901" s="1">
        <f>IFERROR(__xludf.DUMMYFUNCTION("""COMPUTED_VALUE"""),63.85)</f>
        <v>63.85</v>
      </c>
      <c r="E1901" s="1">
        <f>IFERROR(__xludf.DUMMYFUNCTION("""COMPUTED_VALUE"""),64.38)</f>
        <v>64.38</v>
      </c>
      <c r="F1901" s="1">
        <f>IFERROR(__xludf.DUMMYFUNCTION("""COMPUTED_VALUE"""),1157513.0)</f>
        <v>1157513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IFERROR(__xludf.DUMMYFUNCTION("""COMPUTED_VALUE"""),64.59)</f>
        <v>64.59</v>
      </c>
      <c r="C1902" s="1">
        <f>IFERROR(__xludf.DUMMYFUNCTION("""COMPUTED_VALUE"""),66.19)</f>
        <v>66.19</v>
      </c>
      <c r="D1902" s="1">
        <f>IFERROR(__xludf.DUMMYFUNCTION("""COMPUTED_VALUE"""),64.44)</f>
        <v>64.44</v>
      </c>
      <c r="E1902" s="1">
        <f>IFERROR(__xludf.DUMMYFUNCTION("""COMPUTED_VALUE"""),66.09)</f>
        <v>66.09</v>
      </c>
      <c r="F1902" s="1">
        <f>IFERROR(__xludf.DUMMYFUNCTION("""COMPUTED_VALUE"""),2720285.0)</f>
        <v>2720285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IFERROR(__xludf.DUMMYFUNCTION("""COMPUTED_VALUE"""),65.78)</f>
        <v>65.78</v>
      </c>
      <c r="C1903" s="1">
        <f>IFERROR(__xludf.DUMMYFUNCTION("""COMPUTED_VALUE"""),66.22)</f>
        <v>66.22</v>
      </c>
      <c r="D1903" s="1">
        <f>IFERROR(__xludf.DUMMYFUNCTION("""COMPUTED_VALUE"""),65.19)</f>
        <v>65.19</v>
      </c>
      <c r="E1903" s="1">
        <f>IFERROR(__xludf.DUMMYFUNCTION("""COMPUTED_VALUE"""),65.7)</f>
        <v>65.7</v>
      </c>
      <c r="F1903" s="1">
        <f>IFERROR(__xludf.DUMMYFUNCTION("""COMPUTED_VALUE"""),1528416.0)</f>
        <v>1528416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IFERROR(__xludf.DUMMYFUNCTION("""COMPUTED_VALUE"""),65.97)</f>
        <v>65.97</v>
      </c>
      <c r="C1904" s="1">
        <f>IFERROR(__xludf.DUMMYFUNCTION("""COMPUTED_VALUE"""),66.55)</f>
        <v>66.55</v>
      </c>
      <c r="D1904" s="1">
        <f>IFERROR(__xludf.DUMMYFUNCTION("""COMPUTED_VALUE"""),65.55)</f>
        <v>65.55</v>
      </c>
      <c r="E1904" s="1">
        <f>IFERROR(__xludf.DUMMYFUNCTION("""COMPUTED_VALUE"""),66.18)</f>
        <v>66.18</v>
      </c>
      <c r="F1904" s="1">
        <f>IFERROR(__xludf.DUMMYFUNCTION("""COMPUTED_VALUE"""),2211570.0)</f>
        <v>2211570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IFERROR(__xludf.DUMMYFUNCTION("""COMPUTED_VALUE"""),66.3)</f>
        <v>66.3</v>
      </c>
      <c r="C1905" s="1">
        <f>IFERROR(__xludf.DUMMYFUNCTION("""COMPUTED_VALUE"""),66.99)</f>
        <v>66.99</v>
      </c>
      <c r="D1905" s="1">
        <f>IFERROR(__xludf.DUMMYFUNCTION("""COMPUTED_VALUE"""),65.82)</f>
        <v>65.82</v>
      </c>
      <c r="E1905" s="1">
        <f>IFERROR(__xludf.DUMMYFUNCTION("""COMPUTED_VALUE"""),66.73)</f>
        <v>66.73</v>
      </c>
      <c r="F1905" s="1">
        <f>IFERROR(__xludf.DUMMYFUNCTION("""COMPUTED_VALUE"""),1840934.0)</f>
        <v>1840934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IFERROR(__xludf.DUMMYFUNCTION("""COMPUTED_VALUE"""),66.79)</f>
        <v>66.79</v>
      </c>
      <c r="C1906" s="1">
        <f>IFERROR(__xludf.DUMMYFUNCTION("""COMPUTED_VALUE"""),67.25)</f>
        <v>67.25</v>
      </c>
      <c r="D1906" s="1">
        <f>IFERROR(__xludf.DUMMYFUNCTION("""COMPUTED_VALUE"""),65.95)</f>
        <v>65.95</v>
      </c>
      <c r="E1906" s="1">
        <f>IFERROR(__xludf.DUMMYFUNCTION("""COMPUTED_VALUE"""),66.48)</f>
        <v>66.48</v>
      </c>
      <c r="F1906" s="1">
        <f>IFERROR(__xludf.DUMMYFUNCTION("""COMPUTED_VALUE"""),1294068.0)</f>
        <v>1294068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IFERROR(__xludf.DUMMYFUNCTION("""COMPUTED_VALUE"""),66.38)</f>
        <v>66.38</v>
      </c>
      <c r="C1907" s="1">
        <f>IFERROR(__xludf.DUMMYFUNCTION("""COMPUTED_VALUE"""),66.88)</f>
        <v>66.88</v>
      </c>
      <c r="D1907" s="1">
        <f>IFERROR(__xludf.DUMMYFUNCTION("""COMPUTED_VALUE"""),65.75)</f>
        <v>65.75</v>
      </c>
      <c r="E1907" s="1">
        <f>IFERROR(__xludf.DUMMYFUNCTION("""COMPUTED_VALUE"""),66.79)</f>
        <v>66.79</v>
      </c>
      <c r="F1907" s="1">
        <f>IFERROR(__xludf.DUMMYFUNCTION("""COMPUTED_VALUE"""),1002473.0)</f>
        <v>1002473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IFERROR(__xludf.DUMMYFUNCTION("""COMPUTED_VALUE"""),66.84)</f>
        <v>66.84</v>
      </c>
      <c r="C1908" s="1">
        <f>IFERROR(__xludf.DUMMYFUNCTION("""COMPUTED_VALUE"""),67.07)</f>
        <v>67.07</v>
      </c>
      <c r="D1908" s="1">
        <f>IFERROR(__xludf.DUMMYFUNCTION("""COMPUTED_VALUE"""),65.95)</f>
        <v>65.95</v>
      </c>
      <c r="E1908" s="1">
        <f>IFERROR(__xludf.DUMMYFUNCTION("""COMPUTED_VALUE"""),66.25)</f>
        <v>66.25</v>
      </c>
      <c r="F1908" s="1">
        <f>IFERROR(__xludf.DUMMYFUNCTION("""COMPUTED_VALUE"""),1185525.0)</f>
        <v>1185525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IFERROR(__xludf.DUMMYFUNCTION("""COMPUTED_VALUE"""),66.16)</f>
        <v>66.16</v>
      </c>
      <c r="C1909" s="1">
        <f>IFERROR(__xludf.DUMMYFUNCTION("""COMPUTED_VALUE"""),66.76)</f>
        <v>66.76</v>
      </c>
      <c r="D1909" s="1">
        <f>IFERROR(__xludf.DUMMYFUNCTION("""COMPUTED_VALUE"""),65.13)</f>
        <v>65.13</v>
      </c>
      <c r="E1909" s="1">
        <f>IFERROR(__xludf.DUMMYFUNCTION("""COMPUTED_VALUE"""),66.65)</f>
        <v>66.65</v>
      </c>
      <c r="F1909" s="1">
        <f>IFERROR(__xludf.DUMMYFUNCTION("""COMPUTED_VALUE"""),1323400.0)</f>
        <v>1323400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IFERROR(__xludf.DUMMYFUNCTION("""COMPUTED_VALUE"""),65.5)</f>
        <v>65.5</v>
      </c>
      <c r="C1910" s="1">
        <f>IFERROR(__xludf.DUMMYFUNCTION("""COMPUTED_VALUE"""),66.45)</f>
        <v>66.45</v>
      </c>
      <c r="D1910" s="1">
        <f>IFERROR(__xludf.DUMMYFUNCTION("""COMPUTED_VALUE"""),65.38)</f>
        <v>65.38</v>
      </c>
      <c r="E1910" s="1">
        <f>IFERROR(__xludf.DUMMYFUNCTION("""COMPUTED_VALUE"""),65.72)</f>
        <v>65.72</v>
      </c>
      <c r="F1910" s="1">
        <f>IFERROR(__xludf.DUMMYFUNCTION("""COMPUTED_VALUE"""),1353097.0)</f>
        <v>1353097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IFERROR(__xludf.DUMMYFUNCTION("""COMPUTED_VALUE"""),65.74)</f>
        <v>65.74</v>
      </c>
      <c r="C1911" s="1">
        <f>IFERROR(__xludf.DUMMYFUNCTION("""COMPUTED_VALUE"""),66.5)</f>
        <v>66.5</v>
      </c>
      <c r="D1911" s="1">
        <f>IFERROR(__xludf.DUMMYFUNCTION("""COMPUTED_VALUE"""),65.44)</f>
        <v>65.44</v>
      </c>
      <c r="E1911" s="1">
        <f>IFERROR(__xludf.DUMMYFUNCTION("""COMPUTED_VALUE"""),65.54)</f>
        <v>65.54</v>
      </c>
      <c r="F1911" s="1">
        <f>IFERROR(__xludf.DUMMYFUNCTION("""COMPUTED_VALUE"""),932019.0)</f>
        <v>932019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IFERROR(__xludf.DUMMYFUNCTION("""COMPUTED_VALUE"""),65.82)</f>
        <v>65.82</v>
      </c>
      <c r="C1912" s="1">
        <f>IFERROR(__xludf.DUMMYFUNCTION("""COMPUTED_VALUE"""),65.99)</f>
        <v>65.99</v>
      </c>
      <c r="D1912" s="1">
        <f>IFERROR(__xludf.DUMMYFUNCTION("""COMPUTED_VALUE"""),65.5)</f>
        <v>65.5</v>
      </c>
      <c r="E1912" s="1">
        <f>IFERROR(__xludf.DUMMYFUNCTION("""COMPUTED_VALUE"""),65.72)</f>
        <v>65.72</v>
      </c>
      <c r="F1912" s="1">
        <f>IFERROR(__xludf.DUMMYFUNCTION("""COMPUTED_VALUE"""),1077651.0)</f>
        <v>1077651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IFERROR(__xludf.DUMMYFUNCTION("""COMPUTED_VALUE"""),65.61)</f>
        <v>65.61</v>
      </c>
      <c r="C1913" s="1">
        <f>IFERROR(__xludf.DUMMYFUNCTION("""COMPUTED_VALUE"""),66.32)</f>
        <v>66.32</v>
      </c>
      <c r="D1913" s="1">
        <f>IFERROR(__xludf.DUMMYFUNCTION("""COMPUTED_VALUE"""),65.29)</f>
        <v>65.29</v>
      </c>
      <c r="E1913" s="1">
        <f>IFERROR(__xludf.DUMMYFUNCTION("""COMPUTED_VALUE"""),65.83)</f>
        <v>65.83</v>
      </c>
      <c r="F1913" s="1">
        <f>IFERROR(__xludf.DUMMYFUNCTION("""COMPUTED_VALUE"""),1009129.0)</f>
        <v>1009129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IFERROR(__xludf.DUMMYFUNCTION("""COMPUTED_VALUE"""),65.77)</f>
        <v>65.77</v>
      </c>
      <c r="C1914" s="1">
        <f>IFERROR(__xludf.DUMMYFUNCTION("""COMPUTED_VALUE"""),66.35)</f>
        <v>66.35</v>
      </c>
      <c r="D1914" s="1">
        <f>IFERROR(__xludf.DUMMYFUNCTION("""COMPUTED_VALUE"""),64.71)</f>
        <v>64.71</v>
      </c>
      <c r="E1914" s="1">
        <f>IFERROR(__xludf.DUMMYFUNCTION("""COMPUTED_VALUE"""),64.87)</f>
        <v>64.87</v>
      </c>
      <c r="F1914" s="1">
        <f>IFERROR(__xludf.DUMMYFUNCTION("""COMPUTED_VALUE"""),1019596.0)</f>
        <v>1019596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IFERROR(__xludf.DUMMYFUNCTION("""COMPUTED_VALUE"""),64.51)</f>
        <v>64.51</v>
      </c>
      <c r="C1915" s="1">
        <f>IFERROR(__xludf.DUMMYFUNCTION("""COMPUTED_VALUE"""),65.25)</f>
        <v>65.25</v>
      </c>
      <c r="D1915" s="1">
        <f>IFERROR(__xludf.DUMMYFUNCTION("""COMPUTED_VALUE"""),64.09)</f>
        <v>64.09</v>
      </c>
      <c r="E1915" s="1">
        <f>IFERROR(__xludf.DUMMYFUNCTION("""COMPUTED_VALUE"""),65.23)</f>
        <v>65.23</v>
      </c>
      <c r="F1915" s="1">
        <f>IFERROR(__xludf.DUMMYFUNCTION("""COMPUTED_VALUE"""),1156552.0)</f>
        <v>1156552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IFERROR(__xludf.DUMMYFUNCTION("""COMPUTED_VALUE"""),64.75)</f>
        <v>64.75</v>
      </c>
      <c r="C1916" s="1">
        <f>IFERROR(__xludf.DUMMYFUNCTION("""COMPUTED_VALUE"""),64.99)</f>
        <v>64.99</v>
      </c>
      <c r="D1916" s="1">
        <f>IFERROR(__xludf.DUMMYFUNCTION("""COMPUTED_VALUE"""),63.91)</f>
        <v>63.91</v>
      </c>
      <c r="E1916" s="1">
        <f>IFERROR(__xludf.DUMMYFUNCTION("""COMPUTED_VALUE"""),63.93)</f>
        <v>63.93</v>
      </c>
      <c r="F1916" s="1">
        <f>IFERROR(__xludf.DUMMYFUNCTION("""COMPUTED_VALUE"""),1567397.0)</f>
        <v>1567397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IFERROR(__xludf.DUMMYFUNCTION("""COMPUTED_VALUE"""),63.74)</f>
        <v>63.74</v>
      </c>
      <c r="C1917" s="1">
        <f>IFERROR(__xludf.DUMMYFUNCTION("""COMPUTED_VALUE"""),64.94)</f>
        <v>64.94</v>
      </c>
      <c r="D1917" s="1">
        <f>IFERROR(__xludf.DUMMYFUNCTION("""COMPUTED_VALUE"""),63.71)</f>
        <v>63.71</v>
      </c>
      <c r="E1917" s="1">
        <f>IFERROR(__xludf.DUMMYFUNCTION("""COMPUTED_VALUE"""),64.42)</f>
        <v>64.42</v>
      </c>
      <c r="F1917" s="1">
        <f>IFERROR(__xludf.DUMMYFUNCTION("""COMPUTED_VALUE"""),944395.0)</f>
        <v>944395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IFERROR(__xludf.DUMMYFUNCTION("""COMPUTED_VALUE"""),64.98)</f>
        <v>64.98</v>
      </c>
      <c r="C1918" s="1">
        <f>IFERROR(__xludf.DUMMYFUNCTION("""COMPUTED_VALUE"""),65.54)</f>
        <v>65.54</v>
      </c>
      <c r="D1918" s="1">
        <f>IFERROR(__xludf.DUMMYFUNCTION("""COMPUTED_VALUE"""),64.6)</f>
        <v>64.6</v>
      </c>
      <c r="E1918" s="1">
        <f>IFERROR(__xludf.DUMMYFUNCTION("""COMPUTED_VALUE"""),64.92)</f>
        <v>64.92</v>
      </c>
      <c r="F1918" s="1">
        <f>IFERROR(__xludf.DUMMYFUNCTION("""COMPUTED_VALUE"""),916910.0)</f>
        <v>916910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IFERROR(__xludf.DUMMYFUNCTION("""COMPUTED_VALUE"""),64.82)</f>
        <v>64.82</v>
      </c>
      <c r="C1919" s="1">
        <f>IFERROR(__xludf.DUMMYFUNCTION("""COMPUTED_VALUE"""),65.78)</f>
        <v>65.78</v>
      </c>
      <c r="D1919" s="1">
        <f>IFERROR(__xludf.DUMMYFUNCTION("""COMPUTED_VALUE"""),63.96)</f>
        <v>63.96</v>
      </c>
      <c r="E1919" s="1">
        <f>IFERROR(__xludf.DUMMYFUNCTION("""COMPUTED_VALUE"""),64.46)</f>
        <v>64.46</v>
      </c>
      <c r="F1919" s="1">
        <f>IFERROR(__xludf.DUMMYFUNCTION("""COMPUTED_VALUE"""),1351215.0)</f>
        <v>1351215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IFERROR(__xludf.DUMMYFUNCTION("""COMPUTED_VALUE"""),64.71)</f>
        <v>64.71</v>
      </c>
      <c r="C1920" s="1">
        <f>IFERROR(__xludf.DUMMYFUNCTION("""COMPUTED_VALUE"""),65.65)</f>
        <v>65.65</v>
      </c>
      <c r="D1920" s="1">
        <f>IFERROR(__xludf.DUMMYFUNCTION("""COMPUTED_VALUE"""),64.71)</f>
        <v>64.71</v>
      </c>
      <c r="E1920" s="1">
        <f>IFERROR(__xludf.DUMMYFUNCTION("""COMPUTED_VALUE"""),64.82)</f>
        <v>64.82</v>
      </c>
      <c r="F1920" s="1">
        <f>IFERROR(__xludf.DUMMYFUNCTION("""COMPUTED_VALUE"""),1203212.0)</f>
        <v>1203212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IFERROR(__xludf.DUMMYFUNCTION("""COMPUTED_VALUE"""),64.46)</f>
        <v>64.46</v>
      </c>
      <c r="C1921" s="1">
        <f>IFERROR(__xludf.DUMMYFUNCTION("""COMPUTED_VALUE"""),65.29)</f>
        <v>65.29</v>
      </c>
      <c r="D1921" s="1">
        <f>IFERROR(__xludf.DUMMYFUNCTION("""COMPUTED_VALUE"""),63.94)</f>
        <v>63.94</v>
      </c>
      <c r="E1921" s="1">
        <f>IFERROR(__xludf.DUMMYFUNCTION("""COMPUTED_VALUE"""),63.97)</f>
        <v>63.97</v>
      </c>
      <c r="F1921" s="1">
        <f>IFERROR(__xludf.DUMMYFUNCTION("""COMPUTED_VALUE"""),1146097.0)</f>
        <v>1146097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IFERROR(__xludf.DUMMYFUNCTION("""COMPUTED_VALUE"""),63.82)</f>
        <v>63.82</v>
      </c>
      <c r="C1922" s="1">
        <f>IFERROR(__xludf.DUMMYFUNCTION("""COMPUTED_VALUE"""),64.72)</f>
        <v>64.72</v>
      </c>
      <c r="D1922" s="1">
        <f>IFERROR(__xludf.DUMMYFUNCTION("""COMPUTED_VALUE"""),63.67)</f>
        <v>63.67</v>
      </c>
      <c r="E1922" s="1">
        <f>IFERROR(__xludf.DUMMYFUNCTION("""COMPUTED_VALUE"""),63.97)</f>
        <v>63.97</v>
      </c>
      <c r="F1922" s="1">
        <f>IFERROR(__xludf.DUMMYFUNCTION("""COMPUTED_VALUE"""),1230378.0)</f>
        <v>1230378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IFERROR(__xludf.DUMMYFUNCTION("""COMPUTED_VALUE"""),64.02)</f>
        <v>64.02</v>
      </c>
      <c r="C1923" s="1">
        <f>IFERROR(__xludf.DUMMYFUNCTION("""COMPUTED_VALUE"""),64.49)</f>
        <v>64.49</v>
      </c>
      <c r="D1923" s="1">
        <f>IFERROR(__xludf.DUMMYFUNCTION("""COMPUTED_VALUE"""),63.58)</f>
        <v>63.58</v>
      </c>
      <c r="E1923" s="1">
        <f>IFERROR(__xludf.DUMMYFUNCTION("""COMPUTED_VALUE"""),64.14)</f>
        <v>64.14</v>
      </c>
      <c r="F1923" s="1">
        <f>IFERROR(__xludf.DUMMYFUNCTION("""COMPUTED_VALUE"""),1309590.0)</f>
        <v>1309590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IFERROR(__xludf.DUMMYFUNCTION("""COMPUTED_VALUE"""),64.27)</f>
        <v>64.27</v>
      </c>
      <c r="C1924" s="1">
        <f>IFERROR(__xludf.DUMMYFUNCTION("""COMPUTED_VALUE"""),64.4)</f>
        <v>64.4</v>
      </c>
      <c r="D1924" s="1">
        <f>IFERROR(__xludf.DUMMYFUNCTION("""COMPUTED_VALUE"""),63.44)</f>
        <v>63.44</v>
      </c>
      <c r="E1924" s="1">
        <f>IFERROR(__xludf.DUMMYFUNCTION("""COMPUTED_VALUE"""),63.85)</f>
        <v>63.85</v>
      </c>
      <c r="F1924" s="1">
        <f>IFERROR(__xludf.DUMMYFUNCTION("""COMPUTED_VALUE"""),1668339.0)</f>
        <v>1668339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IFERROR(__xludf.DUMMYFUNCTION("""COMPUTED_VALUE"""),63.53)</f>
        <v>63.53</v>
      </c>
      <c r="C1925" s="1">
        <f>IFERROR(__xludf.DUMMYFUNCTION("""COMPUTED_VALUE"""),64.34)</f>
        <v>64.34</v>
      </c>
      <c r="D1925" s="1">
        <f>IFERROR(__xludf.DUMMYFUNCTION("""COMPUTED_VALUE"""),63.28)</f>
        <v>63.28</v>
      </c>
      <c r="E1925" s="1">
        <f>IFERROR(__xludf.DUMMYFUNCTION("""COMPUTED_VALUE"""),64.05)</f>
        <v>64.05</v>
      </c>
      <c r="F1925" s="1">
        <f>IFERROR(__xludf.DUMMYFUNCTION("""COMPUTED_VALUE"""),1090167.0)</f>
        <v>1090167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IFERROR(__xludf.DUMMYFUNCTION("""COMPUTED_VALUE"""),64.63)</f>
        <v>64.63</v>
      </c>
      <c r="C1926" s="1">
        <f>IFERROR(__xludf.DUMMYFUNCTION("""COMPUTED_VALUE"""),65.03)</f>
        <v>65.03</v>
      </c>
      <c r="D1926" s="1">
        <f>IFERROR(__xludf.DUMMYFUNCTION("""COMPUTED_VALUE"""),63.67)</f>
        <v>63.67</v>
      </c>
      <c r="E1926" s="1">
        <f>IFERROR(__xludf.DUMMYFUNCTION("""COMPUTED_VALUE"""),63.73)</f>
        <v>63.73</v>
      </c>
      <c r="F1926" s="1">
        <f>IFERROR(__xludf.DUMMYFUNCTION("""COMPUTED_VALUE"""),889234.0)</f>
        <v>889234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IFERROR(__xludf.DUMMYFUNCTION("""COMPUTED_VALUE"""),64.14)</f>
        <v>64.14</v>
      </c>
      <c r="C1927" s="1">
        <f>IFERROR(__xludf.DUMMYFUNCTION("""COMPUTED_VALUE"""),65.0)</f>
        <v>65</v>
      </c>
      <c r="D1927" s="1">
        <f>IFERROR(__xludf.DUMMYFUNCTION("""COMPUTED_VALUE"""),63.96)</f>
        <v>63.96</v>
      </c>
      <c r="E1927" s="1">
        <f>IFERROR(__xludf.DUMMYFUNCTION("""COMPUTED_VALUE"""),64.39)</f>
        <v>64.39</v>
      </c>
      <c r="F1927" s="1">
        <f>IFERROR(__xludf.DUMMYFUNCTION("""COMPUTED_VALUE"""),1551315.0)</f>
        <v>1551315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IFERROR(__xludf.DUMMYFUNCTION("""COMPUTED_VALUE"""),64.3)</f>
        <v>64.3</v>
      </c>
      <c r="C1928" s="1">
        <f>IFERROR(__xludf.DUMMYFUNCTION("""COMPUTED_VALUE"""),64.4)</f>
        <v>64.4</v>
      </c>
      <c r="D1928" s="1">
        <f>IFERROR(__xludf.DUMMYFUNCTION("""COMPUTED_VALUE"""),63.12)</f>
        <v>63.12</v>
      </c>
      <c r="E1928" s="1">
        <f>IFERROR(__xludf.DUMMYFUNCTION("""COMPUTED_VALUE"""),63.48)</f>
        <v>63.48</v>
      </c>
      <c r="F1928" s="1">
        <f>IFERROR(__xludf.DUMMYFUNCTION("""COMPUTED_VALUE"""),1516683.0)</f>
        <v>1516683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IFERROR(__xludf.DUMMYFUNCTION("""COMPUTED_VALUE"""),62.98)</f>
        <v>62.98</v>
      </c>
      <c r="C1929" s="1">
        <f>IFERROR(__xludf.DUMMYFUNCTION("""COMPUTED_VALUE"""),63.73)</f>
        <v>63.73</v>
      </c>
      <c r="D1929" s="1">
        <f>IFERROR(__xludf.DUMMYFUNCTION("""COMPUTED_VALUE"""),62.74)</f>
        <v>62.74</v>
      </c>
      <c r="E1929" s="1">
        <f>IFERROR(__xludf.DUMMYFUNCTION("""COMPUTED_VALUE"""),63.56)</f>
        <v>63.56</v>
      </c>
      <c r="F1929" s="1">
        <f>IFERROR(__xludf.DUMMYFUNCTION("""COMPUTED_VALUE"""),1896776.0)</f>
        <v>1896776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IFERROR(__xludf.DUMMYFUNCTION("""COMPUTED_VALUE"""),63.67)</f>
        <v>63.67</v>
      </c>
      <c r="C1930" s="1">
        <f>IFERROR(__xludf.DUMMYFUNCTION("""COMPUTED_VALUE"""),66.07)</f>
        <v>66.07</v>
      </c>
      <c r="D1930" s="1">
        <f>IFERROR(__xludf.DUMMYFUNCTION("""COMPUTED_VALUE"""),63.67)</f>
        <v>63.67</v>
      </c>
      <c r="E1930" s="1">
        <f>IFERROR(__xludf.DUMMYFUNCTION("""COMPUTED_VALUE"""),65.99)</f>
        <v>65.99</v>
      </c>
      <c r="F1930" s="1">
        <f>IFERROR(__xludf.DUMMYFUNCTION("""COMPUTED_VALUE"""),1739685.0)</f>
        <v>1739685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IFERROR(__xludf.DUMMYFUNCTION("""COMPUTED_VALUE"""),66.13)</f>
        <v>66.13</v>
      </c>
      <c r="C1931" s="1">
        <f>IFERROR(__xludf.DUMMYFUNCTION("""COMPUTED_VALUE"""),67.47)</f>
        <v>67.47</v>
      </c>
      <c r="D1931" s="1">
        <f>IFERROR(__xludf.DUMMYFUNCTION("""COMPUTED_VALUE"""),66.13)</f>
        <v>66.13</v>
      </c>
      <c r="E1931" s="1">
        <f>IFERROR(__xludf.DUMMYFUNCTION("""COMPUTED_VALUE"""),67.15)</f>
        <v>67.15</v>
      </c>
      <c r="F1931" s="1">
        <f>IFERROR(__xludf.DUMMYFUNCTION("""COMPUTED_VALUE"""),2155802.0)</f>
        <v>2155802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IFERROR(__xludf.DUMMYFUNCTION("""COMPUTED_VALUE"""),67.67)</f>
        <v>67.67</v>
      </c>
      <c r="C1932" s="1">
        <f>IFERROR(__xludf.DUMMYFUNCTION("""COMPUTED_VALUE"""),68.8)</f>
        <v>68.8</v>
      </c>
      <c r="D1932" s="1">
        <f>IFERROR(__xludf.DUMMYFUNCTION("""COMPUTED_VALUE"""),67.45)</f>
        <v>67.45</v>
      </c>
      <c r="E1932" s="1">
        <f>IFERROR(__xludf.DUMMYFUNCTION("""COMPUTED_VALUE"""),68.12)</f>
        <v>68.12</v>
      </c>
      <c r="F1932" s="1">
        <f>IFERROR(__xludf.DUMMYFUNCTION("""COMPUTED_VALUE"""),2307814.0)</f>
        <v>2307814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IFERROR(__xludf.DUMMYFUNCTION("""COMPUTED_VALUE"""),68.09)</f>
        <v>68.09</v>
      </c>
      <c r="C1933" s="1">
        <f>IFERROR(__xludf.DUMMYFUNCTION("""COMPUTED_VALUE"""),69.12)</f>
        <v>69.12</v>
      </c>
      <c r="D1933" s="1">
        <f>IFERROR(__xludf.DUMMYFUNCTION("""COMPUTED_VALUE"""),67.92)</f>
        <v>67.92</v>
      </c>
      <c r="E1933" s="1">
        <f>IFERROR(__xludf.DUMMYFUNCTION("""COMPUTED_VALUE"""),69.02)</f>
        <v>69.02</v>
      </c>
      <c r="F1933" s="1">
        <f>IFERROR(__xludf.DUMMYFUNCTION("""COMPUTED_VALUE"""),2160026.0)</f>
        <v>2160026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IFERROR(__xludf.DUMMYFUNCTION("""COMPUTED_VALUE"""),69.3)</f>
        <v>69.3</v>
      </c>
      <c r="C1934" s="1">
        <f>IFERROR(__xludf.DUMMYFUNCTION("""COMPUTED_VALUE"""),69.39)</f>
        <v>69.39</v>
      </c>
      <c r="D1934" s="1">
        <f>IFERROR(__xludf.DUMMYFUNCTION("""COMPUTED_VALUE"""),68.45)</f>
        <v>68.45</v>
      </c>
      <c r="E1934" s="1">
        <f>IFERROR(__xludf.DUMMYFUNCTION("""COMPUTED_VALUE"""),69.08)</f>
        <v>69.08</v>
      </c>
      <c r="F1934" s="1">
        <f>IFERROR(__xludf.DUMMYFUNCTION("""COMPUTED_VALUE"""),1514975.0)</f>
        <v>1514975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IFERROR(__xludf.DUMMYFUNCTION("""COMPUTED_VALUE"""),69.15)</f>
        <v>69.15</v>
      </c>
      <c r="C1935" s="1">
        <f>IFERROR(__xludf.DUMMYFUNCTION("""COMPUTED_VALUE"""),69.52)</f>
        <v>69.52</v>
      </c>
      <c r="D1935" s="1">
        <f>IFERROR(__xludf.DUMMYFUNCTION("""COMPUTED_VALUE"""),68.17)</f>
        <v>68.17</v>
      </c>
      <c r="E1935" s="1">
        <f>IFERROR(__xludf.DUMMYFUNCTION("""COMPUTED_VALUE"""),68.34)</f>
        <v>68.34</v>
      </c>
      <c r="F1935" s="1">
        <f>IFERROR(__xludf.DUMMYFUNCTION("""COMPUTED_VALUE"""),1589058.0)</f>
        <v>1589058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IFERROR(__xludf.DUMMYFUNCTION("""COMPUTED_VALUE"""),68.52)</f>
        <v>68.52</v>
      </c>
      <c r="C1936" s="1">
        <f>IFERROR(__xludf.DUMMYFUNCTION("""COMPUTED_VALUE"""),68.86)</f>
        <v>68.86</v>
      </c>
      <c r="D1936" s="1">
        <f>IFERROR(__xludf.DUMMYFUNCTION("""COMPUTED_VALUE"""),67.58)</f>
        <v>67.58</v>
      </c>
      <c r="E1936" s="1">
        <f>IFERROR(__xludf.DUMMYFUNCTION("""COMPUTED_VALUE"""),68.47)</f>
        <v>68.47</v>
      </c>
      <c r="F1936" s="1">
        <f>IFERROR(__xludf.DUMMYFUNCTION("""COMPUTED_VALUE"""),1628202.0)</f>
        <v>1628202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IFERROR(__xludf.DUMMYFUNCTION("""COMPUTED_VALUE"""),68.5)</f>
        <v>68.5</v>
      </c>
      <c r="C1937" s="1">
        <f>IFERROR(__xludf.DUMMYFUNCTION("""COMPUTED_VALUE"""),69.03)</f>
        <v>69.03</v>
      </c>
      <c r="D1937" s="1">
        <f>IFERROR(__xludf.DUMMYFUNCTION("""COMPUTED_VALUE"""),68.02)</f>
        <v>68.02</v>
      </c>
      <c r="E1937" s="1">
        <f>IFERROR(__xludf.DUMMYFUNCTION("""COMPUTED_VALUE"""),68.5)</f>
        <v>68.5</v>
      </c>
      <c r="F1937" s="1">
        <f>IFERROR(__xludf.DUMMYFUNCTION("""COMPUTED_VALUE"""),1181555.0)</f>
        <v>1181555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IFERROR(__xludf.DUMMYFUNCTION("""COMPUTED_VALUE"""),68.76)</f>
        <v>68.76</v>
      </c>
      <c r="C1938" s="1">
        <f>IFERROR(__xludf.DUMMYFUNCTION("""COMPUTED_VALUE"""),68.88)</f>
        <v>68.88</v>
      </c>
      <c r="D1938" s="1">
        <f>IFERROR(__xludf.DUMMYFUNCTION("""COMPUTED_VALUE"""),67.76)</f>
        <v>67.76</v>
      </c>
      <c r="E1938" s="1">
        <f>IFERROR(__xludf.DUMMYFUNCTION("""COMPUTED_VALUE"""),68.35)</f>
        <v>68.35</v>
      </c>
      <c r="F1938" s="1">
        <f>IFERROR(__xludf.DUMMYFUNCTION("""COMPUTED_VALUE"""),1484439.0)</f>
        <v>1484439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IFERROR(__xludf.DUMMYFUNCTION("""COMPUTED_VALUE"""),68.59)</f>
        <v>68.59</v>
      </c>
      <c r="C1939" s="1">
        <f>IFERROR(__xludf.DUMMYFUNCTION("""COMPUTED_VALUE"""),69.92)</f>
        <v>69.92</v>
      </c>
      <c r="D1939" s="1">
        <f>IFERROR(__xludf.DUMMYFUNCTION("""COMPUTED_VALUE"""),68.18)</f>
        <v>68.18</v>
      </c>
      <c r="E1939" s="1">
        <f>IFERROR(__xludf.DUMMYFUNCTION("""COMPUTED_VALUE"""),69.09)</f>
        <v>69.09</v>
      </c>
      <c r="F1939" s="1">
        <f>IFERROR(__xludf.DUMMYFUNCTION("""COMPUTED_VALUE"""),2463621.0)</f>
        <v>2463621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IFERROR(__xludf.DUMMYFUNCTION("""COMPUTED_VALUE"""),68.96)</f>
        <v>68.96</v>
      </c>
      <c r="C1940" s="1">
        <f>IFERROR(__xludf.DUMMYFUNCTION("""COMPUTED_VALUE"""),69.77)</f>
        <v>69.77</v>
      </c>
      <c r="D1940" s="1">
        <f>IFERROR(__xludf.DUMMYFUNCTION("""COMPUTED_VALUE"""),68.88)</f>
        <v>68.88</v>
      </c>
      <c r="E1940" s="1">
        <f>IFERROR(__xludf.DUMMYFUNCTION("""COMPUTED_VALUE"""),69.46)</f>
        <v>69.46</v>
      </c>
      <c r="F1940" s="1">
        <f>IFERROR(__xludf.DUMMYFUNCTION("""COMPUTED_VALUE"""),1544611.0)</f>
        <v>1544611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IFERROR(__xludf.DUMMYFUNCTION("""COMPUTED_VALUE"""),69.27)</f>
        <v>69.27</v>
      </c>
      <c r="C1941" s="1">
        <f>IFERROR(__xludf.DUMMYFUNCTION("""COMPUTED_VALUE"""),69.66)</f>
        <v>69.66</v>
      </c>
      <c r="D1941" s="1">
        <f>IFERROR(__xludf.DUMMYFUNCTION("""COMPUTED_VALUE"""),67.99)</f>
        <v>67.99</v>
      </c>
      <c r="E1941" s="1">
        <f>IFERROR(__xludf.DUMMYFUNCTION("""COMPUTED_VALUE"""),68.08)</f>
        <v>68.08</v>
      </c>
      <c r="F1941" s="1">
        <f>IFERROR(__xludf.DUMMYFUNCTION("""COMPUTED_VALUE"""),3229683.0)</f>
        <v>3229683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IFERROR(__xludf.DUMMYFUNCTION("""COMPUTED_VALUE"""),68.25)</f>
        <v>68.25</v>
      </c>
      <c r="C1942" s="1">
        <f>IFERROR(__xludf.DUMMYFUNCTION("""COMPUTED_VALUE"""),69.01)</f>
        <v>69.01</v>
      </c>
      <c r="D1942" s="1">
        <f>IFERROR(__xludf.DUMMYFUNCTION("""COMPUTED_VALUE"""),68.09)</f>
        <v>68.09</v>
      </c>
      <c r="E1942" s="1">
        <f>IFERROR(__xludf.DUMMYFUNCTION("""COMPUTED_VALUE"""),68.34)</f>
        <v>68.34</v>
      </c>
      <c r="F1942" s="1">
        <f>IFERROR(__xludf.DUMMYFUNCTION("""COMPUTED_VALUE"""),2110187.0)</f>
        <v>2110187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IFERROR(__xludf.DUMMYFUNCTION("""COMPUTED_VALUE"""),69.07)</f>
        <v>69.07</v>
      </c>
      <c r="C1943" s="1">
        <f>IFERROR(__xludf.DUMMYFUNCTION("""COMPUTED_VALUE"""),69.46)</f>
        <v>69.46</v>
      </c>
      <c r="D1943" s="1">
        <f>IFERROR(__xludf.DUMMYFUNCTION("""COMPUTED_VALUE"""),68.13)</f>
        <v>68.13</v>
      </c>
      <c r="E1943" s="1">
        <f>IFERROR(__xludf.DUMMYFUNCTION("""COMPUTED_VALUE"""),68.46)</f>
        <v>68.46</v>
      </c>
      <c r="F1943" s="1">
        <f>IFERROR(__xludf.DUMMYFUNCTION("""COMPUTED_VALUE"""),1873788.0)</f>
        <v>1873788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IFERROR(__xludf.DUMMYFUNCTION("""COMPUTED_VALUE"""),68.9)</f>
        <v>68.9</v>
      </c>
      <c r="C1944" s="1">
        <f>IFERROR(__xludf.DUMMYFUNCTION("""COMPUTED_VALUE"""),69.13)</f>
        <v>69.13</v>
      </c>
      <c r="D1944" s="1">
        <f>IFERROR(__xludf.DUMMYFUNCTION("""COMPUTED_VALUE"""),68.53)</f>
        <v>68.53</v>
      </c>
      <c r="E1944" s="1">
        <f>IFERROR(__xludf.DUMMYFUNCTION("""COMPUTED_VALUE"""),68.67)</f>
        <v>68.67</v>
      </c>
      <c r="F1944" s="1">
        <f>IFERROR(__xludf.DUMMYFUNCTION("""COMPUTED_VALUE"""),1640340.0)</f>
        <v>1640340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IFERROR(__xludf.DUMMYFUNCTION("""COMPUTED_VALUE"""),68.91)</f>
        <v>68.91</v>
      </c>
      <c r="C1945" s="1">
        <f>IFERROR(__xludf.DUMMYFUNCTION("""COMPUTED_VALUE"""),69.98)</f>
        <v>69.98</v>
      </c>
      <c r="D1945" s="1">
        <f>IFERROR(__xludf.DUMMYFUNCTION("""COMPUTED_VALUE"""),68.36)</f>
        <v>68.36</v>
      </c>
      <c r="E1945" s="1">
        <f>IFERROR(__xludf.DUMMYFUNCTION("""COMPUTED_VALUE"""),68.84)</f>
        <v>68.84</v>
      </c>
      <c r="F1945" s="1">
        <f>IFERROR(__xludf.DUMMYFUNCTION("""COMPUTED_VALUE"""),2713013.0)</f>
        <v>2713013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IFERROR(__xludf.DUMMYFUNCTION("""COMPUTED_VALUE"""),71.4)</f>
        <v>71.4</v>
      </c>
      <c r="C1946" s="1">
        <f>IFERROR(__xludf.DUMMYFUNCTION("""COMPUTED_VALUE"""),74.6)</f>
        <v>74.6</v>
      </c>
      <c r="D1946" s="1">
        <f>IFERROR(__xludf.DUMMYFUNCTION("""COMPUTED_VALUE"""),70.33)</f>
        <v>70.33</v>
      </c>
      <c r="E1946" s="1">
        <f>IFERROR(__xludf.DUMMYFUNCTION("""COMPUTED_VALUE"""),74.19)</f>
        <v>74.19</v>
      </c>
      <c r="F1946" s="1">
        <f>IFERROR(__xludf.DUMMYFUNCTION("""COMPUTED_VALUE"""),8937377.0)</f>
        <v>8937377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IFERROR(__xludf.DUMMYFUNCTION("""COMPUTED_VALUE"""),73.79)</f>
        <v>73.79</v>
      </c>
      <c r="C1947" s="1">
        <f>IFERROR(__xludf.DUMMYFUNCTION("""COMPUTED_VALUE"""),75.56)</f>
        <v>75.56</v>
      </c>
      <c r="D1947" s="1">
        <f>IFERROR(__xludf.DUMMYFUNCTION("""COMPUTED_VALUE"""),73.27)</f>
        <v>73.27</v>
      </c>
      <c r="E1947" s="1">
        <f>IFERROR(__xludf.DUMMYFUNCTION("""COMPUTED_VALUE"""),74.29)</f>
        <v>74.29</v>
      </c>
      <c r="F1947" s="1">
        <f>IFERROR(__xludf.DUMMYFUNCTION("""COMPUTED_VALUE"""),3214053.0)</f>
        <v>3214053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IFERROR(__xludf.DUMMYFUNCTION("""COMPUTED_VALUE"""),73.6)</f>
        <v>73.6</v>
      </c>
      <c r="C1948" s="1">
        <f>IFERROR(__xludf.DUMMYFUNCTION("""COMPUTED_VALUE"""),74.48)</f>
        <v>74.48</v>
      </c>
      <c r="D1948" s="1">
        <f>IFERROR(__xludf.DUMMYFUNCTION("""COMPUTED_VALUE"""),72.88)</f>
        <v>72.88</v>
      </c>
      <c r="E1948" s="1">
        <f>IFERROR(__xludf.DUMMYFUNCTION("""COMPUTED_VALUE"""),73.59)</f>
        <v>73.59</v>
      </c>
      <c r="F1948" s="1">
        <f>IFERROR(__xludf.DUMMYFUNCTION("""COMPUTED_VALUE"""),3638392.0)</f>
        <v>3638392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IFERROR(__xludf.DUMMYFUNCTION("""COMPUTED_VALUE"""),73.95)</f>
        <v>73.95</v>
      </c>
      <c r="C1949" s="1">
        <f>IFERROR(__xludf.DUMMYFUNCTION("""COMPUTED_VALUE"""),75.82)</f>
        <v>75.82</v>
      </c>
      <c r="D1949" s="1">
        <f>IFERROR(__xludf.DUMMYFUNCTION("""COMPUTED_VALUE"""),73.95)</f>
        <v>73.95</v>
      </c>
      <c r="E1949" s="1">
        <f>IFERROR(__xludf.DUMMYFUNCTION("""COMPUTED_VALUE"""),75.35)</f>
        <v>75.35</v>
      </c>
      <c r="F1949" s="1">
        <f>IFERROR(__xludf.DUMMYFUNCTION("""COMPUTED_VALUE"""),2866377.0)</f>
        <v>2866377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IFERROR(__xludf.DUMMYFUNCTION("""COMPUTED_VALUE"""),75.24)</f>
        <v>75.24</v>
      </c>
      <c r="C1950" s="1">
        <f>IFERROR(__xludf.DUMMYFUNCTION("""COMPUTED_VALUE"""),75.95)</f>
        <v>75.95</v>
      </c>
      <c r="D1950" s="1">
        <f>IFERROR(__xludf.DUMMYFUNCTION("""COMPUTED_VALUE"""),74.84)</f>
        <v>74.84</v>
      </c>
      <c r="E1950" s="1">
        <f>IFERROR(__xludf.DUMMYFUNCTION("""COMPUTED_VALUE"""),75.93)</f>
        <v>75.93</v>
      </c>
      <c r="F1950" s="1">
        <f>IFERROR(__xludf.DUMMYFUNCTION("""COMPUTED_VALUE"""),1911188.0)</f>
        <v>1911188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IFERROR(__xludf.DUMMYFUNCTION("""COMPUTED_VALUE"""),76.1)</f>
        <v>76.1</v>
      </c>
      <c r="C1951" s="1">
        <f>IFERROR(__xludf.DUMMYFUNCTION("""COMPUTED_VALUE"""),76.4)</f>
        <v>76.4</v>
      </c>
      <c r="D1951" s="1">
        <f>IFERROR(__xludf.DUMMYFUNCTION("""COMPUTED_VALUE"""),75.55)</f>
        <v>75.55</v>
      </c>
      <c r="E1951" s="1">
        <f>IFERROR(__xludf.DUMMYFUNCTION("""COMPUTED_VALUE"""),75.81)</f>
        <v>75.81</v>
      </c>
      <c r="F1951" s="1">
        <f>IFERROR(__xludf.DUMMYFUNCTION("""COMPUTED_VALUE"""),1401911.0)</f>
        <v>1401911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IFERROR(__xludf.DUMMYFUNCTION("""COMPUTED_VALUE"""),76.03)</f>
        <v>76.03</v>
      </c>
      <c r="C1952" s="1">
        <f>IFERROR(__xludf.DUMMYFUNCTION("""COMPUTED_VALUE"""),76.59)</f>
        <v>76.59</v>
      </c>
      <c r="D1952" s="1">
        <f>IFERROR(__xludf.DUMMYFUNCTION("""COMPUTED_VALUE"""),75.52)</f>
        <v>75.52</v>
      </c>
      <c r="E1952" s="1">
        <f>IFERROR(__xludf.DUMMYFUNCTION("""COMPUTED_VALUE"""),76.59)</f>
        <v>76.59</v>
      </c>
      <c r="F1952" s="1">
        <f>IFERROR(__xludf.DUMMYFUNCTION("""COMPUTED_VALUE"""),1593218.0)</f>
        <v>1593218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IFERROR(__xludf.DUMMYFUNCTION("""COMPUTED_VALUE"""),76.86)</f>
        <v>76.86</v>
      </c>
      <c r="C1953" s="1">
        <f>IFERROR(__xludf.DUMMYFUNCTION("""COMPUTED_VALUE"""),77.64)</f>
        <v>77.64</v>
      </c>
      <c r="D1953" s="1">
        <f>IFERROR(__xludf.DUMMYFUNCTION("""COMPUTED_VALUE"""),76.21)</f>
        <v>76.21</v>
      </c>
      <c r="E1953" s="1">
        <f>IFERROR(__xludf.DUMMYFUNCTION("""COMPUTED_VALUE"""),76.33)</f>
        <v>76.33</v>
      </c>
      <c r="F1953" s="1">
        <f>IFERROR(__xludf.DUMMYFUNCTION("""COMPUTED_VALUE"""),1730879.0)</f>
        <v>1730879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IFERROR(__xludf.DUMMYFUNCTION("""COMPUTED_VALUE"""),76.17)</f>
        <v>76.17</v>
      </c>
      <c r="C1954" s="1">
        <f>IFERROR(__xludf.DUMMYFUNCTION("""COMPUTED_VALUE"""),76.86)</f>
        <v>76.86</v>
      </c>
      <c r="D1954" s="1">
        <f>IFERROR(__xludf.DUMMYFUNCTION("""COMPUTED_VALUE"""),75.83)</f>
        <v>75.83</v>
      </c>
      <c r="E1954" s="1">
        <f>IFERROR(__xludf.DUMMYFUNCTION("""COMPUTED_VALUE"""),76.45)</f>
        <v>76.45</v>
      </c>
      <c r="F1954" s="1">
        <f>IFERROR(__xludf.DUMMYFUNCTION("""COMPUTED_VALUE"""),1627088.0)</f>
        <v>1627088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IFERROR(__xludf.DUMMYFUNCTION("""COMPUTED_VALUE"""),75.2)</f>
        <v>75.2</v>
      </c>
      <c r="C1955" s="1">
        <f>IFERROR(__xludf.DUMMYFUNCTION("""COMPUTED_VALUE"""),76.65)</f>
        <v>76.65</v>
      </c>
      <c r="D1955" s="1">
        <f>IFERROR(__xludf.DUMMYFUNCTION("""COMPUTED_VALUE"""),75.09)</f>
        <v>75.09</v>
      </c>
      <c r="E1955" s="1">
        <f>IFERROR(__xludf.DUMMYFUNCTION("""COMPUTED_VALUE"""),76.37)</f>
        <v>76.37</v>
      </c>
      <c r="F1955" s="1">
        <f>IFERROR(__xludf.DUMMYFUNCTION("""COMPUTED_VALUE"""),2142668.0)</f>
        <v>2142668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IFERROR(__xludf.DUMMYFUNCTION("""COMPUTED_VALUE"""),76.25)</f>
        <v>76.25</v>
      </c>
      <c r="C1956" s="1">
        <f>IFERROR(__xludf.DUMMYFUNCTION("""COMPUTED_VALUE"""),76.97)</f>
        <v>76.97</v>
      </c>
      <c r="D1956" s="1">
        <f>IFERROR(__xludf.DUMMYFUNCTION("""COMPUTED_VALUE"""),76.25)</f>
        <v>76.25</v>
      </c>
      <c r="E1956" s="1">
        <f>IFERROR(__xludf.DUMMYFUNCTION("""COMPUTED_VALUE"""),76.81)</f>
        <v>76.81</v>
      </c>
      <c r="F1956" s="1">
        <f>IFERROR(__xludf.DUMMYFUNCTION("""COMPUTED_VALUE"""),1298360.0)</f>
        <v>1298360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IFERROR(__xludf.DUMMYFUNCTION("""COMPUTED_VALUE"""),76.96)</f>
        <v>76.96</v>
      </c>
      <c r="C1957" s="1">
        <f>IFERROR(__xludf.DUMMYFUNCTION("""COMPUTED_VALUE"""),77.31)</f>
        <v>77.31</v>
      </c>
      <c r="D1957" s="1">
        <f>IFERROR(__xludf.DUMMYFUNCTION("""COMPUTED_VALUE"""),76.04)</f>
        <v>76.04</v>
      </c>
      <c r="E1957" s="1">
        <f>IFERROR(__xludf.DUMMYFUNCTION("""COMPUTED_VALUE"""),76.18)</f>
        <v>76.18</v>
      </c>
      <c r="F1957" s="1">
        <f>IFERROR(__xludf.DUMMYFUNCTION("""COMPUTED_VALUE"""),1045816.0)</f>
        <v>1045816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IFERROR(__xludf.DUMMYFUNCTION("""COMPUTED_VALUE"""),76.18)</f>
        <v>76.18</v>
      </c>
      <c r="C1958" s="1">
        <f>IFERROR(__xludf.DUMMYFUNCTION("""COMPUTED_VALUE"""),76.91)</f>
        <v>76.91</v>
      </c>
      <c r="D1958" s="1">
        <f>IFERROR(__xludf.DUMMYFUNCTION("""COMPUTED_VALUE"""),75.91)</f>
        <v>75.91</v>
      </c>
      <c r="E1958" s="1">
        <f>IFERROR(__xludf.DUMMYFUNCTION("""COMPUTED_VALUE"""),76.23)</f>
        <v>76.23</v>
      </c>
      <c r="F1958" s="1">
        <f>IFERROR(__xludf.DUMMYFUNCTION("""COMPUTED_VALUE"""),1305279.0)</f>
        <v>1305279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IFERROR(__xludf.DUMMYFUNCTION("""COMPUTED_VALUE"""),76.27)</f>
        <v>76.27</v>
      </c>
      <c r="C1959" s="1">
        <f>IFERROR(__xludf.DUMMYFUNCTION("""COMPUTED_VALUE"""),76.37)</f>
        <v>76.37</v>
      </c>
      <c r="D1959" s="1">
        <f>IFERROR(__xludf.DUMMYFUNCTION("""COMPUTED_VALUE"""),75.72)</f>
        <v>75.72</v>
      </c>
      <c r="E1959" s="1">
        <f>IFERROR(__xludf.DUMMYFUNCTION("""COMPUTED_VALUE"""),76.06)</f>
        <v>76.06</v>
      </c>
      <c r="F1959" s="1">
        <f>IFERROR(__xludf.DUMMYFUNCTION("""COMPUTED_VALUE"""),1313351.0)</f>
        <v>1313351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IFERROR(__xludf.DUMMYFUNCTION("""COMPUTED_VALUE"""),76.24)</f>
        <v>76.24</v>
      </c>
      <c r="C1960" s="1">
        <f>IFERROR(__xludf.DUMMYFUNCTION("""COMPUTED_VALUE"""),76.32)</f>
        <v>76.32</v>
      </c>
      <c r="D1960" s="1">
        <f>IFERROR(__xludf.DUMMYFUNCTION("""COMPUTED_VALUE"""),75.45)</f>
        <v>75.45</v>
      </c>
      <c r="E1960" s="1">
        <f>IFERROR(__xludf.DUMMYFUNCTION("""COMPUTED_VALUE"""),75.7)</f>
        <v>75.7</v>
      </c>
      <c r="F1960" s="1">
        <f>IFERROR(__xludf.DUMMYFUNCTION("""COMPUTED_VALUE"""),1519546.0)</f>
        <v>1519546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IFERROR(__xludf.DUMMYFUNCTION("""COMPUTED_VALUE"""),75.66)</f>
        <v>75.66</v>
      </c>
      <c r="C1961" s="1">
        <f>IFERROR(__xludf.DUMMYFUNCTION("""COMPUTED_VALUE"""),76.0)</f>
        <v>76</v>
      </c>
      <c r="D1961" s="1">
        <f>IFERROR(__xludf.DUMMYFUNCTION("""COMPUTED_VALUE"""),75.29)</f>
        <v>75.29</v>
      </c>
      <c r="E1961" s="1">
        <f>IFERROR(__xludf.DUMMYFUNCTION("""COMPUTED_VALUE"""),75.44)</f>
        <v>75.44</v>
      </c>
      <c r="F1961" s="1">
        <f>IFERROR(__xludf.DUMMYFUNCTION("""COMPUTED_VALUE"""),929439.0)</f>
        <v>929439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IFERROR(__xludf.DUMMYFUNCTION("""COMPUTED_VALUE"""),75.18)</f>
        <v>75.18</v>
      </c>
      <c r="C1962" s="1">
        <f>IFERROR(__xludf.DUMMYFUNCTION("""COMPUTED_VALUE"""),75.55)</f>
        <v>75.55</v>
      </c>
      <c r="D1962" s="1">
        <f>IFERROR(__xludf.DUMMYFUNCTION("""COMPUTED_VALUE"""),74.91)</f>
        <v>74.91</v>
      </c>
      <c r="E1962" s="1">
        <f>IFERROR(__xludf.DUMMYFUNCTION("""COMPUTED_VALUE"""),75.46)</f>
        <v>75.46</v>
      </c>
      <c r="F1962" s="1">
        <f>IFERROR(__xludf.DUMMYFUNCTION("""COMPUTED_VALUE"""),1470031.0)</f>
        <v>1470031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IFERROR(__xludf.DUMMYFUNCTION("""COMPUTED_VALUE"""),75.25)</f>
        <v>75.25</v>
      </c>
      <c r="C1963" s="1">
        <f>IFERROR(__xludf.DUMMYFUNCTION("""COMPUTED_VALUE"""),75.77)</f>
        <v>75.77</v>
      </c>
      <c r="D1963" s="1">
        <f>IFERROR(__xludf.DUMMYFUNCTION("""COMPUTED_VALUE"""),75.19)</f>
        <v>75.19</v>
      </c>
      <c r="E1963" s="1">
        <f>IFERROR(__xludf.DUMMYFUNCTION("""COMPUTED_VALUE"""),75.37)</f>
        <v>75.37</v>
      </c>
      <c r="F1963" s="1">
        <f>IFERROR(__xludf.DUMMYFUNCTION("""COMPUTED_VALUE"""),1191691.0)</f>
        <v>1191691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IFERROR(__xludf.DUMMYFUNCTION("""COMPUTED_VALUE"""),75.78)</f>
        <v>75.78</v>
      </c>
      <c r="C1964" s="1">
        <f>IFERROR(__xludf.DUMMYFUNCTION("""COMPUTED_VALUE"""),76.08)</f>
        <v>76.08</v>
      </c>
      <c r="D1964" s="1">
        <f>IFERROR(__xludf.DUMMYFUNCTION("""COMPUTED_VALUE"""),75.2)</f>
        <v>75.2</v>
      </c>
      <c r="E1964" s="1">
        <f>IFERROR(__xludf.DUMMYFUNCTION("""COMPUTED_VALUE"""),75.26)</f>
        <v>75.26</v>
      </c>
      <c r="F1964" s="1">
        <f>IFERROR(__xludf.DUMMYFUNCTION("""COMPUTED_VALUE"""),1057691.0)</f>
        <v>1057691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IFERROR(__xludf.DUMMYFUNCTION("""COMPUTED_VALUE"""),74.82)</f>
        <v>74.82</v>
      </c>
      <c r="C1965" s="1">
        <f>IFERROR(__xludf.DUMMYFUNCTION("""COMPUTED_VALUE"""),75.07)</f>
        <v>75.07</v>
      </c>
      <c r="D1965" s="1">
        <f>IFERROR(__xludf.DUMMYFUNCTION("""COMPUTED_VALUE"""),74.36)</f>
        <v>74.36</v>
      </c>
      <c r="E1965" s="1">
        <f>IFERROR(__xludf.DUMMYFUNCTION("""COMPUTED_VALUE"""),74.84)</f>
        <v>74.84</v>
      </c>
      <c r="F1965" s="1">
        <f>IFERROR(__xludf.DUMMYFUNCTION("""COMPUTED_VALUE"""),1027351.0)</f>
        <v>1027351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IFERROR(__xludf.DUMMYFUNCTION("""COMPUTED_VALUE"""),75.22)</f>
        <v>75.22</v>
      </c>
      <c r="C1966" s="1">
        <f>IFERROR(__xludf.DUMMYFUNCTION("""COMPUTED_VALUE"""),75.42)</f>
        <v>75.42</v>
      </c>
      <c r="D1966" s="1">
        <f>IFERROR(__xludf.DUMMYFUNCTION("""COMPUTED_VALUE"""),74.97)</f>
        <v>74.97</v>
      </c>
      <c r="E1966" s="1">
        <f>IFERROR(__xludf.DUMMYFUNCTION("""COMPUTED_VALUE"""),75.14)</f>
        <v>75.14</v>
      </c>
      <c r="F1966" s="1">
        <f>IFERROR(__xludf.DUMMYFUNCTION("""COMPUTED_VALUE"""),1144094.0)</f>
        <v>1144094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IFERROR(__xludf.DUMMYFUNCTION("""COMPUTED_VALUE"""),75.03)</f>
        <v>75.03</v>
      </c>
      <c r="C1967" s="1">
        <f>IFERROR(__xludf.DUMMYFUNCTION("""COMPUTED_VALUE"""),75.58)</f>
        <v>75.58</v>
      </c>
      <c r="D1967" s="1">
        <f>IFERROR(__xludf.DUMMYFUNCTION("""COMPUTED_VALUE"""),74.35)</f>
        <v>74.35</v>
      </c>
      <c r="E1967" s="1">
        <f>IFERROR(__xludf.DUMMYFUNCTION("""COMPUTED_VALUE"""),74.39)</f>
        <v>74.39</v>
      </c>
      <c r="F1967" s="1">
        <f>IFERROR(__xludf.DUMMYFUNCTION("""COMPUTED_VALUE"""),1096798.0)</f>
        <v>1096798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IFERROR(__xludf.DUMMYFUNCTION("""COMPUTED_VALUE"""),74.56)</f>
        <v>74.56</v>
      </c>
      <c r="C1968" s="1">
        <f>IFERROR(__xludf.DUMMYFUNCTION("""COMPUTED_VALUE"""),75.21)</f>
        <v>75.21</v>
      </c>
      <c r="D1968" s="1">
        <f>IFERROR(__xludf.DUMMYFUNCTION("""COMPUTED_VALUE"""),74.49)</f>
        <v>74.49</v>
      </c>
      <c r="E1968" s="1">
        <f>IFERROR(__xludf.DUMMYFUNCTION("""COMPUTED_VALUE"""),74.78)</f>
        <v>74.78</v>
      </c>
      <c r="F1968" s="1">
        <f>IFERROR(__xludf.DUMMYFUNCTION("""COMPUTED_VALUE"""),1355552.0)</f>
        <v>1355552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IFERROR(__xludf.DUMMYFUNCTION("""COMPUTED_VALUE"""),74.47)</f>
        <v>74.47</v>
      </c>
      <c r="C1969" s="1">
        <f>IFERROR(__xludf.DUMMYFUNCTION("""COMPUTED_VALUE"""),74.64)</f>
        <v>74.64</v>
      </c>
      <c r="D1969" s="1">
        <f>IFERROR(__xludf.DUMMYFUNCTION("""COMPUTED_VALUE"""),73.53)</f>
        <v>73.53</v>
      </c>
      <c r="E1969" s="1">
        <f>IFERROR(__xludf.DUMMYFUNCTION("""COMPUTED_VALUE"""),74.17)</f>
        <v>74.17</v>
      </c>
      <c r="F1969" s="1">
        <f>IFERROR(__xludf.DUMMYFUNCTION("""COMPUTED_VALUE"""),1487196.0)</f>
        <v>1487196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IFERROR(__xludf.DUMMYFUNCTION("""COMPUTED_VALUE"""),74.26)</f>
        <v>74.26</v>
      </c>
      <c r="C1970" s="1">
        <f>IFERROR(__xludf.DUMMYFUNCTION("""COMPUTED_VALUE"""),74.91)</f>
        <v>74.91</v>
      </c>
      <c r="D1970" s="1">
        <f>IFERROR(__xludf.DUMMYFUNCTION("""COMPUTED_VALUE"""),73.89)</f>
        <v>73.89</v>
      </c>
      <c r="E1970" s="1">
        <f>IFERROR(__xludf.DUMMYFUNCTION("""COMPUTED_VALUE"""),74.86)</f>
        <v>74.86</v>
      </c>
      <c r="F1970" s="1">
        <f>IFERROR(__xludf.DUMMYFUNCTION("""COMPUTED_VALUE"""),1319743.0)</f>
        <v>1319743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IFERROR(__xludf.DUMMYFUNCTION("""COMPUTED_VALUE"""),74.64)</f>
        <v>74.64</v>
      </c>
      <c r="C1971" s="1">
        <f>IFERROR(__xludf.DUMMYFUNCTION("""COMPUTED_VALUE"""),74.64)</f>
        <v>74.64</v>
      </c>
      <c r="D1971" s="1">
        <f>IFERROR(__xludf.DUMMYFUNCTION("""COMPUTED_VALUE"""),73.65)</f>
        <v>73.65</v>
      </c>
      <c r="E1971" s="1">
        <f>IFERROR(__xludf.DUMMYFUNCTION("""COMPUTED_VALUE"""),74.36)</f>
        <v>74.36</v>
      </c>
      <c r="F1971" s="1">
        <f>IFERROR(__xludf.DUMMYFUNCTION("""COMPUTED_VALUE"""),1128506.0)</f>
        <v>1128506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IFERROR(__xludf.DUMMYFUNCTION("""COMPUTED_VALUE"""),74.16)</f>
        <v>74.16</v>
      </c>
      <c r="C1972" s="1">
        <f>IFERROR(__xludf.DUMMYFUNCTION("""COMPUTED_VALUE"""),75.14)</f>
        <v>75.14</v>
      </c>
      <c r="D1972" s="1">
        <f>IFERROR(__xludf.DUMMYFUNCTION("""COMPUTED_VALUE"""),74.16)</f>
        <v>74.16</v>
      </c>
      <c r="E1972" s="1">
        <f>IFERROR(__xludf.DUMMYFUNCTION("""COMPUTED_VALUE"""),74.95)</f>
        <v>74.95</v>
      </c>
      <c r="F1972" s="1">
        <f>IFERROR(__xludf.DUMMYFUNCTION("""COMPUTED_VALUE"""),847122.0)</f>
        <v>847122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IFERROR(__xludf.DUMMYFUNCTION("""COMPUTED_VALUE"""),75.0)</f>
        <v>75</v>
      </c>
      <c r="C1973" s="1">
        <f>IFERROR(__xludf.DUMMYFUNCTION("""COMPUTED_VALUE"""),76.04)</f>
        <v>76.04</v>
      </c>
      <c r="D1973" s="1">
        <f>IFERROR(__xludf.DUMMYFUNCTION("""COMPUTED_VALUE"""),74.82)</f>
        <v>74.82</v>
      </c>
      <c r="E1973" s="1">
        <f>IFERROR(__xludf.DUMMYFUNCTION("""COMPUTED_VALUE"""),75.1)</f>
        <v>75.1</v>
      </c>
      <c r="F1973" s="1">
        <f>IFERROR(__xludf.DUMMYFUNCTION("""COMPUTED_VALUE"""),1135762.0)</f>
        <v>1135762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IFERROR(__xludf.DUMMYFUNCTION("""COMPUTED_VALUE"""),75.3)</f>
        <v>75.3</v>
      </c>
      <c r="C1974" s="1">
        <f>IFERROR(__xludf.DUMMYFUNCTION("""COMPUTED_VALUE"""),75.51)</f>
        <v>75.51</v>
      </c>
      <c r="D1974" s="1">
        <f>IFERROR(__xludf.DUMMYFUNCTION("""COMPUTED_VALUE"""),74.16)</f>
        <v>74.16</v>
      </c>
      <c r="E1974" s="1">
        <f>IFERROR(__xludf.DUMMYFUNCTION("""COMPUTED_VALUE"""),74.46)</f>
        <v>74.46</v>
      </c>
      <c r="F1974" s="1">
        <f>IFERROR(__xludf.DUMMYFUNCTION("""COMPUTED_VALUE"""),1035302.0)</f>
        <v>1035302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IFERROR(__xludf.DUMMYFUNCTION("""COMPUTED_VALUE"""),74.78)</f>
        <v>74.78</v>
      </c>
      <c r="C1975" s="1">
        <f>IFERROR(__xludf.DUMMYFUNCTION("""COMPUTED_VALUE"""),76.88)</f>
        <v>76.88</v>
      </c>
      <c r="D1975" s="1">
        <f>IFERROR(__xludf.DUMMYFUNCTION("""COMPUTED_VALUE"""),74.69)</f>
        <v>74.69</v>
      </c>
      <c r="E1975" s="1">
        <f>IFERROR(__xludf.DUMMYFUNCTION("""COMPUTED_VALUE"""),75.98)</f>
        <v>75.98</v>
      </c>
      <c r="F1975" s="1">
        <f>IFERROR(__xludf.DUMMYFUNCTION("""COMPUTED_VALUE"""),1270781.0)</f>
        <v>1270781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IFERROR(__xludf.DUMMYFUNCTION("""COMPUTED_VALUE"""),75.98)</f>
        <v>75.98</v>
      </c>
      <c r="C1976" s="1">
        <f>IFERROR(__xludf.DUMMYFUNCTION("""COMPUTED_VALUE"""),76.14)</f>
        <v>76.14</v>
      </c>
      <c r="D1976" s="1">
        <f>IFERROR(__xludf.DUMMYFUNCTION("""COMPUTED_VALUE"""),75.07)</f>
        <v>75.07</v>
      </c>
      <c r="E1976" s="1">
        <f>IFERROR(__xludf.DUMMYFUNCTION("""COMPUTED_VALUE"""),75.19)</f>
        <v>75.19</v>
      </c>
      <c r="F1976" s="1">
        <f>IFERROR(__xludf.DUMMYFUNCTION("""COMPUTED_VALUE"""),699156.0)</f>
        <v>699156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IFERROR(__xludf.DUMMYFUNCTION("""COMPUTED_VALUE"""),75.3)</f>
        <v>75.3</v>
      </c>
      <c r="C1977" s="1">
        <f>IFERROR(__xludf.DUMMYFUNCTION("""COMPUTED_VALUE"""),75.79)</f>
        <v>75.79</v>
      </c>
      <c r="D1977" s="1">
        <f>IFERROR(__xludf.DUMMYFUNCTION("""COMPUTED_VALUE"""),74.86)</f>
        <v>74.86</v>
      </c>
      <c r="E1977" s="1">
        <f>IFERROR(__xludf.DUMMYFUNCTION("""COMPUTED_VALUE"""),74.91)</f>
        <v>74.91</v>
      </c>
      <c r="F1977" s="1">
        <f>IFERROR(__xludf.DUMMYFUNCTION("""COMPUTED_VALUE"""),720078.0)</f>
        <v>720078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IFERROR(__xludf.DUMMYFUNCTION("""COMPUTED_VALUE"""),74.73)</f>
        <v>74.73</v>
      </c>
      <c r="C1978" s="1">
        <f>IFERROR(__xludf.DUMMYFUNCTION("""COMPUTED_VALUE"""),74.9)</f>
        <v>74.9</v>
      </c>
      <c r="D1978" s="1">
        <f>IFERROR(__xludf.DUMMYFUNCTION("""COMPUTED_VALUE"""),72.92)</f>
        <v>72.92</v>
      </c>
      <c r="E1978" s="1">
        <f>IFERROR(__xludf.DUMMYFUNCTION("""COMPUTED_VALUE"""),73.42)</f>
        <v>73.42</v>
      </c>
      <c r="F1978" s="1">
        <f>IFERROR(__xludf.DUMMYFUNCTION("""COMPUTED_VALUE"""),1600286.0)</f>
        <v>1600286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IFERROR(__xludf.DUMMYFUNCTION("""COMPUTED_VALUE"""),73.11)</f>
        <v>73.11</v>
      </c>
      <c r="C1979" s="1">
        <f>IFERROR(__xludf.DUMMYFUNCTION("""COMPUTED_VALUE"""),73.8)</f>
        <v>73.8</v>
      </c>
      <c r="D1979" s="1">
        <f>IFERROR(__xludf.DUMMYFUNCTION("""COMPUTED_VALUE"""),72.82)</f>
        <v>72.82</v>
      </c>
      <c r="E1979" s="1">
        <f>IFERROR(__xludf.DUMMYFUNCTION("""COMPUTED_VALUE"""),73.44)</f>
        <v>73.44</v>
      </c>
      <c r="F1979" s="1">
        <f>IFERROR(__xludf.DUMMYFUNCTION("""COMPUTED_VALUE"""),1357853.0)</f>
        <v>1357853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IFERROR(__xludf.DUMMYFUNCTION("""COMPUTED_VALUE"""),72.96)</f>
        <v>72.96</v>
      </c>
      <c r="C1980" s="1">
        <f>IFERROR(__xludf.DUMMYFUNCTION("""COMPUTED_VALUE"""),73.35)</f>
        <v>73.35</v>
      </c>
      <c r="D1980" s="1">
        <f>IFERROR(__xludf.DUMMYFUNCTION("""COMPUTED_VALUE"""),71.8)</f>
        <v>71.8</v>
      </c>
      <c r="E1980" s="1">
        <f>IFERROR(__xludf.DUMMYFUNCTION("""COMPUTED_VALUE"""),72.18)</f>
        <v>72.18</v>
      </c>
      <c r="F1980" s="1">
        <f>IFERROR(__xludf.DUMMYFUNCTION("""COMPUTED_VALUE"""),1453482.0)</f>
        <v>1453482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IFERROR(__xludf.DUMMYFUNCTION("""COMPUTED_VALUE"""),72.0)</f>
        <v>72</v>
      </c>
      <c r="C1981" s="1">
        <f>IFERROR(__xludf.DUMMYFUNCTION("""COMPUTED_VALUE"""),73.27)</f>
        <v>73.27</v>
      </c>
      <c r="D1981" s="1">
        <f>IFERROR(__xludf.DUMMYFUNCTION("""COMPUTED_VALUE"""),71.93)</f>
        <v>71.93</v>
      </c>
      <c r="E1981" s="1">
        <f>IFERROR(__xludf.DUMMYFUNCTION("""COMPUTED_VALUE"""),72.68)</f>
        <v>72.68</v>
      </c>
      <c r="F1981" s="1">
        <f>IFERROR(__xludf.DUMMYFUNCTION("""COMPUTED_VALUE"""),1336660.0)</f>
        <v>1336660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IFERROR(__xludf.DUMMYFUNCTION("""COMPUTED_VALUE"""),72.66)</f>
        <v>72.66</v>
      </c>
      <c r="C1982" s="1">
        <f>IFERROR(__xludf.DUMMYFUNCTION("""COMPUTED_VALUE"""),73.02)</f>
        <v>73.02</v>
      </c>
      <c r="D1982" s="1">
        <f>IFERROR(__xludf.DUMMYFUNCTION("""COMPUTED_VALUE"""),72.21)</f>
        <v>72.21</v>
      </c>
      <c r="E1982" s="1">
        <f>IFERROR(__xludf.DUMMYFUNCTION("""COMPUTED_VALUE"""),72.35)</f>
        <v>72.35</v>
      </c>
      <c r="F1982" s="1">
        <f>IFERROR(__xludf.DUMMYFUNCTION("""COMPUTED_VALUE"""),1337530.0)</f>
        <v>1337530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IFERROR(__xludf.DUMMYFUNCTION("""COMPUTED_VALUE"""),71.73)</f>
        <v>71.73</v>
      </c>
      <c r="C1983" s="1">
        <f>IFERROR(__xludf.DUMMYFUNCTION("""COMPUTED_VALUE"""),72.41)</f>
        <v>72.41</v>
      </c>
      <c r="D1983" s="1">
        <f>IFERROR(__xludf.DUMMYFUNCTION("""COMPUTED_VALUE"""),70.79)</f>
        <v>70.79</v>
      </c>
      <c r="E1983" s="1">
        <f>IFERROR(__xludf.DUMMYFUNCTION("""COMPUTED_VALUE"""),70.94)</f>
        <v>70.94</v>
      </c>
      <c r="F1983" s="1">
        <f>IFERROR(__xludf.DUMMYFUNCTION("""COMPUTED_VALUE"""),2539484.0)</f>
        <v>2539484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IFERROR(__xludf.DUMMYFUNCTION("""COMPUTED_VALUE"""),70.46)</f>
        <v>70.46</v>
      </c>
      <c r="C1984" s="1">
        <f>IFERROR(__xludf.DUMMYFUNCTION("""COMPUTED_VALUE"""),71.32)</f>
        <v>71.32</v>
      </c>
      <c r="D1984" s="1">
        <f>IFERROR(__xludf.DUMMYFUNCTION("""COMPUTED_VALUE"""),69.75)</f>
        <v>69.75</v>
      </c>
      <c r="E1984" s="1">
        <f>IFERROR(__xludf.DUMMYFUNCTION("""COMPUTED_VALUE"""),70.72)</f>
        <v>70.72</v>
      </c>
      <c r="F1984" s="1">
        <f>IFERROR(__xludf.DUMMYFUNCTION("""COMPUTED_VALUE"""),2152405.0)</f>
        <v>2152405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IFERROR(__xludf.DUMMYFUNCTION("""COMPUTED_VALUE"""),70.81)</f>
        <v>70.81</v>
      </c>
      <c r="C1985" s="1">
        <f>IFERROR(__xludf.DUMMYFUNCTION("""COMPUTED_VALUE"""),71.29)</f>
        <v>71.29</v>
      </c>
      <c r="D1985" s="1">
        <f>IFERROR(__xludf.DUMMYFUNCTION("""COMPUTED_VALUE"""),70.32)</f>
        <v>70.32</v>
      </c>
      <c r="E1985" s="1">
        <f>IFERROR(__xludf.DUMMYFUNCTION("""COMPUTED_VALUE"""),70.55)</f>
        <v>70.55</v>
      </c>
      <c r="F1985" s="1">
        <f>IFERROR(__xludf.DUMMYFUNCTION("""COMPUTED_VALUE"""),1643182.0)</f>
        <v>1643182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IFERROR(__xludf.DUMMYFUNCTION("""COMPUTED_VALUE"""),69.08)</f>
        <v>69.08</v>
      </c>
      <c r="C1986" s="1">
        <f>IFERROR(__xludf.DUMMYFUNCTION("""COMPUTED_VALUE"""),69.93)</f>
        <v>69.93</v>
      </c>
      <c r="D1986" s="1">
        <f>IFERROR(__xludf.DUMMYFUNCTION("""COMPUTED_VALUE"""),68.66)</f>
        <v>68.66</v>
      </c>
      <c r="E1986" s="1">
        <f>IFERROR(__xludf.DUMMYFUNCTION("""COMPUTED_VALUE"""),69.45)</f>
        <v>69.45</v>
      </c>
      <c r="F1986" s="1">
        <f>IFERROR(__xludf.DUMMYFUNCTION("""COMPUTED_VALUE"""),2627179.0)</f>
        <v>2627179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IFERROR(__xludf.DUMMYFUNCTION("""COMPUTED_VALUE"""),69.55)</f>
        <v>69.55</v>
      </c>
      <c r="C1987" s="1">
        <f>IFERROR(__xludf.DUMMYFUNCTION("""COMPUTED_VALUE"""),69.75)</f>
        <v>69.75</v>
      </c>
      <c r="D1987" s="1">
        <f>IFERROR(__xludf.DUMMYFUNCTION("""COMPUTED_VALUE"""),69.37)</f>
        <v>69.37</v>
      </c>
      <c r="E1987" s="1">
        <f>IFERROR(__xludf.DUMMYFUNCTION("""COMPUTED_VALUE"""),69.62)</f>
        <v>69.62</v>
      </c>
      <c r="F1987" s="1">
        <f>IFERROR(__xludf.DUMMYFUNCTION("""COMPUTED_VALUE"""),2879429.0)</f>
        <v>2879429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IFERROR(__xludf.DUMMYFUNCTION("""COMPUTED_VALUE"""),69.67)</f>
        <v>69.67</v>
      </c>
      <c r="C1988" s="1">
        <f>IFERROR(__xludf.DUMMYFUNCTION("""COMPUTED_VALUE"""),69.67)</f>
        <v>69.67</v>
      </c>
      <c r="D1988" s="1">
        <f>IFERROR(__xludf.DUMMYFUNCTION("""COMPUTED_VALUE"""),68.46)</f>
        <v>68.46</v>
      </c>
      <c r="E1988" s="1">
        <f>IFERROR(__xludf.DUMMYFUNCTION("""COMPUTED_VALUE"""),68.75)</f>
        <v>68.75</v>
      </c>
      <c r="F1988" s="1">
        <f>IFERROR(__xludf.DUMMYFUNCTION("""COMPUTED_VALUE"""),2362284.0)</f>
        <v>2362284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IFERROR(__xludf.DUMMYFUNCTION("""COMPUTED_VALUE"""),68.68)</f>
        <v>68.68</v>
      </c>
      <c r="C1989" s="1">
        <f>IFERROR(__xludf.DUMMYFUNCTION("""COMPUTED_VALUE"""),69.32)</f>
        <v>69.32</v>
      </c>
      <c r="D1989" s="1">
        <f>IFERROR(__xludf.DUMMYFUNCTION("""COMPUTED_VALUE"""),67.59)</f>
        <v>67.59</v>
      </c>
      <c r="E1989" s="1">
        <f>IFERROR(__xludf.DUMMYFUNCTION("""COMPUTED_VALUE"""),67.99)</f>
        <v>67.99</v>
      </c>
      <c r="F1989" s="1">
        <f>IFERROR(__xludf.DUMMYFUNCTION("""COMPUTED_VALUE"""),4742335.0)</f>
        <v>4742335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IFERROR(__xludf.DUMMYFUNCTION("""COMPUTED_VALUE"""),68.24)</f>
        <v>68.24</v>
      </c>
      <c r="C1990" s="1">
        <f>IFERROR(__xludf.DUMMYFUNCTION("""COMPUTED_VALUE"""),68.8)</f>
        <v>68.8</v>
      </c>
      <c r="D1990" s="1">
        <f>IFERROR(__xludf.DUMMYFUNCTION("""COMPUTED_VALUE"""),67.75)</f>
        <v>67.75</v>
      </c>
      <c r="E1990" s="1">
        <f>IFERROR(__xludf.DUMMYFUNCTION("""COMPUTED_VALUE"""),68.05)</f>
        <v>68.05</v>
      </c>
      <c r="F1990" s="1">
        <f>IFERROR(__xludf.DUMMYFUNCTION("""COMPUTED_VALUE"""),1226091.0)</f>
        <v>1226091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IFERROR(__xludf.DUMMYFUNCTION("""COMPUTED_VALUE"""),68.24)</f>
        <v>68.24</v>
      </c>
      <c r="C1991" s="1">
        <f>IFERROR(__xludf.DUMMYFUNCTION("""COMPUTED_VALUE"""),68.57)</f>
        <v>68.57</v>
      </c>
      <c r="D1991" s="1">
        <f>IFERROR(__xludf.DUMMYFUNCTION("""COMPUTED_VALUE"""),67.68)</f>
        <v>67.68</v>
      </c>
      <c r="E1991" s="1">
        <f>IFERROR(__xludf.DUMMYFUNCTION("""COMPUTED_VALUE"""),67.87)</f>
        <v>67.87</v>
      </c>
      <c r="F1991" s="1">
        <f>IFERROR(__xludf.DUMMYFUNCTION("""COMPUTED_VALUE"""),1488120.0)</f>
        <v>1488120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IFERROR(__xludf.DUMMYFUNCTION("""COMPUTED_VALUE"""),67.99)</f>
        <v>67.99</v>
      </c>
      <c r="C1992" s="1">
        <f>IFERROR(__xludf.DUMMYFUNCTION("""COMPUTED_VALUE"""),68.52)</f>
        <v>68.52</v>
      </c>
      <c r="D1992" s="1">
        <f>IFERROR(__xludf.DUMMYFUNCTION("""COMPUTED_VALUE"""),66.63)</f>
        <v>66.63</v>
      </c>
      <c r="E1992" s="1">
        <f>IFERROR(__xludf.DUMMYFUNCTION("""COMPUTED_VALUE"""),67.46)</f>
        <v>67.46</v>
      </c>
      <c r="F1992" s="1">
        <f>IFERROR(__xludf.DUMMYFUNCTION("""COMPUTED_VALUE"""),3213255.0)</f>
        <v>3213255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IFERROR(__xludf.DUMMYFUNCTION("""COMPUTED_VALUE"""),67.75)</f>
        <v>67.75</v>
      </c>
      <c r="C1993" s="1">
        <f>IFERROR(__xludf.DUMMYFUNCTION("""COMPUTED_VALUE"""),69.86)</f>
        <v>69.86</v>
      </c>
      <c r="D1993" s="1">
        <f>IFERROR(__xludf.DUMMYFUNCTION("""COMPUTED_VALUE"""),67.63)</f>
        <v>67.63</v>
      </c>
      <c r="E1993" s="1">
        <f>IFERROR(__xludf.DUMMYFUNCTION("""COMPUTED_VALUE"""),68.5)</f>
        <v>68.5</v>
      </c>
      <c r="F1993" s="1">
        <f>IFERROR(__xludf.DUMMYFUNCTION("""COMPUTED_VALUE"""),3608535.0)</f>
        <v>3608535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IFERROR(__xludf.DUMMYFUNCTION("""COMPUTED_VALUE"""),68.67)</f>
        <v>68.67</v>
      </c>
      <c r="C1994" s="1">
        <f>IFERROR(__xludf.DUMMYFUNCTION("""COMPUTED_VALUE"""),69.16)</f>
        <v>69.16</v>
      </c>
      <c r="D1994" s="1">
        <f>IFERROR(__xludf.DUMMYFUNCTION("""COMPUTED_VALUE"""),67.94)</f>
        <v>67.94</v>
      </c>
      <c r="E1994" s="1">
        <f>IFERROR(__xludf.DUMMYFUNCTION("""COMPUTED_VALUE"""),68.91)</f>
        <v>68.91</v>
      </c>
      <c r="F1994" s="1">
        <f>IFERROR(__xludf.DUMMYFUNCTION("""COMPUTED_VALUE"""),1992394.0)</f>
        <v>1992394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IFERROR(__xludf.DUMMYFUNCTION("""COMPUTED_VALUE"""),69.02)</f>
        <v>69.02</v>
      </c>
      <c r="C1995" s="1">
        <f>IFERROR(__xludf.DUMMYFUNCTION("""COMPUTED_VALUE"""),69.05)</f>
        <v>69.05</v>
      </c>
      <c r="D1995" s="1">
        <f>IFERROR(__xludf.DUMMYFUNCTION("""COMPUTED_VALUE"""),67.29)</f>
        <v>67.29</v>
      </c>
      <c r="E1995" s="1">
        <f>IFERROR(__xludf.DUMMYFUNCTION("""COMPUTED_VALUE"""),68.38)</f>
        <v>68.38</v>
      </c>
      <c r="F1995" s="1">
        <f>IFERROR(__xludf.DUMMYFUNCTION("""COMPUTED_VALUE"""),1571289.0)</f>
        <v>1571289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IFERROR(__xludf.DUMMYFUNCTION("""COMPUTED_VALUE"""),69.46)</f>
        <v>69.46</v>
      </c>
      <c r="C1996" s="1">
        <f>IFERROR(__xludf.DUMMYFUNCTION("""COMPUTED_VALUE"""),70.93)</f>
        <v>70.93</v>
      </c>
      <c r="D1996" s="1">
        <f>IFERROR(__xludf.DUMMYFUNCTION("""COMPUTED_VALUE"""),69.09)</f>
        <v>69.09</v>
      </c>
      <c r="E1996" s="1">
        <f>IFERROR(__xludf.DUMMYFUNCTION("""COMPUTED_VALUE"""),70.71)</f>
        <v>70.71</v>
      </c>
      <c r="F1996" s="1">
        <f>IFERROR(__xludf.DUMMYFUNCTION("""COMPUTED_VALUE"""),2748761.0)</f>
        <v>2748761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IFERROR(__xludf.DUMMYFUNCTION("""COMPUTED_VALUE"""),70.73)</f>
        <v>70.73</v>
      </c>
      <c r="C1997" s="1">
        <f>IFERROR(__xludf.DUMMYFUNCTION("""COMPUTED_VALUE"""),70.95)</f>
        <v>70.95</v>
      </c>
      <c r="D1997" s="1">
        <f>IFERROR(__xludf.DUMMYFUNCTION("""COMPUTED_VALUE"""),67.71)</f>
        <v>67.71</v>
      </c>
      <c r="E1997" s="1">
        <f>IFERROR(__xludf.DUMMYFUNCTION("""COMPUTED_VALUE"""),67.72)</f>
        <v>67.72</v>
      </c>
      <c r="F1997" s="1">
        <f>IFERROR(__xludf.DUMMYFUNCTION("""COMPUTED_VALUE"""),3143692.0)</f>
        <v>3143692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IFERROR(__xludf.DUMMYFUNCTION("""COMPUTED_VALUE"""),67.24)</f>
        <v>67.24</v>
      </c>
      <c r="C1998" s="1">
        <f>IFERROR(__xludf.DUMMYFUNCTION("""COMPUTED_VALUE"""),67.37)</f>
        <v>67.37</v>
      </c>
      <c r="D1998" s="1">
        <f>IFERROR(__xludf.DUMMYFUNCTION("""COMPUTED_VALUE"""),65.55)</f>
        <v>65.55</v>
      </c>
      <c r="E1998" s="1">
        <f>IFERROR(__xludf.DUMMYFUNCTION("""COMPUTED_VALUE"""),66.55)</f>
        <v>66.55</v>
      </c>
      <c r="F1998" s="1">
        <f>IFERROR(__xludf.DUMMYFUNCTION("""COMPUTED_VALUE"""),2305896.0)</f>
        <v>2305896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IFERROR(__xludf.DUMMYFUNCTION("""COMPUTED_VALUE"""),66.58)</f>
        <v>66.58</v>
      </c>
      <c r="C1999" s="1">
        <f>IFERROR(__xludf.DUMMYFUNCTION("""COMPUTED_VALUE"""),67.12)</f>
        <v>67.12</v>
      </c>
      <c r="D1999" s="1">
        <f>IFERROR(__xludf.DUMMYFUNCTION("""COMPUTED_VALUE"""),66.08)</f>
        <v>66.08</v>
      </c>
      <c r="E1999" s="1">
        <f>IFERROR(__xludf.DUMMYFUNCTION("""COMPUTED_VALUE"""),66.97)</f>
        <v>66.97</v>
      </c>
      <c r="F1999" s="1">
        <f>IFERROR(__xludf.DUMMYFUNCTION("""COMPUTED_VALUE"""),1828629.0)</f>
        <v>1828629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IFERROR(__xludf.DUMMYFUNCTION("""COMPUTED_VALUE"""),67.07)</f>
        <v>67.07</v>
      </c>
      <c r="C2000" s="1">
        <f>IFERROR(__xludf.DUMMYFUNCTION("""COMPUTED_VALUE"""),67.69)</f>
        <v>67.69</v>
      </c>
      <c r="D2000" s="1">
        <f>IFERROR(__xludf.DUMMYFUNCTION("""COMPUTED_VALUE"""),66.71)</f>
        <v>66.71</v>
      </c>
      <c r="E2000" s="1">
        <f>IFERROR(__xludf.DUMMYFUNCTION("""COMPUTED_VALUE"""),67.48)</f>
        <v>67.48</v>
      </c>
      <c r="F2000" s="1">
        <f>IFERROR(__xludf.DUMMYFUNCTION("""COMPUTED_VALUE"""),1635685.0)</f>
        <v>1635685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IFERROR(__xludf.DUMMYFUNCTION("""COMPUTED_VALUE"""),68.01)</f>
        <v>68.01</v>
      </c>
      <c r="C2001" s="1">
        <f>IFERROR(__xludf.DUMMYFUNCTION("""COMPUTED_VALUE"""),68.2)</f>
        <v>68.2</v>
      </c>
      <c r="D2001" s="1">
        <f>IFERROR(__xludf.DUMMYFUNCTION("""COMPUTED_VALUE"""),67.53)</f>
        <v>67.53</v>
      </c>
      <c r="E2001" s="1">
        <f>IFERROR(__xludf.DUMMYFUNCTION("""COMPUTED_VALUE"""),67.97)</f>
        <v>67.97</v>
      </c>
      <c r="F2001" s="1">
        <f>IFERROR(__xludf.DUMMYFUNCTION("""COMPUTED_VALUE"""),1107674.0)</f>
        <v>1107674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IFERROR(__xludf.DUMMYFUNCTION("""COMPUTED_VALUE"""),68.0)</f>
        <v>68</v>
      </c>
      <c r="C2002" s="1">
        <f>IFERROR(__xludf.DUMMYFUNCTION("""COMPUTED_VALUE"""),68.15)</f>
        <v>68.15</v>
      </c>
      <c r="D2002" s="1">
        <f>IFERROR(__xludf.DUMMYFUNCTION("""COMPUTED_VALUE"""),66.82)</f>
        <v>66.82</v>
      </c>
      <c r="E2002" s="1">
        <f>IFERROR(__xludf.DUMMYFUNCTION("""COMPUTED_VALUE"""),66.86)</f>
        <v>66.86</v>
      </c>
      <c r="F2002" s="1">
        <f>IFERROR(__xludf.DUMMYFUNCTION("""COMPUTED_VALUE"""),1379637.0)</f>
        <v>1379637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IFERROR(__xludf.DUMMYFUNCTION("""COMPUTED_VALUE"""),66.91)</f>
        <v>66.91</v>
      </c>
      <c r="C2003" s="1">
        <f>IFERROR(__xludf.DUMMYFUNCTION("""COMPUTED_VALUE"""),67.79)</f>
        <v>67.79</v>
      </c>
      <c r="D2003" s="1">
        <f>IFERROR(__xludf.DUMMYFUNCTION("""COMPUTED_VALUE"""),66.14)</f>
        <v>66.14</v>
      </c>
      <c r="E2003" s="1">
        <f>IFERROR(__xludf.DUMMYFUNCTION("""COMPUTED_VALUE"""),67.47)</f>
        <v>67.47</v>
      </c>
      <c r="F2003" s="1">
        <f>IFERROR(__xludf.DUMMYFUNCTION("""COMPUTED_VALUE"""),1614619.0)</f>
        <v>1614619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IFERROR(__xludf.DUMMYFUNCTION("""COMPUTED_VALUE"""),68.5)</f>
        <v>68.5</v>
      </c>
      <c r="C2004" s="1">
        <f>IFERROR(__xludf.DUMMYFUNCTION("""COMPUTED_VALUE"""),69.25)</f>
        <v>69.25</v>
      </c>
      <c r="D2004" s="1">
        <f>IFERROR(__xludf.DUMMYFUNCTION("""COMPUTED_VALUE"""),66.84)</f>
        <v>66.84</v>
      </c>
      <c r="E2004" s="1">
        <f>IFERROR(__xludf.DUMMYFUNCTION("""COMPUTED_VALUE"""),67.09)</f>
        <v>67.09</v>
      </c>
      <c r="F2004" s="1">
        <f>IFERROR(__xludf.DUMMYFUNCTION("""COMPUTED_VALUE"""),2388656.0)</f>
        <v>2388656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IFERROR(__xludf.DUMMYFUNCTION("""COMPUTED_VALUE"""),67.55)</f>
        <v>67.55</v>
      </c>
      <c r="C2005" s="1">
        <f>IFERROR(__xludf.DUMMYFUNCTION("""COMPUTED_VALUE"""),68.34)</f>
        <v>68.34</v>
      </c>
      <c r="D2005" s="1">
        <f>IFERROR(__xludf.DUMMYFUNCTION("""COMPUTED_VALUE"""),67.26)</f>
        <v>67.26</v>
      </c>
      <c r="E2005" s="1">
        <f>IFERROR(__xludf.DUMMYFUNCTION("""COMPUTED_VALUE"""),67.73)</f>
        <v>67.73</v>
      </c>
      <c r="F2005" s="1">
        <f>IFERROR(__xludf.DUMMYFUNCTION("""COMPUTED_VALUE"""),2828879.0)</f>
        <v>2828879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IFERROR(__xludf.DUMMYFUNCTION("""COMPUTED_VALUE"""),68.19)</f>
        <v>68.19</v>
      </c>
      <c r="C2006" s="1">
        <f>IFERROR(__xludf.DUMMYFUNCTION("""COMPUTED_VALUE"""),69.08)</f>
        <v>69.08</v>
      </c>
      <c r="D2006" s="1">
        <f>IFERROR(__xludf.DUMMYFUNCTION("""COMPUTED_VALUE"""),68.04)</f>
        <v>68.04</v>
      </c>
      <c r="E2006" s="1">
        <f>IFERROR(__xludf.DUMMYFUNCTION("""COMPUTED_VALUE"""),68.52)</f>
        <v>68.52</v>
      </c>
      <c r="F2006" s="1">
        <f>IFERROR(__xludf.DUMMYFUNCTION("""COMPUTED_VALUE"""),2270406.0)</f>
        <v>2270406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IFERROR(__xludf.DUMMYFUNCTION("""COMPUTED_VALUE"""),68.52)</f>
        <v>68.52</v>
      </c>
      <c r="C2007" s="1">
        <f>IFERROR(__xludf.DUMMYFUNCTION("""COMPUTED_VALUE"""),68.64)</f>
        <v>68.64</v>
      </c>
      <c r="D2007" s="1">
        <f>IFERROR(__xludf.DUMMYFUNCTION("""COMPUTED_VALUE"""),67.34)</f>
        <v>67.34</v>
      </c>
      <c r="E2007" s="1">
        <f>IFERROR(__xludf.DUMMYFUNCTION("""COMPUTED_VALUE"""),67.85)</f>
        <v>67.85</v>
      </c>
      <c r="F2007" s="1">
        <f>IFERROR(__xludf.DUMMYFUNCTION("""COMPUTED_VALUE"""),3865981.0)</f>
        <v>3865981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IFERROR(__xludf.DUMMYFUNCTION("""COMPUTED_VALUE"""),68.26)</f>
        <v>68.26</v>
      </c>
      <c r="C2008" s="1">
        <f>IFERROR(__xludf.DUMMYFUNCTION("""COMPUTED_VALUE"""),68.88)</f>
        <v>68.88</v>
      </c>
      <c r="D2008" s="1">
        <f>IFERROR(__xludf.DUMMYFUNCTION("""COMPUTED_VALUE"""),67.34)</f>
        <v>67.34</v>
      </c>
      <c r="E2008" s="1">
        <f>IFERROR(__xludf.DUMMYFUNCTION("""COMPUTED_VALUE"""),68.47)</f>
        <v>68.47</v>
      </c>
      <c r="F2008" s="1">
        <f>IFERROR(__xludf.DUMMYFUNCTION("""COMPUTED_VALUE"""),4614596.0)</f>
        <v>4614596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IFERROR(__xludf.DUMMYFUNCTION("""COMPUTED_VALUE"""),67.54)</f>
        <v>67.54</v>
      </c>
      <c r="C2009" s="1">
        <f>IFERROR(__xludf.DUMMYFUNCTION("""COMPUTED_VALUE"""),67.56)</f>
        <v>67.56</v>
      </c>
      <c r="D2009" s="1">
        <f>IFERROR(__xludf.DUMMYFUNCTION("""COMPUTED_VALUE"""),64.81)</f>
        <v>64.81</v>
      </c>
      <c r="E2009" s="1">
        <f>IFERROR(__xludf.DUMMYFUNCTION("""COMPUTED_VALUE"""),66.0)</f>
        <v>66</v>
      </c>
      <c r="F2009" s="1">
        <f>IFERROR(__xludf.DUMMYFUNCTION("""COMPUTED_VALUE"""),6327698.0)</f>
        <v>6327698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IFERROR(__xludf.DUMMYFUNCTION("""COMPUTED_VALUE"""),66.09)</f>
        <v>66.09</v>
      </c>
      <c r="C2010" s="1">
        <f>IFERROR(__xludf.DUMMYFUNCTION("""COMPUTED_VALUE"""),66.16)</f>
        <v>66.16</v>
      </c>
      <c r="D2010" s="1">
        <f>IFERROR(__xludf.DUMMYFUNCTION("""COMPUTED_VALUE"""),64.78)</f>
        <v>64.78</v>
      </c>
      <c r="E2010" s="1">
        <f>IFERROR(__xludf.DUMMYFUNCTION("""COMPUTED_VALUE"""),65.23)</f>
        <v>65.23</v>
      </c>
      <c r="F2010" s="1">
        <f>IFERROR(__xludf.DUMMYFUNCTION("""COMPUTED_VALUE"""),2431030.0)</f>
        <v>2431030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IFERROR(__xludf.DUMMYFUNCTION("""COMPUTED_VALUE"""),65.15)</f>
        <v>65.15</v>
      </c>
      <c r="C2011" s="1">
        <f>IFERROR(__xludf.DUMMYFUNCTION("""COMPUTED_VALUE"""),65.74)</f>
        <v>65.74</v>
      </c>
      <c r="D2011" s="1">
        <f>IFERROR(__xludf.DUMMYFUNCTION("""COMPUTED_VALUE"""),65.05)</f>
        <v>65.05</v>
      </c>
      <c r="E2011" s="1">
        <f>IFERROR(__xludf.DUMMYFUNCTION("""COMPUTED_VALUE"""),65.55)</f>
        <v>65.55</v>
      </c>
      <c r="F2011" s="1">
        <f>IFERROR(__xludf.DUMMYFUNCTION("""COMPUTED_VALUE"""),1882557.0)</f>
        <v>1882557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IFERROR(__xludf.DUMMYFUNCTION("""COMPUTED_VALUE"""),65.62)</f>
        <v>65.62</v>
      </c>
      <c r="C2012" s="1">
        <f>IFERROR(__xludf.DUMMYFUNCTION("""COMPUTED_VALUE"""),65.66)</f>
        <v>65.66</v>
      </c>
      <c r="D2012" s="1">
        <f>IFERROR(__xludf.DUMMYFUNCTION("""COMPUTED_VALUE"""),64.83)</f>
        <v>64.83</v>
      </c>
      <c r="E2012" s="1">
        <f>IFERROR(__xludf.DUMMYFUNCTION("""COMPUTED_VALUE"""),64.91)</f>
        <v>64.91</v>
      </c>
      <c r="F2012" s="1">
        <f>IFERROR(__xludf.DUMMYFUNCTION("""COMPUTED_VALUE"""),1501418.0)</f>
        <v>1501418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IFERROR(__xludf.DUMMYFUNCTION("""COMPUTED_VALUE"""),65.03)</f>
        <v>65.03</v>
      </c>
      <c r="C2013" s="1">
        <f>IFERROR(__xludf.DUMMYFUNCTION("""COMPUTED_VALUE"""),65.07)</f>
        <v>65.07</v>
      </c>
      <c r="D2013" s="1">
        <f>IFERROR(__xludf.DUMMYFUNCTION("""COMPUTED_VALUE"""),64.38)</f>
        <v>64.38</v>
      </c>
      <c r="E2013" s="1">
        <f>IFERROR(__xludf.DUMMYFUNCTION("""COMPUTED_VALUE"""),64.81)</f>
        <v>64.81</v>
      </c>
      <c r="F2013" s="1">
        <f>IFERROR(__xludf.DUMMYFUNCTION("""COMPUTED_VALUE"""),1339096.0)</f>
        <v>1339096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IFERROR(__xludf.DUMMYFUNCTION("""COMPUTED_VALUE"""),65.14)</f>
        <v>65.14</v>
      </c>
      <c r="C2014" s="1">
        <f>IFERROR(__xludf.DUMMYFUNCTION("""COMPUTED_VALUE"""),65.34)</f>
        <v>65.34</v>
      </c>
      <c r="D2014" s="1">
        <f>IFERROR(__xludf.DUMMYFUNCTION("""COMPUTED_VALUE"""),64.13)</f>
        <v>64.13</v>
      </c>
      <c r="E2014" s="1">
        <f>IFERROR(__xludf.DUMMYFUNCTION("""COMPUTED_VALUE"""),64.13)</f>
        <v>64.13</v>
      </c>
      <c r="F2014" s="1">
        <f>IFERROR(__xludf.DUMMYFUNCTION("""COMPUTED_VALUE"""),1447283.0)</f>
        <v>1447283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IFERROR(__xludf.DUMMYFUNCTION("""COMPUTED_VALUE"""),64.26)</f>
        <v>64.26</v>
      </c>
      <c r="C2015" s="1">
        <f>IFERROR(__xludf.DUMMYFUNCTION("""COMPUTED_VALUE"""),64.81)</f>
        <v>64.81</v>
      </c>
      <c r="D2015" s="1">
        <f>IFERROR(__xludf.DUMMYFUNCTION("""COMPUTED_VALUE"""),63.56)</f>
        <v>63.56</v>
      </c>
      <c r="E2015" s="1">
        <f>IFERROR(__xludf.DUMMYFUNCTION("""COMPUTED_VALUE"""),64.76)</f>
        <v>64.76</v>
      </c>
      <c r="F2015" s="1">
        <f>IFERROR(__xludf.DUMMYFUNCTION("""COMPUTED_VALUE"""),2715325.0)</f>
        <v>2715325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IFERROR(__xludf.DUMMYFUNCTION("""COMPUTED_VALUE"""),65.0)</f>
        <v>65</v>
      </c>
      <c r="C2016" s="1">
        <f>IFERROR(__xludf.DUMMYFUNCTION("""COMPUTED_VALUE"""),67.0)</f>
        <v>67</v>
      </c>
      <c r="D2016" s="1">
        <f>IFERROR(__xludf.DUMMYFUNCTION("""COMPUTED_VALUE"""),64.8)</f>
        <v>64.8</v>
      </c>
      <c r="E2016" s="1">
        <f>IFERROR(__xludf.DUMMYFUNCTION("""COMPUTED_VALUE"""),66.94)</f>
        <v>66.94</v>
      </c>
      <c r="F2016" s="1">
        <f>IFERROR(__xludf.DUMMYFUNCTION("""COMPUTED_VALUE"""),4196054.0)</f>
        <v>4196054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IFERROR(__xludf.DUMMYFUNCTION("""COMPUTED_VALUE"""),67.25)</f>
        <v>67.25</v>
      </c>
      <c r="C2017" s="1">
        <f>IFERROR(__xludf.DUMMYFUNCTION("""COMPUTED_VALUE"""),68.96)</f>
        <v>68.96</v>
      </c>
      <c r="D2017" s="1">
        <f>IFERROR(__xludf.DUMMYFUNCTION("""COMPUTED_VALUE"""),67.25)</f>
        <v>67.25</v>
      </c>
      <c r="E2017" s="1">
        <f>IFERROR(__xludf.DUMMYFUNCTION("""COMPUTED_VALUE"""),68.25)</f>
        <v>68.25</v>
      </c>
      <c r="F2017" s="1">
        <f>IFERROR(__xludf.DUMMYFUNCTION("""COMPUTED_VALUE"""),4086190.0)</f>
        <v>4086190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IFERROR(__xludf.DUMMYFUNCTION("""COMPUTED_VALUE"""),68.5)</f>
        <v>68.5</v>
      </c>
      <c r="C2018" s="1">
        <f>IFERROR(__xludf.DUMMYFUNCTION("""COMPUTED_VALUE"""),71.17)</f>
        <v>71.17</v>
      </c>
      <c r="D2018" s="1">
        <f>IFERROR(__xludf.DUMMYFUNCTION("""COMPUTED_VALUE"""),68.5)</f>
        <v>68.5</v>
      </c>
      <c r="E2018" s="1">
        <f>IFERROR(__xludf.DUMMYFUNCTION("""COMPUTED_VALUE"""),71.04)</f>
        <v>71.04</v>
      </c>
      <c r="F2018" s="1">
        <f>IFERROR(__xludf.DUMMYFUNCTION("""COMPUTED_VALUE"""),3797033.0)</f>
        <v>3797033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IFERROR(__xludf.DUMMYFUNCTION("""COMPUTED_VALUE"""),71.9)</f>
        <v>71.9</v>
      </c>
      <c r="C2019" s="1">
        <f>IFERROR(__xludf.DUMMYFUNCTION("""COMPUTED_VALUE"""),72.19)</f>
        <v>72.19</v>
      </c>
      <c r="D2019" s="1">
        <f>IFERROR(__xludf.DUMMYFUNCTION("""COMPUTED_VALUE"""),69.41)</f>
        <v>69.41</v>
      </c>
      <c r="E2019" s="1">
        <f>IFERROR(__xludf.DUMMYFUNCTION("""COMPUTED_VALUE"""),70.05)</f>
        <v>70.05</v>
      </c>
      <c r="F2019" s="1">
        <f>IFERROR(__xludf.DUMMYFUNCTION("""COMPUTED_VALUE"""),3627348.0)</f>
        <v>3627348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IFERROR(__xludf.DUMMYFUNCTION("""COMPUTED_VALUE"""),69.84)</f>
        <v>69.84</v>
      </c>
      <c r="C2020" s="1">
        <f>IFERROR(__xludf.DUMMYFUNCTION("""COMPUTED_VALUE"""),69.97)</f>
        <v>69.97</v>
      </c>
      <c r="D2020" s="1">
        <f>IFERROR(__xludf.DUMMYFUNCTION("""COMPUTED_VALUE"""),69.03)</f>
        <v>69.03</v>
      </c>
      <c r="E2020" s="1">
        <f>IFERROR(__xludf.DUMMYFUNCTION("""COMPUTED_VALUE"""),69.8)</f>
        <v>69.8</v>
      </c>
      <c r="F2020" s="1">
        <f>IFERROR(__xludf.DUMMYFUNCTION("""COMPUTED_VALUE"""),2361903.0)</f>
        <v>2361903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IFERROR(__xludf.DUMMYFUNCTION("""COMPUTED_VALUE"""),69.75)</f>
        <v>69.75</v>
      </c>
      <c r="C2021" s="1">
        <f>IFERROR(__xludf.DUMMYFUNCTION("""COMPUTED_VALUE"""),70.34)</f>
        <v>70.34</v>
      </c>
      <c r="D2021" s="1">
        <f>IFERROR(__xludf.DUMMYFUNCTION("""COMPUTED_VALUE"""),69.3)</f>
        <v>69.3</v>
      </c>
      <c r="E2021" s="1">
        <f>IFERROR(__xludf.DUMMYFUNCTION("""COMPUTED_VALUE"""),70.3)</f>
        <v>70.3</v>
      </c>
      <c r="F2021" s="1">
        <f>IFERROR(__xludf.DUMMYFUNCTION("""COMPUTED_VALUE"""),2132009.0)</f>
        <v>2132009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IFERROR(__xludf.DUMMYFUNCTION("""COMPUTED_VALUE"""),70.43)</f>
        <v>70.43</v>
      </c>
      <c r="C2022" s="1">
        <f>IFERROR(__xludf.DUMMYFUNCTION("""COMPUTED_VALUE"""),72.11)</f>
        <v>72.11</v>
      </c>
      <c r="D2022" s="1">
        <f>IFERROR(__xludf.DUMMYFUNCTION("""COMPUTED_VALUE"""),70.43)</f>
        <v>70.43</v>
      </c>
      <c r="E2022" s="1">
        <f>IFERROR(__xludf.DUMMYFUNCTION("""COMPUTED_VALUE"""),71.91)</f>
        <v>71.91</v>
      </c>
      <c r="F2022" s="1">
        <f>IFERROR(__xludf.DUMMYFUNCTION("""COMPUTED_VALUE"""),1936286.0)</f>
        <v>1936286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IFERROR(__xludf.DUMMYFUNCTION("""COMPUTED_VALUE"""),71.82)</f>
        <v>71.82</v>
      </c>
      <c r="C2023" s="1">
        <f>IFERROR(__xludf.DUMMYFUNCTION("""COMPUTED_VALUE"""),72.81)</f>
        <v>72.81</v>
      </c>
      <c r="D2023" s="1">
        <f>IFERROR(__xludf.DUMMYFUNCTION("""COMPUTED_VALUE"""),71.76)</f>
        <v>71.76</v>
      </c>
      <c r="E2023" s="1">
        <f>IFERROR(__xludf.DUMMYFUNCTION("""COMPUTED_VALUE"""),72.33)</f>
        <v>72.33</v>
      </c>
      <c r="F2023" s="1">
        <f>IFERROR(__xludf.DUMMYFUNCTION("""COMPUTED_VALUE"""),1904857.0)</f>
        <v>1904857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IFERROR(__xludf.DUMMYFUNCTION("""COMPUTED_VALUE"""),72.71)</f>
        <v>72.71</v>
      </c>
      <c r="C2024" s="1">
        <f>IFERROR(__xludf.DUMMYFUNCTION("""COMPUTED_VALUE"""),72.88)</f>
        <v>72.88</v>
      </c>
      <c r="D2024" s="1">
        <f>IFERROR(__xludf.DUMMYFUNCTION("""COMPUTED_VALUE"""),71.02)</f>
        <v>71.02</v>
      </c>
      <c r="E2024" s="1">
        <f>IFERROR(__xludf.DUMMYFUNCTION("""COMPUTED_VALUE"""),71.33)</f>
        <v>71.33</v>
      </c>
      <c r="F2024" s="1">
        <f>IFERROR(__xludf.DUMMYFUNCTION("""COMPUTED_VALUE"""),1521216.0)</f>
        <v>1521216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IFERROR(__xludf.DUMMYFUNCTION("""COMPUTED_VALUE"""),71.36)</f>
        <v>71.36</v>
      </c>
      <c r="C2025" s="1">
        <f>IFERROR(__xludf.DUMMYFUNCTION("""COMPUTED_VALUE"""),71.56)</f>
        <v>71.56</v>
      </c>
      <c r="D2025" s="1">
        <f>IFERROR(__xludf.DUMMYFUNCTION("""COMPUTED_VALUE"""),69.74)</f>
        <v>69.74</v>
      </c>
      <c r="E2025" s="1">
        <f>IFERROR(__xludf.DUMMYFUNCTION("""COMPUTED_VALUE"""),69.84)</f>
        <v>69.84</v>
      </c>
      <c r="F2025" s="1">
        <f>IFERROR(__xludf.DUMMYFUNCTION("""COMPUTED_VALUE"""),1659452.0)</f>
        <v>1659452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IFERROR(__xludf.DUMMYFUNCTION("""COMPUTED_VALUE"""),71.64)</f>
        <v>71.64</v>
      </c>
      <c r="C2026" s="1">
        <f>IFERROR(__xludf.DUMMYFUNCTION("""COMPUTED_VALUE"""),71.64)</f>
        <v>71.64</v>
      </c>
      <c r="D2026" s="1">
        <f>IFERROR(__xludf.DUMMYFUNCTION("""COMPUTED_VALUE"""),70.23)</f>
        <v>70.23</v>
      </c>
      <c r="E2026" s="1">
        <f>IFERROR(__xludf.DUMMYFUNCTION("""COMPUTED_VALUE"""),70.54)</f>
        <v>70.54</v>
      </c>
      <c r="F2026" s="1">
        <f>IFERROR(__xludf.DUMMYFUNCTION("""COMPUTED_VALUE"""),1159503.0)</f>
        <v>1159503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IFERROR(__xludf.DUMMYFUNCTION("""COMPUTED_VALUE"""),70.93)</f>
        <v>70.93</v>
      </c>
      <c r="C2027" s="1">
        <f>IFERROR(__xludf.DUMMYFUNCTION("""COMPUTED_VALUE"""),70.93)</f>
        <v>70.93</v>
      </c>
      <c r="D2027" s="1">
        <f>IFERROR(__xludf.DUMMYFUNCTION("""COMPUTED_VALUE"""),69.88)</f>
        <v>69.88</v>
      </c>
      <c r="E2027" s="1">
        <f>IFERROR(__xludf.DUMMYFUNCTION("""COMPUTED_VALUE"""),70.58)</f>
        <v>70.58</v>
      </c>
      <c r="F2027" s="1">
        <f>IFERROR(__xludf.DUMMYFUNCTION("""COMPUTED_VALUE"""),1202842.0)</f>
        <v>1202842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IFERROR(__xludf.DUMMYFUNCTION("""COMPUTED_VALUE"""),70.95)</f>
        <v>70.95</v>
      </c>
      <c r="C2028" s="1">
        <f>IFERROR(__xludf.DUMMYFUNCTION("""COMPUTED_VALUE"""),71.57)</f>
        <v>71.57</v>
      </c>
      <c r="D2028" s="1">
        <f>IFERROR(__xludf.DUMMYFUNCTION("""COMPUTED_VALUE"""),70.62)</f>
        <v>70.62</v>
      </c>
      <c r="E2028" s="1">
        <f>IFERROR(__xludf.DUMMYFUNCTION("""COMPUTED_VALUE"""),71.49)</f>
        <v>71.49</v>
      </c>
      <c r="F2028" s="1">
        <f>IFERROR(__xludf.DUMMYFUNCTION("""COMPUTED_VALUE"""),1767521.0)</f>
        <v>1767521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IFERROR(__xludf.DUMMYFUNCTION("""COMPUTED_VALUE"""),71.42)</f>
        <v>71.42</v>
      </c>
      <c r="C2029" s="1">
        <f>IFERROR(__xludf.DUMMYFUNCTION("""COMPUTED_VALUE"""),71.42)</f>
        <v>71.42</v>
      </c>
      <c r="D2029" s="1">
        <f>IFERROR(__xludf.DUMMYFUNCTION("""COMPUTED_VALUE"""),69.79)</f>
        <v>69.79</v>
      </c>
      <c r="E2029" s="1">
        <f>IFERROR(__xludf.DUMMYFUNCTION("""COMPUTED_VALUE"""),70.54)</f>
        <v>70.54</v>
      </c>
      <c r="F2029" s="1">
        <f>IFERROR(__xludf.DUMMYFUNCTION("""COMPUTED_VALUE"""),1643654.0)</f>
        <v>1643654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IFERROR(__xludf.DUMMYFUNCTION("""COMPUTED_VALUE"""),70.63)</f>
        <v>70.63</v>
      </c>
      <c r="C2030" s="1">
        <f>IFERROR(__xludf.DUMMYFUNCTION("""COMPUTED_VALUE"""),71.18)</f>
        <v>71.18</v>
      </c>
      <c r="D2030" s="1">
        <f>IFERROR(__xludf.DUMMYFUNCTION("""COMPUTED_VALUE"""),70.2)</f>
        <v>70.2</v>
      </c>
      <c r="E2030" s="1">
        <f>IFERROR(__xludf.DUMMYFUNCTION("""COMPUTED_VALUE"""),70.95)</f>
        <v>70.95</v>
      </c>
      <c r="F2030" s="1">
        <f>IFERROR(__xludf.DUMMYFUNCTION("""COMPUTED_VALUE"""),1345194.0)</f>
        <v>1345194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IFERROR(__xludf.DUMMYFUNCTION("""COMPUTED_VALUE"""),71.37)</f>
        <v>71.37</v>
      </c>
      <c r="C2031" s="1">
        <f>IFERROR(__xludf.DUMMYFUNCTION("""COMPUTED_VALUE"""),71.72)</f>
        <v>71.72</v>
      </c>
      <c r="D2031" s="1">
        <f>IFERROR(__xludf.DUMMYFUNCTION("""COMPUTED_VALUE"""),71.03)</f>
        <v>71.03</v>
      </c>
      <c r="E2031" s="1">
        <f>IFERROR(__xludf.DUMMYFUNCTION("""COMPUTED_VALUE"""),71.54)</f>
        <v>71.54</v>
      </c>
      <c r="F2031" s="1">
        <f>IFERROR(__xludf.DUMMYFUNCTION("""COMPUTED_VALUE"""),1347600.0)</f>
        <v>1347600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IFERROR(__xludf.DUMMYFUNCTION("""COMPUTED_VALUE"""),71.83)</f>
        <v>71.83</v>
      </c>
      <c r="C2032" s="1">
        <f>IFERROR(__xludf.DUMMYFUNCTION("""COMPUTED_VALUE"""),72.42)</f>
        <v>72.42</v>
      </c>
      <c r="D2032" s="1">
        <f>IFERROR(__xludf.DUMMYFUNCTION("""COMPUTED_VALUE"""),71.2)</f>
        <v>71.2</v>
      </c>
      <c r="E2032" s="1">
        <f>IFERROR(__xludf.DUMMYFUNCTION("""COMPUTED_VALUE"""),72.42)</f>
        <v>72.42</v>
      </c>
      <c r="F2032" s="1">
        <f>IFERROR(__xludf.DUMMYFUNCTION("""COMPUTED_VALUE"""),1104560.0)</f>
        <v>1104560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IFERROR(__xludf.DUMMYFUNCTION("""COMPUTED_VALUE"""),72.33)</f>
        <v>72.33</v>
      </c>
      <c r="C2033" s="1">
        <f>IFERROR(__xludf.DUMMYFUNCTION("""COMPUTED_VALUE"""),72.55)</f>
        <v>72.55</v>
      </c>
      <c r="D2033" s="1">
        <f>IFERROR(__xludf.DUMMYFUNCTION("""COMPUTED_VALUE"""),71.83)</f>
        <v>71.83</v>
      </c>
      <c r="E2033" s="1">
        <f>IFERROR(__xludf.DUMMYFUNCTION("""COMPUTED_VALUE"""),72.36)</f>
        <v>72.36</v>
      </c>
      <c r="F2033" s="1">
        <f>IFERROR(__xludf.DUMMYFUNCTION("""COMPUTED_VALUE"""),1387316.0)</f>
        <v>1387316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IFERROR(__xludf.DUMMYFUNCTION("""COMPUTED_VALUE"""),71.77)</f>
        <v>71.77</v>
      </c>
      <c r="C2034" s="1">
        <f>IFERROR(__xludf.DUMMYFUNCTION("""COMPUTED_VALUE"""),72.26)</f>
        <v>72.26</v>
      </c>
      <c r="D2034" s="1">
        <f>IFERROR(__xludf.DUMMYFUNCTION("""COMPUTED_VALUE"""),71.21)</f>
        <v>71.21</v>
      </c>
      <c r="E2034" s="1">
        <f>IFERROR(__xludf.DUMMYFUNCTION("""COMPUTED_VALUE"""),71.82)</f>
        <v>71.82</v>
      </c>
      <c r="F2034" s="1">
        <f>IFERROR(__xludf.DUMMYFUNCTION("""COMPUTED_VALUE"""),2077706.0)</f>
        <v>2077706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IFERROR(__xludf.DUMMYFUNCTION("""COMPUTED_VALUE"""),72.14)</f>
        <v>72.14</v>
      </c>
      <c r="C2035" s="1">
        <f>IFERROR(__xludf.DUMMYFUNCTION("""COMPUTED_VALUE"""),72.55)</f>
        <v>72.55</v>
      </c>
      <c r="D2035" s="1">
        <f>IFERROR(__xludf.DUMMYFUNCTION("""COMPUTED_VALUE"""),71.04)</f>
        <v>71.04</v>
      </c>
      <c r="E2035" s="1">
        <f>IFERROR(__xludf.DUMMYFUNCTION("""COMPUTED_VALUE"""),71.37)</f>
        <v>71.37</v>
      </c>
      <c r="F2035" s="1">
        <f>IFERROR(__xludf.DUMMYFUNCTION("""COMPUTED_VALUE"""),2280179.0)</f>
        <v>2280179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IFERROR(__xludf.DUMMYFUNCTION("""COMPUTED_VALUE"""),71.0)</f>
        <v>71</v>
      </c>
      <c r="C2036" s="1">
        <f>IFERROR(__xludf.DUMMYFUNCTION("""COMPUTED_VALUE"""),71.05)</f>
        <v>71.05</v>
      </c>
      <c r="D2036" s="1">
        <f>IFERROR(__xludf.DUMMYFUNCTION("""COMPUTED_VALUE"""),70.04)</f>
        <v>70.04</v>
      </c>
      <c r="E2036" s="1">
        <f>IFERROR(__xludf.DUMMYFUNCTION("""COMPUTED_VALUE"""),70.81)</f>
        <v>70.81</v>
      </c>
      <c r="F2036" s="1">
        <f>IFERROR(__xludf.DUMMYFUNCTION("""COMPUTED_VALUE"""),1266309.0)</f>
        <v>1266309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IFERROR(__xludf.DUMMYFUNCTION("""COMPUTED_VALUE"""),70.6)</f>
        <v>70.6</v>
      </c>
      <c r="C2037" s="1">
        <f>IFERROR(__xludf.DUMMYFUNCTION("""COMPUTED_VALUE"""),70.73)</f>
        <v>70.73</v>
      </c>
      <c r="D2037" s="1">
        <f>IFERROR(__xludf.DUMMYFUNCTION("""COMPUTED_VALUE"""),68.74)</f>
        <v>68.74</v>
      </c>
      <c r="E2037" s="1">
        <f>IFERROR(__xludf.DUMMYFUNCTION("""COMPUTED_VALUE"""),68.75)</f>
        <v>68.75</v>
      </c>
      <c r="F2037" s="1">
        <f>IFERROR(__xludf.DUMMYFUNCTION("""COMPUTED_VALUE"""),2090244.0)</f>
        <v>2090244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IFERROR(__xludf.DUMMYFUNCTION("""COMPUTED_VALUE"""),68.08)</f>
        <v>68.08</v>
      </c>
      <c r="C2038" s="1">
        <f>IFERROR(__xludf.DUMMYFUNCTION("""COMPUTED_VALUE"""),68.2)</f>
        <v>68.2</v>
      </c>
      <c r="D2038" s="1">
        <f>IFERROR(__xludf.DUMMYFUNCTION("""COMPUTED_VALUE"""),64.81)</f>
        <v>64.81</v>
      </c>
      <c r="E2038" s="1">
        <f>IFERROR(__xludf.DUMMYFUNCTION("""COMPUTED_VALUE"""),64.82)</f>
        <v>64.82</v>
      </c>
      <c r="F2038" s="1">
        <f>IFERROR(__xludf.DUMMYFUNCTION("""COMPUTED_VALUE"""),6223025.0)</f>
        <v>6223025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IFERROR(__xludf.DUMMYFUNCTION("""COMPUTED_VALUE"""),63.51)</f>
        <v>63.51</v>
      </c>
      <c r="C2039" s="1">
        <f>IFERROR(__xludf.DUMMYFUNCTION("""COMPUTED_VALUE"""),66.15)</f>
        <v>66.15</v>
      </c>
      <c r="D2039" s="1">
        <f>IFERROR(__xludf.DUMMYFUNCTION("""COMPUTED_VALUE"""),63.51)</f>
        <v>63.51</v>
      </c>
      <c r="E2039" s="1">
        <f>IFERROR(__xludf.DUMMYFUNCTION("""COMPUTED_VALUE"""),65.32)</f>
        <v>65.32</v>
      </c>
      <c r="F2039" s="1">
        <f>IFERROR(__xludf.DUMMYFUNCTION("""COMPUTED_VALUE"""),3749214.0)</f>
        <v>3749214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IFERROR(__xludf.DUMMYFUNCTION("""COMPUTED_VALUE"""),64.89)</f>
        <v>64.89</v>
      </c>
      <c r="C2040" s="1">
        <f>IFERROR(__xludf.DUMMYFUNCTION("""COMPUTED_VALUE"""),66.06)</f>
        <v>66.06</v>
      </c>
      <c r="D2040" s="1">
        <f>IFERROR(__xludf.DUMMYFUNCTION("""COMPUTED_VALUE"""),64.59)</f>
        <v>64.59</v>
      </c>
      <c r="E2040" s="1">
        <f>IFERROR(__xludf.DUMMYFUNCTION("""COMPUTED_VALUE"""),65.4)</f>
        <v>65.4</v>
      </c>
      <c r="F2040" s="1">
        <f>IFERROR(__xludf.DUMMYFUNCTION("""COMPUTED_VALUE"""),1880342.0)</f>
        <v>1880342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IFERROR(__xludf.DUMMYFUNCTION("""COMPUTED_VALUE"""),65.21)</f>
        <v>65.21</v>
      </c>
      <c r="C2041" s="1">
        <f>IFERROR(__xludf.DUMMYFUNCTION("""COMPUTED_VALUE"""),65.93)</f>
        <v>65.93</v>
      </c>
      <c r="D2041" s="1">
        <f>IFERROR(__xludf.DUMMYFUNCTION("""COMPUTED_VALUE"""),64.33)</f>
        <v>64.33</v>
      </c>
      <c r="E2041" s="1">
        <f>IFERROR(__xludf.DUMMYFUNCTION("""COMPUTED_VALUE"""),64.34)</f>
        <v>64.34</v>
      </c>
      <c r="F2041" s="1">
        <f>IFERROR(__xludf.DUMMYFUNCTION("""COMPUTED_VALUE"""),3096636.0)</f>
        <v>3096636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IFERROR(__xludf.DUMMYFUNCTION("""COMPUTED_VALUE"""),64.93)</f>
        <v>64.93</v>
      </c>
      <c r="C2042" s="1">
        <f>IFERROR(__xludf.DUMMYFUNCTION("""COMPUTED_VALUE"""),65.33)</f>
        <v>65.33</v>
      </c>
      <c r="D2042" s="1">
        <f>IFERROR(__xludf.DUMMYFUNCTION("""COMPUTED_VALUE"""),62.44)</f>
        <v>62.44</v>
      </c>
      <c r="E2042" s="1">
        <f>IFERROR(__xludf.DUMMYFUNCTION("""COMPUTED_VALUE"""),64.49)</f>
        <v>64.49</v>
      </c>
      <c r="F2042" s="1">
        <f>IFERROR(__xludf.DUMMYFUNCTION("""COMPUTED_VALUE"""),3080087.0)</f>
        <v>3080087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IFERROR(__xludf.DUMMYFUNCTION("""COMPUTED_VALUE"""),65.56)</f>
        <v>65.56</v>
      </c>
      <c r="C2043" s="1">
        <f>IFERROR(__xludf.DUMMYFUNCTION("""COMPUTED_VALUE"""),66.16)</f>
        <v>66.16</v>
      </c>
      <c r="D2043" s="1">
        <f>IFERROR(__xludf.DUMMYFUNCTION("""COMPUTED_VALUE"""),64.46)</f>
        <v>64.46</v>
      </c>
      <c r="E2043" s="1">
        <f>IFERROR(__xludf.DUMMYFUNCTION("""COMPUTED_VALUE"""),65.66)</f>
        <v>65.66</v>
      </c>
      <c r="F2043" s="1">
        <f>IFERROR(__xludf.DUMMYFUNCTION("""COMPUTED_VALUE"""),1473224.0)</f>
        <v>1473224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IFERROR(__xludf.DUMMYFUNCTION("""COMPUTED_VALUE"""),65.22)</f>
        <v>65.22</v>
      </c>
      <c r="C2044" s="1">
        <f>IFERROR(__xludf.DUMMYFUNCTION("""COMPUTED_VALUE"""),65.29)</f>
        <v>65.29</v>
      </c>
      <c r="D2044" s="1">
        <f>IFERROR(__xludf.DUMMYFUNCTION("""COMPUTED_VALUE"""),62.31)</f>
        <v>62.31</v>
      </c>
      <c r="E2044" s="1">
        <f>IFERROR(__xludf.DUMMYFUNCTION("""COMPUTED_VALUE"""),63.39)</f>
        <v>63.39</v>
      </c>
      <c r="F2044" s="1">
        <f>IFERROR(__xludf.DUMMYFUNCTION("""COMPUTED_VALUE"""),2663421.0)</f>
        <v>2663421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IFERROR(__xludf.DUMMYFUNCTION("""COMPUTED_VALUE"""),62.8)</f>
        <v>62.8</v>
      </c>
      <c r="C2045" s="1">
        <f>IFERROR(__xludf.DUMMYFUNCTION("""COMPUTED_VALUE"""),64.25)</f>
        <v>64.25</v>
      </c>
      <c r="D2045" s="1">
        <f>IFERROR(__xludf.DUMMYFUNCTION("""COMPUTED_VALUE"""),62.63)</f>
        <v>62.63</v>
      </c>
      <c r="E2045" s="1">
        <f>IFERROR(__xludf.DUMMYFUNCTION("""COMPUTED_VALUE"""),63.78)</f>
        <v>63.78</v>
      </c>
      <c r="F2045" s="1">
        <f>IFERROR(__xludf.DUMMYFUNCTION("""COMPUTED_VALUE"""),2731669.0)</f>
        <v>2731669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IFERROR(__xludf.DUMMYFUNCTION("""COMPUTED_VALUE"""),62.27)</f>
        <v>62.27</v>
      </c>
      <c r="C2046" s="1">
        <f>IFERROR(__xludf.DUMMYFUNCTION("""COMPUTED_VALUE"""),64.36)</f>
        <v>64.36</v>
      </c>
      <c r="D2046" s="1">
        <f>IFERROR(__xludf.DUMMYFUNCTION("""COMPUTED_VALUE"""),59.7)</f>
        <v>59.7</v>
      </c>
      <c r="E2046" s="1">
        <f>IFERROR(__xludf.DUMMYFUNCTION("""COMPUTED_VALUE"""),64.33)</f>
        <v>64.33</v>
      </c>
      <c r="F2046" s="1">
        <f>IFERROR(__xludf.DUMMYFUNCTION("""COMPUTED_VALUE"""),3921393.0)</f>
        <v>3921393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IFERROR(__xludf.DUMMYFUNCTION("""COMPUTED_VALUE"""),64.27)</f>
        <v>64.27</v>
      </c>
      <c r="C2047" s="1">
        <f>IFERROR(__xludf.DUMMYFUNCTION("""COMPUTED_VALUE"""),64.94)</f>
        <v>64.94</v>
      </c>
      <c r="D2047" s="1">
        <f>IFERROR(__xludf.DUMMYFUNCTION("""COMPUTED_VALUE"""),63.79)</f>
        <v>63.79</v>
      </c>
      <c r="E2047" s="1">
        <f>IFERROR(__xludf.DUMMYFUNCTION("""COMPUTED_VALUE"""),64.43)</f>
        <v>64.43</v>
      </c>
      <c r="F2047" s="1">
        <f>IFERROR(__xludf.DUMMYFUNCTION("""COMPUTED_VALUE"""),1445850.0)</f>
        <v>1445850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IFERROR(__xludf.DUMMYFUNCTION("""COMPUTED_VALUE"""),64.15)</f>
        <v>64.15</v>
      </c>
      <c r="C2048" s="1">
        <f>IFERROR(__xludf.DUMMYFUNCTION("""COMPUTED_VALUE"""),64.82)</f>
        <v>64.82</v>
      </c>
      <c r="D2048" s="1">
        <f>IFERROR(__xludf.DUMMYFUNCTION("""COMPUTED_VALUE"""),63.17)</f>
        <v>63.17</v>
      </c>
      <c r="E2048" s="1">
        <f>IFERROR(__xludf.DUMMYFUNCTION("""COMPUTED_VALUE"""),63.31)</f>
        <v>63.31</v>
      </c>
      <c r="F2048" s="1">
        <f>IFERROR(__xludf.DUMMYFUNCTION("""COMPUTED_VALUE"""),1926949.0)</f>
        <v>1926949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IFERROR(__xludf.DUMMYFUNCTION("""COMPUTED_VALUE"""),63.52)</f>
        <v>63.52</v>
      </c>
      <c r="C2049" s="1">
        <f>IFERROR(__xludf.DUMMYFUNCTION("""COMPUTED_VALUE"""),63.52)</f>
        <v>63.52</v>
      </c>
      <c r="D2049" s="1">
        <f>IFERROR(__xludf.DUMMYFUNCTION("""COMPUTED_VALUE"""),60.92)</f>
        <v>60.92</v>
      </c>
      <c r="E2049" s="1">
        <f>IFERROR(__xludf.DUMMYFUNCTION("""COMPUTED_VALUE"""),60.98)</f>
        <v>60.98</v>
      </c>
      <c r="F2049" s="1">
        <f>IFERROR(__xludf.DUMMYFUNCTION("""COMPUTED_VALUE"""),3071585.0)</f>
        <v>3071585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IFERROR(__xludf.DUMMYFUNCTION("""COMPUTED_VALUE"""),61.22)</f>
        <v>61.22</v>
      </c>
      <c r="C2050" s="1">
        <f>IFERROR(__xludf.DUMMYFUNCTION("""COMPUTED_VALUE"""),62.08)</f>
        <v>62.08</v>
      </c>
      <c r="D2050" s="1">
        <f>IFERROR(__xludf.DUMMYFUNCTION("""COMPUTED_VALUE"""),60.87)</f>
        <v>60.87</v>
      </c>
      <c r="E2050" s="1">
        <f>IFERROR(__xludf.DUMMYFUNCTION("""COMPUTED_VALUE"""),61.04)</f>
        <v>61.04</v>
      </c>
      <c r="F2050" s="1">
        <f>IFERROR(__xludf.DUMMYFUNCTION("""COMPUTED_VALUE"""),1552278.0)</f>
        <v>1552278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IFERROR(__xludf.DUMMYFUNCTION("""COMPUTED_VALUE"""),61.51)</f>
        <v>61.51</v>
      </c>
      <c r="C2051" s="1">
        <f>IFERROR(__xludf.DUMMYFUNCTION("""COMPUTED_VALUE"""),62.95)</f>
        <v>62.95</v>
      </c>
      <c r="D2051" s="1">
        <f>IFERROR(__xludf.DUMMYFUNCTION("""COMPUTED_VALUE"""),61.2)</f>
        <v>61.2</v>
      </c>
      <c r="E2051" s="1">
        <f>IFERROR(__xludf.DUMMYFUNCTION("""COMPUTED_VALUE"""),62.76)</f>
        <v>62.76</v>
      </c>
      <c r="F2051" s="1">
        <f>IFERROR(__xludf.DUMMYFUNCTION("""COMPUTED_VALUE"""),1511284.0)</f>
        <v>1511284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IFERROR(__xludf.DUMMYFUNCTION("""COMPUTED_VALUE"""),62.85)</f>
        <v>62.85</v>
      </c>
      <c r="C2052" s="1">
        <f>IFERROR(__xludf.DUMMYFUNCTION("""COMPUTED_VALUE"""),63.25)</f>
        <v>63.25</v>
      </c>
      <c r="D2052" s="1">
        <f>IFERROR(__xludf.DUMMYFUNCTION("""COMPUTED_VALUE"""),62.17)</f>
        <v>62.17</v>
      </c>
      <c r="E2052" s="1">
        <f>IFERROR(__xludf.DUMMYFUNCTION("""COMPUTED_VALUE"""),62.89)</f>
        <v>62.89</v>
      </c>
      <c r="F2052" s="1">
        <f>IFERROR(__xludf.DUMMYFUNCTION("""COMPUTED_VALUE"""),1054047.0)</f>
        <v>1054047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IFERROR(__xludf.DUMMYFUNCTION("""COMPUTED_VALUE"""),62.71)</f>
        <v>62.71</v>
      </c>
      <c r="C2053" s="1">
        <f>IFERROR(__xludf.DUMMYFUNCTION("""COMPUTED_VALUE"""),63.28)</f>
        <v>63.28</v>
      </c>
      <c r="D2053" s="1">
        <f>IFERROR(__xludf.DUMMYFUNCTION("""COMPUTED_VALUE"""),62.03)</f>
        <v>62.03</v>
      </c>
      <c r="E2053" s="1">
        <f>IFERROR(__xludf.DUMMYFUNCTION("""COMPUTED_VALUE"""),62.04)</f>
        <v>62.04</v>
      </c>
      <c r="F2053" s="1">
        <f>IFERROR(__xludf.DUMMYFUNCTION("""COMPUTED_VALUE"""),1475312.0)</f>
        <v>1475312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IFERROR(__xludf.DUMMYFUNCTION("""COMPUTED_VALUE"""),62.12)</f>
        <v>62.12</v>
      </c>
      <c r="C2054" s="1">
        <f>IFERROR(__xludf.DUMMYFUNCTION("""COMPUTED_VALUE"""),63.31)</f>
        <v>63.31</v>
      </c>
      <c r="D2054" s="1">
        <f>IFERROR(__xludf.DUMMYFUNCTION("""COMPUTED_VALUE"""),61.86)</f>
        <v>61.86</v>
      </c>
      <c r="E2054" s="1">
        <f>IFERROR(__xludf.DUMMYFUNCTION("""COMPUTED_VALUE"""),61.92)</f>
        <v>61.92</v>
      </c>
      <c r="F2054" s="1">
        <f>IFERROR(__xludf.DUMMYFUNCTION("""COMPUTED_VALUE"""),1815175.0)</f>
        <v>1815175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IFERROR(__xludf.DUMMYFUNCTION("""COMPUTED_VALUE"""),62.2)</f>
        <v>62.2</v>
      </c>
      <c r="C2055" s="1">
        <f>IFERROR(__xludf.DUMMYFUNCTION("""COMPUTED_VALUE"""),62.2)</f>
        <v>62.2</v>
      </c>
      <c r="D2055" s="1">
        <f>IFERROR(__xludf.DUMMYFUNCTION("""COMPUTED_VALUE"""),59.93)</f>
        <v>59.93</v>
      </c>
      <c r="E2055" s="1">
        <f>IFERROR(__xludf.DUMMYFUNCTION("""COMPUTED_VALUE"""),60.06)</f>
        <v>60.06</v>
      </c>
      <c r="F2055" s="1">
        <f>IFERROR(__xludf.DUMMYFUNCTION("""COMPUTED_VALUE"""),2078306.0)</f>
        <v>2078306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IFERROR(__xludf.DUMMYFUNCTION("""COMPUTED_VALUE"""),59.73)</f>
        <v>59.73</v>
      </c>
      <c r="C2056" s="1">
        <f>IFERROR(__xludf.DUMMYFUNCTION("""COMPUTED_VALUE"""),60.14)</f>
        <v>60.14</v>
      </c>
      <c r="D2056" s="1">
        <f>IFERROR(__xludf.DUMMYFUNCTION("""COMPUTED_VALUE"""),59.03)</f>
        <v>59.03</v>
      </c>
      <c r="E2056" s="1">
        <f>IFERROR(__xludf.DUMMYFUNCTION("""COMPUTED_VALUE"""),59.97)</f>
        <v>59.97</v>
      </c>
      <c r="F2056" s="1">
        <f>IFERROR(__xludf.DUMMYFUNCTION("""COMPUTED_VALUE"""),2130394.0)</f>
        <v>2130394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IFERROR(__xludf.DUMMYFUNCTION("""COMPUTED_VALUE"""),59.45)</f>
        <v>59.45</v>
      </c>
      <c r="C2057" s="1">
        <f>IFERROR(__xludf.DUMMYFUNCTION("""COMPUTED_VALUE"""),60.6)</f>
        <v>60.6</v>
      </c>
      <c r="D2057" s="1">
        <f>IFERROR(__xludf.DUMMYFUNCTION("""COMPUTED_VALUE"""),58.97)</f>
        <v>58.97</v>
      </c>
      <c r="E2057" s="1">
        <f>IFERROR(__xludf.DUMMYFUNCTION("""COMPUTED_VALUE"""),60.46)</f>
        <v>60.46</v>
      </c>
      <c r="F2057" s="1">
        <f>IFERROR(__xludf.DUMMYFUNCTION("""COMPUTED_VALUE"""),4779976.0)</f>
        <v>4779976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IFERROR(__xludf.DUMMYFUNCTION("""COMPUTED_VALUE"""),60.84)</f>
        <v>60.84</v>
      </c>
      <c r="C2058" s="1">
        <f>IFERROR(__xludf.DUMMYFUNCTION("""COMPUTED_VALUE"""),61.76)</f>
        <v>61.76</v>
      </c>
      <c r="D2058" s="1">
        <f>IFERROR(__xludf.DUMMYFUNCTION("""COMPUTED_VALUE"""),60.21)</f>
        <v>60.21</v>
      </c>
      <c r="E2058" s="1">
        <f>IFERROR(__xludf.DUMMYFUNCTION("""COMPUTED_VALUE"""),61.49)</f>
        <v>61.49</v>
      </c>
      <c r="F2058" s="1">
        <f>IFERROR(__xludf.DUMMYFUNCTION("""COMPUTED_VALUE"""),2105189.0)</f>
        <v>2105189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IFERROR(__xludf.DUMMYFUNCTION("""COMPUTED_VALUE"""),60.83)</f>
        <v>60.83</v>
      </c>
      <c r="C2059" s="1">
        <f>IFERROR(__xludf.DUMMYFUNCTION("""COMPUTED_VALUE"""),61.0)</f>
        <v>61</v>
      </c>
      <c r="D2059" s="1">
        <f>IFERROR(__xludf.DUMMYFUNCTION("""COMPUTED_VALUE"""),60.15)</f>
        <v>60.15</v>
      </c>
      <c r="E2059" s="1">
        <f>IFERROR(__xludf.DUMMYFUNCTION("""COMPUTED_VALUE"""),60.72)</f>
        <v>60.72</v>
      </c>
      <c r="F2059" s="1">
        <f>IFERROR(__xludf.DUMMYFUNCTION("""COMPUTED_VALUE"""),1670039.0)</f>
        <v>1670039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IFERROR(__xludf.DUMMYFUNCTION("""COMPUTED_VALUE"""),60.94)</f>
        <v>60.94</v>
      </c>
      <c r="C2060" s="1">
        <f>IFERROR(__xludf.DUMMYFUNCTION("""COMPUTED_VALUE"""),61.06)</f>
        <v>61.06</v>
      </c>
      <c r="D2060" s="1">
        <f>IFERROR(__xludf.DUMMYFUNCTION("""COMPUTED_VALUE"""),60.41)</f>
        <v>60.41</v>
      </c>
      <c r="E2060" s="1">
        <f>IFERROR(__xludf.DUMMYFUNCTION("""COMPUTED_VALUE"""),60.76)</f>
        <v>60.76</v>
      </c>
      <c r="F2060" s="1">
        <f>IFERROR(__xludf.DUMMYFUNCTION("""COMPUTED_VALUE"""),1097917.0)</f>
        <v>1097917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IFERROR(__xludf.DUMMYFUNCTION("""COMPUTED_VALUE"""),61.07)</f>
        <v>61.07</v>
      </c>
      <c r="C2061" s="1">
        <f>IFERROR(__xludf.DUMMYFUNCTION("""COMPUTED_VALUE"""),62.56)</f>
        <v>62.56</v>
      </c>
      <c r="D2061" s="1">
        <f>IFERROR(__xludf.DUMMYFUNCTION("""COMPUTED_VALUE"""),60.55)</f>
        <v>60.55</v>
      </c>
      <c r="E2061" s="1">
        <f>IFERROR(__xludf.DUMMYFUNCTION("""COMPUTED_VALUE"""),62.43)</f>
        <v>62.43</v>
      </c>
      <c r="F2061" s="1">
        <f>IFERROR(__xludf.DUMMYFUNCTION("""COMPUTED_VALUE"""),1788034.0)</f>
        <v>1788034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IFERROR(__xludf.DUMMYFUNCTION("""COMPUTED_VALUE"""),62.65)</f>
        <v>62.65</v>
      </c>
      <c r="C2062" s="1">
        <f>IFERROR(__xludf.DUMMYFUNCTION("""COMPUTED_VALUE"""),63.18)</f>
        <v>63.18</v>
      </c>
      <c r="D2062" s="1">
        <f>IFERROR(__xludf.DUMMYFUNCTION("""COMPUTED_VALUE"""),62.41)</f>
        <v>62.41</v>
      </c>
      <c r="E2062" s="1">
        <f>IFERROR(__xludf.DUMMYFUNCTION("""COMPUTED_VALUE"""),62.5)</f>
        <v>62.5</v>
      </c>
      <c r="F2062" s="1">
        <f>IFERROR(__xludf.DUMMYFUNCTION("""COMPUTED_VALUE"""),1680601.0)</f>
        <v>1680601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IFERROR(__xludf.DUMMYFUNCTION("""COMPUTED_VALUE"""),62.77)</f>
        <v>62.77</v>
      </c>
      <c r="C2063" s="1">
        <f>IFERROR(__xludf.DUMMYFUNCTION("""COMPUTED_VALUE"""),63.55)</f>
        <v>63.55</v>
      </c>
      <c r="D2063" s="1">
        <f>IFERROR(__xludf.DUMMYFUNCTION("""COMPUTED_VALUE"""),62.01)</f>
        <v>62.01</v>
      </c>
      <c r="E2063" s="1">
        <f>IFERROR(__xludf.DUMMYFUNCTION("""COMPUTED_VALUE"""),62.62)</f>
        <v>62.62</v>
      </c>
      <c r="F2063" s="1">
        <f>IFERROR(__xludf.DUMMYFUNCTION("""COMPUTED_VALUE"""),2322727.0)</f>
        <v>2322727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IFERROR(__xludf.DUMMYFUNCTION("""COMPUTED_VALUE"""),63.0)</f>
        <v>63</v>
      </c>
      <c r="C2064" s="1">
        <f>IFERROR(__xludf.DUMMYFUNCTION("""COMPUTED_VALUE"""),63.22)</f>
        <v>63.22</v>
      </c>
      <c r="D2064" s="1">
        <f>IFERROR(__xludf.DUMMYFUNCTION("""COMPUTED_VALUE"""),62.1)</f>
        <v>62.1</v>
      </c>
      <c r="E2064" s="1">
        <f>IFERROR(__xludf.DUMMYFUNCTION("""COMPUTED_VALUE"""),62.8)</f>
        <v>62.8</v>
      </c>
      <c r="F2064" s="1">
        <f>IFERROR(__xludf.DUMMYFUNCTION("""COMPUTED_VALUE"""),1652805.0)</f>
        <v>1652805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IFERROR(__xludf.DUMMYFUNCTION("""COMPUTED_VALUE"""),62.97)</f>
        <v>62.97</v>
      </c>
      <c r="C2065" s="1">
        <f>IFERROR(__xludf.DUMMYFUNCTION("""COMPUTED_VALUE"""),63.0)</f>
        <v>63</v>
      </c>
      <c r="D2065" s="1">
        <f>IFERROR(__xludf.DUMMYFUNCTION("""COMPUTED_VALUE"""),62.03)</f>
        <v>62.03</v>
      </c>
      <c r="E2065" s="1">
        <f>IFERROR(__xludf.DUMMYFUNCTION("""COMPUTED_VALUE"""),62.17)</f>
        <v>62.17</v>
      </c>
      <c r="F2065" s="1">
        <f>IFERROR(__xludf.DUMMYFUNCTION("""COMPUTED_VALUE"""),1297371.0)</f>
        <v>1297371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IFERROR(__xludf.DUMMYFUNCTION("""COMPUTED_VALUE"""),62.21)</f>
        <v>62.21</v>
      </c>
      <c r="C2066" s="1">
        <f>IFERROR(__xludf.DUMMYFUNCTION("""COMPUTED_VALUE"""),63.38)</f>
        <v>63.38</v>
      </c>
      <c r="D2066" s="1">
        <f>IFERROR(__xludf.DUMMYFUNCTION("""COMPUTED_VALUE"""),62.05)</f>
        <v>62.05</v>
      </c>
      <c r="E2066" s="1">
        <f>IFERROR(__xludf.DUMMYFUNCTION("""COMPUTED_VALUE"""),62.87)</f>
        <v>62.87</v>
      </c>
      <c r="F2066" s="1">
        <f>IFERROR(__xludf.DUMMYFUNCTION("""COMPUTED_VALUE"""),1992712.0)</f>
        <v>1992712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IFERROR(__xludf.DUMMYFUNCTION("""COMPUTED_VALUE"""),62.82)</f>
        <v>62.82</v>
      </c>
      <c r="C2067" s="1">
        <f>IFERROR(__xludf.DUMMYFUNCTION("""COMPUTED_VALUE"""),63.11)</f>
        <v>63.11</v>
      </c>
      <c r="D2067" s="1">
        <f>IFERROR(__xludf.DUMMYFUNCTION("""COMPUTED_VALUE"""),61.85)</f>
        <v>61.85</v>
      </c>
      <c r="E2067" s="1">
        <f>IFERROR(__xludf.DUMMYFUNCTION("""COMPUTED_VALUE"""),62.49)</f>
        <v>62.49</v>
      </c>
      <c r="F2067" s="1">
        <f>IFERROR(__xludf.DUMMYFUNCTION("""COMPUTED_VALUE"""),2205044.0)</f>
        <v>2205044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IFERROR(__xludf.DUMMYFUNCTION("""COMPUTED_VALUE"""),61.77)</f>
        <v>61.77</v>
      </c>
      <c r="C2068" s="1">
        <f>IFERROR(__xludf.DUMMYFUNCTION("""COMPUTED_VALUE"""),62.63)</f>
        <v>62.63</v>
      </c>
      <c r="D2068" s="1">
        <f>IFERROR(__xludf.DUMMYFUNCTION("""COMPUTED_VALUE"""),61.24)</f>
        <v>61.24</v>
      </c>
      <c r="E2068" s="1">
        <f>IFERROR(__xludf.DUMMYFUNCTION("""COMPUTED_VALUE"""),61.93)</f>
        <v>61.93</v>
      </c>
      <c r="F2068" s="1">
        <f>IFERROR(__xludf.DUMMYFUNCTION("""COMPUTED_VALUE"""),2199132.0)</f>
        <v>2199132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IFERROR(__xludf.DUMMYFUNCTION("""COMPUTED_VALUE"""),61.64)</f>
        <v>61.64</v>
      </c>
      <c r="C2069" s="1">
        <f>IFERROR(__xludf.DUMMYFUNCTION("""COMPUTED_VALUE"""),62.45)</f>
        <v>62.45</v>
      </c>
      <c r="D2069" s="1">
        <f>IFERROR(__xludf.DUMMYFUNCTION("""COMPUTED_VALUE"""),61.5)</f>
        <v>61.5</v>
      </c>
      <c r="E2069" s="1">
        <f>IFERROR(__xludf.DUMMYFUNCTION("""COMPUTED_VALUE"""),61.51)</f>
        <v>61.51</v>
      </c>
      <c r="F2069" s="1">
        <f>IFERROR(__xludf.DUMMYFUNCTION("""COMPUTED_VALUE"""),1528464.0)</f>
        <v>1528464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IFERROR(__xludf.DUMMYFUNCTION("""COMPUTED_VALUE"""),61.15)</f>
        <v>61.15</v>
      </c>
      <c r="C2070" s="1">
        <f>IFERROR(__xludf.DUMMYFUNCTION("""COMPUTED_VALUE"""),61.57)</f>
        <v>61.57</v>
      </c>
      <c r="D2070" s="1">
        <f>IFERROR(__xludf.DUMMYFUNCTION("""COMPUTED_VALUE"""),59.98)</f>
        <v>59.98</v>
      </c>
      <c r="E2070" s="1">
        <f>IFERROR(__xludf.DUMMYFUNCTION("""COMPUTED_VALUE"""),60.0)</f>
        <v>60</v>
      </c>
      <c r="F2070" s="1">
        <f>IFERROR(__xludf.DUMMYFUNCTION("""COMPUTED_VALUE"""),1924736.0)</f>
        <v>1924736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IFERROR(__xludf.DUMMYFUNCTION("""COMPUTED_VALUE"""),60.21)</f>
        <v>60.21</v>
      </c>
      <c r="C2071" s="1">
        <f>IFERROR(__xludf.DUMMYFUNCTION("""COMPUTED_VALUE"""),60.58)</f>
        <v>60.58</v>
      </c>
      <c r="D2071" s="1">
        <f>IFERROR(__xludf.DUMMYFUNCTION("""COMPUTED_VALUE"""),59.32)</f>
        <v>59.32</v>
      </c>
      <c r="E2071" s="1">
        <f>IFERROR(__xludf.DUMMYFUNCTION("""COMPUTED_VALUE"""),59.36)</f>
        <v>59.36</v>
      </c>
      <c r="F2071" s="1">
        <f>IFERROR(__xludf.DUMMYFUNCTION("""COMPUTED_VALUE"""),1672758.0)</f>
        <v>1672758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IFERROR(__xludf.DUMMYFUNCTION("""COMPUTED_VALUE"""),60.42)</f>
        <v>60.42</v>
      </c>
      <c r="C2072" s="1">
        <f>IFERROR(__xludf.DUMMYFUNCTION("""COMPUTED_VALUE"""),60.74)</f>
        <v>60.74</v>
      </c>
      <c r="D2072" s="1">
        <f>IFERROR(__xludf.DUMMYFUNCTION("""COMPUTED_VALUE"""),59.55)</f>
        <v>59.55</v>
      </c>
      <c r="E2072" s="1">
        <f>IFERROR(__xludf.DUMMYFUNCTION("""COMPUTED_VALUE"""),60.59)</f>
        <v>60.59</v>
      </c>
      <c r="F2072" s="1">
        <f>IFERROR(__xludf.DUMMYFUNCTION("""COMPUTED_VALUE"""),1327794.0)</f>
        <v>1327794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IFERROR(__xludf.DUMMYFUNCTION("""COMPUTED_VALUE"""),60.59)</f>
        <v>60.59</v>
      </c>
      <c r="C2073" s="1">
        <f>IFERROR(__xludf.DUMMYFUNCTION("""COMPUTED_VALUE"""),61.11)</f>
        <v>61.11</v>
      </c>
      <c r="D2073" s="1">
        <f>IFERROR(__xludf.DUMMYFUNCTION("""COMPUTED_VALUE"""),59.59)</f>
        <v>59.59</v>
      </c>
      <c r="E2073" s="1">
        <f>IFERROR(__xludf.DUMMYFUNCTION("""COMPUTED_VALUE"""),59.75)</f>
        <v>59.75</v>
      </c>
      <c r="F2073" s="1">
        <f>IFERROR(__xludf.DUMMYFUNCTION("""COMPUTED_VALUE"""),3134906.0)</f>
        <v>3134906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IFERROR(__xludf.DUMMYFUNCTION("""COMPUTED_VALUE"""),60.04)</f>
        <v>60.04</v>
      </c>
      <c r="C2074" s="1">
        <f>IFERROR(__xludf.DUMMYFUNCTION("""COMPUTED_VALUE"""),60.97)</f>
        <v>60.97</v>
      </c>
      <c r="D2074" s="1">
        <f>IFERROR(__xludf.DUMMYFUNCTION("""COMPUTED_VALUE"""),59.58)</f>
        <v>59.58</v>
      </c>
      <c r="E2074" s="1">
        <f>IFERROR(__xludf.DUMMYFUNCTION("""COMPUTED_VALUE"""),60.64)</f>
        <v>60.64</v>
      </c>
      <c r="F2074" s="1">
        <f>IFERROR(__xludf.DUMMYFUNCTION("""COMPUTED_VALUE"""),2505068.0)</f>
        <v>2505068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IFERROR(__xludf.DUMMYFUNCTION("""COMPUTED_VALUE"""),60.64)</f>
        <v>60.64</v>
      </c>
      <c r="C2075" s="1">
        <f>IFERROR(__xludf.DUMMYFUNCTION("""COMPUTED_VALUE"""),62.55)</f>
        <v>62.55</v>
      </c>
      <c r="D2075" s="1">
        <f>IFERROR(__xludf.DUMMYFUNCTION("""COMPUTED_VALUE"""),60.64)</f>
        <v>60.64</v>
      </c>
      <c r="E2075" s="1">
        <f>IFERROR(__xludf.DUMMYFUNCTION("""COMPUTED_VALUE"""),61.94)</f>
        <v>61.94</v>
      </c>
      <c r="F2075" s="1">
        <f>IFERROR(__xludf.DUMMYFUNCTION("""COMPUTED_VALUE"""),2180572.0)</f>
        <v>2180572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IFERROR(__xludf.DUMMYFUNCTION("""COMPUTED_VALUE"""),61.52)</f>
        <v>61.52</v>
      </c>
      <c r="C2076" s="1">
        <f>IFERROR(__xludf.DUMMYFUNCTION("""COMPUTED_VALUE"""),61.83)</f>
        <v>61.83</v>
      </c>
      <c r="D2076" s="1">
        <f>IFERROR(__xludf.DUMMYFUNCTION("""COMPUTED_VALUE"""),59.34)</f>
        <v>59.34</v>
      </c>
      <c r="E2076" s="1">
        <f>IFERROR(__xludf.DUMMYFUNCTION("""COMPUTED_VALUE"""),59.92)</f>
        <v>59.92</v>
      </c>
      <c r="F2076" s="1">
        <f>IFERROR(__xludf.DUMMYFUNCTION("""COMPUTED_VALUE"""),2745365.0)</f>
        <v>2745365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IFERROR(__xludf.DUMMYFUNCTION("""COMPUTED_VALUE"""),59.97)</f>
        <v>59.97</v>
      </c>
      <c r="C2077" s="1">
        <f>IFERROR(__xludf.DUMMYFUNCTION("""COMPUTED_VALUE"""),60.55)</f>
        <v>60.55</v>
      </c>
      <c r="D2077" s="1">
        <f>IFERROR(__xludf.DUMMYFUNCTION("""COMPUTED_VALUE"""),59.2)</f>
        <v>59.2</v>
      </c>
      <c r="E2077" s="1">
        <f>IFERROR(__xludf.DUMMYFUNCTION("""COMPUTED_VALUE"""),59.96)</f>
        <v>59.96</v>
      </c>
      <c r="F2077" s="1">
        <f>IFERROR(__xludf.DUMMYFUNCTION("""COMPUTED_VALUE"""),3319164.0)</f>
        <v>3319164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IFERROR(__xludf.DUMMYFUNCTION("""COMPUTED_VALUE"""),57.92)</f>
        <v>57.92</v>
      </c>
      <c r="C2078" s="1">
        <f>IFERROR(__xludf.DUMMYFUNCTION("""COMPUTED_VALUE"""),62.88)</f>
        <v>62.88</v>
      </c>
      <c r="D2078" s="1">
        <f>IFERROR(__xludf.DUMMYFUNCTION("""COMPUTED_VALUE"""),57.05)</f>
        <v>57.05</v>
      </c>
      <c r="E2078" s="1">
        <f>IFERROR(__xludf.DUMMYFUNCTION("""COMPUTED_VALUE"""),62.73)</f>
        <v>62.73</v>
      </c>
      <c r="F2078" s="1">
        <f>IFERROR(__xludf.DUMMYFUNCTION("""COMPUTED_VALUE"""),5087213.0)</f>
        <v>5087213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IFERROR(__xludf.DUMMYFUNCTION("""COMPUTED_VALUE"""),63.54)</f>
        <v>63.54</v>
      </c>
      <c r="C2079" s="1">
        <f>IFERROR(__xludf.DUMMYFUNCTION("""COMPUTED_VALUE"""),63.54)</f>
        <v>63.54</v>
      </c>
      <c r="D2079" s="1">
        <f>IFERROR(__xludf.DUMMYFUNCTION("""COMPUTED_VALUE"""),61.24)</f>
        <v>61.24</v>
      </c>
      <c r="E2079" s="1">
        <f>IFERROR(__xludf.DUMMYFUNCTION("""COMPUTED_VALUE"""),62.24)</f>
        <v>62.24</v>
      </c>
      <c r="F2079" s="1">
        <f>IFERROR(__xludf.DUMMYFUNCTION("""COMPUTED_VALUE"""),2822463.0)</f>
        <v>2822463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IFERROR(__xludf.DUMMYFUNCTION("""COMPUTED_VALUE"""),61.68)</f>
        <v>61.68</v>
      </c>
      <c r="C2080" s="1">
        <f>IFERROR(__xludf.DUMMYFUNCTION("""COMPUTED_VALUE"""),62.61)</f>
        <v>62.61</v>
      </c>
      <c r="D2080" s="1">
        <f>IFERROR(__xludf.DUMMYFUNCTION("""COMPUTED_VALUE"""),59.87)</f>
        <v>59.87</v>
      </c>
      <c r="E2080" s="1">
        <f>IFERROR(__xludf.DUMMYFUNCTION("""COMPUTED_VALUE"""),60.3)</f>
        <v>60.3</v>
      </c>
      <c r="F2080" s="1">
        <f>IFERROR(__xludf.DUMMYFUNCTION("""COMPUTED_VALUE"""),2296676.0)</f>
        <v>2296676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IFERROR(__xludf.DUMMYFUNCTION("""COMPUTED_VALUE"""),60.7)</f>
        <v>60.7</v>
      </c>
      <c r="C2081" s="1">
        <f>IFERROR(__xludf.DUMMYFUNCTION("""COMPUTED_VALUE"""),60.87)</f>
        <v>60.87</v>
      </c>
      <c r="D2081" s="1">
        <f>IFERROR(__xludf.DUMMYFUNCTION("""COMPUTED_VALUE"""),58.66)</f>
        <v>58.66</v>
      </c>
      <c r="E2081" s="1">
        <f>IFERROR(__xludf.DUMMYFUNCTION("""COMPUTED_VALUE"""),58.77)</f>
        <v>58.77</v>
      </c>
      <c r="F2081" s="1">
        <f>IFERROR(__xludf.DUMMYFUNCTION("""COMPUTED_VALUE"""),2804495.0)</f>
        <v>2804495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IFERROR(__xludf.DUMMYFUNCTION("""COMPUTED_VALUE"""),59.86)</f>
        <v>59.86</v>
      </c>
      <c r="C2082" s="1">
        <f>IFERROR(__xludf.DUMMYFUNCTION("""COMPUTED_VALUE"""),60.89)</f>
        <v>60.89</v>
      </c>
      <c r="D2082" s="1">
        <f>IFERROR(__xludf.DUMMYFUNCTION("""COMPUTED_VALUE"""),59.0)</f>
        <v>59</v>
      </c>
      <c r="E2082" s="1">
        <f>IFERROR(__xludf.DUMMYFUNCTION("""COMPUTED_VALUE"""),60.82)</f>
        <v>60.82</v>
      </c>
      <c r="F2082" s="1">
        <f>IFERROR(__xludf.DUMMYFUNCTION("""COMPUTED_VALUE"""),2354650.0)</f>
        <v>2354650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IFERROR(__xludf.DUMMYFUNCTION("""COMPUTED_VALUE"""),60.3)</f>
        <v>60.3</v>
      </c>
      <c r="C2083" s="1">
        <f>IFERROR(__xludf.DUMMYFUNCTION("""COMPUTED_VALUE"""),60.75)</f>
        <v>60.75</v>
      </c>
      <c r="D2083" s="1">
        <f>IFERROR(__xludf.DUMMYFUNCTION("""COMPUTED_VALUE"""),59.65)</f>
        <v>59.65</v>
      </c>
      <c r="E2083" s="1">
        <f>IFERROR(__xludf.DUMMYFUNCTION("""COMPUTED_VALUE"""),60.5)</f>
        <v>60.5</v>
      </c>
      <c r="F2083" s="1">
        <f>IFERROR(__xludf.DUMMYFUNCTION("""COMPUTED_VALUE"""),1433555.0)</f>
        <v>1433555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IFERROR(__xludf.DUMMYFUNCTION("""COMPUTED_VALUE"""),60.62)</f>
        <v>60.62</v>
      </c>
      <c r="C2084" s="1">
        <f>IFERROR(__xludf.DUMMYFUNCTION("""COMPUTED_VALUE"""),61.6)</f>
        <v>61.6</v>
      </c>
      <c r="D2084" s="1">
        <f>IFERROR(__xludf.DUMMYFUNCTION("""COMPUTED_VALUE"""),60.37)</f>
        <v>60.37</v>
      </c>
      <c r="E2084" s="1">
        <f>IFERROR(__xludf.DUMMYFUNCTION("""COMPUTED_VALUE"""),61.0)</f>
        <v>61</v>
      </c>
      <c r="F2084" s="1">
        <f>IFERROR(__xludf.DUMMYFUNCTION("""COMPUTED_VALUE"""),2121409.0)</f>
        <v>2121409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IFERROR(__xludf.DUMMYFUNCTION("""COMPUTED_VALUE"""),61.36)</f>
        <v>61.36</v>
      </c>
      <c r="C2085" s="1">
        <f>IFERROR(__xludf.DUMMYFUNCTION("""COMPUTED_VALUE"""),63.03)</f>
        <v>63.03</v>
      </c>
      <c r="D2085" s="1">
        <f>IFERROR(__xludf.DUMMYFUNCTION("""COMPUTED_VALUE"""),61.08)</f>
        <v>61.08</v>
      </c>
      <c r="E2085" s="1">
        <f>IFERROR(__xludf.DUMMYFUNCTION("""COMPUTED_VALUE"""),61.72)</f>
        <v>61.72</v>
      </c>
      <c r="F2085" s="1">
        <f>IFERROR(__xludf.DUMMYFUNCTION("""COMPUTED_VALUE"""),2873709.0)</f>
        <v>2873709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IFERROR(__xludf.DUMMYFUNCTION("""COMPUTED_VALUE"""),62.04)</f>
        <v>62.04</v>
      </c>
      <c r="C2086" s="1">
        <f>IFERROR(__xludf.DUMMYFUNCTION("""COMPUTED_VALUE"""),62.79)</f>
        <v>62.79</v>
      </c>
      <c r="D2086" s="1">
        <f>IFERROR(__xludf.DUMMYFUNCTION("""COMPUTED_VALUE"""),61.28)</f>
        <v>61.28</v>
      </c>
      <c r="E2086" s="1">
        <f>IFERROR(__xludf.DUMMYFUNCTION("""COMPUTED_VALUE"""),62.0)</f>
        <v>62</v>
      </c>
      <c r="F2086" s="1">
        <f>IFERROR(__xludf.DUMMYFUNCTION("""COMPUTED_VALUE"""),1237727.0)</f>
        <v>1237727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IFERROR(__xludf.DUMMYFUNCTION("""COMPUTED_VALUE"""),62.77)</f>
        <v>62.77</v>
      </c>
      <c r="C2087" s="1">
        <f>IFERROR(__xludf.DUMMYFUNCTION("""COMPUTED_VALUE"""),63.43)</f>
        <v>63.43</v>
      </c>
      <c r="D2087" s="1">
        <f>IFERROR(__xludf.DUMMYFUNCTION("""COMPUTED_VALUE"""),62.56)</f>
        <v>62.56</v>
      </c>
      <c r="E2087" s="1">
        <f>IFERROR(__xludf.DUMMYFUNCTION("""COMPUTED_VALUE"""),62.97)</f>
        <v>62.97</v>
      </c>
      <c r="F2087" s="1">
        <f>IFERROR(__xludf.DUMMYFUNCTION("""COMPUTED_VALUE"""),1344387.0)</f>
        <v>1344387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IFERROR(__xludf.DUMMYFUNCTION("""COMPUTED_VALUE"""),63.31)</f>
        <v>63.31</v>
      </c>
      <c r="C2088" s="1">
        <f>IFERROR(__xludf.DUMMYFUNCTION("""COMPUTED_VALUE"""),64.18)</f>
        <v>64.18</v>
      </c>
      <c r="D2088" s="1">
        <f>IFERROR(__xludf.DUMMYFUNCTION("""COMPUTED_VALUE"""),63.06)</f>
        <v>63.06</v>
      </c>
      <c r="E2088" s="1">
        <f>IFERROR(__xludf.DUMMYFUNCTION("""COMPUTED_VALUE"""),63.27)</f>
        <v>63.27</v>
      </c>
      <c r="F2088" s="1">
        <f>IFERROR(__xludf.DUMMYFUNCTION("""COMPUTED_VALUE"""),1550393.0)</f>
        <v>1550393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IFERROR(__xludf.DUMMYFUNCTION("""COMPUTED_VALUE"""),63.49)</f>
        <v>63.49</v>
      </c>
      <c r="C2089" s="1">
        <f>IFERROR(__xludf.DUMMYFUNCTION("""COMPUTED_VALUE"""),63.68)</f>
        <v>63.68</v>
      </c>
      <c r="D2089" s="1">
        <f>IFERROR(__xludf.DUMMYFUNCTION("""COMPUTED_VALUE"""),62.14)</f>
        <v>62.14</v>
      </c>
      <c r="E2089" s="1">
        <f>IFERROR(__xludf.DUMMYFUNCTION("""COMPUTED_VALUE"""),62.57)</f>
        <v>62.57</v>
      </c>
      <c r="F2089" s="1">
        <f>IFERROR(__xludf.DUMMYFUNCTION("""COMPUTED_VALUE"""),1308982.0)</f>
        <v>1308982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IFERROR(__xludf.DUMMYFUNCTION("""COMPUTED_VALUE"""),62.56)</f>
        <v>62.56</v>
      </c>
      <c r="C2090" s="1">
        <f>IFERROR(__xludf.DUMMYFUNCTION("""COMPUTED_VALUE"""),62.99)</f>
        <v>62.99</v>
      </c>
      <c r="D2090" s="1">
        <f>IFERROR(__xludf.DUMMYFUNCTION("""COMPUTED_VALUE"""),60.87)</f>
        <v>60.87</v>
      </c>
      <c r="E2090" s="1">
        <f>IFERROR(__xludf.DUMMYFUNCTION("""COMPUTED_VALUE"""),61.16)</f>
        <v>61.16</v>
      </c>
      <c r="F2090" s="1">
        <f>IFERROR(__xludf.DUMMYFUNCTION("""COMPUTED_VALUE"""),1388315.0)</f>
        <v>1388315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IFERROR(__xludf.DUMMYFUNCTION("""COMPUTED_VALUE"""),61.13)</f>
        <v>61.13</v>
      </c>
      <c r="C2091" s="1">
        <f>IFERROR(__xludf.DUMMYFUNCTION("""COMPUTED_VALUE"""),61.59)</f>
        <v>61.59</v>
      </c>
      <c r="D2091" s="1">
        <f>IFERROR(__xludf.DUMMYFUNCTION("""COMPUTED_VALUE"""),60.64)</f>
        <v>60.64</v>
      </c>
      <c r="E2091" s="1">
        <f>IFERROR(__xludf.DUMMYFUNCTION("""COMPUTED_VALUE"""),61.36)</f>
        <v>61.36</v>
      </c>
      <c r="F2091" s="1">
        <f>IFERROR(__xludf.DUMMYFUNCTION("""COMPUTED_VALUE"""),1242739.0)</f>
        <v>1242739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IFERROR(__xludf.DUMMYFUNCTION("""COMPUTED_VALUE"""),61.83)</f>
        <v>61.83</v>
      </c>
      <c r="C2092" s="1">
        <f>IFERROR(__xludf.DUMMYFUNCTION("""COMPUTED_VALUE"""),62.98)</f>
        <v>62.98</v>
      </c>
      <c r="D2092" s="1">
        <f>IFERROR(__xludf.DUMMYFUNCTION("""COMPUTED_VALUE"""),61.02)</f>
        <v>61.02</v>
      </c>
      <c r="E2092" s="1">
        <f>IFERROR(__xludf.DUMMYFUNCTION("""COMPUTED_VALUE"""),61.32)</f>
        <v>61.32</v>
      </c>
      <c r="F2092" s="1">
        <f>IFERROR(__xludf.DUMMYFUNCTION("""COMPUTED_VALUE"""),1581017.0)</f>
        <v>1581017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IFERROR(__xludf.DUMMYFUNCTION("""COMPUTED_VALUE"""),61.07)</f>
        <v>61.07</v>
      </c>
      <c r="C2093" s="1">
        <f>IFERROR(__xludf.DUMMYFUNCTION("""COMPUTED_VALUE"""),62.27)</f>
        <v>62.27</v>
      </c>
      <c r="D2093" s="1">
        <f>IFERROR(__xludf.DUMMYFUNCTION("""COMPUTED_VALUE"""),61.07)</f>
        <v>61.07</v>
      </c>
      <c r="E2093" s="1">
        <f>IFERROR(__xludf.DUMMYFUNCTION("""COMPUTED_VALUE"""),62.09)</f>
        <v>62.09</v>
      </c>
      <c r="F2093" s="1">
        <f>IFERROR(__xludf.DUMMYFUNCTION("""COMPUTED_VALUE"""),1292557.0)</f>
        <v>1292557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IFERROR(__xludf.DUMMYFUNCTION("""COMPUTED_VALUE"""),62.7)</f>
        <v>62.7</v>
      </c>
      <c r="C2094" s="1">
        <f>IFERROR(__xludf.DUMMYFUNCTION("""COMPUTED_VALUE"""),62.71)</f>
        <v>62.71</v>
      </c>
      <c r="D2094" s="1">
        <f>IFERROR(__xludf.DUMMYFUNCTION("""COMPUTED_VALUE"""),61.37)</f>
        <v>61.37</v>
      </c>
      <c r="E2094" s="1">
        <f>IFERROR(__xludf.DUMMYFUNCTION("""COMPUTED_VALUE"""),62.09)</f>
        <v>62.09</v>
      </c>
      <c r="F2094" s="1">
        <f>IFERROR(__xludf.DUMMYFUNCTION("""COMPUTED_VALUE"""),1214979.0)</f>
        <v>1214979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IFERROR(__xludf.DUMMYFUNCTION("""COMPUTED_VALUE"""),62.33)</f>
        <v>62.33</v>
      </c>
      <c r="C2095" s="1">
        <f>IFERROR(__xludf.DUMMYFUNCTION("""COMPUTED_VALUE"""),63.03)</f>
        <v>63.03</v>
      </c>
      <c r="D2095" s="1">
        <f>IFERROR(__xludf.DUMMYFUNCTION("""COMPUTED_VALUE"""),62.22)</f>
        <v>62.22</v>
      </c>
      <c r="E2095" s="1">
        <f>IFERROR(__xludf.DUMMYFUNCTION("""COMPUTED_VALUE"""),62.86)</f>
        <v>62.86</v>
      </c>
      <c r="F2095" s="1">
        <f>IFERROR(__xludf.DUMMYFUNCTION("""COMPUTED_VALUE"""),1460144.0)</f>
        <v>1460144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IFERROR(__xludf.DUMMYFUNCTION("""COMPUTED_VALUE"""),63.02)</f>
        <v>63.02</v>
      </c>
      <c r="C2096" s="1">
        <f>IFERROR(__xludf.DUMMYFUNCTION("""COMPUTED_VALUE"""),63.66)</f>
        <v>63.66</v>
      </c>
      <c r="D2096" s="1">
        <f>IFERROR(__xludf.DUMMYFUNCTION("""COMPUTED_VALUE"""),62.5)</f>
        <v>62.5</v>
      </c>
      <c r="E2096" s="1">
        <f>IFERROR(__xludf.DUMMYFUNCTION("""COMPUTED_VALUE"""),62.5)</f>
        <v>62.5</v>
      </c>
      <c r="F2096" s="1">
        <f>IFERROR(__xludf.DUMMYFUNCTION("""COMPUTED_VALUE"""),1121965.0)</f>
        <v>1121965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IFERROR(__xludf.DUMMYFUNCTION("""COMPUTED_VALUE"""),62.24)</f>
        <v>62.24</v>
      </c>
      <c r="C2097" s="1">
        <f>IFERROR(__xludf.DUMMYFUNCTION("""COMPUTED_VALUE"""),63.54)</f>
        <v>63.54</v>
      </c>
      <c r="D2097" s="1">
        <f>IFERROR(__xludf.DUMMYFUNCTION("""COMPUTED_VALUE"""),62.16)</f>
        <v>62.16</v>
      </c>
      <c r="E2097" s="1">
        <f>IFERROR(__xludf.DUMMYFUNCTION("""COMPUTED_VALUE"""),63.54)</f>
        <v>63.54</v>
      </c>
      <c r="F2097" s="1">
        <f>IFERROR(__xludf.DUMMYFUNCTION("""COMPUTED_VALUE"""),1299208.0)</f>
        <v>1299208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IFERROR(__xludf.DUMMYFUNCTION("""COMPUTED_VALUE"""),63.19)</f>
        <v>63.19</v>
      </c>
      <c r="C2098" s="1">
        <f>IFERROR(__xludf.DUMMYFUNCTION("""COMPUTED_VALUE"""),64.27)</f>
        <v>64.27</v>
      </c>
      <c r="D2098" s="1">
        <f>IFERROR(__xludf.DUMMYFUNCTION("""COMPUTED_VALUE"""),62.93)</f>
        <v>62.93</v>
      </c>
      <c r="E2098" s="1">
        <f>IFERROR(__xludf.DUMMYFUNCTION("""COMPUTED_VALUE"""),63.52)</f>
        <v>63.52</v>
      </c>
      <c r="F2098" s="1">
        <f>IFERROR(__xludf.DUMMYFUNCTION("""COMPUTED_VALUE"""),1250251.0)</f>
        <v>1250251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IFERROR(__xludf.DUMMYFUNCTION("""COMPUTED_VALUE"""),63.37)</f>
        <v>63.37</v>
      </c>
      <c r="C2099" s="1">
        <f>IFERROR(__xludf.DUMMYFUNCTION("""COMPUTED_VALUE"""),64.11)</f>
        <v>64.11</v>
      </c>
      <c r="D2099" s="1">
        <f>IFERROR(__xludf.DUMMYFUNCTION("""COMPUTED_VALUE"""),62.86)</f>
        <v>62.86</v>
      </c>
      <c r="E2099" s="1">
        <f>IFERROR(__xludf.DUMMYFUNCTION("""COMPUTED_VALUE"""),63.32)</f>
        <v>63.32</v>
      </c>
      <c r="F2099" s="1">
        <f>IFERROR(__xludf.DUMMYFUNCTION("""COMPUTED_VALUE"""),1139086.0)</f>
        <v>1139086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IFERROR(__xludf.DUMMYFUNCTION("""COMPUTED_VALUE"""),63.06)</f>
        <v>63.06</v>
      </c>
      <c r="C2100" s="1">
        <f>IFERROR(__xludf.DUMMYFUNCTION("""COMPUTED_VALUE"""),65.17)</f>
        <v>65.17</v>
      </c>
      <c r="D2100" s="1">
        <f>IFERROR(__xludf.DUMMYFUNCTION("""COMPUTED_VALUE"""),63.02)</f>
        <v>63.02</v>
      </c>
      <c r="E2100" s="1">
        <f>IFERROR(__xludf.DUMMYFUNCTION("""COMPUTED_VALUE"""),64.96)</f>
        <v>64.96</v>
      </c>
      <c r="F2100" s="1">
        <f>IFERROR(__xludf.DUMMYFUNCTION("""COMPUTED_VALUE"""),1214356.0)</f>
        <v>1214356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IFERROR(__xludf.DUMMYFUNCTION("""COMPUTED_VALUE"""),65.09)</f>
        <v>65.09</v>
      </c>
      <c r="C2101" s="1">
        <f>IFERROR(__xludf.DUMMYFUNCTION("""COMPUTED_VALUE"""),65.28)</f>
        <v>65.28</v>
      </c>
      <c r="D2101" s="1">
        <f>IFERROR(__xludf.DUMMYFUNCTION("""COMPUTED_VALUE"""),64.15)</f>
        <v>64.15</v>
      </c>
      <c r="E2101" s="1">
        <f>IFERROR(__xludf.DUMMYFUNCTION("""COMPUTED_VALUE"""),64.17)</f>
        <v>64.17</v>
      </c>
      <c r="F2101" s="1">
        <f>IFERROR(__xludf.DUMMYFUNCTION("""COMPUTED_VALUE"""),1704591.0)</f>
        <v>1704591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IFERROR(__xludf.DUMMYFUNCTION("""COMPUTED_VALUE"""),63.85)</f>
        <v>63.85</v>
      </c>
      <c r="C2102" s="1">
        <f>IFERROR(__xludf.DUMMYFUNCTION("""COMPUTED_VALUE"""),64.18)</f>
        <v>64.18</v>
      </c>
      <c r="D2102" s="1">
        <f>IFERROR(__xludf.DUMMYFUNCTION("""COMPUTED_VALUE"""),62.48)</f>
        <v>62.48</v>
      </c>
      <c r="E2102" s="1">
        <f>IFERROR(__xludf.DUMMYFUNCTION("""COMPUTED_VALUE"""),63.15)</f>
        <v>63.15</v>
      </c>
      <c r="F2102" s="1">
        <f>IFERROR(__xludf.DUMMYFUNCTION("""COMPUTED_VALUE"""),2068274.0)</f>
        <v>2068274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IFERROR(__xludf.DUMMYFUNCTION("""COMPUTED_VALUE"""),63.82)</f>
        <v>63.82</v>
      </c>
      <c r="C2103" s="1">
        <f>IFERROR(__xludf.DUMMYFUNCTION("""COMPUTED_VALUE"""),64.63)</f>
        <v>64.63</v>
      </c>
      <c r="D2103" s="1">
        <f>IFERROR(__xludf.DUMMYFUNCTION("""COMPUTED_VALUE"""),63.07)</f>
        <v>63.07</v>
      </c>
      <c r="E2103" s="1">
        <f>IFERROR(__xludf.DUMMYFUNCTION("""COMPUTED_VALUE"""),64.11)</f>
        <v>64.11</v>
      </c>
      <c r="F2103" s="1">
        <f>IFERROR(__xludf.DUMMYFUNCTION("""COMPUTED_VALUE"""),1440811.0)</f>
        <v>1440811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IFERROR(__xludf.DUMMYFUNCTION("""COMPUTED_VALUE"""),64.42)</f>
        <v>64.42</v>
      </c>
      <c r="C2104" s="1">
        <f>IFERROR(__xludf.DUMMYFUNCTION("""COMPUTED_VALUE"""),64.42)</f>
        <v>64.42</v>
      </c>
      <c r="D2104" s="1">
        <f>IFERROR(__xludf.DUMMYFUNCTION("""COMPUTED_VALUE"""),63.19)</f>
        <v>63.19</v>
      </c>
      <c r="E2104" s="1">
        <f>IFERROR(__xludf.DUMMYFUNCTION("""COMPUTED_VALUE"""),63.28)</f>
        <v>63.28</v>
      </c>
      <c r="F2104" s="1">
        <f>IFERROR(__xludf.DUMMYFUNCTION("""COMPUTED_VALUE"""),1757246.0)</f>
        <v>1757246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IFERROR(__xludf.DUMMYFUNCTION("""COMPUTED_VALUE"""),63.19)</f>
        <v>63.19</v>
      </c>
      <c r="C2105" s="1">
        <f>IFERROR(__xludf.DUMMYFUNCTION("""COMPUTED_VALUE"""),63.9)</f>
        <v>63.9</v>
      </c>
      <c r="D2105" s="1">
        <f>IFERROR(__xludf.DUMMYFUNCTION("""COMPUTED_VALUE"""),63.12)</f>
        <v>63.12</v>
      </c>
      <c r="E2105" s="1">
        <f>IFERROR(__xludf.DUMMYFUNCTION("""COMPUTED_VALUE"""),63.8)</f>
        <v>63.8</v>
      </c>
      <c r="F2105" s="1">
        <f>IFERROR(__xludf.DUMMYFUNCTION("""COMPUTED_VALUE"""),1192347.0)</f>
        <v>1192347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IFERROR(__xludf.DUMMYFUNCTION("""COMPUTED_VALUE"""),63.77)</f>
        <v>63.77</v>
      </c>
      <c r="C2106" s="1">
        <f>IFERROR(__xludf.DUMMYFUNCTION("""COMPUTED_VALUE"""),64.92)</f>
        <v>64.92</v>
      </c>
      <c r="D2106" s="1">
        <f>IFERROR(__xludf.DUMMYFUNCTION("""COMPUTED_VALUE"""),63.77)</f>
        <v>63.77</v>
      </c>
      <c r="E2106" s="1">
        <f>IFERROR(__xludf.DUMMYFUNCTION("""COMPUTED_VALUE"""),64.78)</f>
        <v>64.78</v>
      </c>
      <c r="F2106" s="1">
        <f>IFERROR(__xludf.DUMMYFUNCTION("""COMPUTED_VALUE"""),1648003.0)</f>
        <v>1648003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IFERROR(__xludf.DUMMYFUNCTION("""COMPUTED_VALUE"""),64.6)</f>
        <v>64.6</v>
      </c>
      <c r="C2107" s="1">
        <f>IFERROR(__xludf.DUMMYFUNCTION("""COMPUTED_VALUE"""),65.22)</f>
        <v>65.22</v>
      </c>
      <c r="D2107" s="1">
        <f>IFERROR(__xludf.DUMMYFUNCTION("""COMPUTED_VALUE"""),64.47)</f>
        <v>64.47</v>
      </c>
      <c r="E2107" s="1">
        <f>IFERROR(__xludf.DUMMYFUNCTION("""COMPUTED_VALUE"""),65.0)</f>
        <v>65</v>
      </c>
      <c r="F2107" s="1">
        <f>IFERROR(__xludf.DUMMYFUNCTION("""COMPUTED_VALUE"""),1509125.0)</f>
        <v>1509125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IFERROR(__xludf.DUMMYFUNCTION("""COMPUTED_VALUE"""),64.99)</f>
        <v>64.99</v>
      </c>
      <c r="C2108" s="1">
        <f>IFERROR(__xludf.DUMMYFUNCTION("""COMPUTED_VALUE"""),66.57)</f>
        <v>66.57</v>
      </c>
      <c r="D2108" s="1">
        <f>IFERROR(__xludf.DUMMYFUNCTION("""COMPUTED_VALUE"""),64.99)</f>
        <v>64.99</v>
      </c>
      <c r="E2108" s="1">
        <f>IFERROR(__xludf.DUMMYFUNCTION("""COMPUTED_VALUE"""),65.9)</f>
        <v>65.9</v>
      </c>
      <c r="F2108" s="1">
        <f>IFERROR(__xludf.DUMMYFUNCTION("""COMPUTED_VALUE"""),1643746.0)</f>
        <v>1643746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IFERROR(__xludf.DUMMYFUNCTION("""COMPUTED_VALUE"""),65.99)</f>
        <v>65.99</v>
      </c>
      <c r="C2109" s="1">
        <f>IFERROR(__xludf.DUMMYFUNCTION("""COMPUTED_VALUE"""),66.94)</f>
        <v>66.94</v>
      </c>
      <c r="D2109" s="1">
        <f>IFERROR(__xludf.DUMMYFUNCTION("""COMPUTED_VALUE"""),65.6)</f>
        <v>65.6</v>
      </c>
      <c r="E2109" s="1">
        <f>IFERROR(__xludf.DUMMYFUNCTION("""COMPUTED_VALUE"""),66.72)</f>
        <v>66.72</v>
      </c>
      <c r="F2109" s="1">
        <f>IFERROR(__xludf.DUMMYFUNCTION("""COMPUTED_VALUE"""),1253488.0)</f>
        <v>1253488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IFERROR(__xludf.DUMMYFUNCTION("""COMPUTED_VALUE"""),66.54)</f>
        <v>66.54</v>
      </c>
      <c r="C2110" s="1">
        <f>IFERROR(__xludf.DUMMYFUNCTION("""COMPUTED_VALUE"""),66.81)</f>
        <v>66.81</v>
      </c>
      <c r="D2110" s="1">
        <f>IFERROR(__xludf.DUMMYFUNCTION("""COMPUTED_VALUE"""),65.58)</f>
        <v>65.58</v>
      </c>
      <c r="E2110" s="1">
        <f>IFERROR(__xludf.DUMMYFUNCTION("""COMPUTED_VALUE"""),65.87)</f>
        <v>65.87</v>
      </c>
      <c r="F2110" s="1">
        <f>IFERROR(__xludf.DUMMYFUNCTION("""COMPUTED_VALUE"""),1240418.0)</f>
        <v>1240418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IFERROR(__xludf.DUMMYFUNCTION("""COMPUTED_VALUE"""),66.14)</f>
        <v>66.14</v>
      </c>
      <c r="C2111" s="1">
        <f>IFERROR(__xludf.DUMMYFUNCTION("""COMPUTED_VALUE"""),66.77)</f>
        <v>66.77</v>
      </c>
      <c r="D2111" s="1">
        <f>IFERROR(__xludf.DUMMYFUNCTION("""COMPUTED_VALUE"""),65.91)</f>
        <v>65.91</v>
      </c>
      <c r="E2111" s="1">
        <f>IFERROR(__xludf.DUMMYFUNCTION("""COMPUTED_VALUE"""),66.47)</f>
        <v>66.47</v>
      </c>
      <c r="F2111" s="1">
        <f>IFERROR(__xludf.DUMMYFUNCTION("""COMPUTED_VALUE"""),901334.0)</f>
        <v>901334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IFERROR(__xludf.DUMMYFUNCTION("""COMPUTED_VALUE"""),66.94)</f>
        <v>66.94</v>
      </c>
      <c r="C2112" s="1">
        <f>IFERROR(__xludf.DUMMYFUNCTION("""COMPUTED_VALUE"""),66.94)</f>
        <v>66.94</v>
      </c>
      <c r="D2112" s="1">
        <f>IFERROR(__xludf.DUMMYFUNCTION("""COMPUTED_VALUE"""),65.09)</f>
        <v>65.09</v>
      </c>
      <c r="E2112" s="1">
        <f>IFERROR(__xludf.DUMMYFUNCTION("""COMPUTED_VALUE"""),65.16)</f>
        <v>65.16</v>
      </c>
      <c r="F2112" s="1">
        <f>IFERROR(__xludf.DUMMYFUNCTION("""COMPUTED_VALUE"""),1143414.0)</f>
        <v>1143414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IFERROR(__xludf.DUMMYFUNCTION("""COMPUTED_VALUE"""),64.88)</f>
        <v>64.88</v>
      </c>
      <c r="C2113" s="1">
        <f>IFERROR(__xludf.DUMMYFUNCTION("""COMPUTED_VALUE"""),67.6)</f>
        <v>67.6</v>
      </c>
      <c r="D2113" s="1">
        <f>IFERROR(__xludf.DUMMYFUNCTION("""COMPUTED_VALUE"""),64.76)</f>
        <v>64.76</v>
      </c>
      <c r="E2113" s="1">
        <f>IFERROR(__xludf.DUMMYFUNCTION("""COMPUTED_VALUE"""),66.02)</f>
        <v>66.02</v>
      </c>
      <c r="F2113" s="1">
        <f>IFERROR(__xludf.DUMMYFUNCTION("""COMPUTED_VALUE"""),2565954.0)</f>
        <v>2565954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IFERROR(__xludf.DUMMYFUNCTION("""COMPUTED_VALUE"""),65.94)</f>
        <v>65.94</v>
      </c>
      <c r="C2114" s="1">
        <f>IFERROR(__xludf.DUMMYFUNCTION("""COMPUTED_VALUE"""),66.98)</f>
        <v>66.98</v>
      </c>
      <c r="D2114" s="1">
        <f>IFERROR(__xludf.DUMMYFUNCTION("""COMPUTED_VALUE"""),65.65)</f>
        <v>65.65</v>
      </c>
      <c r="E2114" s="1">
        <f>IFERROR(__xludf.DUMMYFUNCTION("""COMPUTED_VALUE"""),66.81)</f>
        <v>66.81</v>
      </c>
      <c r="F2114" s="1">
        <f>IFERROR(__xludf.DUMMYFUNCTION("""COMPUTED_VALUE"""),1483947.0)</f>
        <v>1483947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IFERROR(__xludf.DUMMYFUNCTION("""COMPUTED_VALUE"""),66.67)</f>
        <v>66.67</v>
      </c>
      <c r="C2115" s="1">
        <f>IFERROR(__xludf.DUMMYFUNCTION("""COMPUTED_VALUE"""),67.78)</f>
        <v>67.78</v>
      </c>
      <c r="D2115" s="1">
        <f>IFERROR(__xludf.DUMMYFUNCTION("""COMPUTED_VALUE"""),66.41)</f>
        <v>66.41</v>
      </c>
      <c r="E2115" s="1">
        <f>IFERROR(__xludf.DUMMYFUNCTION("""COMPUTED_VALUE"""),67.28)</f>
        <v>67.28</v>
      </c>
      <c r="F2115" s="1">
        <f>IFERROR(__xludf.DUMMYFUNCTION("""COMPUTED_VALUE"""),1536666.0)</f>
        <v>1536666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IFERROR(__xludf.DUMMYFUNCTION("""COMPUTED_VALUE"""),67.66)</f>
        <v>67.66</v>
      </c>
      <c r="C2116" s="1">
        <f>IFERROR(__xludf.DUMMYFUNCTION("""COMPUTED_VALUE"""),69.69)</f>
        <v>69.69</v>
      </c>
      <c r="D2116" s="1">
        <f>IFERROR(__xludf.DUMMYFUNCTION("""COMPUTED_VALUE"""),67.52)</f>
        <v>67.52</v>
      </c>
      <c r="E2116" s="1">
        <f>IFERROR(__xludf.DUMMYFUNCTION("""COMPUTED_VALUE"""),68.27)</f>
        <v>68.27</v>
      </c>
      <c r="F2116" s="1">
        <f>IFERROR(__xludf.DUMMYFUNCTION("""COMPUTED_VALUE"""),2019773.0)</f>
        <v>2019773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IFERROR(__xludf.DUMMYFUNCTION("""COMPUTED_VALUE"""),68.66)</f>
        <v>68.66</v>
      </c>
      <c r="C2117" s="1">
        <f>IFERROR(__xludf.DUMMYFUNCTION("""COMPUTED_VALUE"""),69.75)</f>
        <v>69.75</v>
      </c>
      <c r="D2117" s="1">
        <f>IFERROR(__xludf.DUMMYFUNCTION("""COMPUTED_VALUE"""),68.35)</f>
        <v>68.35</v>
      </c>
      <c r="E2117" s="1">
        <f>IFERROR(__xludf.DUMMYFUNCTION("""COMPUTED_VALUE"""),69.25)</f>
        <v>69.25</v>
      </c>
      <c r="F2117" s="1">
        <f>IFERROR(__xludf.DUMMYFUNCTION("""COMPUTED_VALUE"""),1443320.0)</f>
        <v>1443320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IFERROR(__xludf.DUMMYFUNCTION("""COMPUTED_VALUE"""),69.37)</f>
        <v>69.37</v>
      </c>
      <c r="C2118" s="1">
        <f>IFERROR(__xludf.DUMMYFUNCTION("""COMPUTED_VALUE"""),69.41)</f>
        <v>69.41</v>
      </c>
      <c r="D2118" s="1">
        <f>IFERROR(__xludf.DUMMYFUNCTION("""COMPUTED_VALUE"""),68.53)</f>
        <v>68.53</v>
      </c>
      <c r="E2118" s="1">
        <f>IFERROR(__xludf.DUMMYFUNCTION("""COMPUTED_VALUE"""),68.92)</f>
        <v>68.92</v>
      </c>
      <c r="F2118" s="1">
        <f>IFERROR(__xludf.DUMMYFUNCTION("""COMPUTED_VALUE"""),1114147.0)</f>
        <v>1114147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IFERROR(__xludf.DUMMYFUNCTION("""COMPUTED_VALUE"""),69.47)</f>
        <v>69.47</v>
      </c>
      <c r="C2119" s="1">
        <f>IFERROR(__xludf.DUMMYFUNCTION("""COMPUTED_VALUE"""),70.66)</f>
        <v>70.66</v>
      </c>
      <c r="D2119" s="1">
        <f>IFERROR(__xludf.DUMMYFUNCTION("""COMPUTED_VALUE"""),69.09)</f>
        <v>69.09</v>
      </c>
      <c r="E2119" s="1">
        <f>IFERROR(__xludf.DUMMYFUNCTION("""COMPUTED_VALUE"""),69.89)</f>
        <v>69.89</v>
      </c>
      <c r="F2119" s="1">
        <f>IFERROR(__xludf.DUMMYFUNCTION("""COMPUTED_VALUE"""),1473321.0)</f>
        <v>1473321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IFERROR(__xludf.DUMMYFUNCTION("""COMPUTED_VALUE"""),70.12)</f>
        <v>70.12</v>
      </c>
      <c r="C2120" s="1">
        <f>IFERROR(__xludf.DUMMYFUNCTION("""COMPUTED_VALUE"""),71.49)</f>
        <v>71.49</v>
      </c>
      <c r="D2120" s="1">
        <f>IFERROR(__xludf.DUMMYFUNCTION("""COMPUTED_VALUE"""),70.12)</f>
        <v>70.12</v>
      </c>
      <c r="E2120" s="1">
        <f>IFERROR(__xludf.DUMMYFUNCTION("""COMPUTED_VALUE"""),71.45)</f>
        <v>71.45</v>
      </c>
      <c r="F2120" s="1">
        <f>IFERROR(__xludf.DUMMYFUNCTION("""COMPUTED_VALUE"""),1514891.0)</f>
        <v>1514891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IFERROR(__xludf.DUMMYFUNCTION("""COMPUTED_VALUE"""),71.19)</f>
        <v>71.19</v>
      </c>
      <c r="C2121" s="1">
        <f>IFERROR(__xludf.DUMMYFUNCTION("""COMPUTED_VALUE"""),71.74)</f>
        <v>71.74</v>
      </c>
      <c r="D2121" s="1">
        <f>IFERROR(__xludf.DUMMYFUNCTION("""COMPUTED_VALUE"""),71.0)</f>
        <v>71</v>
      </c>
      <c r="E2121" s="1">
        <f>IFERROR(__xludf.DUMMYFUNCTION("""COMPUTED_VALUE"""),71.62)</f>
        <v>71.62</v>
      </c>
      <c r="F2121" s="1">
        <f>IFERROR(__xludf.DUMMYFUNCTION("""COMPUTED_VALUE"""),1548948.0)</f>
        <v>1548948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IFERROR(__xludf.DUMMYFUNCTION("""COMPUTED_VALUE"""),72.16)</f>
        <v>72.16</v>
      </c>
      <c r="C2122" s="1">
        <f>IFERROR(__xludf.DUMMYFUNCTION("""COMPUTED_VALUE"""),72.99)</f>
        <v>72.99</v>
      </c>
      <c r="D2122" s="1">
        <f>IFERROR(__xludf.DUMMYFUNCTION("""COMPUTED_VALUE"""),71.49)</f>
        <v>71.49</v>
      </c>
      <c r="E2122" s="1">
        <f>IFERROR(__xludf.DUMMYFUNCTION("""COMPUTED_VALUE"""),72.62)</f>
        <v>72.62</v>
      </c>
      <c r="F2122" s="1">
        <f>IFERROR(__xludf.DUMMYFUNCTION("""COMPUTED_VALUE"""),2158297.0)</f>
        <v>2158297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IFERROR(__xludf.DUMMYFUNCTION("""COMPUTED_VALUE"""),72.87)</f>
        <v>72.87</v>
      </c>
      <c r="C2123" s="1">
        <f>IFERROR(__xludf.DUMMYFUNCTION("""COMPUTED_VALUE"""),73.97)</f>
        <v>73.97</v>
      </c>
      <c r="D2123" s="1">
        <f>IFERROR(__xludf.DUMMYFUNCTION("""COMPUTED_VALUE"""),72.62)</f>
        <v>72.62</v>
      </c>
      <c r="E2123" s="1">
        <f>IFERROR(__xludf.DUMMYFUNCTION("""COMPUTED_VALUE"""),73.08)</f>
        <v>73.08</v>
      </c>
      <c r="F2123" s="1">
        <f>IFERROR(__xludf.DUMMYFUNCTION("""COMPUTED_VALUE"""),1139282.0)</f>
        <v>1139282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IFERROR(__xludf.DUMMYFUNCTION("""COMPUTED_VALUE"""),73.08)</f>
        <v>73.08</v>
      </c>
      <c r="C2124" s="1">
        <f>IFERROR(__xludf.DUMMYFUNCTION("""COMPUTED_VALUE"""),73.8)</f>
        <v>73.8</v>
      </c>
      <c r="D2124" s="1">
        <f>IFERROR(__xludf.DUMMYFUNCTION("""COMPUTED_VALUE"""),72.67)</f>
        <v>72.67</v>
      </c>
      <c r="E2124" s="1">
        <f>IFERROR(__xludf.DUMMYFUNCTION("""COMPUTED_VALUE"""),73.79)</f>
        <v>73.79</v>
      </c>
      <c r="F2124" s="1">
        <f>IFERROR(__xludf.DUMMYFUNCTION("""COMPUTED_VALUE"""),1400207.0)</f>
        <v>1400207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IFERROR(__xludf.DUMMYFUNCTION("""COMPUTED_VALUE"""),74.05)</f>
        <v>74.05</v>
      </c>
      <c r="C2125" s="1">
        <f>IFERROR(__xludf.DUMMYFUNCTION("""COMPUTED_VALUE"""),74.46)</f>
        <v>74.46</v>
      </c>
      <c r="D2125" s="1">
        <f>IFERROR(__xludf.DUMMYFUNCTION("""COMPUTED_VALUE"""),73.54)</f>
        <v>73.54</v>
      </c>
      <c r="E2125" s="1">
        <f>IFERROR(__xludf.DUMMYFUNCTION("""COMPUTED_VALUE"""),73.82)</f>
        <v>73.82</v>
      </c>
      <c r="F2125" s="1">
        <f>IFERROR(__xludf.DUMMYFUNCTION("""COMPUTED_VALUE"""),1351051.0)</f>
        <v>1351051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IFERROR(__xludf.DUMMYFUNCTION("""COMPUTED_VALUE"""),73.94)</f>
        <v>73.94</v>
      </c>
      <c r="C2126" s="1">
        <f>IFERROR(__xludf.DUMMYFUNCTION("""COMPUTED_VALUE"""),74.43)</f>
        <v>74.43</v>
      </c>
      <c r="D2126" s="1">
        <f>IFERROR(__xludf.DUMMYFUNCTION("""COMPUTED_VALUE"""),73.61)</f>
        <v>73.61</v>
      </c>
      <c r="E2126" s="1">
        <f>IFERROR(__xludf.DUMMYFUNCTION("""COMPUTED_VALUE"""),73.85)</f>
        <v>73.85</v>
      </c>
      <c r="F2126" s="1">
        <f>IFERROR(__xludf.DUMMYFUNCTION("""COMPUTED_VALUE"""),1993247.0)</f>
        <v>1993247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IFERROR(__xludf.DUMMYFUNCTION("""COMPUTED_VALUE"""),74.0)</f>
        <v>74</v>
      </c>
      <c r="C2127" s="1">
        <f>IFERROR(__xludf.DUMMYFUNCTION("""COMPUTED_VALUE"""),74.12)</f>
        <v>74.12</v>
      </c>
      <c r="D2127" s="1">
        <f>IFERROR(__xludf.DUMMYFUNCTION("""COMPUTED_VALUE"""),72.69)</f>
        <v>72.69</v>
      </c>
      <c r="E2127" s="1">
        <f>IFERROR(__xludf.DUMMYFUNCTION("""COMPUTED_VALUE"""),73.09)</f>
        <v>73.09</v>
      </c>
      <c r="F2127" s="1">
        <f>IFERROR(__xludf.DUMMYFUNCTION("""COMPUTED_VALUE"""),1991421.0)</f>
        <v>1991421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IFERROR(__xludf.DUMMYFUNCTION("""COMPUTED_VALUE"""),73.24)</f>
        <v>73.24</v>
      </c>
      <c r="C2128" s="1">
        <f>IFERROR(__xludf.DUMMYFUNCTION("""COMPUTED_VALUE"""),73.63)</f>
        <v>73.63</v>
      </c>
      <c r="D2128" s="1">
        <f>IFERROR(__xludf.DUMMYFUNCTION("""COMPUTED_VALUE"""),72.79)</f>
        <v>72.79</v>
      </c>
      <c r="E2128" s="1">
        <f>IFERROR(__xludf.DUMMYFUNCTION("""COMPUTED_VALUE"""),73.22)</f>
        <v>73.22</v>
      </c>
      <c r="F2128" s="1">
        <f>IFERROR(__xludf.DUMMYFUNCTION("""COMPUTED_VALUE"""),1273659.0)</f>
        <v>1273659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IFERROR(__xludf.DUMMYFUNCTION("""COMPUTED_VALUE"""),72.49)</f>
        <v>72.49</v>
      </c>
      <c r="C2129" s="1">
        <f>IFERROR(__xludf.DUMMYFUNCTION("""COMPUTED_VALUE"""),73.42)</f>
        <v>73.42</v>
      </c>
      <c r="D2129" s="1">
        <f>IFERROR(__xludf.DUMMYFUNCTION("""COMPUTED_VALUE"""),72.13)</f>
        <v>72.13</v>
      </c>
      <c r="E2129" s="1">
        <f>IFERROR(__xludf.DUMMYFUNCTION("""COMPUTED_VALUE"""),72.39)</f>
        <v>72.39</v>
      </c>
      <c r="F2129" s="1">
        <f>IFERROR(__xludf.DUMMYFUNCTION("""COMPUTED_VALUE"""),3371849.0)</f>
        <v>3371849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IFERROR(__xludf.DUMMYFUNCTION("""COMPUTED_VALUE"""),71.98)</f>
        <v>71.98</v>
      </c>
      <c r="C2130" s="1">
        <f>IFERROR(__xludf.DUMMYFUNCTION("""COMPUTED_VALUE"""),72.54)</f>
        <v>72.54</v>
      </c>
      <c r="D2130" s="1">
        <f>IFERROR(__xludf.DUMMYFUNCTION("""COMPUTED_VALUE"""),71.69)</f>
        <v>71.69</v>
      </c>
      <c r="E2130" s="1">
        <f>IFERROR(__xludf.DUMMYFUNCTION("""COMPUTED_VALUE"""),72.4)</f>
        <v>72.4</v>
      </c>
      <c r="F2130" s="1">
        <f>IFERROR(__xludf.DUMMYFUNCTION("""COMPUTED_VALUE"""),3121093.0)</f>
        <v>3121093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IFERROR(__xludf.DUMMYFUNCTION("""COMPUTED_VALUE"""),71.99)</f>
        <v>71.99</v>
      </c>
      <c r="C2131" s="1">
        <f>IFERROR(__xludf.DUMMYFUNCTION("""COMPUTED_VALUE"""),72.93)</f>
        <v>72.93</v>
      </c>
      <c r="D2131" s="1">
        <f>IFERROR(__xludf.DUMMYFUNCTION("""COMPUTED_VALUE"""),71.86)</f>
        <v>71.86</v>
      </c>
      <c r="E2131" s="1">
        <f>IFERROR(__xludf.DUMMYFUNCTION("""COMPUTED_VALUE"""),72.75)</f>
        <v>72.75</v>
      </c>
      <c r="F2131" s="1">
        <f>IFERROR(__xludf.DUMMYFUNCTION("""COMPUTED_VALUE"""),1619364.0)</f>
        <v>1619364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IFERROR(__xludf.DUMMYFUNCTION("""COMPUTED_VALUE"""),73.47)</f>
        <v>73.47</v>
      </c>
      <c r="C2132" s="1">
        <f>IFERROR(__xludf.DUMMYFUNCTION("""COMPUTED_VALUE"""),73.92)</f>
        <v>73.92</v>
      </c>
      <c r="D2132" s="1">
        <f>IFERROR(__xludf.DUMMYFUNCTION("""COMPUTED_VALUE"""),72.38)</f>
        <v>72.38</v>
      </c>
      <c r="E2132" s="1">
        <f>IFERROR(__xludf.DUMMYFUNCTION("""COMPUTED_VALUE"""),72.77)</f>
        <v>72.77</v>
      </c>
      <c r="F2132" s="1">
        <f>IFERROR(__xludf.DUMMYFUNCTION("""COMPUTED_VALUE"""),1292092.0)</f>
        <v>1292092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IFERROR(__xludf.DUMMYFUNCTION("""COMPUTED_VALUE"""),72.49)</f>
        <v>72.49</v>
      </c>
      <c r="C2133" s="1">
        <f>IFERROR(__xludf.DUMMYFUNCTION("""COMPUTED_VALUE"""),72.55)</f>
        <v>72.55</v>
      </c>
      <c r="D2133" s="1">
        <f>IFERROR(__xludf.DUMMYFUNCTION("""COMPUTED_VALUE"""),70.26)</f>
        <v>70.26</v>
      </c>
      <c r="E2133" s="1">
        <f>IFERROR(__xludf.DUMMYFUNCTION("""COMPUTED_VALUE"""),71.05)</f>
        <v>71.05</v>
      </c>
      <c r="F2133" s="1">
        <f>IFERROR(__xludf.DUMMYFUNCTION("""COMPUTED_VALUE"""),3183663.0)</f>
        <v>3183663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IFERROR(__xludf.DUMMYFUNCTION("""COMPUTED_VALUE"""),77.75)</f>
        <v>77.75</v>
      </c>
      <c r="C2134" s="1">
        <f>IFERROR(__xludf.DUMMYFUNCTION("""COMPUTED_VALUE"""),81.67)</f>
        <v>81.67</v>
      </c>
      <c r="D2134" s="1">
        <f>IFERROR(__xludf.DUMMYFUNCTION("""COMPUTED_VALUE"""),76.2)</f>
        <v>76.2</v>
      </c>
      <c r="E2134" s="1">
        <f>IFERROR(__xludf.DUMMYFUNCTION("""COMPUTED_VALUE"""),80.19)</f>
        <v>80.19</v>
      </c>
      <c r="F2134" s="1">
        <f>IFERROR(__xludf.DUMMYFUNCTION("""COMPUTED_VALUE"""),1.2857542E7)</f>
        <v>12857542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IFERROR(__xludf.DUMMYFUNCTION("""COMPUTED_VALUE"""),79.48)</f>
        <v>79.48</v>
      </c>
      <c r="C2135" s="1">
        <f>IFERROR(__xludf.DUMMYFUNCTION("""COMPUTED_VALUE"""),79.51)</f>
        <v>79.51</v>
      </c>
      <c r="D2135" s="1">
        <f>IFERROR(__xludf.DUMMYFUNCTION("""COMPUTED_VALUE"""),76.16)</f>
        <v>76.16</v>
      </c>
      <c r="E2135" s="1">
        <f>IFERROR(__xludf.DUMMYFUNCTION("""COMPUTED_VALUE"""),76.72)</f>
        <v>76.72</v>
      </c>
      <c r="F2135" s="1">
        <f>IFERROR(__xludf.DUMMYFUNCTION("""COMPUTED_VALUE"""),3384939.0)</f>
        <v>3384939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IFERROR(__xludf.DUMMYFUNCTION("""COMPUTED_VALUE"""),76.01)</f>
        <v>76.01</v>
      </c>
      <c r="C2136" s="1">
        <f>IFERROR(__xludf.DUMMYFUNCTION("""COMPUTED_VALUE"""),76.47)</f>
        <v>76.47</v>
      </c>
      <c r="D2136" s="1">
        <f>IFERROR(__xludf.DUMMYFUNCTION("""COMPUTED_VALUE"""),75.07)</f>
        <v>75.07</v>
      </c>
      <c r="E2136" s="1">
        <f>IFERROR(__xludf.DUMMYFUNCTION("""COMPUTED_VALUE"""),75.39)</f>
        <v>75.39</v>
      </c>
      <c r="F2136" s="1">
        <f>IFERROR(__xludf.DUMMYFUNCTION("""COMPUTED_VALUE"""),3008541.0)</f>
        <v>3008541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IFERROR(__xludf.DUMMYFUNCTION("""COMPUTED_VALUE"""),75.85)</f>
        <v>75.85</v>
      </c>
      <c r="C2137" s="1">
        <f>IFERROR(__xludf.DUMMYFUNCTION("""COMPUTED_VALUE"""),76.21)</f>
        <v>76.21</v>
      </c>
      <c r="D2137" s="1">
        <f>IFERROR(__xludf.DUMMYFUNCTION("""COMPUTED_VALUE"""),74.3)</f>
        <v>74.3</v>
      </c>
      <c r="E2137" s="1">
        <f>IFERROR(__xludf.DUMMYFUNCTION("""COMPUTED_VALUE"""),74.31)</f>
        <v>74.31</v>
      </c>
      <c r="F2137" s="1">
        <f>IFERROR(__xludf.DUMMYFUNCTION("""COMPUTED_VALUE"""),1514707.0)</f>
        <v>1514707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IFERROR(__xludf.DUMMYFUNCTION("""COMPUTED_VALUE"""),74.15)</f>
        <v>74.15</v>
      </c>
      <c r="C2138" s="1">
        <f>IFERROR(__xludf.DUMMYFUNCTION("""COMPUTED_VALUE"""),74.43)</f>
        <v>74.43</v>
      </c>
      <c r="D2138" s="1">
        <f>IFERROR(__xludf.DUMMYFUNCTION("""COMPUTED_VALUE"""),73.29)</f>
        <v>73.29</v>
      </c>
      <c r="E2138" s="1">
        <f>IFERROR(__xludf.DUMMYFUNCTION("""COMPUTED_VALUE"""),73.45)</f>
        <v>73.45</v>
      </c>
      <c r="F2138" s="1">
        <f>IFERROR(__xludf.DUMMYFUNCTION("""COMPUTED_VALUE"""),2601699.0)</f>
        <v>2601699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IFERROR(__xludf.DUMMYFUNCTION("""COMPUTED_VALUE"""),73.4)</f>
        <v>73.4</v>
      </c>
      <c r="C2139" s="1">
        <f>IFERROR(__xludf.DUMMYFUNCTION("""COMPUTED_VALUE"""),73.71)</f>
        <v>73.71</v>
      </c>
      <c r="D2139" s="1">
        <f>IFERROR(__xludf.DUMMYFUNCTION("""COMPUTED_VALUE"""),72.82)</f>
        <v>72.82</v>
      </c>
      <c r="E2139" s="1">
        <f>IFERROR(__xludf.DUMMYFUNCTION("""COMPUTED_VALUE"""),72.87)</f>
        <v>72.87</v>
      </c>
      <c r="F2139" s="1">
        <f>IFERROR(__xludf.DUMMYFUNCTION("""COMPUTED_VALUE"""),1593749.0)</f>
        <v>1593749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IFERROR(__xludf.DUMMYFUNCTION("""COMPUTED_VALUE"""),72.69)</f>
        <v>72.69</v>
      </c>
      <c r="C2140" s="1">
        <f>IFERROR(__xludf.DUMMYFUNCTION("""COMPUTED_VALUE"""),73.8)</f>
        <v>73.8</v>
      </c>
      <c r="D2140" s="1">
        <f>IFERROR(__xludf.DUMMYFUNCTION("""COMPUTED_VALUE"""),72.08)</f>
        <v>72.08</v>
      </c>
      <c r="E2140" s="1">
        <f>IFERROR(__xludf.DUMMYFUNCTION("""COMPUTED_VALUE"""),73.74)</f>
        <v>73.74</v>
      </c>
      <c r="F2140" s="1">
        <f>IFERROR(__xludf.DUMMYFUNCTION("""COMPUTED_VALUE"""),2116068.0)</f>
        <v>2116068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IFERROR(__xludf.DUMMYFUNCTION("""COMPUTED_VALUE"""),74.17)</f>
        <v>74.17</v>
      </c>
      <c r="C2141" s="1">
        <f>IFERROR(__xludf.DUMMYFUNCTION("""COMPUTED_VALUE"""),74.87)</f>
        <v>74.87</v>
      </c>
      <c r="D2141" s="1">
        <f>IFERROR(__xludf.DUMMYFUNCTION("""COMPUTED_VALUE"""),74.01)</f>
        <v>74.01</v>
      </c>
      <c r="E2141" s="1">
        <f>IFERROR(__xludf.DUMMYFUNCTION("""COMPUTED_VALUE"""),74.2)</f>
        <v>74.2</v>
      </c>
      <c r="F2141" s="1">
        <f>IFERROR(__xludf.DUMMYFUNCTION("""COMPUTED_VALUE"""),928642.0)</f>
        <v>928642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IFERROR(__xludf.DUMMYFUNCTION("""COMPUTED_VALUE"""),74.77)</f>
        <v>74.77</v>
      </c>
      <c r="C2142" s="1">
        <f>IFERROR(__xludf.DUMMYFUNCTION("""COMPUTED_VALUE"""),76.17)</f>
        <v>76.17</v>
      </c>
      <c r="D2142" s="1">
        <f>IFERROR(__xludf.DUMMYFUNCTION("""COMPUTED_VALUE"""),74.37)</f>
        <v>74.37</v>
      </c>
      <c r="E2142" s="1">
        <f>IFERROR(__xludf.DUMMYFUNCTION("""COMPUTED_VALUE"""),76.11)</f>
        <v>76.11</v>
      </c>
      <c r="F2142" s="1">
        <f>IFERROR(__xludf.DUMMYFUNCTION("""COMPUTED_VALUE"""),2152025.0)</f>
        <v>2152025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IFERROR(__xludf.DUMMYFUNCTION("""COMPUTED_VALUE"""),75.77)</f>
        <v>75.77</v>
      </c>
      <c r="C2143" s="1">
        <f>IFERROR(__xludf.DUMMYFUNCTION("""COMPUTED_VALUE"""),76.7)</f>
        <v>76.7</v>
      </c>
      <c r="D2143" s="1">
        <f>IFERROR(__xludf.DUMMYFUNCTION("""COMPUTED_VALUE"""),75.66)</f>
        <v>75.66</v>
      </c>
      <c r="E2143" s="1">
        <f>IFERROR(__xludf.DUMMYFUNCTION("""COMPUTED_VALUE"""),76.41)</f>
        <v>76.41</v>
      </c>
      <c r="F2143" s="1">
        <f>IFERROR(__xludf.DUMMYFUNCTION("""COMPUTED_VALUE"""),1220769.0)</f>
        <v>1220769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IFERROR(__xludf.DUMMYFUNCTION("""COMPUTED_VALUE"""),77.0)</f>
        <v>77</v>
      </c>
      <c r="C2144" s="1">
        <f>IFERROR(__xludf.DUMMYFUNCTION("""COMPUTED_VALUE"""),77.25)</f>
        <v>77.25</v>
      </c>
      <c r="D2144" s="1">
        <f>IFERROR(__xludf.DUMMYFUNCTION("""COMPUTED_VALUE"""),76.49)</f>
        <v>76.49</v>
      </c>
      <c r="E2144" s="1">
        <f>IFERROR(__xludf.DUMMYFUNCTION("""COMPUTED_VALUE"""),76.6)</f>
        <v>76.6</v>
      </c>
      <c r="F2144" s="1">
        <f>IFERROR(__xludf.DUMMYFUNCTION("""COMPUTED_VALUE"""),1153435.0)</f>
        <v>1153435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IFERROR(__xludf.DUMMYFUNCTION("""COMPUTED_VALUE"""),78.09)</f>
        <v>78.09</v>
      </c>
      <c r="C2145" s="1">
        <f>IFERROR(__xludf.DUMMYFUNCTION("""COMPUTED_VALUE"""),78.12)</f>
        <v>78.12</v>
      </c>
      <c r="D2145" s="1">
        <f>IFERROR(__xludf.DUMMYFUNCTION("""COMPUTED_VALUE"""),76.48)</f>
        <v>76.48</v>
      </c>
      <c r="E2145" s="1">
        <f>IFERROR(__xludf.DUMMYFUNCTION("""COMPUTED_VALUE"""),76.54)</f>
        <v>76.54</v>
      </c>
      <c r="F2145" s="1">
        <f>IFERROR(__xludf.DUMMYFUNCTION("""COMPUTED_VALUE"""),2248715.0)</f>
        <v>2248715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IFERROR(__xludf.DUMMYFUNCTION("""COMPUTED_VALUE"""),75.87)</f>
        <v>75.87</v>
      </c>
      <c r="C2146" s="1">
        <f>IFERROR(__xludf.DUMMYFUNCTION("""COMPUTED_VALUE"""),76.32)</f>
        <v>76.32</v>
      </c>
      <c r="D2146" s="1">
        <f>IFERROR(__xludf.DUMMYFUNCTION("""COMPUTED_VALUE"""),75.45)</f>
        <v>75.45</v>
      </c>
      <c r="E2146" s="1">
        <f>IFERROR(__xludf.DUMMYFUNCTION("""COMPUTED_VALUE"""),75.72)</f>
        <v>75.72</v>
      </c>
      <c r="F2146" s="1">
        <f>IFERROR(__xludf.DUMMYFUNCTION("""COMPUTED_VALUE"""),1047468.0)</f>
        <v>1047468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IFERROR(__xludf.DUMMYFUNCTION("""COMPUTED_VALUE"""),76.32)</f>
        <v>76.32</v>
      </c>
      <c r="C2147" s="1">
        <f>IFERROR(__xludf.DUMMYFUNCTION("""COMPUTED_VALUE"""),76.66)</f>
        <v>76.66</v>
      </c>
      <c r="D2147" s="1">
        <f>IFERROR(__xludf.DUMMYFUNCTION("""COMPUTED_VALUE"""),75.68)</f>
        <v>75.68</v>
      </c>
      <c r="E2147" s="1">
        <f>IFERROR(__xludf.DUMMYFUNCTION("""COMPUTED_VALUE"""),76.57)</f>
        <v>76.57</v>
      </c>
      <c r="F2147" s="1">
        <f>IFERROR(__xludf.DUMMYFUNCTION("""COMPUTED_VALUE"""),1103484.0)</f>
        <v>1103484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IFERROR(__xludf.DUMMYFUNCTION("""COMPUTED_VALUE"""),76.57)</f>
        <v>76.57</v>
      </c>
      <c r="C2148" s="1">
        <f>IFERROR(__xludf.DUMMYFUNCTION("""COMPUTED_VALUE"""),77.73)</f>
        <v>77.73</v>
      </c>
      <c r="D2148" s="1">
        <f>IFERROR(__xludf.DUMMYFUNCTION("""COMPUTED_VALUE"""),76.57)</f>
        <v>76.57</v>
      </c>
      <c r="E2148" s="1">
        <f>IFERROR(__xludf.DUMMYFUNCTION("""COMPUTED_VALUE"""),76.92)</f>
        <v>76.92</v>
      </c>
      <c r="F2148" s="1">
        <f>IFERROR(__xludf.DUMMYFUNCTION("""COMPUTED_VALUE"""),1007435.0)</f>
        <v>1007435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IFERROR(__xludf.DUMMYFUNCTION("""COMPUTED_VALUE"""),77.05)</f>
        <v>77.05</v>
      </c>
      <c r="C2149" s="1">
        <f>IFERROR(__xludf.DUMMYFUNCTION("""COMPUTED_VALUE"""),77.69)</f>
        <v>77.69</v>
      </c>
      <c r="D2149" s="1">
        <f>IFERROR(__xludf.DUMMYFUNCTION("""COMPUTED_VALUE"""),76.63)</f>
        <v>76.63</v>
      </c>
      <c r="E2149" s="1">
        <f>IFERROR(__xludf.DUMMYFUNCTION("""COMPUTED_VALUE"""),77.25)</f>
        <v>77.25</v>
      </c>
      <c r="F2149" s="1">
        <f>IFERROR(__xludf.DUMMYFUNCTION("""COMPUTED_VALUE"""),1261311.0)</f>
        <v>1261311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IFERROR(__xludf.DUMMYFUNCTION("""COMPUTED_VALUE"""),77.0)</f>
        <v>77</v>
      </c>
      <c r="C2150" s="1">
        <f>IFERROR(__xludf.DUMMYFUNCTION("""COMPUTED_VALUE"""),77.78)</f>
        <v>77.78</v>
      </c>
      <c r="D2150" s="1">
        <f>IFERROR(__xludf.DUMMYFUNCTION("""COMPUTED_VALUE"""),77.0)</f>
        <v>77</v>
      </c>
      <c r="E2150" s="1">
        <f>IFERROR(__xludf.DUMMYFUNCTION("""COMPUTED_VALUE"""),77.67)</f>
        <v>77.67</v>
      </c>
      <c r="F2150" s="1">
        <f>IFERROR(__xludf.DUMMYFUNCTION("""COMPUTED_VALUE"""),655435.0)</f>
        <v>655435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IFERROR(__xludf.DUMMYFUNCTION("""COMPUTED_VALUE"""),76.87)</f>
        <v>76.87</v>
      </c>
      <c r="C2151" s="1">
        <f>IFERROR(__xludf.DUMMYFUNCTION("""COMPUTED_VALUE"""),77.42)</f>
        <v>77.42</v>
      </c>
      <c r="D2151" s="1">
        <f>IFERROR(__xludf.DUMMYFUNCTION("""COMPUTED_VALUE"""),76.74)</f>
        <v>76.74</v>
      </c>
      <c r="E2151" s="1">
        <f>IFERROR(__xludf.DUMMYFUNCTION("""COMPUTED_VALUE"""),77.37)</f>
        <v>77.37</v>
      </c>
      <c r="F2151" s="1">
        <f>IFERROR(__xludf.DUMMYFUNCTION("""COMPUTED_VALUE"""),1102430.0)</f>
        <v>1102430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IFERROR(__xludf.DUMMYFUNCTION("""COMPUTED_VALUE"""),77.33)</f>
        <v>77.33</v>
      </c>
      <c r="C2152" s="1">
        <f>IFERROR(__xludf.DUMMYFUNCTION("""COMPUTED_VALUE"""),78.13)</f>
        <v>78.13</v>
      </c>
      <c r="D2152" s="1">
        <f>IFERROR(__xludf.DUMMYFUNCTION("""COMPUTED_VALUE"""),77.33)</f>
        <v>77.33</v>
      </c>
      <c r="E2152" s="1">
        <f>IFERROR(__xludf.DUMMYFUNCTION("""COMPUTED_VALUE"""),77.7)</f>
        <v>77.7</v>
      </c>
      <c r="F2152" s="1">
        <f>IFERROR(__xludf.DUMMYFUNCTION("""COMPUTED_VALUE"""),913318.0)</f>
        <v>913318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IFERROR(__xludf.DUMMYFUNCTION("""COMPUTED_VALUE"""),77.7)</f>
        <v>77.7</v>
      </c>
      <c r="C2153" s="1">
        <f>IFERROR(__xludf.DUMMYFUNCTION("""COMPUTED_VALUE"""),77.82)</f>
        <v>77.82</v>
      </c>
      <c r="D2153" s="1">
        <f>IFERROR(__xludf.DUMMYFUNCTION("""COMPUTED_VALUE"""),77.05)</f>
        <v>77.05</v>
      </c>
      <c r="E2153" s="1">
        <f>IFERROR(__xludf.DUMMYFUNCTION("""COMPUTED_VALUE"""),77.14)</f>
        <v>77.14</v>
      </c>
      <c r="F2153" s="1">
        <f>IFERROR(__xludf.DUMMYFUNCTION("""COMPUTED_VALUE"""),1123177.0)</f>
        <v>1123177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IFERROR(__xludf.DUMMYFUNCTION("""COMPUTED_VALUE"""),77.0)</f>
        <v>77</v>
      </c>
      <c r="C2154" s="1">
        <f>IFERROR(__xludf.DUMMYFUNCTION("""COMPUTED_VALUE"""),78.28)</f>
        <v>78.28</v>
      </c>
      <c r="D2154" s="1">
        <f>IFERROR(__xludf.DUMMYFUNCTION("""COMPUTED_VALUE"""),76.9)</f>
        <v>76.9</v>
      </c>
      <c r="E2154" s="1">
        <f>IFERROR(__xludf.DUMMYFUNCTION("""COMPUTED_VALUE"""),77.71)</f>
        <v>77.71</v>
      </c>
      <c r="F2154" s="1">
        <f>IFERROR(__xludf.DUMMYFUNCTION("""COMPUTED_VALUE"""),1095753.0)</f>
        <v>1095753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IFERROR(__xludf.DUMMYFUNCTION("""COMPUTED_VALUE"""),78.05)</f>
        <v>78.05</v>
      </c>
      <c r="C2155" s="1">
        <f>IFERROR(__xludf.DUMMYFUNCTION("""COMPUTED_VALUE"""),78.4)</f>
        <v>78.4</v>
      </c>
      <c r="D2155" s="1">
        <f>IFERROR(__xludf.DUMMYFUNCTION("""COMPUTED_VALUE"""),74.92)</f>
        <v>74.92</v>
      </c>
      <c r="E2155" s="1">
        <f>IFERROR(__xludf.DUMMYFUNCTION("""COMPUTED_VALUE"""),75.6)</f>
        <v>75.6</v>
      </c>
      <c r="F2155" s="1">
        <f>IFERROR(__xludf.DUMMYFUNCTION("""COMPUTED_VALUE"""),1465258.0)</f>
        <v>1465258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IFERROR(__xludf.DUMMYFUNCTION("""COMPUTED_VALUE"""),74.33)</f>
        <v>74.33</v>
      </c>
      <c r="C2156" s="1">
        <f>IFERROR(__xludf.DUMMYFUNCTION("""COMPUTED_VALUE"""),75.29)</f>
        <v>75.29</v>
      </c>
      <c r="D2156" s="1">
        <f>IFERROR(__xludf.DUMMYFUNCTION("""COMPUTED_VALUE"""),74.11)</f>
        <v>74.11</v>
      </c>
      <c r="E2156" s="1">
        <f>IFERROR(__xludf.DUMMYFUNCTION("""COMPUTED_VALUE"""),75.2)</f>
        <v>75.2</v>
      </c>
      <c r="F2156" s="1">
        <f>IFERROR(__xludf.DUMMYFUNCTION("""COMPUTED_VALUE"""),1105175.0)</f>
        <v>1105175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IFERROR(__xludf.DUMMYFUNCTION("""COMPUTED_VALUE"""),75.49)</f>
        <v>75.49</v>
      </c>
      <c r="C2157" s="1">
        <f>IFERROR(__xludf.DUMMYFUNCTION("""COMPUTED_VALUE"""),75.83)</f>
        <v>75.83</v>
      </c>
      <c r="D2157" s="1">
        <f>IFERROR(__xludf.DUMMYFUNCTION("""COMPUTED_VALUE"""),75.0)</f>
        <v>75</v>
      </c>
      <c r="E2157" s="1">
        <f>IFERROR(__xludf.DUMMYFUNCTION("""COMPUTED_VALUE"""),75.37)</f>
        <v>75.37</v>
      </c>
      <c r="F2157" s="1">
        <f>IFERROR(__xludf.DUMMYFUNCTION("""COMPUTED_VALUE"""),1090532.0)</f>
        <v>1090532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IFERROR(__xludf.DUMMYFUNCTION("""COMPUTED_VALUE"""),75.59)</f>
        <v>75.59</v>
      </c>
      <c r="C2158" s="1">
        <f>IFERROR(__xludf.DUMMYFUNCTION("""COMPUTED_VALUE"""),76.05)</f>
        <v>76.05</v>
      </c>
      <c r="D2158" s="1">
        <f>IFERROR(__xludf.DUMMYFUNCTION("""COMPUTED_VALUE"""),74.47)</f>
        <v>74.47</v>
      </c>
      <c r="E2158" s="1">
        <f>IFERROR(__xludf.DUMMYFUNCTION("""COMPUTED_VALUE"""),74.82)</f>
        <v>74.82</v>
      </c>
      <c r="F2158" s="1">
        <f>IFERROR(__xludf.DUMMYFUNCTION("""COMPUTED_VALUE"""),933233.0)</f>
        <v>933233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IFERROR(__xludf.DUMMYFUNCTION("""COMPUTED_VALUE"""),74.86)</f>
        <v>74.86</v>
      </c>
      <c r="C2159" s="1">
        <f>IFERROR(__xludf.DUMMYFUNCTION("""COMPUTED_VALUE"""),75.54)</f>
        <v>75.54</v>
      </c>
      <c r="D2159" s="1">
        <f>IFERROR(__xludf.DUMMYFUNCTION("""COMPUTED_VALUE"""),74.61)</f>
        <v>74.61</v>
      </c>
      <c r="E2159" s="1">
        <f>IFERROR(__xludf.DUMMYFUNCTION("""COMPUTED_VALUE"""),75.09)</f>
        <v>75.09</v>
      </c>
      <c r="F2159" s="1">
        <f>IFERROR(__xludf.DUMMYFUNCTION("""COMPUTED_VALUE"""),1131097.0)</f>
        <v>1131097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IFERROR(__xludf.DUMMYFUNCTION("""COMPUTED_VALUE"""),75.23)</f>
        <v>75.23</v>
      </c>
      <c r="C2160" s="1">
        <f>IFERROR(__xludf.DUMMYFUNCTION("""COMPUTED_VALUE"""),75.42)</f>
        <v>75.42</v>
      </c>
      <c r="D2160" s="1">
        <f>IFERROR(__xludf.DUMMYFUNCTION("""COMPUTED_VALUE"""),74.36)</f>
        <v>74.36</v>
      </c>
      <c r="E2160" s="1">
        <f>IFERROR(__xludf.DUMMYFUNCTION("""COMPUTED_VALUE"""),74.68)</f>
        <v>74.68</v>
      </c>
      <c r="F2160" s="1">
        <f>IFERROR(__xludf.DUMMYFUNCTION("""COMPUTED_VALUE"""),1296187.0)</f>
        <v>1296187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IFERROR(__xludf.DUMMYFUNCTION("""COMPUTED_VALUE"""),74.22)</f>
        <v>74.22</v>
      </c>
      <c r="C2161" s="1">
        <f>IFERROR(__xludf.DUMMYFUNCTION("""COMPUTED_VALUE"""),75.01)</f>
        <v>75.01</v>
      </c>
      <c r="D2161" s="1">
        <f>IFERROR(__xludf.DUMMYFUNCTION("""COMPUTED_VALUE"""),72.9)</f>
        <v>72.9</v>
      </c>
      <c r="E2161" s="1">
        <f>IFERROR(__xludf.DUMMYFUNCTION("""COMPUTED_VALUE"""),73.23)</f>
        <v>73.23</v>
      </c>
      <c r="F2161" s="1">
        <f>IFERROR(__xludf.DUMMYFUNCTION("""COMPUTED_VALUE"""),1458313.0)</f>
        <v>1458313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IFERROR(__xludf.DUMMYFUNCTION("""COMPUTED_VALUE"""),73.07)</f>
        <v>73.07</v>
      </c>
      <c r="C2162" s="1">
        <f>IFERROR(__xludf.DUMMYFUNCTION("""COMPUTED_VALUE"""),74.05)</f>
        <v>74.05</v>
      </c>
      <c r="D2162" s="1">
        <f>IFERROR(__xludf.DUMMYFUNCTION("""COMPUTED_VALUE"""),72.65)</f>
        <v>72.65</v>
      </c>
      <c r="E2162" s="1">
        <f>IFERROR(__xludf.DUMMYFUNCTION("""COMPUTED_VALUE"""),73.3)</f>
        <v>73.3</v>
      </c>
      <c r="F2162" s="1">
        <f>IFERROR(__xludf.DUMMYFUNCTION("""COMPUTED_VALUE"""),992539.0)</f>
        <v>992539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IFERROR(__xludf.DUMMYFUNCTION("""COMPUTED_VALUE"""),74.07)</f>
        <v>74.07</v>
      </c>
      <c r="C2163" s="1">
        <f>IFERROR(__xludf.DUMMYFUNCTION("""COMPUTED_VALUE"""),75.15)</f>
        <v>75.15</v>
      </c>
      <c r="D2163" s="1">
        <f>IFERROR(__xludf.DUMMYFUNCTION("""COMPUTED_VALUE"""),73.59)</f>
        <v>73.59</v>
      </c>
      <c r="E2163" s="1">
        <f>IFERROR(__xludf.DUMMYFUNCTION("""COMPUTED_VALUE"""),74.69)</f>
        <v>74.69</v>
      </c>
      <c r="F2163" s="1">
        <f>IFERROR(__xludf.DUMMYFUNCTION("""COMPUTED_VALUE"""),1699051.0)</f>
        <v>1699051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IFERROR(__xludf.DUMMYFUNCTION("""COMPUTED_VALUE"""),74.69)</f>
        <v>74.69</v>
      </c>
      <c r="C2164" s="1">
        <f>IFERROR(__xludf.DUMMYFUNCTION("""COMPUTED_VALUE"""),75.72)</f>
        <v>75.72</v>
      </c>
      <c r="D2164" s="1">
        <f>IFERROR(__xludf.DUMMYFUNCTION("""COMPUTED_VALUE"""),73.98)</f>
        <v>73.98</v>
      </c>
      <c r="E2164" s="1">
        <f>IFERROR(__xludf.DUMMYFUNCTION("""COMPUTED_VALUE"""),75.45)</f>
        <v>75.45</v>
      </c>
      <c r="F2164" s="1">
        <f>IFERROR(__xludf.DUMMYFUNCTION("""COMPUTED_VALUE"""),1190758.0)</f>
        <v>1190758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IFERROR(__xludf.DUMMYFUNCTION("""COMPUTED_VALUE"""),75.55)</f>
        <v>75.55</v>
      </c>
      <c r="C2165" s="1">
        <f>IFERROR(__xludf.DUMMYFUNCTION("""COMPUTED_VALUE"""),75.94)</f>
        <v>75.94</v>
      </c>
      <c r="D2165" s="1">
        <f>IFERROR(__xludf.DUMMYFUNCTION("""COMPUTED_VALUE"""),75.1)</f>
        <v>75.1</v>
      </c>
      <c r="E2165" s="1">
        <f>IFERROR(__xludf.DUMMYFUNCTION("""COMPUTED_VALUE"""),75.58)</f>
        <v>75.58</v>
      </c>
      <c r="F2165" s="1">
        <f>IFERROR(__xludf.DUMMYFUNCTION("""COMPUTED_VALUE"""),1656846.0)</f>
        <v>1656846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IFERROR(__xludf.DUMMYFUNCTION("""COMPUTED_VALUE"""),75.69)</f>
        <v>75.69</v>
      </c>
      <c r="C2166" s="1">
        <f>IFERROR(__xludf.DUMMYFUNCTION("""COMPUTED_VALUE"""),75.82)</f>
        <v>75.82</v>
      </c>
      <c r="D2166" s="1">
        <f>IFERROR(__xludf.DUMMYFUNCTION("""COMPUTED_VALUE"""),74.78)</f>
        <v>74.78</v>
      </c>
      <c r="E2166" s="1">
        <f>IFERROR(__xludf.DUMMYFUNCTION("""COMPUTED_VALUE"""),74.93)</f>
        <v>74.93</v>
      </c>
      <c r="F2166" s="1">
        <f>IFERROR(__xludf.DUMMYFUNCTION("""COMPUTED_VALUE"""),996376.0)</f>
        <v>996376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IFERROR(__xludf.DUMMYFUNCTION("""COMPUTED_VALUE"""),75.23)</f>
        <v>75.23</v>
      </c>
      <c r="C2167" s="1">
        <f>IFERROR(__xludf.DUMMYFUNCTION("""COMPUTED_VALUE"""),75.5)</f>
        <v>75.5</v>
      </c>
      <c r="D2167" s="1">
        <f>IFERROR(__xludf.DUMMYFUNCTION("""COMPUTED_VALUE"""),74.12)</f>
        <v>74.12</v>
      </c>
      <c r="E2167" s="1">
        <f>IFERROR(__xludf.DUMMYFUNCTION("""COMPUTED_VALUE"""),74.17)</f>
        <v>74.17</v>
      </c>
      <c r="F2167" s="1">
        <f>IFERROR(__xludf.DUMMYFUNCTION("""COMPUTED_VALUE"""),1141701.0)</f>
        <v>1141701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IFERROR(__xludf.DUMMYFUNCTION("""COMPUTED_VALUE"""),73.58)</f>
        <v>73.58</v>
      </c>
      <c r="C2168" s="1">
        <f>IFERROR(__xludf.DUMMYFUNCTION("""COMPUTED_VALUE"""),74.01)</f>
        <v>74.01</v>
      </c>
      <c r="D2168" s="1">
        <f>IFERROR(__xludf.DUMMYFUNCTION("""COMPUTED_VALUE"""),72.84)</f>
        <v>72.84</v>
      </c>
      <c r="E2168" s="1">
        <f>IFERROR(__xludf.DUMMYFUNCTION("""COMPUTED_VALUE"""),73.08)</f>
        <v>73.08</v>
      </c>
      <c r="F2168" s="1">
        <f>IFERROR(__xludf.DUMMYFUNCTION("""COMPUTED_VALUE"""),1199127.0)</f>
        <v>1199127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IFERROR(__xludf.DUMMYFUNCTION("""COMPUTED_VALUE"""),73.6)</f>
        <v>73.6</v>
      </c>
      <c r="C2169" s="1">
        <f>IFERROR(__xludf.DUMMYFUNCTION("""COMPUTED_VALUE"""),73.91)</f>
        <v>73.91</v>
      </c>
      <c r="D2169" s="1">
        <f>IFERROR(__xludf.DUMMYFUNCTION("""COMPUTED_VALUE"""),72.19)</f>
        <v>72.19</v>
      </c>
      <c r="E2169" s="1">
        <f>IFERROR(__xludf.DUMMYFUNCTION("""COMPUTED_VALUE"""),72.39)</f>
        <v>72.39</v>
      </c>
      <c r="F2169" s="1">
        <f>IFERROR(__xludf.DUMMYFUNCTION("""COMPUTED_VALUE"""),1201896.0)</f>
        <v>1201896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IFERROR(__xludf.DUMMYFUNCTION("""COMPUTED_VALUE"""),72.65)</f>
        <v>72.65</v>
      </c>
      <c r="C2170" s="1">
        <f>IFERROR(__xludf.DUMMYFUNCTION("""COMPUTED_VALUE"""),73.49)</f>
        <v>73.49</v>
      </c>
      <c r="D2170" s="1">
        <f>IFERROR(__xludf.DUMMYFUNCTION("""COMPUTED_VALUE"""),72.65)</f>
        <v>72.65</v>
      </c>
      <c r="E2170" s="1">
        <f>IFERROR(__xludf.DUMMYFUNCTION("""COMPUTED_VALUE"""),72.84)</f>
        <v>72.84</v>
      </c>
      <c r="F2170" s="1">
        <f>IFERROR(__xludf.DUMMYFUNCTION("""COMPUTED_VALUE"""),1135926.0)</f>
        <v>1135926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IFERROR(__xludf.DUMMYFUNCTION("""COMPUTED_VALUE"""),72.38)</f>
        <v>72.38</v>
      </c>
      <c r="C2171" s="1">
        <f>IFERROR(__xludf.DUMMYFUNCTION("""COMPUTED_VALUE"""),73.09)</f>
        <v>73.09</v>
      </c>
      <c r="D2171" s="1">
        <f>IFERROR(__xludf.DUMMYFUNCTION("""COMPUTED_VALUE"""),72.09)</f>
        <v>72.09</v>
      </c>
      <c r="E2171" s="1">
        <f>IFERROR(__xludf.DUMMYFUNCTION("""COMPUTED_VALUE"""),72.76)</f>
        <v>72.76</v>
      </c>
      <c r="F2171" s="1">
        <f>IFERROR(__xludf.DUMMYFUNCTION("""COMPUTED_VALUE"""),1090295.0)</f>
        <v>1090295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IFERROR(__xludf.DUMMYFUNCTION("""COMPUTED_VALUE"""),73.15)</f>
        <v>73.15</v>
      </c>
      <c r="C2172" s="1">
        <f>IFERROR(__xludf.DUMMYFUNCTION("""COMPUTED_VALUE"""),73.4)</f>
        <v>73.4</v>
      </c>
      <c r="D2172" s="1">
        <f>IFERROR(__xludf.DUMMYFUNCTION("""COMPUTED_VALUE"""),72.72)</f>
        <v>72.72</v>
      </c>
      <c r="E2172" s="1">
        <f>IFERROR(__xludf.DUMMYFUNCTION("""COMPUTED_VALUE"""),72.8)</f>
        <v>72.8</v>
      </c>
      <c r="F2172" s="1">
        <f>IFERROR(__xludf.DUMMYFUNCTION("""COMPUTED_VALUE"""),804344.0)</f>
        <v>804344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IFERROR(__xludf.DUMMYFUNCTION("""COMPUTED_VALUE"""),72.8)</f>
        <v>72.8</v>
      </c>
      <c r="C2173" s="1">
        <f>IFERROR(__xludf.DUMMYFUNCTION("""COMPUTED_VALUE"""),73.82)</f>
        <v>73.82</v>
      </c>
      <c r="D2173" s="1">
        <f>IFERROR(__xludf.DUMMYFUNCTION("""COMPUTED_VALUE"""),72.75)</f>
        <v>72.75</v>
      </c>
      <c r="E2173" s="1">
        <f>IFERROR(__xludf.DUMMYFUNCTION("""COMPUTED_VALUE"""),73.63)</f>
        <v>73.63</v>
      </c>
      <c r="F2173" s="1">
        <f>IFERROR(__xludf.DUMMYFUNCTION("""COMPUTED_VALUE"""),793855.0)</f>
        <v>793855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IFERROR(__xludf.DUMMYFUNCTION("""COMPUTED_VALUE"""),73.72)</f>
        <v>73.72</v>
      </c>
      <c r="C2174" s="1">
        <f>IFERROR(__xludf.DUMMYFUNCTION("""COMPUTED_VALUE"""),75.07)</f>
        <v>75.07</v>
      </c>
      <c r="D2174" s="1">
        <f>IFERROR(__xludf.DUMMYFUNCTION("""COMPUTED_VALUE"""),73.71)</f>
        <v>73.71</v>
      </c>
      <c r="E2174" s="1">
        <f>IFERROR(__xludf.DUMMYFUNCTION("""COMPUTED_VALUE"""),74.8)</f>
        <v>74.8</v>
      </c>
      <c r="F2174" s="1">
        <f>IFERROR(__xludf.DUMMYFUNCTION("""COMPUTED_VALUE"""),1157728.0)</f>
        <v>1157728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IFERROR(__xludf.DUMMYFUNCTION("""COMPUTED_VALUE"""),75.18)</f>
        <v>75.18</v>
      </c>
      <c r="C2175" s="1">
        <f>IFERROR(__xludf.DUMMYFUNCTION("""COMPUTED_VALUE"""),75.89)</f>
        <v>75.89</v>
      </c>
      <c r="D2175" s="1">
        <f>IFERROR(__xludf.DUMMYFUNCTION("""COMPUTED_VALUE"""),75.16)</f>
        <v>75.16</v>
      </c>
      <c r="E2175" s="1">
        <f>IFERROR(__xludf.DUMMYFUNCTION("""COMPUTED_VALUE"""),75.82)</f>
        <v>75.82</v>
      </c>
      <c r="F2175" s="1">
        <f>IFERROR(__xludf.DUMMYFUNCTION("""COMPUTED_VALUE"""),876215.0)</f>
        <v>876215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IFERROR(__xludf.DUMMYFUNCTION("""COMPUTED_VALUE"""),75.82)</f>
        <v>75.82</v>
      </c>
      <c r="C2176" s="1">
        <f>IFERROR(__xludf.DUMMYFUNCTION("""COMPUTED_VALUE"""),76.6)</f>
        <v>76.6</v>
      </c>
      <c r="D2176" s="1">
        <f>IFERROR(__xludf.DUMMYFUNCTION("""COMPUTED_VALUE"""),75.34)</f>
        <v>75.34</v>
      </c>
      <c r="E2176" s="1">
        <f>IFERROR(__xludf.DUMMYFUNCTION("""COMPUTED_VALUE"""),75.34)</f>
        <v>75.34</v>
      </c>
      <c r="F2176" s="1">
        <f>IFERROR(__xludf.DUMMYFUNCTION("""COMPUTED_VALUE"""),720451.0)</f>
        <v>720451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IFERROR(__xludf.DUMMYFUNCTION("""COMPUTED_VALUE"""),75.52)</f>
        <v>75.52</v>
      </c>
      <c r="C2177" s="1">
        <f>IFERROR(__xludf.DUMMYFUNCTION("""COMPUTED_VALUE"""),75.56)</f>
        <v>75.56</v>
      </c>
      <c r="D2177" s="1">
        <f>IFERROR(__xludf.DUMMYFUNCTION("""COMPUTED_VALUE"""),74.6)</f>
        <v>74.6</v>
      </c>
      <c r="E2177" s="1">
        <f>IFERROR(__xludf.DUMMYFUNCTION("""COMPUTED_VALUE"""),75.03)</f>
        <v>75.03</v>
      </c>
      <c r="F2177" s="1">
        <f>IFERROR(__xludf.DUMMYFUNCTION("""COMPUTED_VALUE"""),533974.0)</f>
        <v>533974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IFERROR(__xludf.DUMMYFUNCTION("""COMPUTED_VALUE"""),74.97)</f>
        <v>74.97</v>
      </c>
      <c r="C2178" s="1">
        <f>IFERROR(__xludf.DUMMYFUNCTION("""COMPUTED_VALUE"""),75.79)</f>
        <v>75.79</v>
      </c>
      <c r="D2178" s="1">
        <f>IFERROR(__xludf.DUMMYFUNCTION("""COMPUTED_VALUE"""),74.72)</f>
        <v>74.72</v>
      </c>
      <c r="E2178" s="1">
        <f>IFERROR(__xludf.DUMMYFUNCTION("""COMPUTED_VALUE"""),75.49)</f>
        <v>75.49</v>
      </c>
      <c r="F2178" s="1">
        <f>IFERROR(__xludf.DUMMYFUNCTION("""COMPUTED_VALUE"""),733605.0)</f>
        <v>733605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IFERROR(__xludf.DUMMYFUNCTION("""COMPUTED_VALUE"""),76.25)</f>
        <v>76.25</v>
      </c>
      <c r="C2179" s="1">
        <f>IFERROR(__xludf.DUMMYFUNCTION("""COMPUTED_VALUE"""),77.05)</f>
        <v>77.05</v>
      </c>
      <c r="D2179" s="1">
        <f>IFERROR(__xludf.DUMMYFUNCTION("""COMPUTED_VALUE"""),76.25)</f>
        <v>76.25</v>
      </c>
      <c r="E2179" s="1">
        <f>IFERROR(__xludf.DUMMYFUNCTION("""COMPUTED_VALUE"""),76.67)</f>
        <v>76.67</v>
      </c>
      <c r="F2179" s="1">
        <f>IFERROR(__xludf.DUMMYFUNCTION("""COMPUTED_VALUE"""),1198787.0)</f>
        <v>1198787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IFERROR(__xludf.DUMMYFUNCTION("""COMPUTED_VALUE"""),76.78)</f>
        <v>76.78</v>
      </c>
      <c r="C2180" s="1">
        <f>IFERROR(__xludf.DUMMYFUNCTION("""COMPUTED_VALUE"""),77.38)</f>
        <v>77.38</v>
      </c>
      <c r="D2180" s="1">
        <f>IFERROR(__xludf.DUMMYFUNCTION("""COMPUTED_VALUE"""),76.67)</f>
        <v>76.67</v>
      </c>
      <c r="E2180" s="1">
        <f>IFERROR(__xludf.DUMMYFUNCTION("""COMPUTED_VALUE"""),77.12)</f>
        <v>77.12</v>
      </c>
      <c r="F2180" s="1">
        <f>IFERROR(__xludf.DUMMYFUNCTION("""COMPUTED_VALUE"""),873383.0)</f>
        <v>873383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IFERROR(__xludf.DUMMYFUNCTION("""COMPUTED_VALUE"""),77.9)</f>
        <v>77.9</v>
      </c>
      <c r="C2181" s="1">
        <f>IFERROR(__xludf.DUMMYFUNCTION("""COMPUTED_VALUE"""),78.14)</f>
        <v>78.14</v>
      </c>
      <c r="D2181" s="1">
        <f>IFERROR(__xludf.DUMMYFUNCTION("""COMPUTED_VALUE"""),77.11)</f>
        <v>77.11</v>
      </c>
      <c r="E2181" s="1">
        <f>IFERROR(__xludf.DUMMYFUNCTION("""COMPUTED_VALUE"""),77.68)</f>
        <v>77.68</v>
      </c>
      <c r="F2181" s="1">
        <f>IFERROR(__xludf.DUMMYFUNCTION("""COMPUTED_VALUE"""),1069105.0)</f>
        <v>1069105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IFERROR(__xludf.DUMMYFUNCTION("""COMPUTED_VALUE"""),77.36)</f>
        <v>77.36</v>
      </c>
      <c r="C2182" s="1">
        <f>IFERROR(__xludf.DUMMYFUNCTION("""COMPUTED_VALUE"""),77.65)</f>
        <v>77.65</v>
      </c>
      <c r="D2182" s="1">
        <f>IFERROR(__xludf.DUMMYFUNCTION("""COMPUTED_VALUE"""),77.08)</f>
        <v>77.08</v>
      </c>
      <c r="E2182" s="1">
        <f>IFERROR(__xludf.DUMMYFUNCTION("""COMPUTED_VALUE"""),77.21)</f>
        <v>77.21</v>
      </c>
      <c r="F2182" s="1">
        <f>IFERROR(__xludf.DUMMYFUNCTION("""COMPUTED_VALUE"""),720751.0)</f>
        <v>720751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IFERROR(__xludf.DUMMYFUNCTION("""COMPUTED_VALUE"""),76.87)</f>
        <v>76.87</v>
      </c>
      <c r="C2183" s="1">
        <f>IFERROR(__xludf.DUMMYFUNCTION("""COMPUTED_VALUE"""),78.19)</f>
        <v>78.19</v>
      </c>
      <c r="D2183" s="1">
        <f>IFERROR(__xludf.DUMMYFUNCTION("""COMPUTED_VALUE"""),76.87)</f>
        <v>76.87</v>
      </c>
      <c r="E2183" s="1">
        <f>IFERROR(__xludf.DUMMYFUNCTION("""COMPUTED_VALUE"""),78.05)</f>
        <v>78.05</v>
      </c>
      <c r="F2183" s="1">
        <f>IFERROR(__xludf.DUMMYFUNCTION("""COMPUTED_VALUE"""),1105619.0)</f>
        <v>1105619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IFERROR(__xludf.DUMMYFUNCTION("""COMPUTED_VALUE"""),77.91)</f>
        <v>77.91</v>
      </c>
      <c r="C2184" s="1">
        <f>IFERROR(__xludf.DUMMYFUNCTION("""COMPUTED_VALUE"""),79.26)</f>
        <v>79.26</v>
      </c>
      <c r="D2184" s="1">
        <f>IFERROR(__xludf.DUMMYFUNCTION("""COMPUTED_VALUE"""),77.59)</f>
        <v>77.59</v>
      </c>
      <c r="E2184" s="1">
        <f>IFERROR(__xludf.DUMMYFUNCTION("""COMPUTED_VALUE"""),78.85)</f>
        <v>78.85</v>
      </c>
      <c r="F2184" s="1">
        <f>IFERROR(__xludf.DUMMYFUNCTION("""COMPUTED_VALUE"""),1661391.0)</f>
        <v>1661391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IFERROR(__xludf.DUMMYFUNCTION("""COMPUTED_VALUE"""),78.9)</f>
        <v>78.9</v>
      </c>
      <c r="C2185" s="1">
        <f>IFERROR(__xludf.DUMMYFUNCTION("""COMPUTED_VALUE"""),79.93)</f>
        <v>79.93</v>
      </c>
      <c r="D2185" s="1">
        <f>IFERROR(__xludf.DUMMYFUNCTION("""COMPUTED_VALUE"""),78.44)</f>
        <v>78.44</v>
      </c>
      <c r="E2185" s="1">
        <f>IFERROR(__xludf.DUMMYFUNCTION("""COMPUTED_VALUE"""),78.86)</f>
        <v>78.86</v>
      </c>
      <c r="F2185" s="1">
        <f>IFERROR(__xludf.DUMMYFUNCTION("""COMPUTED_VALUE"""),1614313.0)</f>
        <v>1614313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IFERROR(__xludf.DUMMYFUNCTION("""COMPUTED_VALUE"""),78.95)</f>
        <v>78.95</v>
      </c>
      <c r="C2186" s="1">
        <f>IFERROR(__xludf.DUMMYFUNCTION("""COMPUTED_VALUE"""),79.33)</f>
        <v>79.33</v>
      </c>
      <c r="D2186" s="1">
        <f>IFERROR(__xludf.DUMMYFUNCTION("""COMPUTED_VALUE"""),78.17)</f>
        <v>78.17</v>
      </c>
      <c r="E2186" s="1">
        <f>IFERROR(__xludf.DUMMYFUNCTION("""COMPUTED_VALUE"""),78.24)</f>
        <v>78.24</v>
      </c>
      <c r="F2186" s="1">
        <f>IFERROR(__xludf.DUMMYFUNCTION("""COMPUTED_VALUE"""),1012593.0)</f>
        <v>1012593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IFERROR(__xludf.DUMMYFUNCTION("""COMPUTED_VALUE"""),78.14)</f>
        <v>78.14</v>
      </c>
      <c r="C2187" s="1">
        <f>IFERROR(__xludf.DUMMYFUNCTION("""COMPUTED_VALUE"""),79.52)</f>
        <v>79.52</v>
      </c>
      <c r="D2187" s="1">
        <f>IFERROR(__xludf.DUMMYFUNCTION("""COMPUTED_VALUE"""),77.93)</f>
        <v>77.93</v>
      </c>
      <c r="E2187" s="1">
        <f>IFERROR(__xludf.DUMMYFUNCTION("""COMPUTED_VALUE"""),78.86)</f>
        <v>78.86</v>
      </c>
      <c r="F2187" s="1">
        <f>IFERROR(__xludf.DUMMYFUNCTION("""COMPUTED_VALUE"""),896298.0)</f>
        <v>896298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IFERROR(__xludf.DUMMYFUNCTION("""COMPUTED_VALUE"""),79.57)</f>
        <v>79.57</v>
      </c>
      <c r="C2188" s="1">
        <f>IFERROR(__xludf.DUMMYFUNCTION("""COMPUTED_VALUE"""),80.31)</f>
        <v>80.31</v>
      </c>
      <c r="D2188" s="1">
        <f>IFERROR(__xludf.DUMMYFUNCTION("""COMPUTED_VALUE"""),79.53)</f>
        <v>79.53</v>
      </c>
      <c r="E2188" s="1">
        <f>IFERROR(__xludf.DUMMYFUNCTION("""COMPUTED_VALUE"""),79.94)</f>
        <v>79.94</v>
      </c>
      <c r="F2188" s="1">
        <f>IFERROR(__xludf.DUMMYFUNCTION("""COMPUTED_VALUE"""),1335947.0)</f>
        <v>1335947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IFERROR(__xludf.DUMMYFUNCTION("""COMPUTED_VALUE"""),80.0)</f>
        <v>80</v>
      </c>
      <c r="C2189" s="1">
        <f>IFERROR(__xludf.DUMMYFUNCTION("""COMPUTED_VALUE"""),80.8)</f>
        <v>80.8</v>
      </c>
      <c r="D2189" s="1">
        <f>IFERROR(__xludf.DUMMYFUNCTION("""COMPUTED_VALUE"""),79.66)</f>
        <v>79.66</v>
      </c>
      <c r="E2189" s="1">
        <f>IFERROR(__xludf.DUMMYFUNCTION("""COMPUTED_VALUE"""),80.61)</f>
        <v>80.61</v>
      </c>
      <c r="F2189" s="1">
        <f>IFERROR(__xludf.DUMMYFUNCTION("""COMPUTED_VALUE"""),1341999.0)</f>
        <v>1341999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IFERROR(__xludf.DUMMYFUNCTION("""COMPUTED_VALUE"""),80.57)</f>
        <v>80.57</v>
      </c>
      <c r="C2190" s="1">
        <f>IFERROR(__xludf.DUMMYFUNCTION("""COMPUTED_VALUE"""),80.81)</f>
        <v>80.81</v>
      </c>
      <c r="D2190" s="1">
        <f>IFERROR(__xludf.DUMMYFUNCTION("""COMPUTED_VALUE"""),80.26)</f>
        <v>80.26</v>
      </c>
      <c r="E2190" s="1">
        <f>IFERROR(__xludf.DUMMYFUNCTION("""COMPUTED_VALUE"""),80.68)</f>
        <v>80.68</v>
      </c>
      <c r="F2190" s="1">
        <f>IFERROR(__xludf.DUMMYFUNCTION("""COMPUTED_VALUE"""),738965.0)</f>
        <v>738965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IFERROR(__xludf.DUMMYFUNCTION("""COMPUTED_VALUE"""),80.82)</f>
        <v>80.82</v>
      </c>
      <c r="C2191" s="1">
        <f>IFERROR(__xludf.DUMMYFUNCTION("""COMPUTED_VALUE"""),80.91)</f>
        <v>80.91</v>
      </c>
      <c r="D2191" s="1">
        <f>IFERROR(__xludf.DUMMYFUNCTION("""COMPUTED_VALUE"""),80.07)</f>
        <v>80.07</v>
      </c>
      <c r="E2191" s="1">
        <f>IFERROR(__xludf.DUMMYFUNCTION("""COMPUTED_VALUE"""),80.18)</f>
        <v>80.18</v>
      </c>
      <c r="F2191" s="1">
        <f>IFERROR(__xludf.DUMMYFUNCTION("""COMPUTED_VALUE"""),768740.0)</f>
        <v>768740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IFERROR(__xludf.DUMMYFUNCTION("""COMPUTED_VALUE"""),80.19)</f>
        <v>80.19</v>
      </c>
      <c r="C2192" s="1">
        <f>IFERROR(__xludf.DUMMYFUNCTION("""COMPUTED_VALUE"""),80.68)</f>
        <v>80.68</v>
      </c>
      <c r="D2192" s="1">
        <f>IFERROR(__xludf.DUMMYFUNCTION("""COMPUTED_VALUE"""),79.4)</f>
        <v>79.4</v>
      </c>
      <c r="E2192" s="1">
        <f>IFERROR(__xludf.DUMMYFUNCTION("""COMPUTED_VALUE"""),80.52)</f>
        <v>80.52</v>
      </c>
      <c r="F2192" s="1">
        <f>IFERROR(__xludf.DUMMYFUNCTION("""COMPUTED_VALUE"""),724141.0)</f>
        <v>724141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IFERROR(__xludf.DUMMYFUNCTION("""COMPUTED_VALUE"""),80.65)</f>
        <v>80.65</v>
      </c>
      <c r="C2193" s="1">
        <f>IFERROR(__xludf.DUMMYFUNCTION("""COMPUTED_VALUE"""),80.87)</f>
        <v>80.87</v>
      </c>
      <c r="D2193" s="1">
        <f>IFERROR(__xludf.DUMMYFUNCTION("""COMPUTED_VALUE"""),79.66)</f>
        <v>79.66</v>
      </c>
      <c r="E2193" s="1">
        <f>IFERROR(__xludf.DUMMYFUNCTION("""COMPUTED_VALUE"""),79.85)</f>
        <v>79.85</v>
      </c>
      <c r="F2193" s="1">
        <f>IFERROR(__xludf.DUMMYFUNCTION("""COMPUTED_VALUE"""),775828.0)</f>
        <v>775828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IFERROR(__xludf.DUMMYFUNCTION("""COMPUTED_VALUE"""),79.55)</f>
        <v>79.55</v>
      </c>
      <c r="C2194" s="1">
        <f>IFERROR(__xludf.DUMMYFUNCTION("""COMPUTED_VALUE"""),79.55)</f>
        <v>79.55</v>
      </c>
      <c r="D2194" s="1">
        <f>IFERROR(__xludf.DUMMYFUNCTION("""COMPUTED_VALUE"""),77.77)</f>
        <v>77.77</v>
      </c>
      <c r="E2194" s="1">
        <f>IFERROR(__xludf.DUMMYFUNCTION("""COMPUTED_VALUE"""),78.06)</f>
        <v>78.06</v>
      </c>
      <c r="F2194" s="1">
        <f>IFERROR(__xludf.DUMMYFUNCTION("""COMPUTED_VALUE"""),1926108.0)</f>
        <v>1926108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IFERROR(__xludf.DUMMYFUNCTION("""COMPUTED_VALUE"""),78.37)</f>
        <v>78.37</v>
      </c>
      <c r="C2195" s="1">
        <f>IFERROR(__xludf.DUMMYFUNCTION("""COMPUTED_VALUE"""),79.13)</f>
        <v>79.13</v>
      </c>
      <c r="D2195" s="1">
        <f>IFERROR(__xludf.DUMMYFUNCTION("""COMPUTED_VALUE"""),78.16)</f>
        <v>78.16</v>
      </c>
      <c r="E2195" s="1">
        <f>IFERROR(__xludf.DUMMYFUNCTION("""COMPUTED_VALUE"""),78.57)</f>
        <v>78.57</v>
      </c>
      <c r="F2195" s="1">
        <f>IFERROR(__xludf.DUMMYFUNCTION("""COMPUTED_VALUE"""),1000299.0)</f>
        <v>1000299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IFERROR(__xludf.DUMMYFUNCTION("""COMPUTED_VALUE"""),78.36)</f>
        <v>78.36</v>
      </c>
      <c r="C2196" s="1">
        <f>IFERROR(__xludf.DUMMYFUNCTION("""COMPUTED_VALUE"""),79.03)</f>
        <v>79.03</v>
      </c>
      <c r="D2196" s="1">
        <f>IFERROR(__xludf.DUMMYFUNCTION("""COMPUTED_VALUE"""),77.99)</f>
        <v>77.99</v>
      </c>
      <c r="E2196" s="1">
        <f>IFERROR(__xludf.DUMMYFUNCTION("""COMPUTED_VALUE"""),78.45)</f>
        <v>78.45</v>
      </c>
      <c r="F2196" s="1">
        <f>IFERROR(__xludf.DUMMYFUNCTION("""COMPUTED_VALUE"""),1151073.0)</f>
        <v>1151073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IFERROR(__xludf.DUMMYFUNCTION("""COMPUTED_VALUE"""),78.51)</f>
        <v>78.51</v>
      </c>
      <c r="C2197" s="1">
        <f>IFERROR(__xludf.DUMMYFUNCTION("""COMPUTED_VALUE"""),79.12)</f>
        <v>79.12</v>
      </c>
      <c r="D2197" s="1">
        <f>IFERROR(__xludf.DUMMYFUNCTION("""COMPUTED_VALUE"""),78.01)</f>
        <v>78.01</v>
      </c>
      <c r="E2197" s="1">
        <f>IFERROR(__xludf.DUMMYFUNCTION("""COMPUTED_VALUE"""),78.17)</f>
        <v>78.17</v>
      </c>
      <c r="F2197" s="1">
        <f>IFERROR(__xludf.DUMMYFUNCTION("""COMPUTED_VALUE"""),2157384.0)</f>
        <v>2157384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IFERROR(__xludf.DUMMYFUNCTION("""COMPUTED_VALUE"""),78.13)</f>
        <v>78.13</v>
      </c>
      <c r="C2198" s="1">
        <f>IFERROR(__xludf.DUMMYFUNCTION("""COMPUTED_VALUE"""),78.69)</f>
        <v>78.69</v>
      </c>
      <c r="D2198" s="1">
        <f>IFERROR(__xludf.DUMMYFUNCTION("""COMPUTED_VALUE"""),75.36)</f>
        <v>75.36</v>
      </c>
      <c r="E2198" s="1">
        <f>IFERROR(__xludf.DUMMYFUNCTION("""COMPUTED_VALUE"""),75.88)</f>
        <v>75.88</v>
      </c>
      <c r="F2198" s="1">
        <f>IFERROR(__xludf.DUMMYFUNCTION("""COMPUTED_VALUE"""),2039676.0)</f>
        <v>2039676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IFERROR(__xludf.DUMMYFUNCTION("""COMPUTED_VALUE"""),76.16)</f>
        <v>76.16</v>
      </c>
      <c r="C2199" s="1">
        <f>IFERROR(__xludf.DUMMYFUNCTION("""COMPUTED_VALUE"""),76.47)</f>
        <v>76.47</v>
      </c>
      <c r="D2199" s="1">
        <f>IFERROR(__xludf.DUMMYFUNCTION("""COMPUTED_VALUE"""),74.7)</f>
        <v>74.7</v>
      </c>
      <c r="E2199" s="1">
        <f>IFERROR(__xludf.DUMMYFUNCTION("""COMPUTED_VALUE"""),75.88)</f>
        <v>75.88</v>
      </c>
      <c r="F2199" s="1">
        <f>IFERROR(__xludf.DUMMYFUNCTION("""COMPUTED_VALUE"""),3470094.0)</f>
        <v>3470094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IFERROR(__xludf.DUMMYFUNCTION("""COMPUTED_VALUE"""),79.3)</f>
        <v>79.3</v>
      </c>
      <c r="C2200" s="1">
        <f>IFERROR(__xludf.DUMMYFUNCTION("""COMPUTED_VALUE"""),79.45)</f>
        <v>79.45</v>
      </c>
      <c r="D2200" s="1">
        <f>IFERROR(__xludf.DUMMYFUNCTION("""COMPUTED_VALUE"""),72.65)</f>
        <v>72.65</v>
      </c>
      <c r="E2200" s="1">
        <f>IFERROR(__xludf.DUMMYFUNCTION("""COMPUTED_VALUE"""),74.66)</f>
        <v>74.66</v>
      </c>
      <c r="F2200" s="1">
        <f>IFERROR(__xludf.DUMMYFUNCTION("""COMPUTED_VALUE"""),6360836.0)</f>
        <v>6360836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IFERROR(__xludf.DUMMYFUNCTION("""COMPUTED_VALUE"""),74.88)</f>
        <v>74.88</v>
      </c>
      <c r="C2201" s="1">
        <f>IFERROR(__xludf.DUMMYFUNCTION("""COMPUTED_VALUE"""),74.88)</f>
        <v>74.88</v>
      </c>
      <c r="D2201" s="1">
        <f>IFERROR(__xludf.DUMMYFUNCTION("""COMPUTED_VALUE"""),73.38)</f>
        <v>73.38</v>
      </c>
      <c r="E2201" s="1">
        <f>IFERROR(__xludf.DUMMYFUNCTION("""COMPUTED_VALUE"""),73.82)</f>
        <v>73.82</v>
      </c>
      <c r="F2201" s="1">
        <f>IFERROR(__xludf.DUMMYFUNCTION("""COMPUTED_VALUE"""),2803088.0)</f>
        <v>2803088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IFERROR(__xludf.DUMMYFUNCTION("""COMPUTED_VALUE"""),73.78)</f>
        <v>73.78</v>
      </c>
      <c r="C2202" s="1">
        <f>IFERROR(__xludf.DUMMYFUNCTION("""COMPUTED_VALUE"""),76.2)</f>
        <v>76.2</v>
      </c>
      <c r="D2202" s="1">
        <f>IFERROR(__xludf.DUMMYFUNCTION("""COMPUTED_VALUE"""),73.69)</f>
        <v>73.69</v>
      </c>
      <c r="E2202" s="1">
        <f>IFERROR(__xludf.DUMMYFUNCTION("""COMPUTED_VALUE"""),74.67)</f>
        <v>74.67</v>
      </c>
      <c r="F2202" s="1">
        <f>IFERROR(__xludf.DUMMYFUNCTION("""COMPUTED_VALUE"""),2457728.0)</f>
        <v>2457728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IFERROR(__xludf.DUMMYFUNCTION("""COMPUTED_VALUE"""),75.31)</f>
        <v>75.31</v>
      </c>
      <c r="C2203" s="1">
        <f>IFERROR(__xludf.DUMMYFUNCTION("""COMPUTED_VALUE"""),75.34)</f>
        <v>75.34</v>
      </c>
      <c r="D2203" s="1">
        <f>IFERROR(__xludf.DUMMYFUNCTION("""COMPUTED_VALUE"""),73.52)</f>
        <v>73.52</v>
      </c>
      <c r="E2203" s="1">
        <f>IFERROR(__xludf.DUMMYFUNCTION("""COMPUTED_VALUE"""),73.69)</f>
        <v>73.69</v>
      </c>
      <c r="F2203" s="1">
        <f>IFERROR(__xludf.DUMMYFUNCTION("""COMPUTED_VALUE"""),1593362.0)</f>
        <v>1593362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IFERROR(__xludf.DUMMYFUNCTION("""COMPUTED_VALUE"""),73.85)</f>
        <v>73.85</v>
      </c>
      <c r="C2204" s="1">
        <f>IFERROR(__xludf.DUMMYFUNCTION("""COMPUTED_VALUE"""),74.19)</f>
        <v>74.19</v>
      </c>
      <c r="D2204" s="1">
        <f>IFERROR(__xludf.DUMMYFUNCTION("""COMPUTED_VALUE"""),72.97)</f>
        <v>72.97</v>
      </c>
      <c r="E2204" s="1">
        <f>IFERROR(__xludf.DUMMYFUNCTION("""COMPUTED_VALUE"""),73.15)</f>
        <v>73.15</v>
      </c>
      <c r="F2204" s="1">
        <f>IFERROR(__xludf.DUMMYFUNCTION("""COMPUTED_VALUE"""),1741203.0)</f>
        <v>1741203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IFERROR(__xludf.DUMMYFUNCTION("""COMPUTED_VALUE"""),73.89)</f>
        <v>73.89</v>
      </c>
      <c r="C2205" s="1">
        <f>IFERROR(__xludf.DUMMYFUNCTION("""COMPUTED_VALUE"""),74.3)</f>
        <v>74.3</v>
      </c>
      <c r="D2205" s="1">
        <f>IFERROR(__xludf.DUMMYFUNCTION("""COMPUTED_VALUE"""),73.13)</f>
        <v>73.13</v>
      </c>
      <c r="E2205" s="1">
        <f>IFERROR(__xludf.DUMMYFUNCTION("""COMPUTED_VALUE"""),73.51)</f>
        <v>73.51</v>
      </c>
      <c r="F2205" s="1">
        <f>IFERROR(__xludf.DUMMYFUNCTION("""COMPUTED_VALUE"""),1554758.0)</f>
        <v>1554758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IFERROR(__xludf.DUMMYFUNCTION("""COMPUTED_VALUE"""),73.27)</f>
        <v>73.27</v>
      </c>
      <c r="C2206" s="1">
        <f>IFERROR(__xludf.DUMMYFUNCTION("""COMPUTED_VALUE"""),73.57)</f>
        <v>73.57</v>
      </c>
      <c r="D2206" s="1">
        <f>IFERROR(__xludf.DUMMYFUNCTION("""COMPUTED_VALUE"""),71.82)</f>
        <v>71.82</v>
      </c>
      <c r="E2206" s="1">
        <f>IFERROR(__xludf.DUMMYFUNCTION("""COMPUTED_VALUE"""),72.3)</f>
        <v>72.3</v>
      </c>
      <c r="F2206" s="1">
        <f>IFERROR(__xludf.DUMMYFUNCTION("""COMPUTED_VALUE"""),2533220.0)</f>
        <v>2533220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IFERROR(__xludf.DUMMYFUNCTION("""COMPUTED_VALUE"""),71.77)</f>
        <v>71.77</v>
      </c>
      <c r="C2207" s="1">
        <f>IFERROR(__xludf.DUMMYFUNCTION("""COMPUTED_VALUE"""),72.46)</f>
        <v>72.46</v>
      </c>
      <c r="D2207" s="1">
        <f>IFERROR(__xludf.DUMMYFUNCTION("""COMPUTED_VALUE"""),70.44)</f>
        <v>70.44</v>
      </c>
      <c r="E2207" s="1">
        <f>IFERROR(__xludf.DUMMYFUNCTION("""COMPUTED_VALUE"""),70.89)</f>
        <v>70.89</v>
      </c>
      <c r="F2207" s="1">
        <f>IFERROR(__xludf.DUMMYFUNCTION("""COMPUTED_VALUE"""),2318543.0)</f>
        <v>2318543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IFERROR(__xludf.DUMMYFUNCTION("""COMPUTED_VALUE"""),70.7)</f>
        <v>70.7</v>
      </c>
      <c r="C2208" s="1">
        <f>IFERROR(__xludf.DUMMYFUNCTION("""COMPUTED_VALUE"""),71.19)</f>
        <v>71.19</v>
      </c>
      <c r="D2208" s="1">
        <f>IFERROR(__xludf.DUMMYFUNCTION("""COMPUTED_VALUE"""),70.34)</f>
        <v>70.34</v>
      </c>
      <c r="E2208" s="1">
        <f>IFERROR(__xludf.DUMMYFUNCTION("""COMPUTED_VALUE"""),71.03)</f>
        <v>71.03</v>
      </c>
      <c r="F2208" s="1">
        <f>IFERROR(__xludf.DUMMYFUNCTION("""COMPUTED_VALUE"""),1337608.0)</f>
        <v>1337608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IFERROR(__xludf.DUMMYFUNCTION("""COMPUTED_VALUE"""),70.8)</f>
        <v>70.8</v>
      </c>
      <c r="C2209" s="1">
        <f>IFERROR(__xludf.DUMMYFUNCTION("""COMPUTED_VALUE"""),71.27)</f>
        <v>71.27</v>
      </c>
      <c r="D2209" s="1">
        <f>IFERROR(__xludf.DUMMYFUNCTION("""COMPUTED_VALUE"""),70.13)</f>
        <v>70.13</v>
      </c>
      <c r="E2209" s="1">
        <f>IFERROR(__xludf.DUMMYFUNCTION("""COMPUTED_VALUE"""),70.78)</f>
        <v>70.78</v>
      </c>
      <c r="F2209" s="1">
        <f>IFERROR(__xludf.DUMMYFUNCTION("""COMPUTED_VALUE"""),1801049.0)</f>
        <v>1801049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IFERROR(__xludf.DUMMYFUNCTION("""COMPUTED_VALUE"""),70.61)</f>
        <v>70.61</v>
      </c>
      <c r="C2210" s="1">
        <f>IFERROR(__xludf.DUMMYFUNCTION("""COMPUTED_VALUE"""),70.78)</f>
        <v>70.78</v>
      </c>
      <c r="D2210" s="1">
        <f>IFERROR(__xludf.DUMMYFUNCTION("""COMPUTED_VALUE"""),68.57)</f>
        <v>68.57</v>
      </c>
      <c r="E2210" s="1">
        <f>IFERROR(__xludf.DUMMYFUNCTION("""COMPUTED_VALUE"""),68.61)</f>
        <v>68.61</v>
      </c>
      <c r="F2210" s="1">
        <f>IFERROR(__xludf.DUMMYFUNCTION("""COMPUTED_VALUE"""),1852061.0)</f>
        <v>1852061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IFERROR(__xludf.DUMMYFUNCTION("""COMPUTED_VALUE"""),68.43)</f>
        <v>68.43</v>
      </c>
      <c r="C2211" s="1">
        <f>IFERROR(__xludf.DUMMYFUNCTION("""COMPUTED_VALUE"""),69.82)</f>
        <v>69.82</v>
      </c>
      <c r="D2211" s="1">
        <f>IFERROR(__xludf.DUMMYFUNCTION("""COMPUTED_VALUE"""),67.51)</f>
        <v>67.51</v>
      </c>
      <c r="E2211" s="1">
        <f>IFERROR(__xludf.DUMMYFUNCTION("""COMPUTED_VALUE"""),67.85)</f>
        <v>67.85</v>
      </c>
      <c r="F2211" s="1">
        <f>IFERROR(__xludf.DUMMYFUNCTION("""COMPUTED_VALUE"""),1624362.0)</f>
        <v>1624362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IFERROR(__xludf.DUMMYFUNCTION("""COMPUTED_VALUE"""),68.91)</f>
        <v>68.91</v>
      </c>
      <c r="C2212" s="1">
        <f>IFERROR(__xludf.DUMMYFUNCTION("""COMPUTED_VALUE"""),68.93)</f>
        <v>68.93</v>
      </c>
      <c r="D2212" s="1">
        <f>IFERROR(__xludf.DUMMYFUNCTION("""COMPUTED_VALUE"""),66.89)</f>
        <v>66.89</v>
      </c>
      <c r="E2212" s="1">
        <f>IFERROR(__xludf.DUMMYFUNCTION("""COMPUTED_VALUE"""),67.86)</f>
        <v>67.86</v>
      </c>
      <c r="F2212" s="1">
        <f>IFERROR(__xludf.DUMMYFUNCTION("""COMPUTED_VALUE"""),1896889.0)</f>
        <v>1896889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IFERROR(__xludf.DUMMYFUNCTION("""COMPUTED_VALUE"""),67.74)</f>
        <v>67.74</v>
      </c>
      <c r="C2213" s="1">
        <f>IFERROR(__xludf.DUMMYFUNCTION("""COMPUTED_VALUE"""),68.96)</f>
        <v>68.96</v>
      </c>
      <c r="D2213" s="1">
        <f>IFERROR(__xludf.DUMMYFUNCTION("""COMPUTED_VALUE"""),67.74)</f>
        <v>67.74</v>
      </c>
      <c r="E2213" s="1">
        <f>IFERROR(__xludf.DUMMYFUNCTION("""COMPUTED_VALUE"""),68.39)</f>
        <v>68.39</v>
      </c>
      <c r="F2213" s="1">
        <f>IFERROR(__xludf.DUMMYFUNCTION("""COMPUTED_VALUE"""),1042189.0)</f>
        <v>1042189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IFERROR(__xludf.DUMMYFUNCTION("""COMPUTED_VALUE"""),68.87)</f>
        <v>68.87</v>
      </c>
      <c r="C2214" s="1">
        <f>IFERROR(__xludf.DUMMYFUNCTION("""COMPUTED_VALUE"""),70.86)</f>
        <v>70.86</v>
      </c>
      <c r="D2214" s="1">
        <f>IFERROR(__xludf.DUMMYFUNCTION("""COMPUTED_VALUE"""),68.33)</f>
        <v>68.33</v>
      </c>
      <c r="E2214" s="1">
        <f>IFERROR(__xludf.DUMMYFUNCTION("""COMPUTED_VALUE"""),70.76)</f>
        <v>70.76</v>
      </c>
      <c r="F2214" s="1">
        <f>IFERROR(__xludf.DUMMYFUNCTION("""COMPUTED_VALUE"""),1293048.0)</f>
        <v>1293048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IFERROR(__xludf.DUMMYFUNCTION("""COMPUTED_VALUE"""),70.28)</f>
        <v>70.28</v>
      </c>
      <c r="C2215" s="1">
        <f>IFERROR(__xludf.DUMMYFUNCTION("""COMPUTED_VALUE"""),70.34)</f>
        <v>70.34</v>
      </c>
      <c r="D2215" s="1">
        <f>IFERROR(__xludf.DUMMYFUNCTION("""COMPUTED_VALUE"""),68.66)</f>
        <v>68.66</v>
      </c>
      <c r="E2215" s="1">
        <f>IFERROR(__xludf.DUMMYFUNCTION("""COMPUTED_VALUE"""),69.92)</f>
        <v>69.92</v>
      </c>
      <c r="F2215" s="1">
        <f>IFERROR(__xludf.DUMMYFUNCTION("""COMPUTED_VALUE"""),1434497.0)</f>
        <v>1434497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IFERROR(__xludf.DUMMYFUNCTION("""COMPUTED_VALUE"""),69.61)</f>
        <v>69.61</v>
      </c>
      <c r="C2216" s="1">
        <f>IFERROR(__xludf.DUMMYFUNCTION("""COMPUTED_VALUE"""),69.62)</f>
        <v>69.62</v>
      </c>
      <c r="D2216" s="1">
        <f>IFERROR(__xludf.DUMMYFUNCTION("""COMPUTED_VALUE"""),68.05)</f>
        <v>68.05</v>
      </c>
      <c r="E2216" s="1">
        <f>IFERROR(__xludf.DUMMYFUNCTION("""COMPUTED_VALUE"""),68.42)</f>
        <v>68.42</v>
      </c>
      <c r="F2216" s="1">
        <f>IFERROR(__xludf.DUMMYFUNCTION("""COMPUTED_VALUE"""),1343464.0)</f>
        <v>1343464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IFERROR(__xludf.DUMMYFUNCTION("""COMPUTED_VALUE"""),68.34)</f>
        <v>68.34</v>
      </c>
      <c r="C2217" s="1">
        <f>IFERROR(__xludf.DUMMYFUNCTION("""COMPUTED_VALUE"""),69.52)</f>
        <v>69.52</v>
      </c>
      <c r="D2217" s="1">
        <f>IFERROR(__xludf.DUMMYFUNCTION("""COMPUTED_VALUE"""),68.23)</f>
        <v>68.23</v>
      </c>
      <c r="E2217" s="1">
        <f>IFERROR(__xludf.DUMMYFUNCTION("""COMPUTED_VALUE"""),68.65)</f>
        <v>68.65</v>
      </c>
      <c r="F2217" s="1">
        <f>IFERROR(__xludf.DUMMYFUNCTION("""COMPUTED_VALUE"""),1081675.0)</f>
        <v>1081675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IFERROR(__xludf.DUMMYFUNCTION("""COMPUTED_VALUE"""),68.94)</f>
        <v>68.94</v>
      </c>
      <c r="C2218" s="1">
        <f>IFERROR(__xludf.DUMMYFUNCTION("""COMPUTED_VALUE"""),69.28)</f>
        <v>69.28</v>
      </c>
      <c r="D2218" s="1">
        <f>IFERROR(__xludf.DUMMYFUNCTION("""COMPUTED_VALUE"""),68.01)</f>
        <v>68.01</v>
      </c>
      <c r="E2218" s="1">
        <f>IFERROR(__xludf.DUMMYFUNCTION("""COMPUTED_VALUE"""),68.43)</f>
        <v>68.43</v>
      </c>
      <c r="F2218" s="1">
        <f>IFERROR(__xludf.DUMMYFUNCTION("""COMPUTED_VALUE"""),745996.0)</f>
        <v>745996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IFERROR(__xludf.DUMMYFUNCTION("""COMPUTED_VALUE"""),67.6)</f>
        <v>67.6</v>
      </c>
      <c r="C2219" s="1">
        <f>IFERROR(__xludf.DUMMYFUNCTION("""COMPUTED_VALUE"""),69.41)</f>
        <v>69.41</v>
      </c>
      <c r="D2219" s="1">
        <f>IFERROR(__xludf.DUMMYFUNCTION("""COMPUTED_VALUE"""),66.9)</f>
        <v>66.9</v>
      </c>
      <c r="E2219" s="1">
        <f>IFERROR(__xludf.DUMMYFUNCTION("""COMPUTED_VALUE"""),69.0)</f>
        <v>69</v>
      </c>
      <c r="F2219" s="1">
        <f>IFERROR(__xludf.DUMMYFUNCTION("""COMPUTED_VALUE"""),1505902.0)</f>
        <v>1505902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IFERROR(__xludf.DUMMYFUNCTION("""COMPUTED_VALUE"""),69.11)</f>
        <v>69.11</v>
      </c>
      <c r="C2220" s="1">
        <f>IFERROR(__xludf.DUMMYFUNCTION("""COMPUTED_VALUE"""),70.86)</f>
        <v>70.86</v>
      </c>
      <c r="D2220" s="1">
        <f>IFERROR(__xludf.DUMMYFUNCTION("""COMPUTED_VALUE"""),67.96)</f>
        <v>67.96</v>
      </c>
      <c r="E2220" s="1">
        <f>IFERROR(__xludf.DUMMYFUNCTION("""COMPUTED_VALUE"""),68.09)</f>
        <v>68.09</v>
      </c>
      <c r="F2220" s="1">
        <f>IFERROR(__xludf.DUMMYFUNCTION("""COMPUTED_VALUE"""),2071988.0)</f>
        <v>2071988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IFERROR(__xludf.DUMMYFUNCTION("""COMPUTED_VALUE"""),68.45)</f>
        <v>68.45</v>
      </c>
      <c r="C2221" s="1">
        <f>IFERROR(__xludf.DUMMYFUNCTION("""COMPUTED_VALUE"""),71.17)</f>
        <v>71.17</v>
      </c>
      <c r="D2221" s="1">
        <f>IFERROR(__xludf.DUMMYFUNCTION("""COMPUTED_VALUE"""),68.36)</f>
        <v>68.36</v>
      </c>
      <c r="E2221" s="1">
        <f>IFERROR(__xludf.DUMMYFUNCTION("""COMPUTED_VALUE"""),70.65)</f>
        <v>70.65</v>
      </c>
      <c r="F2221" s="1">
        <f>IFERROR(__xludf.DUMMYFUNCTION("""COMPUTED_VALUE"""),1448451.0)</f>
        <v>1448451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IFERROR(__xludf.DUMMYFUNCTION("""COMPUTED_VALUE"""),69.62)</f>
        <v>69.62</v>
      </c>
      <c r="C2222" s="1">
        <f>IFERROR(__xludf.DUMMYFUNCTION("""COMPUTED_VALUE"""),70.6)</f>
        <v>70.6</v>
      </c>
      <c r="D2222" s="1">
        <f>IFERROR(__xludf.DUMMYFUNCTION("""COMPUTED_VALUE"""),68.95)</f>
        <v>68.95</v>
      </c>
      <c r="E2222" s="1">
        <f>IFERROR(__xludf.DUMMYFUNCTION("""COMPUTED_VALUE"""),70.04)</f>
        <v>70.04</v>
      </c>
      <c r="F2222" s="1">
        <f>IFERROR(__xludf.DUMMYFUNCTION("""COMPUTED_VALUE"""),1661065.0)</f>
        <v>1661065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IFERROR(__xludf.DUMMYFUNCTION("""COMPUTED_VALUE"""),71.23)</f>
        <v>71.23</v>
      </c>
      <c r="C2223" s="1">
        <f>IFERROR(__xludf.DUMMYFUNCTION("""COMPUTED_VALUE"""),72.15)</f>
        <v>72.15</v>
      </c>
      <c r="D2223" s="1">
        <f>IFERROR(__xludf.DUMMYFUNCTION("""COMPUTED_VALUE"""),69.77)</f>
        <v>69.77</v>
      </c>
      <c r="E2223" s="1">
        <f>IFERROR(__xludf.DUMMYFUNCTION("""COMPUTED_VALUE"""),70.66)</f>
        <v>70.66</v>
      </c>
      <c r="F2223" s="1">
        <f>IFERROR(__xludf.DUMMYFUNCTION("""COMPUTED_VALUE"""),1467654.0)</f>
        <v>1467654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IFERROR(__xludf.DUMMYFUNCTION("""COMPUTED_VALUE"""),69.57)</f>
        <v>69.57</v>
      </c>
      <c r="C2224" s="1">
        <f>IFERROR(__xludf.DUMMYFUNCTION("""COMPUTED_VALUE"""),70.01)</f>
        <v>70.01</v>
      </c>
      <c r="D2224" s="1">
        <f>IFERROR(__xludf.DUMMYFUNCTION("""COMPUTED_VALUE"""),67.8)</f>
        <v>67.8</v>
      </c>
      <c r="E2224" s="1">
        <f>IFERROR(__xludf.DUMMYFUNCTION("""COMPUTED_VALUE"""),68.16)</f>
        <v>68.16</v>
      </c>
      <c r="F2224" s="1">
        <f>IFERROR(__xludf.DUMMYFUNCTION("""COMPUTED_VALUE"""),3267877.0)</f>
        <v>3267877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IFERROR(__xludf.DUMMYFUNCTION("""COMPUTED_VALUE"""),69.22)</f>
        <v>69.22</v>
      </c>
      <c r="C2225" s="1">
        <f>IFERROR(__xludf.DUMMYFUNCTION("""COMPUTED_VALUE"""),69.47)</f>
        <v>69.47</v>
      </c>
      <c r="D2225" s="1">
        <f>IFERROR(__xludf.DUMMYFUNCTION("""COMPUTED_VALUE"""),67.83)</f>
        <v>67.83</v>
      </c>
      <c r="E2225" s="1">
        <f>IFERROR(__xludf.DUMMYFUNCTION("""COMPUTED_VALUE"""),67.91)</f>
        <v>67.91</v>
      </c>
      <c r="F2225" s="1">
        <f>IFERROR(__xludf.DUMMYFUNCTION("""COMPUTED_VALUE"""),2683504.0)</f>
        <v>2683504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IFERROR(__xludf.DUMMYFUNCTION("""COMPUTED_VALUE"""),68.1)</f>
        <v>68.1</v>
      </c>
      <c r="C2226" s="1">
        <f>IFERROR(__xludf.DUMMYFUNCTION("""COMPUTED_VALUE"""),70.48)</f>
        <v>70.48</v>
      </c>
      <c r="D2226" s="1">
        <f>IFERROR(__xludf.DUMMYFUNCTION("""COMPUTED_VALUE"""),67.81)</f>
        <v>67.81</v>
      </c>
      <c r="E2226" s="1">
        <f>IFERROR(__xludf.DUMMYFUNCTION("""COMPUTED_VALUE"""),69.73)</f>
        <v>69.73</v>
      </c>
      <c r="F2226" s="1">
        <f>IFERROR(__xludf.DUMMYFUNCTION("""COMPUTED_VALUE"""),1825410.0)</f>
        <v>1825410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IFERROR(__xludf.DUMMYFUNCTION("""COMPUTED_VALUE"""),70.23)</f>
        <v>70.23</v>
      </c>
      <c r="C2227" s="1">
        <f>IFERROR(__xludf.DUMMYFUNCTION("""COMPUTED_VALUE"""),70.77)</f>
        <v>70.77</v>
      </c>
      <c r="D2227" s="1">
        <f>IFERROR(__xludf.DUMMYFUNCTION("""COMPUTED_VALUE"""),68.94)</f>
        <v>68.94</v>
      </c>
      <c r="E2227" s="1">
        <f>IFERROR(__xludf.DUMMYFUNCTION("""COMPUTED_VALUE"""),69.79)</f>
        <v>69.79</v>
      </c>
      <c r="F2227" s="1">
        <f>IFERROR(__xludf.DUMMYFUNCTION("""COMPUTED_VALUE"""),1240598.0)</f>
        <v>1240598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IFERROR(__xludf.DUMMYFUNCTION("""COMPUTED_VALUE"""),69.96)</f>
        <v>69.96</v>
      </c>
      <c r="C2228" s="1">
        <f>IFERROR(__xludf.DUMMYFUNCTION("""COMPUTED_VALUE"""),70.8)</f>
        <v>70.8</v>
      </c>
      <c r="D2228" s="1">
        <f>IFERROR(__xludf.DUMMYFUNCTION("""COMPUTED_VALUE"""),69.22)</f>
        <v>69.22</v>
      </c>
      <c r="E2228" s="1">
        <f>IFERROR(__xludf.DUMMYFUNCTION("""COMPUTED_VALUE"""),70.54)</f>
        <v>70.54</v>
      </c>
      <c r="F2228" s="1">
        <f>IFERROR(__xludf.DUMMYFUNCTION("""COMPUTED_VALUE"""),985898.0)</f>
        <v>985898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IFERROR(__xludf.DUMMYFUNCTION("""COMPUTED_VALUE"""),70.52)</f>
        <v>70.52</v>
      </c>
      <c r="C2229" s="1">
        <f>IFERROR(__xludf.DUMMYFUNCTION("""COMPUTED_VALUE"""),70.96)</f>
        <v>70.96</v>
      </c>
      <c r="D2229" s="1">
        <f>IFERROR(__xludf.DUMMYFUNCTION("""COMPUTED_VALUE"""),69.6)</f>
        <v>69.6</v>
      </c>
      <c r="E2229" s="1">
        <f>IFERROR(__xludf.DUMMYFUNCTION("""COMPUTED_VALUE"""),70.46)</f>
        <v>70.46</v>
      </c>
      <c r="F2229" s="1">
        <f>IFERROR(__xludf.DUMMYFUNCTION("""COMPUTED_VALUE"""),1123953.0)</f>
        <v>1123953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IFERROR(__xludf.DUMMYFUNCTION("""COMPUTED_VALUE"""),70.73)</f>
        <v>70.73</v>
      </c>
      <c r="C2230" s="1">
        <f>IFERROR(__xludf.DUMMYFUNCTION("""COMPUTED_VALUE"""),70.85)</f>
        <v>70.85</v>
      </c>
      <c r="D2230" s="1">
        <f>IFERROR(__xludf.DUMMYFUNCTION("""COMPUTED_VALUE"""),67.4)</f>
        <v>67.4</v>
      </c>
      <c r="E2230" s="1">
        <f>IFERROR(__xludf.DUMMYFUNCTION("""COMPUTED_VALUE"""),68.15)</f>
        <v>68.15</v>
      </c>
      <c r="F2230" s="1">
        <f>IFERROR(__xludf.DUMMYFUNCTION("""COMPUTED_VALUE"""),2355585.0)</f>
        <v>2355585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IFERROR(__xludf.DUMMYFUNCTION("""COMPUTED_VALUE"""),67.93)</f>
        <v>67.93</v>
      </c>
      <c r="C2231" s="1">
        <f>IFERROR(__xludf.DUMMYFUNCTION("""COMPUTED_VALUE"""),68.62)</f>
        <v>68.62</v>
      </c>
      <c r="D2231" s="1">
        <f>IFERROR(__xludf.DUMMYFUNCTION("""COMPUTED_VALUE"""),67.54)</f>
        <v>67.54</v>
      </c>
      <c r="E2231" s="1">
        <f>IFERROR(__xludf.DUMMYFUNCTION("""COMPUTED_VALUE"""),67.98)</f>
        <v>67.98</v>
      </c>
      <c r="F2231" s="1">
        <f>IFERROR(__xludf.DUMMYFUNCTION("""COMPUTED_VALUE"""),2109139.0)</f>
        <v>2109139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IFERROR(__xludf.DUMMYFUNCTION("""COMPUTED_VALUE"""),67.66)</f>
        <v>67.66</v>
      </c>
      <c r="C2232" s="1">
        <f>IFERROR(__xludf.DUMMYFUNCTION("""COMPUTED_VALUE"""),68.63)</f>
        <v>68.63</v>
      </c>
      <c r="D2232" s="1">
        <f>IFERROR(__xludf.DUMMYFUNCTION("""COMPUTED_VALUE"""),65.44)</f>
        <v>65.44</v>
      </c>
      <c r="E2232" s="1">
        <f>IFERROR(__xludf.DUMMYFUNCTION("""COMPUTED_VALUE"""),65.72)</f>
        <v>65.72</v>
      </c>
      <c r="F2232" s="1">
        <f>IFERROR(__xludf.DUMMYFUNCTION("""COMPUTED_VALUE"""),2150016.0)</f>
        <v>2150016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IFERROR(__xludf.DUMMYFUNCTION("""COMPUTED_VALUE"""),65.42)</f>
        <v>65.42</v>
      </c>
      <c r="C2233" s="1">
        <f>IFERROR(__xludf.DUMMYFUNCTION("""COMPUTED_VALUE"""),65.94)</f>
        <v>65.94</v>
      </c>
      <c r="D2233" s="1">
        <f>IFERROR(__xludf.DUMMYFUNCTION("""COMPUTED_VALUE"""),64.8)</f>
        <v>64.8</v>
      </c>
      <c r="E2233" s="1">
        <f>IFERROR(__xludf.DUMMYFUNCTION("""COMPUTED_VALUE"""),65.03)</f>
        <v>65.03</v>
      </c>
      <c r="F2233" s="1">
        <f>IFERROR(__xludf.DUMMYFUNCTION("""COMPUTED_VALUE"""),1619578.0)</f>
        <v>1619578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IFERROR(__xludf.DUMMYFUNCTION("""COMPUTED_VALUE"""),65.4)</f>
        <v>65.4</v>
      </c>
      <c r="C2234" s="1">
        <f>IFERROR(__xludf.DUMMYFUNCTION("""COMPUTED_VALUE"""),66.51)</f>
        <v>66.51</v>
      </c>
      <c r="D2234" s="1">
        <f>IFERROR(__xludf.DUMMYFUNCTION("""COMPUTED_VALUE"""),65.12)</f>
        <v>65.12</v>
      </c>
      <c r="E2234" s="1">
        <f>IFERROR(__xludf.DUMMYFUNCTION("""COMPUTED_VALUE"""),65.57)</f>
        <v>65.57</v>
      </c>
      <c r="F2234" s="1">
        <f>IFERROR(__xludf.DUMMYFUNCTION("""COMPUTED_VALUE"""),1098669.0)</f>
        <v>1098669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IFERROR(__xludf.DUMMYFUNCTION("""COMPUTED_VALUE"""),65.55)</f>
        <v>65.55</v>
      </c>
      <c r="C2235" s="1">
        <f>IFERROR(__xludf.DUMMYFUNCTION("""COMPUTED_VALUE"""),65.56)</f>
        <v>65.56</v>
      </c>
      <c r="D2235" s="1">
        <f>IFERROR(__xludf.DUMMYFUNCTION("""COMPUTED_VALUE"""),62.75)</f>
        <v>62.75</v>
      </c>
      <c r="E2235" s="1">
        <f>IFERROR(__xludf.DUMMYFUNCTION("""COMPUTED_VALUE"""),62.86)</f>
        <v>62.86</v>
      </c>
      <c r="F2235" s="1">
        <f>IFERROR(__xludf.DUMMYFUNCTION("""COMPUTED_VALUE"""),2768621.0)</f>
        <v>2768621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IFERROR(__xludf.DUMMYFUNCTION("""COMPUTED_VALUE"""),62.5)</f>
        <v>62.5</v>
      </c>
      <c r="C2236" s="1">
        <f>IFERROR(__xludf.DUMMYFUNCTION("""COMPUTED_VALUE"""),63.5)</f>
        <v>63.5</v>
      </c>
      <c r="D2236" s="1">
        <f>IFERROR(__xludf.DUMMYFUNCTION("""COMPUTED_VALUE"""),61.55)</f>
        <v>61.55</v>
      </c>
      <c r="E2236" s="1">
        <f>IFERROR(__xludf.DUMMYFUNCTION("""COMPUTED_VALUE"""),63.21)</f>
        <v>63.21</v>
      </c>
      <c r="F2236" s="1">
        <f>IFERROR(__xludf.DUMMYFUNCTION("""COMPUTED_VALUE"""),1700927.0)</f>
        <v>1700927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IFERROR(__xludf.DUMMYFUNCTION("""COMPUTED_VALUE"""),62.25)</f>
        <v>62.25</v>
      </c>
      <c r="C2237" s="1">
        <f>IFERROR(__xludf.DUMMYFUNCTION("""COMPUTED_VALUE"""),62.45)</f>
        <v>62.45</v>
      </c>
      <c r="D2237" s="1">
        <f>IFERROR(__xludf.DUMMYFUNCTION("""COMPUTED_VALUE"""),60.96)</f>
        <v>60.96</v>
      </c>
      <c r="E2237" s="1">
        <f>IFERROR(__xludf.DUMMYFUNCTION("""COMPUTED_VALUE"""),62.03)</f>
        <v>62.03</v>
      </c>
      <c r="F2237" s="1">
        <f>IFERROR(__xludf.DUMMYFUNCTION("""COMPUTED_VALUE"""),2264553.0)</f>
        <v>2264553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IFERROR(__xludf.DUMMYFUNCTION("""COMPUTED_VALUE"""),61.97)</f>
        <v>61.97</v>
      </c>
      <c r="C2238" s="1">
        <f>IFERROR(__xludf.DUMMYFUNCTION("""COMPUTED_VALUE"""),63.1)</f>
        <v>63.1</v>
      </c>
      <c r="D2238" s="1">
        <f>IFERROR(__xludf.DUMMYFUNCTION("""COMPUTED_VALUE"""),61.97)</f>
        <v>61.97</v>
      </c>
      <c r="E2238" s="1">
        <f>IFERROR(__xludf.DUMMYFUNCTION("""COMPUTED_VALUE"""),62.21)</f>
        <v>62.21</v>
      </c>
      <c r="F2238" s="1">
        <f>IFERROR(__xludf.DUMMYFUNCTION("""COMPUTED_VALUE"""),1462688.0)</f>
        <v>1462688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IFERROR(__xludf.DUMMYFUNCTION("""COMPUTED_VALUE"""),61.1)</f>
        <v>61.1</v>
      </c>
      <c r="C2239" s="1">
        <f>IFERROR(__xludf.DUMMYFUNCTION("""COMPUTED_VALUE"""),62.65)</f>
        <v>62.65</v>
      </c>
      <c r="D2239" s="1">
        <f>IFERROR(__xludf.DUMMYFUNCTION("""COMPUTED_VALUE"""),58.96)</f>
        <v>58.96</v>
      </c>
      <c r="E2239" s="1">
        <f>IFERROR(__xludf.DUMMYFUNCTION("""COMPUTED_VALUE"""),60.91)</f>
        <v>60.91</v>
      </c>
      <c r="F2239" s="1">
        <f>IFERROR(__xludf.DUMMYFUNCTION("""COMPUTED_VALUE"""),1723623.0)</f>
        <v>1723623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IFERROR(__xludf.DUMMYFUNCTION("""COMPUTED_VALUE"""),61.02)</f>
        <v>61.02</v>
      </c>
      <c r="C2240" s="1">
        <f>IFERROR(__xludf.DUMMYFUNCTION("""COMPUTED_VALUE"""),62.77)</f>
        <v>62.77</v>
      </c>
      <c r="D2240" s="1">
        <f>IFERROR(__xludf.DUMMYFUNCTION("""COMPUTED_VALUE"""),60.98)</f>
        <v>60.98</v>
      </c>
      <c r="E2240" s="1">
        <f>IFERROR(__xludf.DUMMYFUNCTION("""COMPUTED_VALUE"""),62.46)</f>
        <v>62.46</v>
      </c>
      <c r="F2240" s="1">
        <f>IFERROR(__xludf.DUMMYFUNCTION("""COMPUTED_VALUE"""),1310416.0)</f>
        <v>1310416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IFERROR(__xludf.DUMMYFUNCTION("""COMPUTED_VALUE"""),62.1)</f>
        <v>62.1</v>
      </c>
      <c r="C2241" s="1">
        <f>IFERROR(__xludf.DUMMYFUNCTION("""COMPUTED_VALUE"""),62.99)</f>
        <v>62.99</v>
      </c>
      <c r="D2241" s="1">
        <f>IFERROR(__xludf.DUMMYFUNCTION("""COMPUTED_VALUE"""),62.1)</f>
        <v>62.1</v>
      </c>
      <c r="E2241" s="1">
        <f>IFERROR(__xludf.DUMMYFUNCTION("""COMPUTED_VALUE"""),62.24)</f>
        <v>62.24</v>
      </c>
      <c r="F2241" s="1">
        <f>IFERROR(__xludf.DUMMYFUNCTION("""COMPUTED_VALUE"""),348981.0)</f>
        <v>348981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IFERROR(__xludf.DUMMYFUNCTION("""COMPUTED_VALUE"""),62.82)</f>
        <v>62.82</v>
      </c>
      <c r="C2242" s="1">
        <f>IFERROR(__xludf.DUMMYFUNCTION("""COMPUTED_VALUE"""),63.93)</f>
        <v>63.93</v>
      </c>
      <c r="D2242" s="1">
        <f>IFERROR(__xludf.DUMMYFUNCTION("""COMPUTED_VALUE"""),62.54)</f>
        <v>62.54</v>
      </c>
      <c r="E2242" s="1">
        <f>IFERROR(__xludf.DUMMYFUNCTION("""COMPUTED_VALUE"""),63.67)</f>
        <v>63.67</v>
      </c>
      <c r="F2242" s="1">
        <f>IFERROR(__xludf.DUMMYFUNCTION("""COMPUTED_VALUE"""),1295209.0)</f>
        <v>1295209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IFERROR(__xludf.DUMMYFUNCTION("""COMPUTED_VALUE"""),63.46)</f>
        <v>63.46</v>
      </c>
      <c r="C2243" s="1">
        <f>IFERROR(__xludf.DUMMYFUNCTION("""COMPUTED_VALUE"""),65.05)</f>
        <v>65.05</v>
      </c>
      <c r="D2243" s="1">
        <f>IFERROR(__xludf.DUMMYFUNCTION("""COMPUTED_VALUE"""),63.41)</f>
        <v>63.41</v>
      </c>
      <c r="E2243" s="1">
        <f>IFERROR(__xludf.DUMMYFUNCTION("""COMPUTED_VALUE"""),64.65)</f>
        <v>64.65</v>
      </c>
      <c r="F2243" s="1">
        <f>IFERROR(__xludf.DUMMYFUNCTION("""COMPUTED_VALUE"""),1863378.0)</f>
        <v>1863378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IFERROR(__xludf.DUMMYFUNCTION("""COMPUTED_VALUE"""),64.59)</f>
        <v>64.59</v>
      </c>
      <c r="C2244" s="1">
        <f>IFERROR(__xludf.DUMMYFUNCTION("""COMPUTED_VALUE"""),66.97)</f>
        <v>66.97</v>
      </c>
      <c r="D2244" s="1">
        <f>IFERROR(__xludf.DUMMYFUNCTION("""COMPUTED_VALUE"""),64.23)</f>
        <v>64.23</v>
      </c>
      <c r="E2244" s="1">
        <f>IFERROR(__xludf.DUMMYFUNCTION("""COMPUTED_VALUE"""),66.81)</f>
        <v>66.81</v>
      </c>
      <c r="F2244" s="1">
        <f>IFERROR(__xludf.DUMMYFUNCTION("""COMPUTED_VALUE"""),2702057.0)</f>
        <v>2702057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IFERROR(__xludf.DUMMYFUNCTION("""COMPUTED_VALUE"""),66.48)</f>
        <v>66.48</v>
      </c>
      <c r="C2245" s="1">
        <f>IFERROR(__xludf.DUMMYFUNCTION("""COMPUTED_VALUE"""),66.8)</f>
        <v>66.8</v>
      </c>
      <c r="D2245" s="1">
        <f>IFERROR(__xludf.DUMMYFUNCTION("""COMPUTED_VALUE"""),65.74)</f>
        <v>65.74</v>
      </c>
      <c r="E2245" s="1">
        <f>IFERROR(__xludf.DUMMYFUNCTION("""COMPUTED_VALUE"""),66.09)</f>
        <v>66.09</v>
      </c>
      <c r="F2245" s="1">
        <f>IFERROR(__xludf.DUMMYFUNCTION("""COMPUTED_VALUE"""),1413651.0)</f>
        <v>1413651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IFERROR(__xludf.DUMMYFUNCTION("""COMPUTED_VALUE"""),65.96)</f>
        <v>65.96</v>
      </c>
      <c r="C2246" s="1">
        <f>IFERROR(__xludf.DUMMYFUNCTION("""COMPUTED_VALUE"""),66.18)</f>
        <v>66.18</v>
      </c>
      <c r="D2246" s="1">
        <f>IFERROR(__xludf.DUMMYFUNCTION("""COMPUTED_VALUE"""),65.27)</f>
        <v>65.27</v>
      </c>
      <c r="E2246" s="1">
        <f>IFERROR(__xludf.DUMMYFUNCTION("""COMPUTED_VALUE"""),66.07)</f>
        <v>66.07</v>
      </c>
      <c r="F2246" s="1">
        <f>IFERROR(__xludf.DUMMYFUNCTION("""COMPUTED_VALUE"""),1360994.0)</f>
        <v>1360994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IFERROR(__xludf.DUMMYFUNCTION("""COMPUTED_VALUE"""),67.13)</f>
        <v>67.13</v>
      </c>
      <c r="C2247" s="1">
        <f>IFERROR(__xludf.DUMMYFUNCTION("""COMPUTED_VALUE"""),67.68)</f>
        <v>67.68</v>
      </c>
      <c r="D2247" s="1">
        <f>IFERROR(__xludf.DUMMYFUNCTION("""COMPUTED_VALUE"""),65.66)</f>
        <v>65.66</v>
      </c>
      <c r="E2247" s="1">
        <f>IFERROR(__xludf.DUMMYFUNCTION("""COMPUTED_VALUE"""),65.67)</f>
        <v>65.67</v>
      </c>
      <c r="F2247" s="1">
        <f>IFERROR(__xludf.DUMMYFUNCTION("""COMPUTED_VALUE"""),2073456.0)</f>
        <v>2073456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IFERROR(__xludf.DUMMYFUNCTION("""COMPUTED_VALUE"""),65.64)</f>
        <v>65.64</v>
      </c>
      <c r="C2248" s="1">
        <f>IFERROR(__xludf.DUMMYFUNCTION("""COMPUTED_VALUE"""),66.32)</f>
        <v>66.32</v>
      </c>
      <c r="D2248" s="1">
        <f>IFERROR(__xludf.DUMMYFUNCTION("""COMPUTED_VALUE"""),63.54)</f>
        <v>63.54</v>
      </c>
      <c r="E2248" s="1">
        <f>IFERROR(__xludf.DUMMYFUNCTION("""COMPUTED_VALUE"""),64.05)</f>
        <v>64.05</v>
      </c>
      <c r="F2248" s="1">
        <f>IFERROR(__xludf.DUMMYFUNCTION("""COMPUTED_VALUE"""),2187818.0)</f>
        <v>2187818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IFERROR(__xludf.DUMMYFUNCTION("""COMPUTED_VALUE"""),63.16)</f>
        <v>63.16</v>
      </c>
      <c r="C2249" s="1">
        <f>IFERROR(__xludf.DUMMYFUNCTION("""COMPUTED_VALUE"""),64.56)</f>
        <v>64.56</v>
      </c>
      <c r="D2249" s="1">
        <f>IFERROR(__xludf.DUMMYFUNCTION("""COMPUTED_VALUE"""),62.24)</f>
        <v>62.24</v>
      </c>
      <c r="E2249" s="1">
        <f>IFERROR(__xludf.DUMMYFUNCTION("""COMPUTED_VALUE"""),64.52)</f>
        <v>64.52</v>
      </c>
      <c r="F2249" s="1">
        <f>IFERROR(__xludf.DUMMYFUNCTION("""COMPUTED_VALUE"""),2358264.0)</f>
        <v>2358264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IFERROR(__xludf.DUMMYFUNCTION("""COMPUTED_VALUE"""),64.51)</f>
        <v>64.51</v>
      </c>
      <c r="C2250" s="1">
        <f>IFERROR(__xludf.DUMMYFUNCTION("""COMPUTED_VALUE"""),65.1)</f>
        <v>65.1</v>
      </c>
      <c r="D2250" s="1">
        <f>IFERROR(__xludf.DUMMYFUNCTION("""COMPUTED_VALUE"""),62.29)</f>
        <v>62.29</v>
      </c>
      <c r="E2250" s="1">
        <f>IFERROR(__xludf.DUMMYFUNCTION("""COMPUTED_VALUE"""),62.56)</f>
        <v>62.56</v>
      </c>
      <c r="F2250" s="1">
        <f>IFERROR(__xludf.DUMMYFUNCTION("""COMPUTED_VALUE"""),1611415.0)</f>
        <v>1611415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IFERROR(__xludf.DUMMYFUNCTION("""COMPUTED_VALUE"""),62.56)</f>
        <v>62.56</v>
      </c>
      <c r="C2251" s="1">
        <f>IFERROR(__xludf.DUMMYFUNCTION("""COMPUTED_VALUE"""),62.9)</f>
        <v>62.9</v>
      </c>
      <c r="D2251" s="1">
        <f>IFERROR(__xludf.DUMMYFUNCTION("""COMPUTED_VALUE"""),61.49)</f>
        <v>61.49</v>
      </c>
      <c r="E2251" s="1">
        <f>IFERROR(__xludf.DUMMYFUNCTION("""COMPUTED_VALUE"""),62.34)</f>
        <v>62.34</v>
      </c>
      <c r="F2251" s="1">
        <f>IFERROR(__xludf.DUMMYFUNCTION("""COMPUTED_VALUE"""),1139251.0)</f>
        <v>1139251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IFERROR(__xludf.DUMMYFUNCTION("""COMPUTED_VALUE"""),63.05)</f>
        <v>63.05</v>
      </c>
      <c r="C2252" s="1">
        <f>IFERROR(__xludf.DUMMYFUNCTION("""COMPUTED_VALUE"""),64.28)</f>
        <v>64.28</v>
      </c>
      <c r="D2252" s="1">
        <f>IFERROR(__xludf.DUMMYFUNCTION("""COMPUTED_VALUE"""),62.12)</f>
        <v>62.12</v>
      </c>
      <c r="E2252" s="1">
        <f>IFERROR(__xludf.DUMMYFUNCTION("""COMPUTED_VALUE"""),63.19)</f>
        <v>63.19</v>
      </c>
      <c r="F2252" s="1">
        <f>IFERROR(__xludf.DUMMYFUNCTION("""COMPUTED_VALUE"""),1824734.0)</f>
        <v>1824734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IFERROR(__xludf.DUMMYFUNCTION("""COMPUTED_VALUE"""),63.89)</f>
        <v>63.89</v>
      </c>
      <c r="C2253" s="1">
        <f>IFERROR(__xludf.DUMMYFUNCTION("""COMPUTED_VALUE"""),64.29)</f>
        <v>64.29</v>
      </c>
      <c r="D2253" s="1">
        <f>IFERROR(__xludf.DUMMYFUNCTION("""COMPUTED_VALUE"""),63.17)</f>
        <v>63.17</v>
      </c>
      <c r="E2253" s="1">
        <f>IFERROR(__xludf.DUMMYFUNCTION("""COMPUTED_VALUE"""),63.34)</f>
        <v>63.34</v>
      </c>
      <c r="F2253" s="1">
        <f>IFERROR(__xludf.DUMMYFUNCTION("""COMPUTED_VALUE"""),1050161.0)</f>
        <v>1050161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IFERROR(__xludf.DUMMYFUNCTION("""COMPUTED_VALUE"""),63.34)</f>
        <v>63.34</v>
      </c>
      <c r="C2254" s="1">
        <f>IFERROR(__xludf.DUMMYFUNCTION("""COMPUTED_VALUE"""),63.62)</f>
        <v>63.62</v>
      </c>
      <c r="D2254" s="1">
        <f>IFERROR(__xludf.DUMMYFUNCTION("""COMPUTED_VALUE"""),62.01)</f>
        <v>62.01</v>
      </c>
      <c r="E2254" s="1">
        <f>IFERROR(__xludf.DUMMYFUNCTION("""COMPUTED_VALUE"""),62.36)</f>
        <v>62.36</v>
      </c>
      <c r="F2254" s="1">
        <f>IFERROR(__xludf.DUMMYFUNCTION("""COMPUTED_VALUE"""),1593674.0)</f>
        <v>1593674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IFERROR(__xludf.DUMMYFUNCTION("""COMPUTED_VALUE"""),61.99)</f>
        <v>61.99</v>
      </c>
      <c r="C2255" s="1">
        <f>IFERROR(__xludf.DUMMYFUNCTION("""COMPUTED_VALUE"""),62.53)</f>
        <v>62.53</v>
      </c>
      <c r="D2255" s="1">
        <f>IFERROR(__xludf.DUMMYFUNCTION("""COMPUTED_VALUE"""),60.93)</f>
        <v>60.93</v>
      </c>
      <c r="E2255" s="1">
        <f>IFERROR(__xludf.DUMMYFUNCTION("""COMPUTED_VALUE"""),61.21)</f>
        <v>61.21</v>
      </c>
      <c r="F2255" s="1">
        <f>IFERROR(__xludf.DUMMYFUNCTION("""COMPUTED_VALUE"""),1220349.0)</f>
        <v>1220349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IFERROR(__xludf.DUMMYFUNCTION("""COMPUTED_VALUE"""),60.79)</f>
        <v>60.79</v>
      </c>
      <c r="C2256" s="1">
        <f>IFERROR(__xludf.DUMMYFUNCTION("""COMPUTED_VALUE"""),61.93)</f>
        <v>61.93</v>
      </c>
      <c r="D2256" s="1">
        <f>IFERROR(__xludf.DUMMYFUNCTION("""COMPUTED_VALUE"""),59.79)</f>
        <v>59.79</v>
      </c>
      <c r="E2256" s="1">
        <f>IFERROR(__xludf.DUMMYFUNCTION("""COMPUTED_VALUE"""),60.26)</f>
        <v>60.26</v>
      </c>
      <c r="F2256" s="1">
        <f>IFERROR(__xludf.DUMMYFUNCTION("""COMPUTED_VALUE"""),1762072.0)</f>
        <v>1762072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IFERROR(__xludf.DUMMYFUNCTION("""COMPUTED_VALUE"""),60.64)</f>
        <v>60.64</v>
      </c>
      <c r="C2257" s="1">
        <f>IFERROR(__xludf.DUMMYFUNCTION("""COMPUTED_VALUE"""),61.09)</f>
        <v>61.09</v>
      </c>
      <c r="D2257" s="1">
        <f>IFERROR(__xludf.DUMMYFUNCTION("""COMPUTED_VALUE"""),59.33)</f>
        <v>59.33</v>
      </c>
      <c r="E2257" s="1">
        <f>IFERROR(__xludf.DUMMYFUNCTION("""COMPUTED_VALUE"""),59.76)</f>
        <v>59.76</v>
      </c>
      <c r="F2257" s="1">
        <f>IFERROR(__xludf.DUMMYFUNCTION("""COMPUTED_VALUE"""),2539747.0)</f>
        <v>2539747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IFERROR(__xludf.DUMMYFUNCTION("""COMPUTED_VALUE"""),59.49)</f>
        <v>59.49</v>
      </c>
      <c r="C2258" s="1">
        <f>IFERROR(__xludf.DUMMYFUNCTION("""COMPUTED_VALUE"""),60.15)</f>
        <v>60.15</v>
      </c>
      <c r="D2258" s="1">
        <f>IFERROR(__xludf.DUMMYFUNCTION("""COMPUTED_VALUE"""),57.5)</f>
        <v>57.5</v>
      </c>
      <c r="E2258" s="1">
        <f>IFERROR(__xludf.DUMMYFUNCTION("""COMPUTED_VALUE"""),57.78)</f>
        <v>57.78</v>
      </c>
      <c r="F2258" s="1">
        <f>IFERROR(__xludf.DUMMYFUNCTION("""COMPUTED_VALUE"""),2598472.0)</f>
        <v>2598472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IFERROR(__xludf.DUMMYFUNCTION("""COMPUTED_VALUE"""),57.5)</f>
        <v>57.5</v>
      </c>
      <c r="C2259" s="1">
        <f>IFERROR(__xludf.DUMMYFUNCTION("""COMPUTED_VALUE"""),57.67)</f>
        <v>57.67</v>
      </c>
      <c r="D2259" s="1">
        <f>IFERROR(__xludf.DUMMYFUNCTION("""COMPUTED_VALUE"""),55.24)</f>
        <v>55.24</v>
      </c>
      <c r="E2259" s="1">
        <f>IFERROR(__xludf.DUMMYFUNCTION("""COMPUTED_VALUE"""),56.72)</f>
        <v>56.72</v>
      </c>
      <c r="F2259" s="1">
        <f>IFERROR(__xludf.DUMMYFUNCTION("""COMPUTED_VALUE"""),3168855.0)</f>
        <v>3168855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IFERROR(__xludf.DUMMYFUNCTION("""COMPUTED_VALUE"""),58.33)</f>
        <v>58.33</v>
      </c>
      <c r="C2260" s="1">
        <f>IFERROR(__xludf.DUMMYFUNCTION("""COMPUTED_VALUE"""),60.57)</f>
        <v>60.57</v>
      </c>
      <c r="D2260" s="1">
        <f>IFERROR(__xludf.DUMMYFUNCTION("""COMPUTED_VALUE"""),55.58)</f>
        <v>55.58</v>
      </c>
      <c r="E2260" s="1">
        <f>IFERROR(__xludf.DUMMYFUNCTION("""COMPUTED_VALUE"""),58.96)</f>
        <v>58.96</v>
      </c>
      <c r="F2260" s="1">
        <f>IFERROR(__xludf.DUMMYFUNCTION("""COMPUTED_VALUE"""),7549360.0)</f>
        <v>7549360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IFERROR(__xludf.DUMMYFUNCTION("""COMPUTED_VALUE"""),59.3)</f>
        <v>59.3</v>
      </c>
      <c r="C2261" s="1">
        <f>IFERROR(__xludf.DUMMYFUNCTION("""COMPUTED_VALUE"""),60.48)</f>
        <v>60.48</v>
      </c>
      <c r="D2261" s="1">
        <f>IFERROR(__xludf.DUMMYFUNCTION("""COMPUTED_VALUE"""),57.99)</f>
        <v>57.99</v>
      </c>
      <c r="E2261" s="1">
        <f>IFERROR(__xludf.DUMMYFUNCTION("""COMPUTED_VALUE"""),59.05)</f>
        <v>59.05</v>
      </c>
      <c r="F2261" s="1">
        <f>IFERROR(__xludf.DUMMYFUNCTION("""COMPUTED_VALUE"""),1750468.0)</f>
        <v>1750468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IFERROR(__xludf.DUMMYFUNCTION("""COMPUTED_VALUE"""),59.41)</f>
        <v>59.41</v>
      </c>
      <c r="C2262" s="1">
        <f>IFERROR(__xludf.DUMMYFUNCTION("""COMPUTED_VALUE"""),62.64)</f>
        <v>62.64</v>
      </c>
      <c r="D2262" s="1">
        <f>IFERROR(__xludf.DUMMYFUNCTION("""COMPUTED_VALUE"""),59.2)</f>
        <v>59.2</v>
      </c>
      <c r="E2262" s="1">
        <f>IFERROR(__xludf.DUMMYFUNCTION("""COMPUTED_VALUE"""),62.59)</f>
        <v>62.59</v>
      </c>
      <c r="F2262" s="1">
        <f>IFERROR(__xludf.DUMMYFUNCTION("""COMPUTED_VALUE"""),2100510.0)</f>
        <v>2100510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IFERROR(__xludf.DUMMYFUNCTION("""COMPUTED_VALUE"""),61.95)</f>
        <v>61.95</v>
      </c>
      <c r="C2263" s="1">
        <f>IFERROR(__xludf.DUMMYFUNCTION("""COMPUTED_VALUE"""),63.19)</f>
        <v>63.19</v>
      </c>
      <c r="D2263" s="1">
        <f>IFERROR(__xludf.DUMMYFUNCTION("""COMPUTED_VALUE"""),60.92)</f>
        <v>60.92</v>
      </c>
      <c r="E2263" s="1">
        <f>IFERROR(__xludf.DUMMYFUNCTION("""COMPUTED_VALUE"""),63.18)</f>
        <v>63.18</v>
      </c>
      <c r="F2263" s="1">
        <f>IFERROR(__xludf.DUMMYFUNCTION("""COMPUTED_VALUE"""),1968717.0)</f>
        <v>1968717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IFERROR(__xludf.DUMMYFUNCTION("""COMPUTED_VALUE"""),63.66)</f>
        <v>63.66</v>
      </c>
      <c r="C2264" s="1">
        <f>IFERROR(__xludf.DUMMYFUNCTION("""COMPUTED_VALUE"""),64.1)</f>
        <v>64.1</v>
      </c>
      <c r="D2264" s="1">
        <f>IFERROR(__xludf.DUMMYFUNCTION("""COMPUTED_VALUE"""),62.16)</f>
        <v>62.16</v>
      </c>
      <c r="E2264" s="1">
        <f>IFERROR(__xludf.DUMMYFUNCTION("""COMPUTED_VALUE"""),62.49)</f>
        <v>62.49</v>
      </c>
      <c r="F2264" s="1">
        <f>IFERROR(__xludf.DUMMYFUNCTION("""COMPUTED_VALUE"""),1634406.0)</f>
        <v>1634406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IFERROR(__xludf.DUMMYFUNCTION("""COMPUTED_VALUE"""),62.83)</f>
        <v>62.83</v>
      </c>
      <c r="C2265" s="1">
        <f>IFERROR(__xludf.DUMMYFUNCTION("""COMPUTED_VALUE"""),62.96)</f>
        <v>62.96</v>
      </c>
      <c r="D2265" s="1">
        <f>IFERROR(__xludf.DUMMYFUNCTION("""COMPUTED_VALUE"""),61.89)</f>
        <v>61.89</v>
      </c>
      <c r="E2265" s="1">
        <f>IFERROR(__xludf.DUMMYFUNCTION("""COMPUTED_VALUE"""),62.73)</f>
        <v>62.73</v>
      </c>
      <c r="F2265" s="1">
        <f>IFERROR(__xludf.DUMMYFUNCTION("""COMPUTED_VALUE"""),1510916.0)</f>
        <v>1510916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IFERROR(__xludf.DUMMYFUNCTION("""COMPUTED_VALUE"""),61.9)</f>
        <v>61.9</v>
      </c>
      <c r="C2266" s="1">
        <f>IFERROR(__xludf.DUMMYFUNCTION("""COMPUTED_VALUE"""),63.25)</f>
        <v>63.25</v>
      </c>
      <c r="D2266" s="1">
        <f>IFERROR(__xludf.DUMMYFUNCTION("""COMPUTED_VALUE"""),61.59)</f>
        <v>61.59</v>
      </c>
      <c r="E2266" s="1">
        <f>IFERROR(__xludf.DUMMYFUNCTION("""COMPUTED_VALUE"""),62.97)</f>
        <v>62.97</v>
      </c>
      <c r="F2266" s="1">
        <f>IFERROR(__xludf.DUMMYFUNCTION("""COMPUTED_VALUE"""),1369068.0)</f>
        <v>1369068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IFERROR(__xludf.DUMMYFUNCTION("""COMPUTED_VALUE"""),62.58)</f>
        <v>62.58</v>
      </c>
      <c r="C2267" s="1">
        <f>IFERROR(__xludf.DUMMYFUNCTION("""COMPUTED_VALUE"""),62.89)</f>
        <v>62.89</v>
      </c>
      <c r="D2267" s="1">
        <f>IFERROR(__xludf.DUMMYFUNCTION("""COMPUTED_VALUE"""),61.77)</f>
        <v>61.77</v>
      </c>
      <c r="E2267" s="1">
        <f>IFERROR(__xludf.DUMMYFUNCTION("""COMPUTED_VALUE"""),61.89)</f>
        <v>61.89</v>
      </c>
      <c r="F2267" s="1">
        <f>IFERROR(__xludf.DUMMYFUNCTION("""COMPUTED_VALUE"""),1319107.0)</f>
        <v>1319107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IFERROR(__xludf.DUMMYFUNCTION("""COMPUTED_VALUE"""),62.74)</f>
        <v>62.74</v>
      </c>
      <c r="C2268" s="1">
        <f>IFERROR(__xludf.DUMMYFUNCTION("""COMPUTED_VALUE"""),64.36)</f>
        <v>64.36</v>
      </c>
      <c r="D2268" s="1">
        <f>IFERROR(__xludf.DUMMYFUNCTION("""COMPUTED_VALUE"""),62.53)</f>
        <v>62.53</v>
      </c>
      <c r="E2268" s="1">
        <f>IFERROR(__xludf.DUMMYFUNCTION("""COMPUTED_VALUE"""),63.61)</f>
        <v>63.61</v>
      </c>
      <c r="F2268" s="1">
        <f>IFERROR(__xludf.DUMMYFUNCTION("""COMPUTED_VALUE"""),1254337.0)</f>
        <v>1254337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IFERROR(__xludf.DUMMYFUNCTION("""COMPUTED_VALUE"""),64.39)</f>
        <v>64.39</v>
      </c>
      <c r="C2269" s="1">
        <f>IFERROR(__xludf.DUMMYFUNCTION("""COMPUTED_VALUE"""),66.6)</f>
        <v>66.6</v>
      </c>
      <c r="D2269" s="1">
        <f>IFERROR(__xludf.DUMMYFUNCTION("""COMPUTED_VALUE"""),64.25)</f>
        <v>64.25</v>
      </c>
      <c r="E2269" s="1">
        <f>IFERROR(__xludf.DUMMYFUNCTION("""COMPUTED_VALUE"""),66.43)</f>
        <v>66.43</v>
      </c>
      <c r="F2269" s="1">
        <f>IFERROR(__xludf.DUMMYFUNCTION("""COMPUTED_VALUE"""),2028688.0)</f>
        <v>2028688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IFERROR(__xludf.DUMMYFUNCTION("""COMPUTED_VALUE"""),66.0)</f>
        <v>66</v>
      </c>
      <c r="C2270" s="1">
        <f>IFERROR(__xludf.DUMMYFUNCTION("""COMPUTED_VALUE"""),66.0)</f>
        <v>66</v>
      </c>
      <c r="D2270" s="1">
        <f>IFERROR(__xludf.DUMMYFUNCTION("""COMPUTED_VALUE"""),63.29)</f>
        <v>63.29</v>
      </c>
      <c r="E2270" s="1">
        <f>IFERROR(__xludf.DUMMYFUNCTION("""COMPUTED_VALUE"""),64.91)</f>
        <v>64.91</v>
      </c>
      <c r="F2270" s="1">
        <f>IFERROR(__xludf.DUMMYFUNCTION("""COMPUTED_VALUE"""),2899756.0)</f>
        <v>2899756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IFERROR(__xludf.DUMMYFUNCTION("""COMPUTED_VALUE"""),65.13)</f>
        <v>65.13</v>
      </c>
      <c r="C2271" s="1">
        <f>IFERROR(__xludf.DUMMYFUNCTION("""COMPUTED_VALUE"""),66.64)</f>
        <v>66.64</v>
      </c>
      <c r="D2271" s="1">
        <f>IFERROR(__xludf.DUMMYFUNCTION("""COMPUTED_VALUE"""),65.13)</f>
        <v>65.13</v>
      </c>
      <c r="E2271" s="1">
        <f>IFERROR(__xludf.DUMMYFUNCTION("""COMPUTED_VALUE"""),65.64)</f>
        <v>65.64</v>
      </c>
      <c r="F2271" s="1">
        <f>IFERROR(__xludf.DUMMYFUNCTION("""COMPUTED_VALUE"""),1309339.0)</f>
        <v>1309339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IFERROR(__xludf.DUMMYFUNCTION("""COMPUTED_VALUE"""),64.82)</f>
        <v>64.82</v>
      </c>
      <c r="C2272" s="1">
        <f>IFERROR(__xludf.DUMMYFUNCTION("""COMPUTED_VALUE"""),64.84)</f>
        <v>64.84</v>
      </c>
      <c r="D2272" s="1">
        <f>IFERROR(__xludf.DUMMYFUNCTION("""COMPUTED_VALUE"""),63.88)</f>
        <v>63.88</v>
      </c>
      <c r="E2272" s="1">
        <f>IFERROR(__xludf.DUMMYFUNCTION("""COMPUTED_VALUE"""),64.61)</f>
        <v>64.61</v>
      </c>
      <c r="F2272" s="1">
        <f>IFERROR(__xludf.DUMMYFUNCTION("""COMPUTED_VALUE"""),1205886.0)</f>
        <v>1205886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IFERROR(__xludf.DUMMYFUNCTION("""COMPUTED_VALUE"""),64.54)</f>
        <v>64.54</v>
      </c>
      <c r="C2273" s="1">
        <f>IFERROR(__xludf.DUMMYFUNCTION("""COMPUTED_VALUE"""),65.5)</f>
        <v>65.5</v>
      </c>
      <c r="D2273" s="1">
        <f>IFERROR(__xludf.DUMMYFUNCTION("""COMPUTED_VALUE"""),64.5)</f>
        <v>64.5</v>
      </c>
      <c r="E2273" s="1">
        <f>IFERROR(__xludf.DUMMYFUNCTION("""COMPUTED_VALUE"""),64.99)</f>
        <v>64.99</v>
      </c>
      <c r="F2273" s="1">
        <f>IFERROR(__xludf.DUMMYFUNCTION("""COMPUTED_VALUE"""),1223677.0)</f>
        <v>1223677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IFERROR(__xludf.DUMMYFUNCTION("""COMPUTED_VALUE"""),64.4)</f>
        <v>64.4</v>
      </c>
      <c r="C2274" s="1">
        <f>IFERROR(__xludf.DUMMYFUNCTION("""COMPUTED_VALUE"""),65.27)</f>
        <v>65.27</v>
      </c>
      <c r="D2274" s="1">
        <f>IFERROR(__xludf.DUMMYFUNCTION("""COMPUTED_VALUE"""),64.13)</f>
        <v>64.13</v>
      </c>
      <c r="E2274" s="1">
        <f>IFERROR(__xludf.DUMMYFUNCTION("""COMPUTED_VALUE"""),64.86)</f>
        <v>64.86</v>
      </c>
      <c r="F2274" s="1">
        <f>IFERROR(__xludf.DUMMYFUNCTION("""COMPUTED_VALUE"""),1129938.0)</f>
        <v>1129938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IFERROR(__xludf.DUMMYFUNCTION("""COMPUTED_VALUE"""),64.53)</f>
        <v>64.53</v>
      </c>
      <c r="C2275" s="1">
        <f>IFERROR(__xludf.DUMMYFUNCTION("""COMPUTED_VALUE"""),64.94)</f>
        <v>64.94</v>
      </c>
      <c r="D2275" s="1">
        <f>IFERROR(__xludf.DUMMYFUNCTION("""COMPUTED_VALUE"""),63.93)</f>
        <v>63.93</v>
      </c>
      <c r="E2275" s="1">
        <f>IFERROR(__xludf.DUMMYFUNCTION("""COMPUTED_VALUE"""),64.39)</f>
        <v>64.39</v>
      </c>
      <c r="F2275" s="1">
        <f>IFERROR(__xludf.DUMMYFUNCTION("""COMPUTED_VALUE"""),1230517.0)</f>
        <v>1230517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IFERROR(__xludf.DUMMYFUNCTION("""COMPUTED_VALUE"""),63.53)</f>
        <v>63.53</v>
      </c>
      <c r="C2276" s="1">
        <f>IFERROR(__xludf.DUMMYFUNCTION("""COMPUTED_VALUE"""),64.39)</f>
        <v>64.39</v>
      </c>
      <c r="D2276" s="1">
        <f>IFERROR(__xludf.DUMMYFUNCTION("""COMPUTED_VALUE"""),62.33)</f>
        <v>62.33</v>
      </c>
      <c r="E2276" s="1">
        <f>IFERROR(__xludf.DUMMYFUNCTION("""COMPUTED_VALUE"""),63.97)</f>
        <v>63.97</v>
      </c>
      <c r="F2276" s="1">
        <f>IFERROR(__xludf.DUMMYFUNCTION("""COMPUTED_VALUE"""),1943679.0)</f>
        <v>1943679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IFERROR(__xludf.DUMMYFUNCTION("""COMPUTED_VALUE"""),63.54)</f>
        <v>63.54</v>
      </c>
      <c r="C2277" s="1">
        <f>IFERROR(__xludf.DUMMYFUNCTION("""COMPUTED_VALUE"""),64.77)</f>
        <v>64.77</v>
      </c>
      <c r="D2277" s="1">
        <f>IFERROR(__xludf.DUMMYFUNCTION("""COMPUTED_VALUE"""),63.52)</f>
        <v>63.52</v>
      </c>
      <c r="E2277" s="1">
        <f>IFERROR(__xludf.DUMMYFUNCTION("""COMPUTED_VALUE"""),64.56)</f>
        <v>64.56</v>
      </c>
      <c r="F2277" s="1">
        <f>IFERROR(__xludf.DUMMYFUNCTION("""COMPUTED_VALUE"""),1328772.0)</f>
        <v>1328772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IFERROR(__xludf.DUMMYFUNCTION("""COMPUTED_VALUE"""),64.15)</f>
        <v>64.15</v>
      </c>
      <c r="C2278" s="1">
        <f>IFERROR(__xludf.DUMMYFUNCTION("""COMPUTED_VALUE"""),64.2)</f>
        <v>64.2</v>
      </c>
      <c r="D2278" s="1">
        <f>IFERROR(__xludf.DUMMYFUNCTION("""COMPUTED_VALUE"""),61.18)</f>
        <v>61.18</v>
      </c>
      <c r="E2278" s="1">
        <f>IFERROR(__xludf.DUMMYFUNCTION("""COMPUTED_VALUE"""),61.92)</f>
        <v>61.92</v>
      </c>
      <c r="F2278" s="1">
        <f>IFERROR(__xludf.DUMMYFUNCTION("""COMPUTED_VALUE"""),4091559.0)</f>
        <v>4091559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IFERROR(__xludf.DUMMYFUNCTION("""COMPUTED_VALUE"""),61.22)</f>
        <v>61.22</v>
      </c>
      <c r="C2279" s="1">
        <f>IFERROR(__xludf.DUMMYFUNCTION("""COMPUTED_VALUE"""),61.93)</f>
        <v>61.93</v>
      </c>
      <c r="D2279" s="1">
        <f>IFERROR(__xludf.DUMMYFUNCTION("""COMPUTED_VALUE"""),59.04)</f>
        <v>59.04</v>
      </c>
      <c r="E2279" s="1">
        <f>IFERROR(__xludf.DUMMYFUNCTION("""COMPUTED_VALUE"""),59.45)</f>
        <v>59.45</v>
      </c>
      <c r="F2279" s="1">
        <f>IFERROR(__xludf.DUMMYFUNCTION("""COMPUTED_VALUE"""),3835355.0)</f>
        <v>3835355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IFERROR(__xludf.DUMMYFUNCTION("""COMPUTED_VALUE"""),59.5)</f>
        <v>59.5</v>
      </c>
      <c r="C2280" s="1">
        <f>IFERROR(__xludf.DUMMYFUNCTION("""COMPUTED_VALUE"""),59.56)</f>
        <v>59.56</v>
      </c>
      <c r="D2280" s="1">
        <f>IFERROR(__xludf.DUMMYFUNCTION("""COMPUTED_VALUE"""),57.95)</f>
        <v>57.95</v>
      </c>
      <c r="E2280" s="1">
        <f>IFERROR(__xludf.DUMMYFUNCTION("""COMPUTED_VALUE"""),58.98)</f>
        <v>58.98</v>
      </c>
      <c r="F2280" s="1">
        <f>IFERROR(__xludf.DUMMYFUNCTION("""COMPUTED_VALUE"""),2694944.0)</f>
        <v>2694944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IFERROR(__xludf.DUMMYFUNCTION("""COMPUTED_VALUE"""),59.17)</f>
        <v>59.17</v>
      </c>
      <c r="C2281" s="1">
        <f>IFERROR(__xludf.DUMMYFUNCTION("""COMPUTED_VALUE"""),60.07)</f>
        <v>60.07</v>
      </c>
      <c r="D2281" s="1">
        <f>IFERROR(__xludf.DUMMYFUNCTION("""COMPUTED_VALUE"""),58.95)</f>
        <v>58.95</v>
      </c>
      <c r="E2281" s="1">
        <f>IFERROR(__xludf.DUMMYFUNCTION("""COMPUTED_VALUE"""),59.44)</f>
        <v>59.44</v>
      </c>
      <c r="F2281" s="1">
        <f>IFERROR(__xludf.DUMMYFUNCTION("""COMPUTED_VALUE"""),1535357.0)</f>
        <v>1535357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IFERROR(__xludf.DUMMYFUNCTION("""COMPUTED_VALUE"""),60.13)</f>
        <v>60.13</v>
      </c>
      <c r="C2282" s="1">
        <f>IFERROR(__xludf.DUMMYFUNCTION("""COMPUTED_VALUE"""),60.86)</f>
        <v>60.86</v>
      </c>
      <c r="D2282" s="1">
        <f>IFERROR(__xludf.DUMMYFUNCTION("""COMPUTED_VALUE"""),59.61)</f>
        <v>59.61</v>
      </c>
      <c r="E2282" s="1">
        <f>IFERROR(__xludf.DUMMYFUNCTION("""COMPUTED_VALUE"""),60.31)</f>
        <v>60.31</v>
      </c>
      <c r="F2282" s="1">
        <f>IFERROR(__xludf.DUMMYFUNCTION("""COMPUTED_VALUE"""),1545146.0)</f>
        <v>1545146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IFERROR(__xludf.DUMMYFUNCTION("""COMPUTED_VALUE"""),59.96)</f>
        <v>59.96</v>
      </c>
      <c r="C2283" s="1">
        <f>IFERROR(__xludf.DUMMYFUNCTION("""COMPUTED_VALUE"""),60.13)</f>
        <v>60.13</v>
      </c>
      <c r="D2283" s="1">
        <f>IFERROR(__xludf.DUMMYFUNCTION("""COMPUTED_VALUE"""),58.18)</f>
        <v>58.18</v>
      </c>
      <c r="E2283" s="1">
        <f>IFERROR(__xludf.DUMMYFUNCTION("""COMPUTED_VALUE"""),60.08)</f>
        <v>60.08</v>
      </c>
      <c r="F2283" s="1">
        <f>IFERROR(__xludf.DUMMYFUNCTION("""COMPUTED_VALUE"""),2044289.0)</f>
        <v>2044289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IFERROR(__xludf.DUMMYFUNCTION("""COMPUTED_VALUE"""),59.64)</f>
        <v>59.64</v>
      </c>
      <c r="C2284" s="1">
        <f>IFERROR(__xludf.DUMMYFUNCTION("""COMPUTED_VALUE"""),59.81)</f>
        <v>59.81</v>
      </c>
      <c r="D2284" s="1">
        <f>IFERROR(__xludf.DUMMYFUNCTION("""COMPUTED_VALUE"""),58.04)</f>
        <v>58.04</v>
      </c>
      <c r="E2284" s="1">
        <f>IFERROR(__xludf.DUMMYFUNCTION("""COMPUTED_VALUE"""),58.39)</f>
        <v>58.39</v>
      </c>
      <c r="F2284" s="1">
        <f>IFERROR(__xludf.DUMMYFUNCTION("""COMPUTED_VALUE"""),1916078.0)</f>
        <v>1916078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IFERROR(__xludf.DUMMYFUNCTION("""COMPUTED_VALUE"""),58.53)</f>
        <v>58.53</v>
      </c>
      <c r="C2285" s="1">
        <f>IFERROR(__xludf.DUMMYFUNCTION("""COMPUTED_VALUE"""),59.49)</f>
        <v>59.49</v>
      </c>
      <c r="D2285" s="1">
        <f>IFERROR(__xludf.DUMMYFUNCTION("""COMPUTED_VALUE"""),57.98)</f>
        <v>57.98</v>
      </c>
      <c r="E2285" s="1">
        <f>IFERROR(__xludf.DUMMYFUNCTION("""COMPUTED_VALUE"""),58.97)</f>
        <v>58.97</v>
      </c>
      <c r="F2285" s="1">
        <f>IFERROR(__xludf.DUMMYFUNCTION("""COMPUTED_VALUE"""),1553375.0)</f>
        <v>1553375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IFERROR(__xludf.DUMMYFUNCTION("""COMPUTED_VALUE"""),59.03)</f>
        <v>59.03</v>
      </c>
      <c r="C2286" s="1">
        <f>IFERROR(__xludf.DUMMYFUNCTION("""COMPUTED_VALUE"""),59.41)</f>
        <v>59.41</v>
      </c>
      <c r="D2286" s="1">
        <f>IFERROR(__xludf.DUMMYFUNCTION("""COMPUTED_VALUE"""),58.51)</f>
        <v>58.51</v>
      </c>
      <c r="E2286" s="1">
        <f>IFERROR(__xludf.DUMMYFUNCTION("""COMPUTED_VALUE"""),58.78)</f>
        <v>58.78</v>
      </c>
      <c r="F2286" s="1">
        <f>IFERROR(__xludf.DUMMYFUNCTION("""COMPUTED_VALUE"""),1665405.0)</f>
        <v>1665405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IFERROR(__xludf.DUMMYFUNCTION("""COMPUTED_VALUE"""),58.75)</f>
        <v>58.75</v>
      </c>
      <c r="C2287" s="1">
        <f>IFERROR(__xludf.DUMMYFUNCTION("""COMPUTED_VALUE"""),59.36)</f>
        <v>59.36</v>
      </c>
      <c r="D2287" s="1">
        <f>IFERROR(__xludf.DUMMYFUNCTION("""COMPUTED_VALUE"""),58.04)</f>
        <v>58.04</v>
      </c>
      <c r="E2287" s="1">
        <f>IFERROR(__xludf.DUMMYFUNCTION("""COMPUTED_VALUE"""),59.19)</f>
        <v>59.19</v>
      </c>
      <c r="F2287" s="1">
        <f>IFERROR(__xludf.DUMMYFUNCTION("""COMPUTED_VALUE"""),3114377.0)</f>
        <v>3114377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IFERROR(__xludf.DUMMYFUNCTION("""COMPUTED_VALUE"""),59.34)</f>
        <v>59.34</v>
      </c>
      <c r="C2288" s="1">
        <f>IFERROR(__xludf.DUMMYFUNCTION("""COMPUTED_VALUE"""),61.38)</f>
        <v>61.38</v>
      </c>
      <c r="D2288" s="1">
        <f>IFERROR(__xludf.DUMMYFUNCTION("""COMPUTED_VALUE"""),59.14)</f>
        <v>59.14</v>
      </c>
      <c r="E2288" s="1">
        <f>IFERROR(__xludf.DUMMYFUNCTION("""COMPUTED_VALUE"""),61.34)</f>
        <v>61.34</v>
      </c>
      <c r="F2288" s="1">
        <f>IFERROR(__xludf.DUMMYFUNCTION("""COMPUTED_VALUE"""),2763085.0)</f>
        <v>2763085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IFERROR(__xludf.DUMMYFUNCTION("""COMPUTED_VALUE"""),61.62)</f>
        <v>61.62</v>
      </c>
      <c r="C2289" s="1">
        <f>IFERROR(__xludf.DUMMYFUNCTION("""COMPUTED_VALUE"""),62.25)</f>
        <v>62.25</v>
      </c>
      <c r="D2289" s="1">
        <f>IFERROR(__xludf.DUMMYFUNCTION("""COMPUTED_VALUE"""),60.74)</f>
        <v>60.74</v>
      </c>
      <c r="E2289" s="1">
        <f>IFERROR(__xludf.DUMMYFUNCTION("""COMPUTED_VALUE"""),61.94)</f>
        <v>61.94</v>
      </c>
      <c r="F2289" s="1">
        <f>IFERROR(__xludf.DUMMYFUNCTION("""COMPUTED_VALUE"""),2431179.0)</f>
        <v>2431179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IFERROR(__xludf.DUMMYFUNCTION("""COMPUTED_VALUE"""),61.64)</f>
        <v>61.64</v>
      </c>
      <c r="C2290" s="1">
        <f>IFERROR(__xludf.DUMMYFUNCTION("""COMPUTED_VALUE"""),62.1)</f>
        <v>62.1</v>
      </c>
      <c r="D2290" s="1">
        <f>IFERROR(__xludf.DUMMYFUNCTION("""COMPUTED_VALUE"""),60.88)</f>
        <v>60.88</v>
      </c>
      <c r="E2290" s="1">
        <f>IFERROR(__xludf.DUMMYFUNCTION("""COMPUTED_VALUE"""),60.99)</f>
        <v>60.99</v>
      </c>
      <c r="F2290" s="1">
        <f>IFERROR(__xludf.DUMMYFUNCTION("""COMPUTED_VALUE"""),1344641.0)</f>
        <v>1344641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IFERROR(__xludf.DUMMYFUNCTION("""COMPUTED_VALUE"""),60.82)</f>
        <v>60.82</v>
      </c>
      <c r="C2291" s="1">
        <f>IFERROR(__xludf.DUMMYFUNCTION("""COMPUTED_VALUE"""),60.91)</f>
        <v>60.91</v>
      </c>
      <c r="D2291" s="1">
        <f>IFERROR(__xludf.DUMMYFUNCTION("""COMPUTED_VALUE"""),59.74)</f>
        <v>59.74</v>
      </c>
      <c r="E2291" s="1">
        <f>IFERROR(__xludf.DUMMYFUNCTION("""COMPUTED_VALUE"""),60.12)</f>
        <v>60.12</v>
      </c>
      <c r="F2291" s="1">
        <f>IFERROR(__xludf.DUMMYFUNCTION("""COMPUTED_VALUE"""),1641684.0)</f>
        <v>1641684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IFERROR(__xludf.DUMMYFUNCTION("""COMPUTED_VALUE"""),59.85)</f>
        <v>59.85</v>
      </c>
      <c r="C2292" s="1">
        <f>IFERROR(__xludf.DUMMYFUNCTION("""COMPUTED_VALUE"""),60.53)</f>
        <v>60.53</v>
      </c>
      <c r="D2292" s="1">
        <f>IFERROR(__xludf.DUMMYFUNCTION("""COMPUTED_VALUE"""),59.54)</f>
        <v>59.54</v>
      </c>
      <c r="E2292" s="1">
        <f>IFERROR(__xludf.DUMMYFUNCTION("""COMPUTED_VALUE"""),60.38)</f>
        <v>60.38</v>
      </c>
      <c r="F2292" s="1">
        <f>IFERROR(__xludf.DUMMYFUNCTION("""COMPUTED_VALUE"""),1206758.0)</f>
        <v>1206758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IFERROR(__xludf.DUMMYFUNCTION("""COMPUTED_VALUE"""),60.39)</f>
        <v>60.39</v>
      </c>
      <c r="C2293" s="1">
        <f>IFERROR(__xludf.DUMMYFUNCTION("""COMPUTED_VALUE"""),61.36)</f>
        <v>61.36</v>
      </c>
      <c r="D2293" s="1">
        <f>IFERROR(__xludf.DUMMYFUNCTION("""COMPUTED_VALUE"""),60.05)</f>
        <v>60.05</v>
      </c>
      <c r="E2293" s="1">
        <f>IFERROR(__xludf.DUMMYFUNCTION("""COMPUTED_VALUE"""),60.69)</f>
        <v>60.69</v>
      </c>
      <c r="F2293" s="1">
        <f>IFERROR(__xludf.DUMMYFUNCTION("""COMPUTED_VALUE"""),1440996.0)</f>
        <v>1440996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IFERROR(__xludf.DUMMYFUNCTION("""COMPUTED_VALUE"""),60.85)</f>
        <v>60.85</v>
      </c>
      <c r="C2294" s="1">
        <f>IFERROR(__xludf.DUMMYFUNCTION("""COMPUTED_VALUE"""),61.43)</f>
        <v>61.43</v>
      </c>
      <c r="D2294" s="1">
        <f>IFERROR(__xludf.DUMMYFUNCTION("""COMPUTED_VALUE"""),60.21)</f>
        <v>60.21</v>
      </c>
      <c r="E2294" s="1">
        <f>IFERROR(__xludf.DUMMYFUNCTION("""COMPUTED_VALUE"""),60.85)</f>
        <v>60.85</v>
      </c>
      <c r="F2294" s="1">
        <f>IFERROR(__xludf.DUMMYFUNCTION("""COMPUTED_VALUE"""),2379116.0)</f>
        <v>2379116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IFERROR(__xludf.DUMMYFUNCTION("""COMPUTED_VALUE"""),61.08)</f>
        <v>61.08</v>
      </c>
      <c r="C2295" s="1">
        <f>IFERROR(__xludf.DUMMYFUNCTION("""COMPUTED_VALUE"""),61.53)</f>
        <v>61.53</v>
      </c>
      <c r="D2295" s="1">
        <f>IFERROR(__xludf.DUMMYFUNCTION("""COMPUTED_VALUE"""),60.29)</f>
        <v>60.29</v>
      </c>
      <c r="E2295" s="1">
        <f>IFERROR(__xludf.DUMMYFUNCTION("""COMPUTED_VALUE"""),61.36)</f>
        <v>61.36</v>
      </c>
      <c r="F2295" s="1">
        <f>IFERROR(__xludf.DUMMYFUNCTION("""COMPUTED_VALUE"""),1730402.0)</f>
        <v>1730402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IFERROR(__xludf.DUMMYFUNCTION("""COMPUTED_VALUE"""),60.85)</f>
        <v>60.85</v>
      </c>
      <c r="C2296" s="1">
        <f>IFERROR(__xludf.DUMMYFUNCTION("""COMPUTED_VALUE"""),61.86)</f>
        <v>61.86</v>
      </c>
      <c r="D2296" s="1">
        <f>IFERROR(__xludf.DUMMYFUNCTION("""COMPUTED_VALUE"""),60.06)</f>
        <v>60.06</v>
      </c>
      <c r="E2296" s="1">
        <f>IFERROR(__xludf.DUMMYFUNCTION("""COMPUTED_VALUE"""),61.16)</f>
        <v>61.16</v>
      </c>
      <c r="F2296" s="1">
        <f>IFERROR(__xludf.DUMMYFUNCTION("""COMPUTED_VALUE"""),1443604.0)</f>
        <v>1443604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IFERROR(__xludf.DUMMYFUNCTION("""COMPUTED_VALUE"""),61.78)</f>
        <v>61.78</v>
      </c>
      <c r="C2297" s="1">
        <f>IFERROR(__xludf.DUMMYFUNCTION("""COMPUTED_VALUE"""),62.47)</f>
        <v>62.47</v>
      </c>
      <c r="D2297" s="1">
        <f>IFERROR(__xludf.DUMMYFUNCTION("""COMPUTED_VALUE"""),61.49)</f>
        <v>61.49</v>
      </c>
      <c r="E2297" s="1">
        <f>IFERROR(__xludf.DUMMYFUNCTION("""COMPUTED_VALUE"""),62.06)</f>
        <v>62.06</v>
      </c>
      <c r="F2297" s="1">
        <f>IFERROR(__xludf.DUMMYFUNCTION("""COMPUTED_VALUE"""),1132095.0)</f>
        <v>1132095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IFERROR(__xludf.DUMMYFUNCTION("""COMPUTED_VALUE"""),62.06)</f>
        <v>62.06</v>
      </c>
      <c r="C2298" s="1">
        <f>IFERROR(__xludf.DUMMYFUNCTION("""COMPUTED_VALUE"""),62.41)</f>
        <v>62.41</v>
      </c>
      <c r="D2298" s="1">
        <f>IFERROR(__xludf.DUMMYFUNCTION("""COMPUTED_VALUE"""),61.7)</f>
        <v>61.7</v>
      </c>
      <c r="E2298" s="1">
        <f>IFERROR(__xludf.DUMMYFUNCTION("""COMPUTED_VALUE"""),61.99)</f>
        <v>61.99</v>
      </c>
      <c r="F2298" s="1">
        <f>IFERROR(__xludf.DUMMYFUNCTION("""COMPUTED_VALUE"""),1244632.0)</f>
        <v>1244632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IFERROR(__xludf.DUMMYFUNCTION("""COMPUTED_VALUE"""),62.23)</f>
        <v>62.23</v>
      </c>
      <c r="C2299" s="1">
        <f>IFERROR(__xludf.DUMMYFUNCTION("""COMPUTED_VALUE"""),62.88)</f>
        <v>62.88</v>
      </c>
      <c r="D2299" s="1">
        <f>IFERROR(__xludf.DUMMYFUNCTION("""COMPUTED_VALUE"""),62.17)</f>
        <v>62.17</v>
      </c>
      <c r="E2299" s="1">
        <f>IFERROR(__xludf.DUMMYFUNCTION("""COMPUTED_VALUE"""),62.4)</f>
        <v>62.4</v>
      </c>
      <c r="F2299" s="1">
        <f>IFERROR(__xludf.DUMMYFUNCTION("""COMPUTED_VALUE"""),1128642.0)</f>
        <v>1128642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IFERROR(__xludf.DUMMYFUNCTION("""COMPUTED_VALUE"""),62.41)</f>
        <v>62.41</v>
      </c>
      <c r="C2300" s="1">
        <f>IFERROR(__xludf.DUMMYFUNCTION("""COMPUTED_VALUE"""),62.93)</f>
        <v>62.93</v>
      </c>
      <c r="D2300" s="1">
        <f>IFERROR(__xludf.DUMMYFUNCTION("""COMPUTED_VALUE"""),61.21)</f>
        <v>61.21</v>
      </c>
      <c r="E2300" s="1">
        <f>IFERROR(__xludf.DUMMYFUNCTION("""COMPUTED_VALUE"""),61.52)</f>
        <v>61.52</v>
      </c>
      <c r="F2300" s="1">
        <f>IFERROR(__xludf.DUMMYFUNCTION("""COMPUTED_VALUE"""),1015147.0)</f>
        <v>1015147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IFERROR(__xludf.DUMMYFUNCTION("""COMPUTED_VALUE"""),61.38)</f>
        <v>61.38</v>
      </c>
      <c r="C2301" s="1">
        <f>IFERROR(__xludf.DUMMYFUNCTION("""COMPUTED_VALUE"""),61.76)</f>
        <v>61.76</v>
      </c>
      <c r="D2301" s="1">
        <f>IFERROR(__xludf.DUMMYFUNCTION("""COMPUTED_VALUE"""),60.46)</f>
        <v>60.46</v>
      </c>
      <c r="E2301" s="1">
        <f>IFERROR(__xludf.DUMMYFUNCTION("""COMPUTED_VALUE"""),60.54)</f>
        <v>60.54</v>
      </c>
      <c r="F2301" s="1">
        <f>IFERROR(__xludf.DUMMYFUNCTION("""COMPUTED_VALUE"""),1587297.0)</f>
        <v>1587297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IFERROR(__xludf.DUMMYFUNCTION("""COMPUTED_VALUE"""),60.98)</f>
        <v>60.98</v>
      </c>
      <c r="C2302" s="1">
        <f>IFERROR(__xludf.DUMMYFUNCTION("""COMPUTED_VALUE"""),61.38)</f>
        <v>61.38</v>
      </c>
      <c r="D2302" s="1">
        <f>IFERROR(__xludf.DUMMYFUNCTION("""COMPUTED_VALUE"""),59.75)</f>
        <v>59.75</v>
      </c>
      <c r="E2302" s="1">
        <f>IFERROR(__xludf.DUMMYFUNCTION("""COMPUTED_VALUE"""),59.8)</f>
        <v>59.8</v>
      </c>
      <c r="F2302" s="1">
        <f>IFERROR(__xludf.DUMMYFUNCTION("""COMPUTED_VALUE"""),1471659.0)</f>
        <v>1471659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IFERROR(__xludf.DUMMYFUNCTION("""COMPUTED_VALUE"""),59.94)</f>
        <v>59.94</v>
      </c>
      <c r="C2303" s="1">
        <f>IFERROR(__xludf.DUMMYFUNCTION("""COMPUTED_VALUE"""),61.1)</f>
        <v>61.1</v>
      </c>
      <c r="D2303" s="1">
        <f>IFERROR(__xludf.DUMMYFUNCTION("""COMPUTED_VALUE"""),59.68)</f>
        <v>59.68</v>
      </c>
      <c r="E2303" s="1">
        <f>IFERROR(__xludf.DUMMYFUNCTION("""COMPUTED_VALUE"""),60.95)</f>
        <v>60.95</v>
      </c>
      <c r="F2303" s="1">
        <f>IFERROR(__xludf.DUMMYFUNCTION("""COMPUTED_VALUE"""),2116878.0)</f>
        <v>2116878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IFERROR(__xludf.DUMMYFUNCTION("""COMPUTED_VALUE"""),61.02)</f>
        <v>61.02</v>
      </c>
      <c r="C2304" s="1">
        <f>IFERROR(__xludf.DUMMYFUNCTION("""COMPUTED_VALUE"""),61.85)</f>
        <v>61.85</v>
      </c>
      <c r="D2304" s="1">
        <f>IFERROR(__xludf.DUMMYFUNCTION("""COMPUTED_VALUE"""),60.14)</f>
        <v>60.14</v>
      </c>
      <c r="E2304" s="1">
        <f>IFERROR(__xludf.DUMMYFUNCTION("""COMPUTED_VALUE"""),60.3)</f>
        <v>60.3</v>
      </c>
      <c r="F2304" s="1">
        <f>IFERROR(__xludf.DUMMYFUNCTION("""COMPUTED_VALUE"""),1837131.0)</f>
        <v>1837131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IFERROR(__xludf.DUMMYFUNCTION("""COMPUTED_VALUE"""),60.27)</f>
        <v>60.27</v>
      </c>
      <c r="C2305" s="1">
        <f>IFERROR(__xludf.DUMMYFUNCTION("""COMPUTED_VALUE"""),62.18)</f>
        <v>62.18</v>
      </c>
      <c r="D2305" s="1">
        <f>IFERROR(__xludf.DUMMYFUNCTION("""COMPUTED_VALUE"""),60.0)</f>
        <v>60</v>
      </c>
      <c r="E2305" s="1">
        <f>IFERROR(__xludf.DUMMYFUNCTION("""COMPUTED_VALUE"""),62.1)</f>
        <v>62.1</v>
      </c>
      <c r="F2305" s="1">
        <f>IFERROR(__xludf.DUMMYFUNCTION("""COMPUTED_VALUE"""),1923373.0)</f>
        <v>1923373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IFERROR(__xludf.DUMMYFUNCTION("""COMPUTED_VALUE"""),62.2)</f>
        <v>62.2</v>
      </c>
      <c r="C2306" s="1">
        <f>IFERROR(__xludf.DUMMYFUNCTION("""COMPUTED_VALUE"""),63.16)</f>
        <v>63.16</v>
      </c>
      <c r="D2306" s="1">
        <f>IFERROR(__xludf.DUMMYFUNCTION("""COMPUTED_VALUE"""),61.08)</f>
        <v>61.08</v>
      </c>
      <c r="E2306" s="1">
        <f>IFERROR(__xludf.DUMMYFUNCTION("""COMPUTED_VALUE"""),61.65)</f>
        <v>61.65</v>
      </c>
      <c r="F2306" s="1">
        <f>IFERROR(__xludf.DUMMYFUNCTION("""COMPUTED_VALUE"""),1985556.0)</f>
        <v>1985556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IFERROR(__xludf.DUMMYFUNCTION("""COMPUTED_VALUE"""),61.44)</f>
        <v>61.44</v>
      </c>
      <c r="C2307" s="1">
        <f>IFERROR(__xludf.DUMMYFUNCTION("""COMPUTED_VALUE"""),61.62)</f>
        <v>61.62</v>
      </c>
      <c r="D2307" s="1">
        <f>IFERROR(__xludf.DUMMYFUNCTION("""COMPUTED_VALUE"""),59.22)</f>
        <v>59.22</v>
      </c>
      <c r="E2307" s="1">
        <f>IFERROR(__xludf.DUMMYFUNCTION("""COMPUTED_VALUE"""),59.83)</f>
        <v>59.83</v>
      </c>
      <c r="F2307" s="1">
        <f>IFERROR(__xludf.DUMMYFUNCTION("""COMPUTED_VALUE"""),2292731.0)</f>
        <v>2292731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IFERROR(__xludf.DUMMYFUNCTION("""COMPUTED_VALUE"""),60.03)</f>
        <v>60.03</v>
      </c>
      <c r="C2308" s="1">
        <f>IFERROR(__xludf.DUMMYFUNCTION("""COMPUTED_VALUE"""),60.91)</f>
        <v>60.91</v>
      </c>
      <c r="D2308" s="1">
        <f>IFERROR(__xludf.DUMMYFUNCTION("""COMPUTED_VALUE"""),59.58)</f>
        <v>59.58</v>
      </c>
      <c r="E2308" s="1">
        <f>IFERROR(__xludf.DUMMYFUNCTION("""COMPUTED_VALUE"""),60.75)</f>
        <v>60.75</v>
      </c>
      <c r="F2308" s="1">
        <f>IFERROR(__xludf.DUMMYFUNCTION("""COMPUTED_VALUE"""),1698675.0)</f>
        <v>1698675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IFERROR(__xludf.DUMMYFUNCTION("""COMPUTED_VALUE"""),61.06)</f>
        <v>61.06</v>
      </c>
      <c r="C2309" s="1">
        <f>IFERROR(__xludf.DUMMYFUNCTION("""COMPUTED_VALUE"""),61.69)</f>
        <v>61.69</v>
      </c>
      <c r="D2309" s="1">
        <f>IFERROR(__xludf.DUMMYFUNCTION("""COMPUTED_VALUE"""),60.84)</f>
        <v>60.84</v>
      </c>
      <c r="E2309" s="1">
        <f>IFERROR(__xludf.DUMMYFUNCTION("""COMPUTED_VALUE"""),61.0)</f>
        <v>61</v>
      </c>
      <c r="F2309" s="1">
        <f>IFERROR(__xludf.DUMMYFUNCTION("""COMPUTED_VALUE"""),1248051.0)</f>
        <v>1248051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IFERROR(__xludf.DUMMYFUNCTION("""COMPUTED_VALUE"""),60.75)</f>
        <v>60.75</v>
      </c>
      <c r="C2310" s="1">
        <f>IFERROR(__xludf.DUMMYFUNCTION("""COMPUTED_VALUE"""),60.78)</f>
        <v>60.78</v>
      </c>
      <c r="D2310" s="1">
        <f>IFERROR(__xludf.DUMMYFUNCTION("""COMPUTED_VALUE"""),59.44)</f>
        <v>59.44</v>
      </c>
      <c r="E2310" s="1">
        <f>IFERROR(__xludf.DUMMYFUNCTION("""COMPUTED_VALUE"""),59.72)</f>
        <v>59.72</v>
      </c>
      <c r="F2310" s="1">
        <f>IFERROR(__xludf.DUMMYFUNCTION("""COMPUTED_VALUE"""),1046398.0)</f>
        <v>1046398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IFERROR(__xludf.DUMMYFUNCTION("""COMPUTED_VALUE"""),59.76)</f>
        <v>59.76</v>
      </c>
      <c r="C2311" s="1">
        <f>IFERROR(__xludf.DUMMYFUNCTION("""COMPUTED_VALUE"""),59.79)</f>
        <v>59.79</v>
      </c>
      <c r="D2311" s="1">
        <f>IFERROR(__xludf.DUMMYFUNCTION("""COMPUTED_VALUE"""),58.19)</f>
        <v>58.19</v>
      </c>
      <c r="E2311" s="1">
        <f>IFERROR(__xludf.DUMMYFUNCTION("""COMPUTED_VALUE"""),58.38)</f>
        <v>58.38</v>
      </c>
      <c r="F2311" s="1">
        <f>IFERROR(__xludf.DUMMYFUNCTION("""COMPUTED_VALUE"""),1737754.0)</f>
        <v>1737754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IFERROR(__xludf.DUMMYFUNCTION("""COMPUTED_VALUE"""),58.52)</f>
        <v>58.52</v>
      </c>
      <c r="C2312" s="1">
        <f>IFERROR(__xludf.DUMMYFUNCTION("""COMPUTED_VALUE"""),59.75)</f>
        <v>59.75</v>
      </c>
      <c r="D2312" s="1">
        <f>IFERROR(__xludf.DUMMYFUNCTION("""COMPUTED_VALUE"""),58.22)</f>
        <v>58.22</v>
      </c>
      <c r="E2312" s="1">
        <f>IFERROR(__xludf.DUMMYFUNCTION("""COMPUTED_VALUE"""),59.55)</f>
        <v>59.55</v>
      </c>
      <c r="F2312" s="1">
        <f>IFERROR(__xludf.DUMMYFUNCTION("""COMPUTED_VALUE"""),1618948.0)</f>
        <v>1618948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IFERROR(__xludf.DUMMYFUNCTION("""COMPUTED_VALUE"""),59.62)</f>
        <v>59.62</v>
      </c>
      <c r="C2313" s="1">
        <f>IFERROR(__xludf.DUMMYFUNCTION("""COMPUTED_VALUE"""),61.72)</f>
        <v>61.72</v>
      </c>
      <c r="D2313" s="1">
        <f>IFERROR(__xludf.DUMMYFUNCTION("""COMPUTED_VALUE"""),59.62)</f>
        <v>59.62</v>
      </c>
      <c r="E2313" s="1">
        <f>IFERROR(__xludf.DUMMYFUNCTION("""COMPUTED_VALUE"""),60.99)</f>
        <v>60.99</v>
      </c>
      <c r="F2313" s="1">
        <f>IFERROR(__xludf.DUMMYFUNCTION("""COMPUTED_VALUE"""),3026598.0)</f>
        <v>3026598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IFERROR(__xludf.DUMMYFUNCTION("""COMPUTED_VALUE"""),61.19)</f>
        <v>61.19</v>
      </c>
      <c r="C2314" s="1">
        <f>IFERROR(__xludf.DUMMYFUNCTION("""COMPUTED_VALUE"""),61.58)</f>
        <v>61.58</v>
      </c>
      <c r="D2314" s="1">
        <f>IFERROR(__xludf.DUMMYFUNCTION("""COMPUTED_VALUE"""),60.64)</f>
        <v>60.64</v>
      </c>
      <c r="E2314" s="1">
        <f>IFERROR(__xludf.DUMMYFUNCTION("""COMPUTED_VALUE"""),60.87)</f>
        <v>60.87</v>
      </c>
      <c r="F2314" s="1">
        <f>IFERROR(__xludf.DUMMYFUNCTION("""COMPUTED_VALUE"""),1766812.0)</f>
        <v>1766812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IFERROR(__xludf.DUMMYFUNCTION("""COMPUTED_VALUE"""),60.78)</f>
        <v>60.78</v>
      </c>
      <c r="C2315" s="1">
        <f>IFERROR(__xludf.DUMMYFUNCTION("""COMPUTED_VALUE"""),60.97)</f>
        <v>60.97</v>
      </c>
      <c r="D2315" s="1">
        <f>IFERROR(__xludf.DUMMYFUNCTION("""COMPUTED_VALUE"""),59.93)</f>
        <v>59.93</v>
      </c>
      <c r="E2315" s="1">
        <f>IFERROR(__xludf.DUMMYFUNCTION("""COMPUTED_VALUE"""),60.61)</f>
        <v>60.61</v>
      </c>
      <c r="F2315" s="1">
        <f>IFERROR(__xludf.DUMMYFUNCTION("""COMPUTED_VALUE"""),1452197.0)</f>
        <v>1452197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IFERROR(__xludf.DUMMYFUNCTION("""COMPUTED_VALUE"""),60.32)</f>
        <v>60.32</v>
      </c>
      <c r="C2316" s="1">
        <f>IFERROR(__xludf.DUMMYFUNCTION("""COMPUTED_VALUE"""),61.16)</f>
        <v>61.16</v>
      </c>
      <c r="D2316" s="1">
        <f>IFERROR(__xludf.DUMMYFUNCTION("""COMPUTED_VALUE"""),60.3)</f>
        <v>60.3</v>
      </c>
      <c r="E2316" s="1">
        <f>IFERROR(__xludf.DUMMYFUNCTION("""COMPUTED_VALUE"""),61.06)</f>
        <v>61.06</v>
      </c>
      <c r="F2316" s="1">
        <f>IFERROR(__xludf.DUMMYFUNCTION("""COMPUTED_VALUE"""),2186161.0)</f>
        <v>2186161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IFERROR(__xludf.DUMMYFUNCTION("""COMPUTED_VALUE"""),61.09)</f>
        <v>61.09</v>
      </c>
      <c r="C2317" s="1">
        <f>IFERROR(__xludf.DUMMYFUNCTION("""COMPUTED_VALUE"""),61.17)</f>
        <v>61.17</v>
      </c>
      <c r="D2317" s="1">
        <f>IFERROR(__xludf.DUMMYFUNCTION("""COMPUTED_VALUE"""),60.1)</f>
        <v>60.1</v>
      </c>
      <c r="E2317" s="1">
        <f>IFERROR(__xludf.DUMMYFUNCTION("""COMPUTED_VALUE"""),60.49)</f>
        <v>60.49</v>
      </c>
      <c r="F2317" s="1">
        <f>IFERROR(__xludf.DUMMYFUNCTION("""COMPUTED_VALUE"""),1870161.0)</f>
        <v>1870161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IFERROR(__xludf.DUMMYFUNCTION("""COMPUTED_VALUE"""),60.72)</f>
        <v>60.72</v>
      </c>
      <c r="C2318" s="1">
        <f>IFERROR(__xludf.DUMMYFUNCTION("""COMPUTED_VALUE"""),61.14)</f>
        <v>61.14</v>
      </c>
      <c r="D2318" s="1">
        <f>IFERROR(__xludf.DUMMYFUNCTION("""COMPUTED_VALUE"""),59.35)</f>
        <v>59.35</v>
      </c>
      <c r="E2318" s="1">
        <f>IFERROR(__xludf.DUMMYFUNCTION("""COMPUTED_VALUE"""),59.6)</f>
        <v>59.6</v>
      </c>
      <c r="F2318" s="1">
        <f>IFERROR(__xludf.DUMMYFUNCTION("""COMPUTED_VALUE"""),1700857.0)</f>
        <v>1700857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IFERROR(__xludf.DUMMYFUNCTION("""COMPUTED_VALUE"""),59.53)</f>
        <v>59.53</v>
      </c>
      <c r="C2319" s="1">
        <f>IFERROR(__xludf.DUMMYFUNCTION("""COMPUTED_VALUE"""),61.23)</f>
        <v>61.23</v>
      </c>
      <c r="D2319" s="1">
        <f>IFERROR(__xludf.DUMMYFUNCTION("""COMPUTED_VALUE"""),59.53)</f>
        <v>59.53</v>
      </c>
      <c r="E2319" s="1">
        <f>IFERROR(__xludf.DUMMYFUNCTION("""COMPUTED_VALUE"""),60.62)</f>
        <v>60.62</v>
      </c>
      <c r="F2319" s="1">
        <f>IFERROR(__xludf.DUMMYFUNCTION("""COMPUTED_VALUE"""),2383713.0)</f>
        <v>2383713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IFERROR(__xludf.DUMMYFUNCTION("""COMPUTED_VALUE"""),60.77)</f>
        <v>60.77</v>
      </c>
      <c r="C2320" s="1">
        <f>IFERROR(__xludf.DUMMYFUNCTION("""COMPUTED_VALUE"""),62.52)</f>
        <v>62.52</v>
      </c>
      <c r="D2320" s="1">
        <f>IFERROR(__xludf.DUMMYFUNCTION("""COMPUTED_VALUE"""),60.75)</f>
        <v>60.75</v>
      </c>
      <c r="E2320" s="1">
        <f>IFERROR(__xludf.DUMMYFUNCTION("""COMPUTED_VALUE"""),62.31)</f>
        <v>62.31</v>
      </c>
      <c r="F2320" s="1">
        <f>IFERROR(__xludf.DUMMYFUNCTION("""COMPUTED_VALUE"""),1610484.0)</f>
        <v>1610484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IFERROR(__xludf.DUMMYFUNCTION("""COMPUTED_VALUE"""),62.16)</f>
        <v>62.16</v>
      </c>
      <c r="C2321" s="1">
        <f>IFERROR(__xludf.DUMMYFUNCTION("""COMPUTED_VALUE"""),62.62)</f>
        <v>62.62</v>
      </c>
      <c r="D2321" s="1">
        <f>IFERROR(__xludf.DUMMYFUNCTION("""COMPUTED_VALUE"""),61.51)</f>
        <v>61.51</v>
      </c>
      <c r="E2321" s="1">
        <f>IFERROR(__xludf.DUMMYFUNCTION("""COMPUTED_VALUE"""),61.63)</f>
        <v>61.63</v>
      </c>
      <c r="F2321" s="1">
        <f>IFERROR(__xludf.DUMMYFUNCTION("""COMPUTED_VALUE"""),1512667.0)</f>
        <v>1512667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IFERROR(__xludf.DUMMYFUNCTION("""COMPUTED_VALUE"""),61.5)</f>
        <v>61.5</v>
      </c>
      <c r="C2322" s="1">
        <f>IFERROR(__xludf.DUMMYFUNCTION("""COMPUTED_VALUE"""),62.64)</f>
        <v>62.64</v>
      </c>
      <c r="D2322" s="1">
        <f>IFERROR(__xludf.DUMMYFUNCTION("""COMPUTED_VALUE"""),61.23)</f>
        <v>61.23</v>
      </c>
      <c r="E2322" s="1">
        <f>IFERROR(__xludf.DUMMYFUNCTION("""COMPUTED_VALUE"""),61.62)</f>
        <v>61.62</v>
      </c>
      <c r="F2322" s="1">
        <f>IFERROR(__xludf.DUMMYFUNCTION("""COMPUTED_VALUE"""),1425060.0)</f>
        <v>1425060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IFERROR(__xludf.DUMMYFUNCTION("""COMPUTED_VALUE"""),61.79)</f>
        <v>61.79</v>
      </c>
      <c r="C2323" s="1">
        <f>IFERROR(__xludf.DUMMYFUNCTION("""COMPUTED_VALUE"""),63.33)</f>
        <v>63.33</v>
      </c>
      <c r="D2323" s="1">
        <f>IFERROR(__xludf.DUMMYFUNCTION("""COMPUTED_VALUE"""),61.79)</f>
        <v>61.79</v>
      </c>
      <c r="E2323" s="1">
        <f>IFERROR(__xludf.DUMMYFUNCTION("""COMPUTED_VALUE"""),62.88)</f>
        <v>62.88</v>
      </c>
      <c r="F2323" s="1">
        <f>IFERROR(__xludf.DUMMYFUNCTION("""COMPUTED_VALUE"""),2250467.0)</f>
        <v>2250467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IFERROR(__xludf.DUMMYFUNCTION("""COMPUTED_VALUE"""),63.12)</f>
        <v>63.12</v>
      </c>
      <c r="C2324" s="1">
        <f>IFERROR(__xludf.DUMMYFUNCTION("""COMPUTED_VALUE"""),65.06)</f>
        <v>65.06</v>
      </c>
      <c r="D2324" s="1">
        <f>IFERROR(__xludf.DUMMYFUNCTION("""COMPUTED_VALUE"""),63.02)</f>
        <v>63.02</v>
      </c>
      <c r="E2324" s="1">
        <f>IFERROR(__xludf.DUMMYFUNCTION("""COMPUTED_VALUE"""),63.84)</f>
        <v>63.84</v>
      </c>
      <c r="F2324" s="1">
        <f>IFERROR(__xludf.DUMMYFUNCTION("""COMPUTED_VALUE"""),3141240.0)</f>
        <v>3141240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IFERROR(__xludf.DUMMYFUNCTION("""COMPUTED_VALUE"""),64.2)</f>
        <v>64.2</v>
      </c>
      <c r="C2325" s="1">
        <f>IFERROR(__xludf.DUMMYFUNCTION("""COMPUTED_VALUE"""),64.82)</f>
        <v>64.82</v>
      </c>
      <c r="D2325" s="1">
        <f>IFERROR(__xludf.DUMMYFUNCTION("""COMPUTED_VALUE"""),63.42)</f>
        <v>63.42</v>
      </c>
      <c r="E2325" s="1">
        <f>IFERROR(__xludf.DUMMYFUNCTION("""COMPUTED_VALUE"""),63.68)</f>
        <v>63.68</v>
      </c>
      <c r="F2325" s="1">
        <f>IFERROR(__xludf.DUMMYFUNCTION("""COMPUTED_VALUE"""),3708868.0)</f>
        <v>3708868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IFERROR(__xludf.DUMMYFUNCTION("""COMPUTED_VALUE"""),66.69)</f>
        <v>66.69</v>
      </c>
      <c r="C2326" s="1">
        <f>IFERROR(__xludf.DUMMYFUNCTION("""COMPUTED_VALUE"""),70.99)</f>
        <v>70.99</v>
      </c>
      <c r="D2326" s="1">
        <f>IFERROR(__xludf.DUMMYFUNCTION("""COMPUTED_VALUE"""),65.64)</f>
        <v>65.64</v>
      </c>
      <c r="E2326" s="1">
        <f>IFERROR(__xludf.DUMMYFUNCTION("""COMPUTED_VALUE"""),69.8)</f>
        <v>69.8</v>
      </c>
      <c r="F2326" s="1">
        <f>IFERROR(__xludf.DUMMYFUNCTION("""COMPUTED_VALUE"""),8830460.0)</f>
        <v>8830460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IFERROR(__xludf.DUMMYFUNCTION("""COMPUTED_VALUE"""),71.06)</f>
        <v>71.06</v>
      </c>
      <c r="C2327" s="1">
        <f>IFERROR(__xludf.DUMMYFUNCTION("""COMPUTED_VALUE"""),71.24)</f>
        <v>71.24</v>
      </c>
      <c r="D2327" s="1">
        <f>IFERROR(__xludf.DUMMYFUNCTION("""COMPUTED_VALUE"""),68.24)</f>
        <v>68.24</v>
      </c>
      <c r="E2327" s="1">
        <f>IFERROR(__xludf.DUMMYFUNCTION("""COMPUTED_VALUE"""),69.07)</f>
        <v>69.07</v>
      </c>
      <c r="F2327" s="1">
        <f>IFERROR(__xludf.DUMMYFUNCTION("""COMPUTED_VALUE"""),3625912.0)</f>
        <v>3625912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IFERROR(__xludf.DUMMYFUNCTION("""COMPUTED_VALUE"""),69.11)</f>
        <v>69.11</v>
      </c>
      <c r="C2328" s="1">
        <f>IFERROR(__xludf.DUMMYFUNCTION("""COMPUTED_VALUE"""),70.7)</f>
        <v>70.7</v>
      </c>
      <c r="D2328" s="1">
        <f>IFERROR(__xludf.DUMMYFUNCTION("""COMPUTED_VALUE"""),68.97)</f>
        <v>68.97</v>
      </c>
      <c r="E2328" s="1">
        <f>IFERROR(__xludf.DUMMYFUNCTION("""COMPUTED_VALUE"""),69.79)</f>
        <v>69.79</v>
      </c>
      <c r="F2328" s="1">
        <f>IFERROR(__xludf.DUMMYFUNCTION("""COMPUTED_VALUE"""),2409716.0)</f>
        <v>2409716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IFERROR(__xludf.DUMMYFUNCTION("""COMPUTED_VALUE"""),70.22)</f>
        <v>70.22</v>
      </c>
      <c r="C2329" s="1">
        <f>IFERROR(__xludf.DUMMYFUNCTION("""COMPUTED_VALUE"""),71.74)</f>
        <v>71.74</v>
      </c>
      <c r="D2329" s="1">
        <f>IFERROR(__xludf.DUMMYFUNCTION("""COMPUTED_VALUE"""),70.22)</f>
        <v>70.22</v>
      </c>
      <c r="E2329" s="1">
        <f>IFERROR(__xludf.DUMMYFUNCTION("""COMPUTED_VALUE"""),71.2)</f>
        <v>71.2</v>
      </c>
      <c r="F2329" s="1">
        <f>IFERROR(__xludf.DUMMYFUNCTION("""COMPUTED_VALUE"""),2663314.0)</f>
        <v>2663314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IFERROR(__xludf.DUMMYFUNCTION("""COMPUTED_VALUE"""),71.45)</f>
        <v>71.45</v>
      </c>
      <c r="C2330" s="1">
        <f>IFERROR(__xludf.DUMMYFUNCTION("""COMPUTED_VALUE"""),72.19)</f>
        <v>72.19</v>
      </c>
      <c r="D2330" s="1">
        <f>IFERROR(__xludf.DUMMYFUNCTION("""COMPUTED_VALUE"""),71.2)</f>
        <v>71.2</v>
      </c>
      <c r="E2330" s="1">
        <f>IFERROR(__xludf.DUMMYFUNCTION("""COMPUTED_VALUE"""),72.09)</f>
        <v>72.09</v>
      </c>
      <c r="F2330" s="1">
        <f>IFERROR(__xludf.DUMMYFUNCTION("""COMPUTED_VALUE"""),1179078.0)</f>
        <v>1179078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IFERROR(__xludf.DUMMYFUNCTION("""COMPUTED_VALUE"""),72.2)</f>
        <v>72.2</v>
      </c>
      <c r="C2331" s="1">
        <f>IFERROR(__xludf.DUMMYFUNCTION("""COMPUTED_VALUE"""),72.4)</f>
        <v>72.4</v>
      </c>
      <c r="D2331" s="1">
        <f>IFERROR(__xludf.DUMMYFUNCTION("""COMPUTED_VALUE"""),71.64)</f>
        <v>71.64</v>
      </c>
      <c r="E2331" s="1">
        <f>IFERROR(__xludf.DUMMYFUNCTION("""COMPUTED_VALUE"""),72.04)</f>
        <v>72.04</v>
      </c>
      <c r="F2331" s="1">
        <f>IFERROR(__xludf.DUMMYFUNCTION("""COMPUTED_VALUE"""),1527146.0)</f>
        <v>1527146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IFERROR(__xludf.DUMMYFUNCTION("""COMPUTED_VALUE"""),72.42)</f>
        <v>72.42</v>
      </c>
      <c r="C2332" s="1">
        <f>IFERROR(__xludf.DUMMYFUNCTION("""COMPUTED_VALUE"""),72.98)</f>
        <v>72.98</v>
      </c>
      <c r="D2332" s="1">
        <f>IFERROR(__xludf.DUMMYFUNCTION("""COMPUTED_VALUE"""),71.79)</f>
        <v>71.79</v>
      </c>
      <c r="E2332" s="1">
        <f>IFERROR(__xludf.DUMMYFUNCTION("""COMPUTED_VALUE"""),72.7)</f>
        <v>72.7</v>
      </c>
      <c r="F2332" s="1">
        <f>IFERROR(__xludf.DUMMYFUNCTION("""COMPUTED_VALUE"""),1320504.0)</f>
        <v>1320504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IFERROR(__xludf.DUMMYFUNCTION("""COMPUTED_VALUE"""),72.85)</f>
        <v>72.85</v>
      </c>
      <c r="C2333" s="1">
        <f>IFERROR(__xludf.DUMMYFUNCTION("""COMPUTED_VALUE"""),73.73)</f>
        <v>73.73</v>
      </c>
      <c r="D2333" s="1">
        <f>IFERROR(__xludf.DUMMYFUNCTION("""COMPUTED_VALUE"""),72.56)</f>
        <v>72.56</v>
      </c>
      <c r="E2333" s="1">
        <f>IFERROR(__xludf.DUMMYFUNCTION("""COMPUTED_VALUE"""),73.31)</f>
        <v>73.31</v>
      </c>
      <c r="F2333" s="1">
        <f>IFERROR(__xludf.DUMMYFUNCTION("""COMPUTED_VALUE"""),1435314.0)</f>
        <v>1435314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IFERROR(__xludf.DUMMYFUNCTION("""COMPUTED_VALUE"""),73.41)</f>
        <v>73.41</v>
      </c>
      <c r="C2334" s="1">
        <f>IFERROR(__xludf.DUMMYFUNCTION("""COMPUTED_VALUE"""),74.36)</f>
        <v>74.36</v>
      </c>
      <c r="D2334" s="1">
        <f>IFERROR(__xludf.DUMMYFUNCTION("""COMPUTED_VALUE"""),72.89)</f>
        <v>72.89</v>
      </c>
      <c r="E2334" s="1">
        <f>IFERROR(__xludf.DUMMYFUNCTION("""COMPUTED_VALUE"""),74.31)</f>
        <v>74.31</v>
      </c>
      <c r="F2334" s="1">
        <f>IFERROR(__xludf.DUMMYFUNCTION("""COMPUTED_VALUE"""),1140861.0)</f>
        <v>1140861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IFERROR(__xludf.DUMMYFUNCTION("""COMPUTED_VALUE"""),74.07)</f>
        <v>74.07</v>
      </c>
      <c r="C2335" s="1">
        <f>IFERROR(__xludf.DUMMYFUNCTION("""COMPUTED_VALUE"""),74.63)</f>
        <v>74.63</v>
      </c>
      <c r="D2335" s="1">
        <f>IFERROR(__xludf.DUMMYFUNCTION("""COMPUTED_VALUE"""),73.32)</f>
        <v>73.32</v>
      </c>
      <c r="E2335" s="1">
        <f>IFERROR(__xludf.DUMMYFUNCTION("""COMPUTED_VALUE"""),73.9)</f>
        <v>73.9</v>
      </c>
      <c r="F2335" s="1">
        <f>IFERROR(__xludf.DUMMYFUNCTION("""COMPUTED_VALUE"""),1302426.0)</f>
        <v>1302426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IFERROR(__xludf.DUMMYFUNCTION("""COMPUTED_VALUE"""),74.09)</f>
        <v>74.09</v>
      </c>
      <c r="C2336" s="1">
        <f>IFERROR(__xludf.DUMMYFUNCTION("""COMPUTED_VALUE"""),74.68)</f>
        <v>74.68</v>
      </c>
      <c r="D2336" s="1">
        <f>IFERROR(__xludf.DUMMYFUNCTION("""COMPUTED_VALUE"""),74.05)</f>
        <v>74.05</v>
      </c>
      <c r="E2336" s="1">
        <f>IFERROR(__xludf.DUMMYFUNCTION("""COMPUTED_VALUE"""),74.58)</f>
        <v>74.58</v>
      </c>
      <c r="F2336" s="1">
        <f>IFERROR(__xludf.DUMMYFUNCTION("""COMPUTED_VALUE"""),879277.0)</f>
        <v>879277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IFERROR(__xludf.DUMMYFUNCTION("""COMPUTED_VALUE"""),74.45)</f>
        <v>74.45</v>
      </c>
      <c r="C2337" s="1">
        <f>IFERROR(__xludf.DUMMYFUNCTION("""COMPUTED_VALUE"""),75.09)</f>
        <v>75.09</v>
      </c>
      <c r="D2337" s="1">
        <f>IFERROR(__xludf.DUMMYFUNCTION("""COMPUTED_VALUE"""),74.13)</f>
        <v>74.13</v>
      </c>
      <c r="E2337" s="1">
        <f>IFERROR(__xludf.DUMMYFUNCTION("""COMPUTED_VALUE"""),75.03)</f>
        <v>75.03</v>
      </c>
      <c r="F2337" s="1">
        <f>IFERROR(__xludf.DUMMYFUNCTION("""COMPUTED_VALUE"""),1092469.0)</f>
        <v>1092469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IFERROR(__xludf.DUMMYFUNCTION("""COMPUTED_VALUE"""),75.2)</f>
        <v>75.2</v>
      </c>
      <c r="C2338" s="1">
        <f>IFERROR(__xludf.DUMMYFUNCTION("""COMPUTED_VALUE"""),76.01)</f>
        <v>76.01</v>
      </c>
      <c r="D2338" s="1">
        <f>IFERROR(__xludf.DUMMYFUNCTION("""COMPUTED_VALUE"""),74.99)</f>
        <v>74.99</v>
      </c>
      <c r="E2338" s="1">
        <f>IFERROR(__xludf.DUMMYFUNCTION("""COMPUTED_VALUE"""),75.94)</f>
        <v>75.94</v>
      </c>
      <c r="F2338" s="1">
        <f>IFERROR(__xludf.DUMMYFUNCTION("""COMPUTED_VALUE"""),1312387.0)</f>
        <v>1312387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IFERROR(__xludf.DUMMYFUNCTION("""COMPUTED_VALUE"""),76.7)</f>
        <v>76.7</v>
      </c>
      <c r="C2339" s="1">
        <f>IFERROR(__xludf.DUMMYFUNCTION("""COMPUTED_VALUE"""),78.43)</f>
        <v>78.43</v>
      </c>
      <c r="D2339" s="1">
        <f>IFERROR(__xludf.DUMMYFUNCTION("""COMPUTED_VALUE"""),76.12)</f>
        <v>76.12</v>
      </c>
      <c r="E2339" s="1">
        <f>IFERROR(__xludf.DUMMYFUNCTION("""COMPUTED_VALUE"""),77.42)</f>
        <v>77.42</v>
      </c>
      <c r="F2339" s="1">
        <f>IFERROR(__xludf.DUMMYFUNCTION("""COMPUTED_VALUE"""),2672055.0)</f>
        <v>2672055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IFERROR(__xludf.DUMMYFUNCTION("""COMPUTED_VALUE"""),77.29)</f>
        <v>77.29</v>
      </c>
      <c r="C2340" s="1">
        <f>IFERROR(__xludf.DUMMYFUNCTION("""COMPUTED_VALUE"""),77.36)</f>
        <v>77.36</v>
      </c>
      <c r="D2340" s="1">
        <f>IFERROR(__xludf.DUMMYFUNCTION("""COMPUTED_VALUE"""),75.81)</f>
        <v>75.81</v>
      </c>
      <c r="E2340" s="1">
        <f>IFERROR(__xludf.DUMMYFUNCTION("""COMPUTED_VALUE"""),77.0)</f>
        <v>77</v>
      </c>
      <c r="F2340" s="1">
        <f>IFERROR(__xludf.DUMMYFUNCTION("""COMPUTED_VALUE"""),1438808.0)</f>
        <v>1438808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IFERROR(__xludf.DUMMYFUNCTION("""COMPUTED_VALUE"""),76.91)</f>
        <v>76.91</v>
      </c>
      <c r="C2341" s="1">
        <f>IFERROR(__xludf.DUMMYFUNCTION("""COMPUTED_VALUE"""),76.91)</f>
        <v>76.91</v>
      </c>
      <c r="D2341" s="1">
        <f>IFERROR(__xludf.DUMMYFUNCTION("""COMPUTED_VALUE"""),75.55)</f>
        <v>75.55</v>
      </c>
      <c r="E2341" s="1">
        <f>IFERROR(__xludf.DUMMYFUNCTION("""COMPUTED_VALUE"""),75.7)</f>
        <v>75.7</v>
      </c>
      <c r="F2341" s="1">
        <f>IFERROR(__xludf.DUMMYFUNCTION("""COMPUTED_VALUE"""),1167274.0)</f>
        <v>1167274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IFERROR(__xludf.DUMMYFUNCTION("""COMPUTED_VALUE"""),76.1)</f>
        <v>76.1</v>
      </c>
      <c r="C2342" s="1">
        <f>IFERROR(__xludf.DUMMYFUNCTION("""COMPUTED_VALUE"""),77.54)</f>
        <v>77.54</v>
      </c>
      <c r="D2342" s="1">
        <f>IFERROR(__xludf.DUMMYFUNCTION("""COMPUTED_VALUE"""),75.81)</f>
        <v>75.81</v>
      </c>
      <c r="E2342" s="1">
        <f>IFERROR(__xludf.DUMMYFUNCTION("""COMPUTED_VALUE"""),77.34)</f>
        <v>77.34</v>
      </c>
      <c r="F2342" s="1">
        <f>IFERROR(__xludf.DUMMYFUNCTION("""COMPUTED_VALUE"""),1916537.0)</f>
        <v>1916537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IFERROR(__xludf.DUMMYFUNCTION("""COMPUTED_VALUE"""),77.39)</f>
        <v>77.39</v>
      </c>
      <c r="C2343" s="1">
        <f>IFERROR(__xludf.DUMMYFUNCTION("""COMPUTED_VALUE"""),77.85)</f>
        <v>77.85</v>
      </c>
      <c r="D2343" s="1">
        <f>IFERROR(__xludf.DUMMYFUNCTION("""COMPUTED_VALUE"""),76.76)</f>
        <v>76.76</v>
      </c>
      <c r="E2343" s="1">
        <f>IFERROR(__xludf.DUMMYFUNCTION("""COMPUTED_VALUE"""),77.29)</f>
        <v>77.29</v>
      </c>
      <c r="F2343" s="1">
        <f>IFERROR(__xludf.DUMMYFUNCTION("""COMPUTED_VALUE"""),1087115.0)</f>
        <v>1087115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IFERROR(__xludf.DUMMYFUNCTION("""COMPUTED_VALUE"""),76.92)</f>
        <v>76.92</v>
      </c>
      <c r="C2344" s="1">
        <f>IFERROR(__xludf.DUMMYFUNCTION("""COMPUTED_VALUE"""),77.28)</f>
        <v>77.28</v>
      </c>
      <c r="D2344" s="1">
        <f>IFERROR(__xludf.DUMMYFUNCTION("""COMPUTED_VALUE"""),76.33)</f>
        <v>76.33</v>
      </c>
      <c r="E2344" s="1">
        <f>IFERROR(__xludf.DUMMYFUNCTION("""COMPUTED_VALUE"""),76.33)</f>
        <v>76.33</v>
      </c>
      <c r="F2344" s="1">
        <f>IFERROR(__xludf.DUMMYFUNCTION("""COMPUTED_VALUE"""),1037778.0)</f>
        <v>1037778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IFERROR(__xludf.DUMMYFUNCTION("""COMPUTED_VALUE"""),76.28)</f>
        <v>76.28</v>
      </c>
      <c r="C2345" s="1">
        <f>IFERROR(__xludf.DUMMYFUNCTION("""COMPUTED_VALUE"""),77.99)</f>
        <v>77.99</v>
      </c>
      <c r="D2345" s="1">
        <f>IFERROR(__xludf.DUMMYFUNCTION("""COMPUTED_VALUE"""),76.08)</f>
        <v>76.08</v>
      </c>
      <c r="E2345" s="1">
        <f>IFERROR(__xludf.DUMMYFUNCTION("""COMPUTED_VALUE"""),77.97)</f>
        <v>77.97</v>
      </c>
      <c r="F2345" s="1">
        <f>IFERROR(__xludf.DUMMYFUNCTION("""COMPUTED_VALUE"""),1165430.0)</f>
        <v>1165430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IFERROR(__xludf.DUMMYFUNCTION("""COMPUTED_VALUE"""),77.7)</f>
        <v>77.7</v>
      </c>
      <c r="C2346" s="1">
        <f>IFERROR(__xludf.DUMMYFUNCTION("""COMPUTED_VALUE"""),78.2)</f>
        <v>78.2</v>
      </c>
      <c r="D2346" s="1">
        <f>IFERROR(__xludf.DUMMYFUNCTION("""COMPUTED_VALUE"""),77.2)</f>
        <v>77.2</v>
      </c>
      <c r="E2346" s="1">
        <f>IFERROR(__xludf.DUMMYFUNCTION("""COMPUTED_VALUE"""),77.32)</f>
        <v>77.32</v>
      </c>
      <c r="F2346" s="1">
        <f>IFERROR(__xludf.DUMMYFUNCTION("""COMPUTED_VALUE"""),1380267.0)</f>
        <v>1380267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IFERROR(__xludf.DUMMYFUNCTION("""COMPUTED_VALUE"""),77.24)</f>
        <v>77.24</v>
      </c>
      <c r="C2347" s="1">
        <f>IFERROR(__xludf.DUMMYFUNCTION("""COMPUTED_VALUE"""),78.0)</f>
        <v>78</v>
      </c>
      <c r="D2347" s="1">
        <f>IFERROR(__xludf.DUMMYFUNCTION("""COMPUTED_VALUE"""),76.68)</f>
        <v>76.68</v>
      </c>
      <c r="E2347" s="1">
        <f>IFERROR(__xludf.DUMMYFUNCTION("""COMPUTED_VALUE"""),77.86)</f>
        <v>77.86</v>
      </c>
      <c r="F2347" s="1">
        <f>IFERROR(__xludf.DUMMYFUNCTION("""COMPUTED_VALUE"""),1900063.0)</f>
        <v>1900063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IFERROR(__xludf.DUMMYFUNCTION("""COMPUTED_VALUE"""),77.94)</f>
        <v>77.94</v>
      </c>
      <c r="C2348" s="1">
        <f>IFERROR(__xludf.DUMMYFUNCTION("""COMPUTED_VALUE"""),79.26)</f>
        <v>79.26</v>
      </c>
      <c r="D2348" s="1">
        <f>IFERROR(__xludf.DUMMYFUNCTION("""COMPUTED_VALUE"""),77.73)</f>
        <v>77.73</v>
      </c>
      <c r="E2348" s="1">
        <f>IFERROR(__xludf.DUMMYFUNCTION("""COMPUTED_VALUE"""),78.35)</f>
        <v>78.35</v>
      </c>
      <c r="F2348" s="1">
        <f>IFERROR(__xludf.DUMMYFUNCTION("""COMPUTED_VALUE"""),1912577.0)</f>
        <v>1912577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IFERROR(__xludf.DUMMYFUNCTION("""COMPUTED_VALUE"""),78.27)</f>
        <v>78.27</v>
      </c>
      <c r="C2349" s="1">
        <f>IFERROR(__xludf.DUMMYFUNCTION("""COMPUTED_VALUE"""),78.72)</f>
        <v>78.72</v>
      </c>
      <c r="D2349" s="1">
        <f>IFERROR(__xludf.DUMMYFUNCTION("""COMPUTED_VALUE"""),76.96)</f>
        <v>76.96</v>
      </c>
      <c r="E2349" s="1">
        <f>IFERROR(__xludf.DUMMYFUNCTION("""COMPUTED_VALUE"""),78.24)</f>
        <v>78.24</v>
      </c>
      <c r="F2349" s="1">
        <f>IFERROR(__xludf.DUMMYFUNCTION("""COMPUTED_VALUE"""),2085476.0)</f>
        <v>2085476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IFERROR(__xludf.DUMMYFUNCTION("""COMPUTED_VALUE"""),78.1)</f>
        <v>78.1</v>
      </c>
      <c r="C2350" s="1">
        <f>IFERROR(__xludf.DUMMYFUNCTION("""COMPUTED_VALUE"""),78.79)</f>
        <v>78.79</v>
      </c>
      <c r="D2350" s="1">
        <f>IFERROR(__xludf.DUMMYFUNCTION("""COMPUTED_VALUE"""),77.59)</f>
        <v>77.59</v>
      </c>
      <c r="E2350" s="1">
        <f>IFERROR(__xludf.DUMMYFUNCTION("""COMPUTED_VALUE"""),78.62)</f>
        <v>78.62</v>
      </c>
      <c r="F2350" s="1">
        <f>IFERROR(__xludf.DUMMYFUNCTION("""COMPUTED_VALUE"""),905870.0)</f>
        <v>905870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IFERROR(__xludf.DUMMYFUNCTION("""COMPUTED_VALUE"""),77.65)</f>
        <v>77.65</v>
      </c>
      <c r="C2351" s="1">
        <f>IFERROR(__xludf.DUMMYFUNCTION("""COMPUTED_VALUE"""),78.66)</f>
        <v>78.66</v>
      </c>
      <c r="D2351" s="1">
        <f>IFERROR(__xludf.DUMMYFUNCTION("""COMPUTED_VALUE"""),77.42)</f>
        <v>77.42</v>
      </c>
      <c r="E2351" s="1">
        <f>IFERROR(__xludf.DUMMYFUNCTION("""COMPUTED_VALUE"""),78.31)</f>
        <v>78.31</v>
      </c>
      <c r="F2351" s="1">
        <f>IFERROR(__xludf.DUMMYFUNCTION("""COMPUTED_VALUE"""),776325.0)</f>
        <v>776325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IFERROR(__xludf.DUMMYFUNCTION("""COMPUTED_VALUE"""),77.75)</f>
        <v>77.75</v>
      </c>
      <c r="C2352" s="1">
        <f>IFERROR(__xludf.DUMMYFUNCTION("""COMPUTED_VALUE"""),78.41)</f>
        <v>78.41</v>
      </c>
      <c r="D2352" s="1">
        <f>IFERROR(__xludf.DUMMYFUNCTION("""COMPUTED_VALUE"""),77.06)</f>
        <v>77.06</v>
      </c>
      <c r="E2352" s="1">
        <f>IFERROR(__xludf.DUMMYFUNCTION("""COMPUTED_VALUE"""),77.68)</f>
        <v>77.68</v>
      </c>
      <c r="F2352" s="1">
        <f>IFERROR(__xludf.DUMMYFUNCTION("""COMPUTED_VALUE"""),1024890.0)</f>
        <v>1024890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IFERROR(__xludf.DUMMYFUNCTION("""COMPUTED_VALUE"""),77.55)</f>
        <v>77.55</v>
      </c>
      <c r="C2353" s="1">
        <f>IFERROR(__xludf.DUMMYFUNCTION("""COMPUTED_VALUE"""),78.09)</f>
        <v>78.09</v>
      </c>
      <c r="D2353" s="1">
        <f>IFERROR(__xludf.DUMMYFUNCTION("""COMPUTED_VALUE"""),77.16)</f>
        <v>77.16</v>
      </c>
      <c r="E2353" s="1">
        <f>IFERROR(__xludf.DUMMYFUNCTION("""COMPUTED_VALUE"""),77.71)</f>
        <v>77.71</v>
      </c>
      <c r="F2353" s="1">
        <f>IFERROR(__xludf.DUMMYFUNCTION("""COMPUTED_VALUE"""),1058361.0)</f>
        <v>1058361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IFERROR(__xludf.DUMMYFUNCTION("""COMPUTED_VALUE"""),77.07)</f>
        <v>77.07</v>
      </c>
      <c r="C2354" s="1">
        <f>IFERROR(__xludf.DUMMYFUNCTION("""COMPUTED_VALUE"""),78.78)</f>
        <v>78.78</v>
      </c>
      <c r="D2354" s="1">
        <f>IFERROR(__xludf.DUMMYFUNCTION("""COMPUTED_VALUE"""),77.0)</f>
        <v>77</v>
      </c>
      <c r="E2354" s="1">
        <f>IFERROR(__xludf.DUMMYFUNCTION("""COMPUTED_VALUE"""),78.53)</f>
        <v>78.53</v>
      </c>
      <c r="F2354" s="1">
        <f>IFERROR(__xludf.DUMMYFUNCTION("""COMPUTED_VALUE"""),772825.0)</f>
        <v>772825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IFERROR(__xludf.DUMMYFUNCTION("""COMPUTED_VALUE"""),78.5)</f>
        <v>78.5</v>
      </c>
      <c r="C2355" s="1">
        <f>IFERROR(__xludf.DUMMYFUNCTION("""COMPUTED_VALUE"""),79.61)</f>
        <v>79.61</v>
      </c>
      <c r="D2355" s="1">
        <f>IFERROR(__xludf.DUMMYFUNCTION("""COMPUTED_VALUE"""),77.39)</f>
        <v>77.39</v>
      </c>
      <c r="E2355" s="1">
        <f>IFERROR(__xludf.DUMMYFUNCTION("""COMPUTED_VALUE"""),79.07)</f>
        <v>79.07</v>
      </c>
      <c r="F2355" s="1">
        <f>IFERROR(__xludf.DUMMYFUNCTION("""COMPUTED_VALUE"""),1459653.0)</f>
        <v>1459653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IFERROR(__xludf.DUMMYFUNCTION("""COMPUTED_VALUE"""),77.8)</f>
        <v>77.8</v>
      </c>
      <c r="C2356" s="1">
        <f>IFERROR(__xludf.DUMMYFUNCTION("""COMPUTED_VALUE"""),77.8)</f>
        <v>77.8</v>
      </c>
      <c r="D2356" s="1">
        <f>IFERROR(__xludf.DUMMYFUNCTION("""COMPUTED_VALUE"""),75.95)</f>
        <v>75.95</v>
      </c>
      <c r="E2356" s="1">
        <f>IFERROR(__xludf.DUMMYFUNCTION("""COMPUTED_VALUE"""),76.76)</f>
        <v>76.76</v>
      </c>
      <c r="F2356" s="1">
        <f>IFERROR(__xludf.DUMMYFUNCTION("""COMPUTED_VALUE"""),972067.0)</f>
        <v>972067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IFERROR(__xludf.DUMMYFUNCTION("""COMPUTED_VALUE"""),76.97)</f>
        <v>76.97</v>
      </c>
      <c r="C2357" s="1">
        <f>IFERROR(__xludf.DUMMYFUNCTION("""COMPUTED_VALUE"""),77.57)</f>
        <v>77.57</v>
      </c>
      <c r="D2357" s="1">
        <f>IFERROR(__xludf.DUMMYFUNCTION("""COMPUTED_VALUE"""),76.81)</f>
        <v>76.81</v>
      </c>
      <c r="E2357" s="1">
        <f>IFERROR(__xludf.DUMMYFUNCTION("""COMPUTED_VALUE"""),77.18)</f>
        <v>77.18</v>
      </c>
      <c r="F2357" s="1">
        <f>IFERROR(__xludf.DUMMYFUNCTION("""COMPUTED_VALUE"""),1341356.0)</f>
        <v>1341356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IFERROR(__xludf.DUMMYFUNCTION("""COMPUTED_VALUE"""),76.63)</f>
        <v>76.63</v>
      </c>
      <c r="C2358" s="1">
        <f>IFERROR(__xludf.DUMMYFUNCTION("""COMPUTED_VALUE"""),77.04)</f>
        <v>77.04</v>
      </c>
      <c r="D2358" s="1">
        <f>IFERROR(__xludf.DUMMYFUNCTION("""COMPUTED_VALUE"""),75.84)</f>
        <v>75.84</v>
      </c>
      <c r="E2358" s="1">
        <f>IFERROR(__xludf.DUMMYFUNCTION("""COMPUTED_VALUE"""),75.9)</f>
        <v>75.9</v>
      </c>
      <c r="F2358" s="1">
        <f>IFERROR(__xludf.DUMMYFUNCTION("""COMPUTED_VALUE"""),1639676.0)</f>
        <v>1639676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IFERROR(__xludf.DUMMYFUNCTION("""COMPUTED_VALUE"""),75.88)</f>
        <v>75.88</v>
      </c>
      <c r="C2359" s="1">
        <f>IFERROR(__xludf.DUMMYFUNCTION("""COMPUTED_VALUE"""),76.36)</f>
        <v>76.36</v>
      </c>
      <c r="D2359" s="1">
        <f>IFERROR(__xludf.DUMMYFUNCTION("""COMPUTED_VALUE"""),75.63)</f>
        <v>75.63</v>
      </c>
      <c r="E2359" s="1">
        <f>IFERROR(__xludf.DUMMYFUNCTION("""COMPUTED_VALUE"""),75.94)</f>
        <v>75.94</v>
      </c>
      <c r="F2359" s="1">
        <f>IFERROR(__xludf.DUMMYFUNCTION("""COMPUTED_VALUE"""),1616277.0)</f>
        <v>1616277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IFERROR(__xludf.DUMMYFUNCTION("""COMPUTED_VALUE"""),75.38)</f>
        <v>75.38</v>
      </c>
      <c r="C2360" s="1">
        <f>IFERROR(__xludf.DUMMYFUNCTION("""COMPUTED_VALUE"""),77.26)</f>
        <v>77.26</v>
      </c>
      <c r="D2360" s="1">
        <f>IFERROR(__xludf.DUMMYFUNCTION("""COMPUTED_VALUE"""),75.1)</f>
        <v>75.1</v>
      </c>
      <c r="E2360" s="1">
        <f>IFERROR(__xludf.DUMMYFUNCTION("""COMPUTED_VALUE"""),76.39)</f>
        <v>76.39</v>
      </c>
      <c r="F2360" s="1">
        <f>IFERROR(__xludf.DUMMYFUNCTION("""COMPUTED_VALUE"""),997642.0)</f>
        <v>997642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IFERROR(__xludf.DUMMYFUNCTION("""COMPUTED_VALUE"""),75.95)</f>
        <v>75.95</v>
      </c>
      <c r="C2361" s="1">
        <f>IFERROR(__xludf.DUMMYFUNCTION("""COMPUTED_VALUE"""),77.43)</f>
        <v>77.43</v>
      </c>
      <c r="D2361" s="1">
        <f>IFERROR(__xludf.DUMMYFUNCTION("""COMPUTED_VALUE"""),75.8)</f>
        <v>75.8</v>
      </c>
      <c r="E2361" s="1">
        <f>IFERROR(__xludf.DUMMYFUNCTION("""COMPUTED_VALUE"""),76.86)</f>
        <v>76.86</v>
      </c>
      <c r="F2361" s="1">
        <f>IFERROR(__xludf.DUMMYFUNCTION("""COMPUTED_VALUE"""),1230867.0)</f>
        <v>1230867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IFERROR(__xludf.DUMMYFUNCTION("""COMPUTED_VALUE"""),77.21)</f>
        <v>77.21</v>
      </c>
      <c r="C2362" s="1">
        <f>IFERROR(__xludf.DUMMYFUNCTION("""COMPUTED_VALUE"""),78.2)</f>
        <v>78.2</v>
      </c>
      <c r="D2362" s="1">
        <f>IFERROR(__xludf.DUMMYFUNCTION("""COMPUTED_VALUE"""),76.8)</f>
        <v>76.8</v>
      </c>
      <c r="E2362" s="1">
        <f>IFERROR(__xludf.DUMMYFUNCTION("""COMPUTED_VALUE"""),77.98)</f>
        <v>77.98</v>
      </c>
      <c r="F2362" s="1">
        <f>IFERROR(__xludf.DUMMYFUNCTION("""COMPUTED_VALUE"""),1067093.0)</f>
        <v>1067093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IFERROR(__xludf.DUMMYFUNCTION("""COMPUTED_VALUE"""),77.28)</f>
        <v>77.28</v>
      </c>
      <c r="C2363" s="1">
        <f>IFERROR(__xludf.DUMMYFUNCTION("""COMPUTED_VALUE"""),78.39)</f>
        <v>78.39</v>
      </c>
      <c r="D2363" s="1">
        <f>IFERROR(__xludf.DUMMYFUNCTION("""COMPUTED_VALUE"""),77.03)</f>
        <v>77.03</v>
      </c>
      <c r="E2363" s="1">
        <f>IFERROR(__xludf.DUMMYFUNCTION("""COMPUTED_VALUE"""),77.9)</f>
        <v>77.9</v>
      </c>
      <c r="F2363" s="1">
        <f>IFERROR(__xludf.DUMMYFUNCTION("""COMPUTED_VALUE"""),1179838.0)</f>
        <v>1179838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IFERROR(__xludf.DUMMYFUNCTION("""COMPUTED_VALUE"""),77.24)</f>
        <v>77.24</v>
      </c>
      <c r="C2364" s="1">
        <f>IFERROR(__xludf.DUMMYFUNCTION("""COMPUTED_VALUE"""),77.69)</f>
        <v>77.69</v>
      </c>
      <c r="D2364" s="1">
        <f>IFERROR(__xludf.DUMMYFUNCTION("""COMPUTED_VALUE"""),76.13)</f>
        <v>76.13</v>
      </c>
      <c r="E2364" s="1">
        <f>IFERROR(__xludf.DUMMYFUNCTION("""COMPUTED_VALUE"""),76.78)</f>
        <v>76.78</v>
      </c>
      <c r="F2364" s="1">
        <f>IFERROR(__xludf.DUMMYFUNCTION("""COMPUTED_VALUE"""),981049.0)</f>
        <v>981049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IFERROR(__xludf.DUMMYFUNCTION("""COMPUTED_VALUE"""),77.28)</f>
        <v>77.28</v>
      </c>
      <c r="C2365" s="1">
        <f>IFERROR(__xludf.DUMMYFUNCTION("""COMPUTED_VALUE"""),77.86)</f>
        <v>77.86</v>
      </c>
      <c r="D2365" s="1">
        <f>IFERROR(__xludf.DUMMYFUNCTION("""COMPUTED_VALUE"""),76.28)</f>
        <v>76.28</v>
      </c>
      <c r="E2365" s="1">
        <f>IFERROR(__xludf.DUMMYFUNCTION("""COMPUTED_VALUE"""),76.48)</f>
        <v>76.48</v>
      </c>
      <c r="F2365" s="1">
        <f>IFERROR(__xludf.DUMMYFUNCTION("""COMPUTED_VALUE"""),1029121.0)</f>
        <v>1029121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IFERROR(__xludf.DUMMYFUNCTION("""COMPUTED_VALUE"""),76.78)</f>
        <v>76.78</v>
      </c>
      <c r="C2366" s="1">
        <f>IFERROR(__xludf.DUMMYFUNCTION("""COMPUTED_VALUE"""),77.65)</f>
        <v>77.65</v>
      </c>
      <c r="D2366" s="1">
        <f>IFERROR(__xludf.DUMMYFUNCTION("""COMPUTED_VALUE"""),76.18)</f>
        <v>76.18</v>
      </c>
      <c r="E2366" s="1">
        <f>IFERROR(__xludf.DUMMYFUNCTION("""COMPUTED_VALUE"""),76.24)</f>
        <v>76.24</v>
      </c>
      <c r="F2366" s="1">
        <f>IFERROR(__xludf.DUMMYFUNCTION("""COMPUTED_VALUE"""),1860289.0)</f>
        <v>1860289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IFERROR(__xludf.DUMMYFUNCTION("""COMPUTED_VALUE"""),75.85)</f>
        <v>75.85</v>
      </c>
      <c r="C2367" s="1">
        <f>IFERROR(__xludf.DUMMYFUNCTION("""COMPUTED_VALUE"""),77.31)</f>
        <v>77.31</v>
      </c>
      <c r="D2367" s="1">
        <f>IFERROR(__xludf.DUMMYFUNCTION("""COMPUTED_VALUE"""),75.81)</f>
        <v>75.81</v>
      </c>
      <c r="E2367" s="1">
        <f>IFERROR(__xludf.DUMMYFUNCTION("""COMPUTED_VALUE"""),77.13)</f>
        <v>77.13</v>
      </c>
      <c r="F2367" s="1">
        <f>IFERROR(__xludf.DUMMYFUNCTION("""COMPUTED_VALUE"""),1309807.0)</f>
        <v>1309807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IFERROR(__xludf.DUMMYFUNCTION("""COMPUTED_VALUE"""),77.27)</f>
        <v>77.27</v>
      </c>
      <c r="C2368" s="1">
        <f>IFERROR(__xludf.DUMMYFUNCTION("""COMPUTED_VALUE"""),78.4)</f>
        <v>78.4</v>
      </c>
      <c r="D2368" s="1">
        <f>IFERROR(__xludf.DUMMYFUNCTION("""COMPUTED_VALUE"""),77.27)</f>
        <v>77.27</v>
      </c>
      <c r="E2368" s="1">
        <f>IFERROR(__xludf.DUMMYFUNCTION("""COMPUTED_VALUE"""),78.09)</f>
        <v>78.09</v>
      </c>
      <c r="F2368" s="1">
        <f>IFERROR(__xludf.DUMMYFUNCTION("""COMPUTED_VALUE"""),1192200.0)</f>
        <v>1192200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IFERROR(__xludf.DUMMYFUNCTION("""COMPUTED_VALUE"""),78.15)</f>
        <v>78.15</v>
      </c>
      <c r="C2369" s="1">
        <f>IFERROR(__xludf.DUMMYFUNCTION("""COMPUTED_VALUE"""),78.88)</f>
        <v>78.88</v>
      </c>
      <c r="D2369" s="1">
        <f>IFERROR(__xludf.DUMMYFUNCTION("""COMPUTED_VALUE"""),77.9)</f>
        <v>77.9</v>
      </c>
      <c r="E2369" s="1">
        <f>IFERROR(__xludf.DUMMYFUNCTION("""COMPUTED_VALUE"""),78.28)</f>
        <v>78.28</v>
      </c>
      <c r="F2369" s="1">
        <f>IFERROR(__xludf.DUMMYFUNCTION("""COMPUTED_VALUE"""),1812521.0)</f>
        <v>1812521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IFERROR(__xludf.DUMMYFUNCTION("""COMPUTED_VALUE"""),78.05)</f>
        <v>78.05</v>
      </c>
      <c r="C2370" s="1">
        <f>IFERROR(__xludf.DUMMYFUNCTION("""COMPUTED_VALUE"""),80.0)</f>
        <v>80</v>
      </c>
      <c r="D2370" s="1">
        <f>IFERROR(__xludf.DUMMYFUNCTION("""COMPUTED_VALUE"""),77.79)</f>
        <v>77.79</v>
      </c>
      <c r="E2370" s="1">
        <f>IFERROR(__xludf.DUMMYFUNCTION("""COMPUTED_VALUE"""),79.41)</f>
        <v>79.41</v>
      </c>
      <c r="F2370" s="1">
        <f>IFERROR(__xludf.DUMMYFUNCTION("""COMPUTED_VALUE"""),2534812.0)</f>
        <v>2534812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IFERROR(__xludf.DUMMYFUNCTION("""COMPUTED_VALUE"""),79.7)</f>
        <v>79.7</v>
      </c>
      <c r="C2371" s="1">
        <f>IFERROR(__xludf.DUMMYFUNCTION("""COMPUTED_VALUE"""),81.59)</f>
        <v>81.59</v>
      </c>
      <c r="D2371" s="1">
        <f>IFERROR(__xludf.DUMMYFUNCTION("""COMPUTED_VALUE"""),79.7)</f>
        <v>79.7</v>
      </c>
      <c r="E2371" s="1">
        <f>IFERROR(__xludf.DUMMYFUNCTION("""COMPUTED_VALUE"""),80.27)</f>
        <v>80.27</v>
      </c>
      <c r="F2371" s="1">
        <f>IFERROR(__xludf.DUMMYFUNCTION("""COMPUTED_VALUE"""),2585556.0)</f>
        <v>2585556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IFERROR(__xludf.DUMMYFUNCTION("""COMPUTED_VALUE"""),80.59)</f>
        <v>80.59</v>
      </c>
      <c r="C2372" s="1">
        <f>IFERROR(__xludf.DUMMYFUNCTION("""COMPUTED_VALUE"""),80.92)</f>
        <v>80.92</v>
      </c>
      <c r="D2372" s="1">
        <f>IFERROR(__xludf.DUMMYFUNCTION("""COMPUTED_VALUE"""),79.88)</f>
        <v>79.88</v>
      </c>
      <c r="E2372" s="1">
        <f>IFERROR(__xludf.DUMMYFUNCTION("""COMPUTED_VALUE"""),80.04)</f>
        <v>80.04</v>
      </c>
      <c r="F2372" s="1">
        <f>IFERROR(__xludf.DUMMYFUNCTION("""COMPUTED_VALUE"""),1558442.0)</f>
        <v>1558442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IFERROR(__xludf.DUMMYFUNCTION("""COMPUTED_VALUE"""),79.96)</f>
        <v>79.96</v>
      </c>
      <c r="C2373" s="1">
        <f>IFERROR(__xludf.DUMMYFUNCTION("""COMPUTED_VALUE"""),80.32)</f>
        <v>80.32</v>
      </c>
      <c r="D2373" s="1">
        <f>IFERROR(__xludf.DUMMYFUNCTION("""COMPUTED_VALUE"""),79.46)</f>
        <v>79.46</v>
      </c>
      <c r="E2373" s="1">
        <f>IFERROR(__xludf.DUMMYFUNCTION("""COMPUTED_VALUE"""),79.95)</f>
        <v>79.95</v>
      </c>
      <c r="F2373" s="1">
        <f>IFERROR(__xludf.DUMMYFUNCTION("""COMPUTED_VALUE"""),1876237.0)</f>
        <v>1876237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IFERROR(__xludf.DUMMYFUNCTION("""COMPUTED_VALUE"""),80.38)</f>
        <v>80.38</v>
      </c>
      <c r="C2374" s="1">
        <f>IFERROR(__xludf.DUMMYFUNCTION("""COMPUTED_VALUE"""),80.57)</f>
        <v>80.57</v>
      </c>
      <c r="D2374" s="1">
        <f>IFERROR(__xludf.DUMMYFUNCTION("""COMPUTED_VALUE"""),79.69)</f>
        <v>79.69</v>
      </c>
      <c r="E2374" s="1">
        <f>IFERROR(__xludf.DUMMYFUNCTION("""COMPUTED_VALUE"""),79.89)</f>
        <v>79.89</v>
      </c>
      <c r="F2374" s="1">
        <f>IFERROR(__xludf.DUMMYFUNCTION("""COMPUTED_VALUE"""),1854611.0)</f>
        <v>1854611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IFERROR(__xludf.DUMMYFUNCTION("""COMPUTED_VALUE"""),80.77)</f>
        <v>80.77</v>
      </c>
      <c r="C2375" s="1">
        <f>IFERROR(__xludf.DUMMYFUNCTION("""COMPUTED_VALUE"""),82.45)</f>
        <v>82.45</v>
      </c>
      <c r="D2375" s="1">
        <f>IFERROR(__xludf.DUMMYFUNCTION("""COMPUTED_VALUE"""),80.35)</f>
        <v>80.35</v>
      </c>
      <c r="E2375" s="1">
        <f>IFERROR(__xludf.DUMMYFUNCTION("""COMPUTED_VALUE"""),82.36)</f>
        <v>82.36</v>
      </c>
      <c r="F2375" s="1">
        <f>IFERROR(__xludf.DUMMYFUNCTION("""COMPUTED_VALUE"""),2575081.0)</f>
        <v>2575081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IFERROR(__xludf.DUMMYFUNCTION("""COMPUTED_VALUE"""),82.99)</f>
        <v>82.99</v>
      </c>
      <c r="C2376" s="1">
        <f>IFERROR(__xludf.DUMMYFUNCTION("""COMPUTED_VALUE"""),83.33)</f>
        <v>83.33</v>
      </c>
      <c r="D2376" s="1">
        <f>IFERROR(__xludf.DUMMYFUNCTION("""COMPUTED_VALUE"""),80.54)</f>
        <v>80.54</v>
      </c>
      <c r="E2376" s="1">
        <f>IFERROR(__xludf.DUMMYFUNCTION("""COMPUTED_VALUE"""),81.22)</f>
        <v>81.22</v>
      </c>
      <c r="F2376" s="1">
        <f>IFERROR(__xludf.DUMMYFUNCTION("""COMPUTED_VALUE"""),1167537.0)</f>
        <v>1167537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IFERROR(__xludf.DUMMYFUNCTION("""COMPUTED_VALUE"""),81.41)</f>
        <v>81.41</v>
      </c>
      <c r="C2377" s="1">
        <f>IFERROR(__xludf.DUMMYFUNCTION("""COMPUTED_VALUE"""),82.15)</f>
        <v>82.15</v>
      </c>
      <c r="D2377" s="1">
        <f>IFERROR(__xludf.DUMMYFUNCTION("""COMPUTED_VALUE"""),80.65)</f>
        <v>80.65</v>
      </c>
      <c r="E2377" s="1">
        <f>IFERROR(__xludf.DUMMYFUNCTION("""COMPUTED_VALUE"""),82.04)</f>
        <v>82.04</v>
      </c>
      <c r="F2377" s="1">
        <f>IFERROR(__xludf.DUMMYFUNCTION("""COMPUTED_VALUE"""),1369060.0)</f>
        <v>1369060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IFERROR(__xludf.DUMMYFUNCTION("""COMPUTED_VALUE"""),82.17)</f>
        <v>82.17</v>
      </c>
      <c r="C2378" s="1">
        <f>IFERROR(__xludf.DUMMYFUNCTION("""COMPUTED_VALUE"""),82.5)</f>
        <v>82.5</v>
      </c>
      <c r="D2378" s="1">
        <f>IFERROR(__xludf.DUMMYFUNCTION("""COMPUTED_VALUE"""),81.61)</f>
        <v>81.61</v>
      </c>
      <c r="E2378" s="1">
        <f>IFERROR(__xludf.DUMMYFUNCTION("""COMPUTED_VALUE"""),82.15)</f>
        <v>82.15</v>
      </c>
      <c r="F2378" s="1">
        <f>IFERROR(__xludf.DUMMYFUNCTION("""COMPUTED_VALUE"""),1173308.0)</f>
        <v>1173308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IFERROR(__xludf.DUMMYFUNCTION("""COMPUTED_VALUE"""),83.67)</f>
        <v>83.67</v>
      </c>
      <c r="C2379" s="1">
        <f>IFERROR(__xludf.DUMMYFUNCTION("""COMPUTED_VALUE"""),84.0)</f>
        <v>84</v>
      </c>
      <c r="D2379" s="1">
        <f>IFERROR(__xludf.DUMMYFUNCTION("""COMPUTED_VALUE"""),82.65)</f>
        <v>82.65</v>
      </c>
      <c r="E2379" s="1">
        <f>IFERROR(__xludf.DUMMYFUNCTION("""COMPUTED_VALUE"""),83.54)</f>
        <v>83.54</v>
      </c>
      <c r="F2379" s="1">
        <f>IFERROR(__xludf.DUMMYFUNCTION("""COMPUTED_VALUE"""),1631621.0)</f>
        <v>1631621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IFERROR(__xludf.DUMMYFUNCTION("""COMPUTED_VALUE"""),84.5)</f>
        <v>84.5</v>
      </c>
      <c r="C2380" s="1">
        <f>IFERROR(__xludf.DUMMYFUNCTION("""COMPUTED_VALUE"""),84.99)</f>
        <v>84.99</v>
      </c>
      <c r="D2380" s="1">
        <f>IFERROR(__xludf.DUMMYFUNCTION("""COMPUTED_VALUE"""),83.41)</f>
        <v>83.41</v>
      </c>
      <c r="E2380" s="1">
        <f>IFERROR(__xludf.DUMMYFUNCTION("""COMPUTED_VALUE"""),83.87)</f>
        <v>83.87</v>
      </c>
      <c r="F2380" s="1">
        <f>IFERROR(__xludf.DUMMYFUNCTION("""COMPUTED_VALUE"""),1877439.0)</f>
        <v>1877439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IFERROR(__xludf.DUMMYFUNCTION("""COMPUTED_VALUE"""),84.29)</f>
        <v>84.29</v>
      </c>
      <c r="C2381" s="1">
        <f>IFERROR(__xludf.DUMMYFUNCTION("""COMPUTED_VALUE"""),84.35)</f>
        <v>84.35</v>
      </c>
      <c r="D2381" s="1">
        <f>IFERROR(__xludf.DUMMYFUNCTION("""COMPUTED_VALUE"""),83.03)</f>
        <v>83.03</v>
      </c>
      <c r="E2381" s="1">
        <f>IFERROR(__xludf.DUMMYFUNCTION("""COMPUTED_VALUE"""),83.67)</f>
        <v>83.67</v>
      </c>
      <c r="F2381" s="1">
        <f>IFERROR(__xludf.DUMMYFUNCTION("""COMPUTED_VALUE"""),1269638.0)</f>
        <v>1269638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IFERROR(__xludf.DUMMYFUNCTION("""COMPUTED_VALUE"""),84.31)</f>
        <v>84.31</v>
      </c>
      <c r="C2382" s="1">
        <f>IFERROR(__xludf.DUMMYFUNCTION("""COMPUTED_VALUE"""),84.45)</f>
        <v>84.45</v>
      </c>
      <c r="D2382" s="1">
        <f>IFERROR(__xludf.DUMMYFUNCTION("""COMPUTED_VALUE"""),82.2)</f>
        <v>82.2</v>
      </c>
      <c r="E2382" s="1">
        <f>IFERROR(__xludf.DUMMYFUNCTION("""COMPUTED_VALUE"""),83.49)</f>
        <v>83.49</v>
      </c>
      <c r="F2382" s="1">
        <f>IFERROR(__xludf.DUMMYFUNCTION("""COMPUTED_VALUE"""),1398801.0)</f>
        <v>1398801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IFERROR(__xludf.DUMMYFUNCTION("""COMPUTED_VALUE"""),84.0)</f>
        <v>84</v>
      </c>
      <c r="C2383" s="1">
        <f>IFERROR(__xludf.DUMMYFUNCTION("""COMPUTED_VALUE"""),84.18)</f>
        <v>84.18</v>
      </c>
      <c r="D2383" s="1">
        <f>IFERROR(__xludf.DUMMYFUNCTION("""COMPUTED_VALUE"""),82.32)</f>
        <v>82.32</v>
      </c>
      <c r="E2383" s="1">
        <f>IFERROR(__xludf.DUMMYFUNCTION("""COMPUTED_VALUE"""),83.0)</f>
        <v>83</v>
      </c>
      <c r="F2383" s="1">
        <f>IFERROR(__xludf.DUMMYFUNCTION("""COMPUTED_VALUE"""),2788075.0)</f>
        <v>2788075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IFERROR(__xludf.DUMMYFUNCTION("""COMPUTED_VALUE"""),87.76)</f>
        <v>87.76</v>
      </c>
      <c r="C2384" s="1">
        <f>IFERROR(__xludf.DUMMYFUNCTION("""COMPUTED_VALUE"""),88.64)</f>
        <v>88.64</v>
      </c>
      <c r="D2384" s="1">
        <f>IFERROR(__xludf.DUMMYFUNCTION("""COMPUTED_VALUE"""),83.26)</f>
        <v>83.26</v>
      </c>
      <c r="E2384" s="1">
        <f>IFERROR(__xludf.DUMMYFUNCTION("""COMPUTED_VALUE"""),85.64)</f>
        <v>85.64</v>
      </c>
      <c r="F2384" s="1">
        <f>IFERROR(__xludf.DUMMYFUNCTION("""COMPUTED_VALUE"""),1.0383199E7)</f>
        <v>10383199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IFERROR(__xludf.DUMMYFUNCTION("""COMPUTED_VALUE"""),84.81)</f>
        <v>84.81</v>
      </c>
      <c r="C2385" s="1">
        <f>IFERROR(__xludf.DUMMYFUNCTION("""COMPUTED_VALUE"""),84.81)</f>
        <v>84.81</v>
      </c>
      <c r="D2385" s="1">
        <f>IFERROR(__xludf.DUMMYFUNCTION("""COMPUTED_VALUE"""),81.16)</f>
        <v>81.16</v>
      </c>
      <c r="E2385" s="1">
        <f>IFERROR(__xludf.DUMMYFUNCTION("""COMPUTED_VALUE"""),82.64)</f>
        <v>82.64</v>
      </c>
      <c r="F2385" s="1">
        <f>IFERROR(__xludf.DUMMYFUNCTION("""COMPUTED_VALUE"""),4026772.0)</f>
        <v>4026772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IFERROR(__xludf.DUMMYFUNCTION("""COMPUTED_VALUE"""),82.86)</f>
        <v>82.86</v>
      </c>
      <c r="C2386" s="1">
        <f>IFERROR(__xludf.DUMMYFUNCTION("""COMPUTED_VALUE"""),84.46)</f>
        <v>84.46</v>
      </c>
      <c r="D2386" s="1">
        <f>IFERROR(__xludf.DUMMYFUNCTION("""COMPUTED_VALUE"""),82.72)</f>
        <v>82.72</v>
      </c>
      <c r="E2386" s="1">
        <f>IFERROR(__xludf.DUMMYFUNCTION("""COMPUTED_VALUE"""),83.37)</f>
        <v>83.37</v>
      </c>
      <c r="F2386" s="1">
        <f>IFERROR(__xludf.DUMMYFUNCTION("""COMPUTED_VALUE"""),2006943.0)</f>
        <v>2006943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IFERROR(__xludf.DUMMYFUNCTION("""COMPUTED_VALUE"""),83.36)</f>
        <v>83.36</v>
      </c>
      <c r="C2387" s="1">
        <f>IFERROR(__xludf.DUMMYFUNCTION("""COMPUTED_VALUE"""),84.72)</f>
        <v>84.72</v>
      </c>
      <c r="D2387" s="1">
        <f>IFERROR(__xludf.DUMMYFUNCTION("""COMPUTED_VALUE"""),83.0)</f>
        <v>83</v>
      </c>
      <c r="E2387" s="1">
        <f>IFERROR(__xludf.DUMMYFUNCTION("""COMPUTED_VALUE"""),84.14)</f>
        <v>84.14</v>
      </c>
      <c r="F2387" s="1">
        <f>IFERROR(__xludf.DUMMYFUNCTION("""COMPUTED_VALUE"""),1696311.0)</f>
        <v>1696311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IFERROR(__xludf.DUMMYFUNCTION("""COMPUTED_VALUE"""),84.75)</f>
        <v>84.75</v>
      </c>
      <c r="C2388" s="1">
        <f>IFERROR(__xludf.DUMMYFUNCTION("""COMPUTED_VALUE"""),87.06)</f>
        <v>87.06</v>
      </c>
      <c r="D2388" s="1">
        <f>IFERROR(__xludf.DUMMYFUNCTION("""COMPUTED_VALUE"""),84.67)</f>
        <v>84.67</v>
      </c>
      <c r="E2388" s="1">
        <f>IFERROR(__xludf.DUMMYFUNCTION("""COMPUTED_VALUE"""),86.86)</f>
        <v>86.86</v>
      </c>
      <c r="F2388" s="1">
        <f>IFERROR(__xludf.DUMMYFUNCTION("""COMPUTED_VALUE"""),1793658.0)</f>
        <v>1793658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IFERROR(__xludf.DUMMYFUNCTION("""COMPUTED_VALUE"""),86.0)</f>
        <v>86</v>
      </c>
      <c r="C2389" s="1">
        <f>IFERROR(__xludf.DUMMYFUNCTION("""COMPUTED_VALUE"""),87.1)</f>
        <v>87.1</v>
      </c>
      <c r="D2389" s="1">
        <f>IFERROR(__xludf.DUMMYFUNCTION("""COMPUTED_VALUE"""),85.26)</f>
        <v>85.26</v>
      </c>
      <c r="E2389" s="1">
        <f>IFERROR(__xludf.DUMMYFUNCTION("""COMPUTED_VALUE"""),86.83)</f>
        <v>86.83</v>
      </c>
      <c r="F2389" s="1">
        <f>IFERROR(__xludf.DUMMYFUNCTION("""COMPUTED_VALUE"""),2175543.0)</f>
        <v>2175543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IFERROR(__xludf.DUMMYFUNCTION("""COMPUTED_VALUE"""),87.75)</f>
        <v>87.75</v>
      </c>
      <c r="C2390" s="1">
        <f>IFERROR(__xludf.DUMMYFUNCTION("""COMPUTED_VALUE"""),88.23)</f>
        <v>88.23</v>
      </c>
      <c r="D2390" s="1">
        <f>IFERROR(__xludf.DUMMYFUNCTION("""COMPUTED_VALUE"""),86.36)</f>
        <v>86.36</v>
      </c>
      <c r="E2390" s="1">
        <f>IFERROR(__xludf.DUMMYFUNCTION("""COMPUTED_VALUE"""),87.16)</f>
        <v>87.16</v>
      </c>
      <c r="F2390" s="1">
        <f>IFERROR(__xludf.DUMMYFUNCTION("""COMPUTED_VALUE"""),1909118.0)</f>
        <v>1909118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IFERROR(__xludf.DUMMYFUNCTION("""COMPUTED_VALUE"""),87.36)</f>
        <v>87.36</v>
      </c>
      <c r="C2391" s="1">
        <f>IFERROR(__xludf.DUMMYFUNCTION("""COMPUTED_VALUE"""),87.83)</f>
        <v>87.83</v>
      </c>
      <c r="D2391" s="1">
        <f>IFERROR(__xludf.DUMMYFUNCTION("""COMPUTED_VALUE"""),86.18)</f>
        <v>86.18</v>
      </c>
      <c r="E2391" s="1">
        <f>IFERROR(__xludf.DUMMYFUNCTION("""COMPUTED_VALUE"""),87.69)</f>
        <v>87.69</v>
      </c>
      <c r="F2391" s="1">
        <f>IFERROR(__xludf.DUMMYFUNCTION("""COMPUTED_VALUE"""),2423175.0)</f>
        <v>2423175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IFERROR(__xludf.DUMMYFUNCTION("""COMPUTED_VALUE"""),87.7)</f>
        <v>87.7</v>
      </c>
      <c r="C2392" s="1">
        <f>IFERROR(__xludf.DUMMYFUNCTION("""COMPUTED_VALUE"""),89.09)</f>
        <v>89.09</v>
      </c>
      <c r="D2392" s="1">
        <f>IFERROR(__xludf.DUMMYFUNCTION("""COMPUTED_VALUE"""),87.68)</f>
        <v>87.68</v>
      </c>
      <c r="E2392" s="1">
        <f>IFERROR(__xludf.DUMMYFUNCTION("""COMPUTED_VALUE"""),88.9)</f>
        <v>88.9</v>
      </c>
      <c r="F2392" s="1">
        <f>IFERROR(__xludf.DUMMYFUNCTION("""COMPUTED_VALUE"""),1112902.0)</f>
        <v>1112902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IFERROR(__xludf.DUMMYFUNCTION("""COMPUTED_VALUE"""),88.49)</f>
        <v>88.49</v>
      </c>
      <c r="C2393" s="1">
        <f>IFERROR(__xludf.DUMMYFUNCTION("""COMPUTED_VALUE"""),89.28)</f>
        <v>89.28</v>
      </c>
      <c r="D2393" s="1">
        <f>IFERROR(__xludf.DUMMYFUNCTION("""COMPUTED_VALUE"""),88.13)</f>
        <v>88.13</v>
      </c>
      <c r="E2393" s="1">
        <f>IFERROR(__xludf.DUMMYFUNCTION("""COMPUTED_VALUE"""),88.48)</f>
        <v>88.48</v>
      </c>
      <c r="F2393" s="1">
        <f>IFERROR(__xludf.DUMMYFUNCTION("""COMPUTED_VALUE"""),1280737.0)</f>
        <v>1280737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IFERROR(__xludf.DUMMYFUNCTION("""COMPUTED_VALUE"""),88.45)</f>
        <v>88.45</v>
      </c>
      <c r="C2394" s="1">
        <f>IFERROR(__xludf.DUMMYFUNCTION("""COMPUTED_VALUE"""),88.97)</f>
        <v>88.97</v>
      </c>
      <c r="D2394" s="1">
        <f>IFERROR(__xludf.DUMMYFUNCTION("""COMPUTED_VALUE"""),87.59)</f>
        <v>87.59</v>
      </c>
      <c r="E2394" s="1">
        <f>IFERROR(__xludf.DUMMYFUNCTION("""COMPUTED_VALUE"""),87.8)</f>
        <v>87.8</v>
      </c>
      <c r="F2394" s="1">
        <f>IFERROR(__xludf.DUMMYFUNCTION("""COMPUTED_VALUE"""),1237933.0)</f>
        <v>1237933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IFERROR(__xludf.DUMMYFUNCTION("""COMPUTED_VALUE"""),87.46)</f>
        <v>87.46</v>
      </c>
      <c r="C2395" s="1">
        <f>IFERROR(__xludf.DUMMYFUNCTION("""COMPUTED_VALUE"""),87.71)</f>
        <v>87.71</v>
      </c>
      <c r="D2395" s="1">
        <f>IFERROR(__xludf.DUMMYFUNCTION("""COMPUTED_VALUE"""),86.94)</f>
        <v>86.94</v>
      </c>
      <c r="E2395" s="1">
        <f>IFERROR(__xludf.DUMMYFUNCTION("""COMPUTED_VALUE"""),87.58)</f>
        <v>87.58</v>
      </c>
      <c r="F2395" s="1">
        <f>IFERROR(__xludf.DUMMYFUNCTION("""COMPUTED_VALUE"""),1364772.0)</f>
        <v>1364772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IFERROR(__xludf.DUMMYFUNCTION("""COMPUTED_VALUE"""),87.5)</f>
        <v>87.5</v>
      </c>
      <c r="C2396" s="1">
        <f>IFERROR(__xludf.DUMMYFUNCTION("""COMPUTED_VALUE"""),88.0)</f>
        <v>88</v>
      </c>
      <c r="D2396" s="1">
        <f>IFERROR(__xludf.DUMMYFUNCTION("""COMPUTED_VALUE"""),87.27)</f>
        <v>87.27</v>
      </c>
      <c r="E2396" s="1">
        <f>IFERROR(__xludf.DUMMYFUNCTION("""COMPUTED_VALUE"""),87.41)</f>
        <v>87.41</v>
      </c>
      <c r="F2396" s="1">
        <f>IFERROR(__xludf.DUMMYFUNCTION("""COMPUTED_VALUE"""),1308940.0)</f>
        <v>1308940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IFERROR(__xludf.DUMMYFUNCTION("""COMPUTED_VALUE"""),87.6)</f>
        <v>87.6</v>
      </c>
      <c r="C2397" s="1">
        <f>IFERROR(__xludf.DUMMYFUNCTION("""COMPUTED_VALUE"""),88.82)</f>
        <v>88.82</v>
      </c>
      <c r="D2397" s="1">
        <f>IFERROR(__xludf.DUMMYFUNCTION("""COMPUTED_VALUE"""),87.12)</f>
        <v>87.12</v>
      </c>
      <c r="E2397" s="1">
        <f>IFERROR(__xludf.DUMMYFUNCTION("""COMPUTED_VALUE"""),88.77)</f>
        <v>88.77</v>
      </c>
      <c r="F2397" s="1">
        <f>IFERROR(__xludf.DUMMYFUNCTION("""COMPUTED_VALUE"""),1061708.0)</f>
        <v>1061708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IFERROR(__xludf.DUMMYFUNCTION("""COMPUTED_VALUE"""),88.8)</f>
        <v>88.8</v>
      </c>
      <c r="C2398" s="1">
        <f>IFERROR(__xludf.DUMMYFUNCTION("""COMPUTED_VALUE"""),89.37)</f>
        <v>89.37</v>
      </c>
      <c r="D2398" s="1">
        <f>IFERROR(__xludf.DUMMYFUNCTION("""COMPUTED_VALUE"""),88.09)</f>
        <v>88.09</v>
      </c>
      <c r="E2398" s="1">
        <f>IFERROR(__xludf.DUMMYFUNCTION("""COMPUTED_VALUE"""),88.94)</f>
        <v>88.94</v>
      </c>
      <c r="F2398" s="1">
        <f>IFERROR(__xludf.DUMMYFUNCTION("""COMPUTED_VALUE"""),1259766.0)</f>
        <v>1259766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IFERROR(__xludf.DUMMYFUNCTION("""COMPUTED_VALUE"""),89.29)</f>
        <v>89.29</v>
      </c>
      <c r="C2399" s="1">
        <f>IFERROR(__xludf.DUMMYFUNCTION("""COMPUTED_VALUE"""),89.4)</f>
        <v>89.4</v>
      </c>
      <c r="D2399" s="1">
        <f>IFERROR(__xludf.DUMMYFUNCTION("""COMPUTED_VALUE"""),88.47)</f>
        <v>88.47</v>
      </c>
      <c r="E2399" s="1">
        <f>IFERROR(__xludf.DUMMYFUNCTION("""COMPUTED_VALUE"""),88.79)</f>
        <v>88.79</v>
      </c>
      <c r="F2399" s="1">
        <f>IFERROR(__xludf.DUMMYFUNCTION("""COMPUTED_VALUE"""),998938.0)</f>
        <v>998938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IFERROR(__xludf.DUMMYFUNCTION("""COMPUTED_VALUE"""),85.88)</f>
        <v>85.88</v>
      </c>
      <c r="C2400" s="1">
        <f>IFERROR(__xludf.DUMMYFUNCTION("""COMPUTED_VALUE"""),86.97)</f>
        <v>86.97</v>
      </c>
      <c r="D2400" s="1">
        <f>IFERROR(__xludf.DUMMYFUNCTION("""COMPUTED_VALUE"""),82.64)</f>
        <v>82.64</v>
      </c>
      <c r="E2400" s="1">
        <f>IFERROR(__xludf.DUMMYFUNCTION("""COMPUTED_VALUE"""),86.39)</f>
        <v>86.39</v>
      </c>
      <c r="F2400" s="1">
        <f>IFERROR(__xludf.DUMMYFUNCTION("""COMPUTED_VALUE"""),3757828.0)</f>
        <v>3757828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IFERROR(__xludf.DUMMYFUNCTION("""COMPUTED_VALUE"""),85.1)</f>
        <v>85.1</v>
      </c>
      <c r="C2401" s="1">
        <f>IFERROR(__xludf.DUMMYFUNCTION("""COMPUTED_VALUE"""),85.82)</f>
        <v>85.82</v>
      </c>
      <c r="D2401" s="1">
        <f>IFERROR(__xludf.DUMMYFUNCTION("""COMPUTED_VALUE"""),84.63)</f>
        <v>84.63</v>
      </c>
      <c r="E2401" s="1">
        <f>IFERROR(__xludf.DUMMYFUNCTION("""COMPUTED_VALUE"""),85.15)</f>
        <v>85.15</v>
      </c>
      <c r="F2401" s="1">
        <f>IFERROR(__xludf.DUMMYFUNCTION("""COMPUTED_VALUE"""),1766704.0)</f>
        <v>1766704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IFERROR(__xludf.DUMMYFUNCTION("""COMPUTED_VALUE"""),87.53)</f>
        <v>87.53</v>
      </c>
      <c r="C2402" s="1">
        <f>IFERROR(__xludf.DUMMYFUNCTION("""COMPUTED_VALUE"""),87.74)</f>
        <v>87.74</v>
      </c>
      <c r="D2402" s="1">
        <f>IFERROR(__xludf.DUMMYFUNCTION("""COMPUTED_VALUE"""),85.48)</f>
        <v>85.48</v>
      </c>
      <c r="E2402" s="1">
        <f>IFERROR(__xludf.DUMMYFUNCTION("""COMPUTED_VALUE"""),86.63)</f>
        <v>86.63</v>
      </c>
      <c r="F2402" s="1">
        <f>IFERROR(__xludf.DUMMYFUNCTION("""COMPUTED_VALUE"""),2124189.0)</f>
        <v>2124189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IFERROR(__xludf.DUMMYFUNCTION("""COMPUTED_VALUE"""),86.37)</f>
        <v>86.37</v>
      </c>
      <c r="C2403" s="1">
        <f>IFERROR(__xludf.DUMMYFUNCTION("""COMPUTED_VALUE"""),87.09)</f>
        <v>87.09</v>
      </c>
      <c r="D2403" s="1">
        <f>IFERROR(__xludf.DUMMYFUNCTION("""COMPUTED_VALUE"""),84.66)</f>
        <v>84.66</v>
      </c>
      <c r="E2403" s="1">
        <f>IFERROR(__xludf.DUMMYFUNCTION("""COMPUTED_VALUE"""),84.84)</f>
        <v>84.84</v>
      </c>
      <c r="F2403" s="1">
        <f>IFERROR(__xludf.DUMMYFUNCTION("""COMPUTED_VALUE"""),1931774.0)</f>
        <v>1931774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IFERROR(__xludf.DUMMYFUNCTION("""COMPUTED_VALUE"""),84.7)</f>
        <v>84.7</v>
      </c>
      <c r="C2404" s="1">
        <f>IFERROR(__xludf.DUMMYFUNCTION("""COMPUTED_VALUE"""),85.18)</f>
        <v>85.18</v>
      </c>
      <c r="D2404" s="1">
        <f>IFERROR(__xludf.DUMMYFUNCTION("""COMPUTED_VALUE"""),84.21)</f>
        <v>84.21</v>
      </c>
      <c r="E2404" s="1">
        <f>IFERROR(__xludf.DUMMYFUNCTION("""COMPUTED_VALUE"""),84.76)</f>
        <v>84.76</v>
      </c>
      <c r="F2404" s="1">
        <f>IFERROR(__xludf.DUMMYFUNCTION("""COMPUTED_VALUE"""),1186604.0)</f>
        <v>1186604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IFERROR(__xludf.DUMMYFUNCTION("""COMPUTED_VALUE"""),85.65)</f>
        <v>85.65</v>
      </c>
      <c r="C2405" s="1">
        <f>IFERROR(__xludf.DUMMYFUNCTION("""COMPUTED_VALUE"""),86.24)</f>
        <v>86.24</v>
      </c>
      <c r="D2405" s="1">
        <f>IFERROR(__xludf.DUMMYFUNCTION("""COMPUTED_VALUE"""),85.02)</f>
        <v>85.02</v>
      </c>
      <c r="E2405" s="1">
        <f>IFERROR(__xludf.DUMMYFUNCTION("""COMPUTED_VALUE"""),86.24)</f>
        <v>86.24</v>
      </c>
      <c r="F2405" s="1">
        <f>IFERROR(__xludf.DUMMYFUNCTION("""COMPUTED_VALUE"""),1285645.0)</f>
        <v>1285645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IFERROR(__xludf.DUMMYFUNCTION("""COMPUTED_VALUE"""),86.11)</f>
        <v>86.11</v>
      </c>
      <c r="C2406" s="1">
        <f>IFERROR(__xludf.DUMMYFUNCTION("""COMPUTED_VALUE"""),88.99)</f>
        <v>88.99</v>
      </c>
      <c r="D2406" s="1">
        <f>IFERROR(__xludf.DUMMYFUNCTION("""COMPUTED_VALUE"""),86.04)</f>
        <v>86.04</v>
      </c>
      <c r="E2406" s="1">
        <f>IFERROR(__xludf.DUMMYFUNCTION("""COMPUTED_VALUE"""),88.84)</f>
        <v>88.84</v>
      </c>
      <c r="F2406" s="1">
        <f>IFERROR(__xludf.DUMMYFUNCTION("""COMPUTED_VALUE"""),1536593.0)</f>
        <v>1536593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IFERROR(__xludf.DUMMYFUNCTION("""COMPUTED_VALUE"""),88.75)</f>
        <v>88.75</v>
      </c>
      <c r="C2407" s="1">
        <f>IFERROR(__xludf.DUMMYFUNCTION("""COMPUTED_VALUE"""),89.55)</f>
        <v>89.55</v>
      </c>
      <c r="D2407" s="1">
        <f>IFERROR(__xludf.DUMMYFUNCTION("""COMPUTED_VALUE"""),88.35)</f>
        <v>88.35</v>
      </c>
      <c r="E2407" s="1">
        <f>IFERROR(__xludf.DUMMYFUNCTION("""COMPUTED_VALUE"""),89.33)</f>
        <v>89.33</v>
      </c>
      <c r="F2407" s="1">
        <f>IFERROR(__xludf.DUMMYFUNCTION("""COMPUTED_VALUE"""),1053570.0)</f>
        <v>1053570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IFERROR(__xludf.DUMMYFUNCTION("""COMPUTED_VALUE"""),89.79)</f>
        <v>89.79</v>
      </c>
      <c r="C2408" s="1">
        <f>IFERROR(__xludf.DUMMYFUNCTION("""COMPUTED_VALUE"""),91.42)</f>
        <v>91.42</v>
      </c>
      <c r="D2408" s="1">
        <f>IFERROR(__xludf.DUMMYFUNCTION("""COMPUTED_VALUE"""),89.53)</f>
        <v>89.53</v>
      </c>
      <c r="E2408" s="1">
        <f>IFERROR(__xludf.DUMMYFUNCTION("""COMPUTED_VALUE"""),91.17)</f>
        <v>91.17</v>
      </c>
      <c r="F2408" s="1">
        <f>IFERROR(__xludf.DUMMYFUNCTION("""COMPUTED_VALUE"""),1418377.0)</f>
        <v>1418377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IFERROR(__xludf.DUMMYFUNCTION("""COMPUTED_VALUE"""),91.23)</f>
        <v>91.23</v>
      </c>
      <c r="C2409" s="1">
        <f>IFERROR(__xludf.DUMMYFUNCTION("""COMPUTED_VALUE"""),92.01)</f>
        <v>92.01</v>
      </c>
      <c r="D2409" s="1">
        <f>IFERROR(__xludf.DUMMYFUNCTION("""COMPUTED_VALUE"""),90.97)</f>
        <v>90.97</v>
      </c>
      <c r="E2409" s="1">
        <f>IFERROR(__xludf.DUMMYFUNCTION("""COMPUTED_VALUE"""),91.34)</f>
        <v>91.34</v>
      </c>
      <c r="F2409" s="1">
        <f>IFERROR(__xludf.DUMMYFUNCTION("""COMPUTED_VALUE"""),1399278.0)</f>
        <v>1399278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IFERROR(__xludf.DUMMYFUNCTION("""COMPUTED_VALUE"""),89.46)</f>
        <v>89.46</v>
      </c>
      <c r="C2410" s="1">
        <f>IFERROR(__xludf.DUMMYFUNCTION("""COMPUTED_VALUE"""),89.46)</f>
        <v>89.46</v>
      </c>
      <c r="D2410" s="1">
        <f>IFERROR(__xludf.DUMMYFUNCTION("""COMPUTED_VALUE"""),87.44)</f>
        <v>87.44</v>
      </c>
      <c r="E2410" s="1">
        <f>IFERROR(__xludf.DUMMYFUNCTION("""COMPUTED_VALUE"""),87.8)</f>
        <v>87.8</v>
      </c>
      <c r="F2410" s="1">
        <f>IFERROR(__xludf.DUMMYFUNCTION("""COMPUTED_VALUE"""),1597337.0)</f>
        <v>1597337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IFERROR(__xludf.DUMMYFUNCTION("""COMPUTED_VALUE"""),87.87)</f>
        <v>87.87</v>
      </c>
      <c r="C2411" s="1">
        <f>IFERROR(__xludf.DUMMYFUNCTION("""COMPUTED_VALUE"""),88.83)</f>
        <v>88.83</v>
      </c>
      <c r="D2411" s="1">
        <f>IFERROR(__xludf.DUMMYFUNCTION("""COMPUTED_VALUE"""),87.47)</f>
        <v>87.47</v>
      </c>
      <c r="E2411" s="1">
        <f>IFERROR(__xludf.DUMMYFUNCTION("""COMPUTED_VALUE"""),87.76)</f>
        <v>87.76</v>
      </c>
      <c r="F2411" s="1">
        <f>IFERROR(__xludf.DUMMYFUNCTION("""COMPUTED_VALUE"""),1556512.0)</f>
        <v>1556512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IFERROR(__xludf.DUMMYFUNCTION("""COMPUTED_VALUE"""),87.75)</f>
        <v>87.75</v>
      </c>
      <c r="C2412" s="1">
        <f>IFERROR(__xludf.DUMMYFUNCTION("""COMPUTED_VALUE"""),88.36)</f>
        <v>88.36</v>
      </c>
      <c r="D2412" s="1">
        <f>IFERROR(__xludf.DUMMYFUNCTION("""COMPUTED_VALUE"""),86.04)</f>
        <v>86.04</v>
      </c>
      <c r="E2412" s="1">
        <f>IFERROR(__xludf.DUMMYFUNCTION("""COMPUTED_VALUE"""),86.3)</f>
        <v>86.3</v>
      </c>
      <c r="F2412" s="1">
        <f>IFERROR(__xludf.DUMMYFUNCTION("""COMPUTED_VALUE"""),1033483.0)</f>
        <v>1033483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IFERROR(__xludf.DUMMYFUNCTION("""COMPUTED_VALUE"""),86.32)</f>
        <v>86.32</v>
      </c>
      <c r="C2413" s="1">
        <f>IFERROR(__xludf.DUMMYFUNCTION("""COMPUTED_VALUE"""),86.81)</f>
        <v>86.81</v>
      </c>
      <c r="D2413" s="1">
        <f>IFERROR(__xludf.DUMMYFUNCTION("""COMPUTED_VALUE"""),85.79)</f>
        <v>85.79</v>
      </c>
      <c r="E2413" s="1">
        <f>IFERROR(__xludf.DUMMYFUNCTION("""COMPUTED_VALUE"""),86.0)</f>
        <v>86</v>
      </c>
      <c r="F2413" s="1">
        <f>IFERROR(__xludf.DUMMYFUNCTION("""COMPUTED_VALUE"""),1343449.0)</f>
        <v>1343449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IFERROR(__xludf.DUMMYFUNCTION("""COMPUTED_VALUE"""),84.64)</f>
        <v>84.64</v>
      </c>
      <c r="C2414" s="1">
        <f>IFERROR(__xludf.DUMMYFUNCTION("""COMPUTED_VALUE"""),85.18)</f>
        <v>85.18</v>
      </c>
      <c r="D2414" s="1">
        <f>IFERROR(__xludf.DUMMYFUNCTION("""COMPUTED_VALUE"""),83.19)</f>
        <v>83.19</v>
      </c>
      <c r="E2414" s="1">
        <f>IFERROR(__xludf.DUMMYFUNCTION("""COMPUTED_VALUE"""),83.93)</f>
        <v>83.93</v>
      </c>
      <c r="F2414" s="1">
        <f>IFERROR(__xludf.DUMMYFUNCTION("""COMPUTED_VALUE"""),1244819.0)</f>
        <v>1244819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IFERROR(__xludf.DUMMYFUNCTION("""COMPUTED_VALUE"""),83.97)</f>
        <v>83.97</v>
      </c>
      <c r="C2415" s="1">
        <f>IFERROR(__xludf.DUMMYFUNCTION("""COMPUTED_VALUE"""),85.92)</f>
        <v>85.92</v>
      </c>
      <c r="D2415" s="1">
        <f>IFERROR(__xludf.DUMMYFUNCTION("""COMPUTED_VALUE"""),83.29)</f>
        <v>83.29</v>
      </c>
      <c r="E2415" s="1">
        <f>IFERROR(__xludf.DUMMYFUNCTION("""COMPUTED_VALUE"""),85.89)</f>
        <v>85.89</v>
      </c>
      <c r="F2415" s="1">
        <f>IFERROR(__xludf.DUMMYFUNCTION("""COMPUTED_VALUE"""),1078145.0)</f>
        <v>1078145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IFERROR(__xludf.DUMMYFUNCTION("""COMPUTED_VALUE"""),85.04)</f>
        <v>85.04</v>
      </c>
      <c r="C2416" s="1">
        <f>IFERROR(__xludf.DUMMYFUNCTION("""COMPUTED_VALUE"""),85.15)</f>
        <v>85.15</v>
      </c>
      <c r="D2416" s="1">
        <f>IFERROR(__xludf.DUMMYFUNCTION("""COMPUTED_VALUE"""),82.08)</f>
        <v>82.08</v>
      </c>
      <c r="E2416" s="1">
        <f>IFERROR(__xludf.DUMMYFUNCTION("""COMPUTED_VALUE"""),82.87)</f>
        <v>82.87</v>
      </c>
      <c r="F2416" s="1">
        <f>IFERROR(__xludf.DUMMYFUNCTION("""COMPUTED_VALUE"""),1821183.0)</f>
        <v>1821183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IFERROR(__xludf.DUMMYFUNCTION("""COMPUTED_VALUE"""),83.18)</f>
        <v>83.18</v>
      </c>
      <c r="C2417" s="1">
        <f>IFERROR(__xludf.DUMMYFUNCTION("""COMPUTED_VALUE"""),84.38)</f>
        <v>84.38</v>
      </c>
      <c r="D2417" s="1">
        <f>IFERROR(__xludf.DUMMYFUNCTION("""COMPUTED_VALUE"""),82.98)</f>
        <v>82.98</v>
      </c>
      <c r="E2417" s="1">
        <f>IFERROR(__xludf.DUMMYFUNCTION("""COMPUTED_VALUE"""),84.03)</f>
        <v>84.03</v>
      </c>
      <c r="F2417" s="1">
        <f>IFERROR(__xludf.DUMMYFUNCTION("""COMPUTED_VALUE"""),1942450.0)</f>
        <v>1942450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IFERROR(__xludf.DUMMYFUNCTION("""COMPUTED_VALUE"""),84.15)</f>
        <v>84.15</v>
      </c>
      <c r="C2418" s="1">
        <f>IFERROR(__xludf.DUMMYFUNCTION("""COMPUTED_VALUE"""),84.47)</f>
        <v>84.47</v>
      </c>
      <c r="D2418" s="1">
        <f>IFERROR(__xludf.DUMMYFUNCTION("""COMPUTED_VALUE"""),83.34)</f>
        <v>83.34</v>
      </c>
      <c r="E2418" s="1">
        <f>IFERROR(__xludf.DUMMYFUNCTION("""COMPUTED_VALUE"""),84.03)</f>
        <v>84.03</v>
      </c>
      <c r="F2418" s="1">
        <f>IFERROR(__xludf.DUMMYFUNCTION("""COMPUTED_VALUE"""),1066265.0)</f>
        <v>1066265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IFERROR(__xludf.DUMMYFUNCTION("""COMPUTED_VALUE"""),84.34)</f>
        <v>84.34</v>
      </c>
      <c r="C2419" s="1">
        <f>IFERROR(__xludf.DUMMYFUNCTION("""COMPUTED_VALUE"""),84.99)</f>
        <v>84.99</v>
      </c>
      <c r="D2419" s="1">
        <f>IFERROR(__xludf.DUMMYFUNCTION("""COMPUTED_VALUE"""),83.06)</f>
        <v>83.06</v>
      </c>
      <c r="E2419" s="1">
        <f>IFERROR(__xludf.DUMMYFUNCTION("""COMPUTED_VALUE"""),83.9)</f>
        <v>83.9</v>
      </c>
      <c r="F2419" s="1">
        <f>IFERROR(__xludf.DUMMYFUNCTION("""COMPUTED_VALUE"""),886372.0)</f>
        <v>886372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IFERROR(__xludf.DUMMYFUNCTION("""COMPUTED_VALUE"""),83.4)</f>
        <v>83.4</v>
      </c>
      <c r="C2420" s="1">
        <f>IFERROR(__xludf.DUMMYFUNCTION("""COMPUTED_VALUE"""),86.67)</f>
        <v>86.67</v>
      </c>
      <c r="D2420" s="1">
        <f>IFERROR(__xludf.DUMMYFUNCTION("""COMPUTED_VALUE"""),83.24)</f>
        <v>83.24</v>
      </c>
      <c r="E2420" s="1">
        <f>IFERROR(__xludf.DUMMYFUNCTION("""COMPUTED_VALUE"""),85.39)</f>
        <v>85.39</v>
      </c>
      <c r="F2420" s="1">
        <f>IFERROR(__xludf.DUMMYFUNCTION("""COMPUTED_VALUE"""),1348180.0)</f>
        <v>1348180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IFERROR(__xludf.DUMMYFUNCTION("""COMPUTED_VALUE"""),84.11)</f>
        <v>84.11</v>
      </c>
      <c r="C2421" s="1">
        <f>IFERROR(__xludf.DUMMYFUNCTION("""COMPUTED_VALUE"""),85.22)</f>
        <v>85.22</v>
      </c>
      <c r="D2421" s="1">
        <f>IFERROR(__xludf.DUMMYFUNCTION("""COMPUTED_VALUE"""),83.14)</f>
        <v>83.14</v>
      </c>
      <c r="E2421" s="1">
        <f>IFERROR(__xludf.DUMMYFUNCTION("""COMPUTED_VALUE"""),83.75)</f>
        <v>83.75</v>
      </c>
      <c r="F2421" s="1">
        <f>IFERROR(__xludf.DUMMYFUNCTION("""COMPUTED_VALUE"""),1244500.0)</f>
        <v>1244500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IFERROR(__xludf.DUMMYFUNCTION("""COMPUTED_VALUE"""),83.68)</f>
        <v>83.68</v>
      </c>
      <c r="C2422" s="1">
        <f>IFERROR(__xludf.DUMMYFUNCTION("""COMPUTED_VALUE"""),84.5)</f>
        <v>84.5</v>
      </c>
      <c r="D2422" s="1">
        <f>IFERROR(__xludf.DUMMYFUNCTION("""COMPUTED_VALUE"""),83.25)</f>
        <v>83.25</v>
      </c>
      <c r="E2422" s="1">
        <f>IFERROR(__xludf.DUMMYFUNCTION("""COMPUTED_VALUE"""),84.25)</f>
        <v>84.25</v>
      </c>
      <c r="F2422" s="1">
        <f>IFERROR(__xludf.DUMMYFUNCTION("""COMPUTED_VALUE"""),873576.0)</f>
        <v>873576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IFERROR(__xludf.DUMMYFUNCTION("""COMPUTED_VALUE"""),84.49)</f>
        <v>84.49</v>
      </c>
      <c r="C2423" s="1">
        <f>IFERROR(__xludf.DUMMYFUNCTION("""COMPUTED_VALUE"""),85.3)</f>
        <v>85.3</v>
      </c>
      <c r="D2423" s="1">
        <f>IFERROR(__xludf.DUMMYFUNCTION("""COMPUTED_VALUE"""),84.15)</f>
        <v>84.15</v>
      </c>
      <c r="E2423" s="1">
        <f>IFERROR(__xludf.DUMMYFUNCTION("""COMPUTED_VALUE"""),85.03)</f>
        <v>85.03</v>
      </c>
      <c r="F2423" s="1">
        <f>IFERROR(__xludf.DUMMYFUNCTION("""COMPUTED_VALUE"""),1070140.0)</f>
        <v>1070140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IFERROR(__xludf.DUMMYFUNCTION("""COMPUTED_VALUE"""),86.0)</f>
        <v>86</v>
      </c>
      <c r="C2424" s="1">
        <f>IFERROR(__xludf.DUMMYFUNCTION("""COMPUTED_VALUE"""),86.67)</f>
        <v>86.67</v>
      </c>
      <c r="D2424" s="1">
        <f>IFERROR(__xludf.DUMMYFUNCTION("""COMPUTED_VALUE"""),85.17)</f>
        <v>85.17</v>
      </c>
      <c r="E2424" s="1">
        <f>IFERROR(__xludf.DUMMYFUNCTION("""COMPUTED_VALUE"""),85.97)</f>
        <v>85.97</v>
      </c>
      <c r="F2424" s="1">
        <f>IFERROR(__xludf.DUMMYFUNCTION("""COMPUTED_VALUE"""),1403092.0)</f>
        <v>1403092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IFERROR(__xludf.DUMMYFUNCTION("""COMPUTED_VALUE"""),86.05)</f>
        <v>86.05</v>
      </c>
      <c r="C2425" s="1">
        <f>IFERROR(__xludf.DUMMYFUNCTION("""COMPUTED_VALUE"""),86.05)</f>
        <v>86.05</v>
      </c>
      <c r="D2425" s="1">
        <f>IFERROR(__xludf.DUMMYFUNCTION("""COMPUTED_VALUE"""),83.18)</f>
        <v>83.18</v>
      </c>
      <c r="E2425" s="1">
        <f>IFERROR(__xludf.DUMMYFUNCTION("""COMPUTED_VALUE"""),83.34)</f>
        <v>83.34</v>
      </c>
      <c r="F2425" s="1">
        <f>IFERROR(__xludf.DUMMYFUNCTION("""COMPUTED_VALUE"""),1179440.0)</f>
        <v>1179440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IFERROR(__xludf.DUMMYFUNCTION("""COMPUTED_VALUE"""),84.07)</f>
        <v>84.07</v>
      </c>
      <c r="C2426" s="1">
        <f>IFERROR(__xludf.DUMMYFUNCTION("""COMPUTED_VALUE"""),84.07)</f>
        <v>84.07</v>
      </c>
      <c r="D2426" s="1">
        <f>IFERROR(__xludf.DUMMYFUNCTION("""COMPUTED_VALUE"""),82.58)</f>
        <v>82.58</v>
      </c>
      <c r="E2426" s="1">
        <f>IFERROR(__xludf.DUMMYFUNCTION("""COMPUTED_VALUE"""),83.17)</f>
        <v>83.17</v>
      </c>
      <c r="F2426" s="1">
        <f>IFERROR(__xludf.DUMMYFUNCTION("""COMPUTED_VALUE"""),1333498.0)</f>
        <v>1333498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IFERROR(__xludf.DUMMYFUNCTION("""COMPUTED_VALUE"""),83.5)</f>
        <v>83.5</v>
      </c>
      <c r="C2427" s="1">
        <f>IFERROR(__xludf.DUMMYFUNCTION("""COMPUTED_VALUE"""),84.0)</f>
        <v>84</v>
      </c>
      <c r="D2427" s="1">
        <f>IFERROR(__xludf.DUMMYFUNCTION("""COMPUTED_VALUE"""),82.99)</f>
        <v>82.99</v>
      </c>
      <c r="E2427" s="1">
        <f>IFERROR(__xludf.DUMMYFUNCTION("""COMPUTED_VALUE"""),83.72)</f>
        <v>83.72</v>
      </c>
      <c r="F2427" s="1">
        <f>IFERROR(__xludf.DUMMYFUNCTION("""COMPUTED_VALUE"""),935792.0)</f>
        <v>935792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IFERROR(__xludf.DUMMYFUNCTION("""COMPUTED_VALUE"""),82.48)</f>
        <v>82.48</v>
      </c>
      <c r="C2428" s="1">
        <f>IFERROR(__xludf.DUMMYFUNCTION("""COMPUTED_VALUE"""),82.98)</f>
        <v>82.98</v>
      </c>
      <c r="D2428" s="1">
        <f>IFERROR(__xludf.DUMMYFUNCTION("""COMPUTED_VALUE"""),80.62)</f>
        <v>80.62</v>
      </c>
      <c r="E2428" s="1">
        <f>IFERROR(__xludf.DUMMYFUNCTION("""COMPUTED_VALUE"""),80.83)</f>
        <v>80.83</v>
      </c>
      <c r="F2428" s="1">
        <f>IFERROR(__xludf.DUMMYFUNCTION("""COMPUTED_VALUE"""),1773548.0)</f>
        <v>1773548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IFERROR(__xludf.DUMMYFUNCTION("""COMPUTED_VALUE"""),81.2)</f>
        <v>81.2</v>
      </c>
      <c r="C2429" s="1">
        <f>IFERROR(__xludf.DUMMYFUNCTION("""COMPUTED_VALUE"""),81.48)</f>
        <v>81.48</v>
      </c>
      <c r="D2429" s="1">
        <f>IFERROR(__xludf.DUMMYFUNCTION("""COMPUTED_VALUE"""),80.15)</f>
        <v>80.15</v>
      </c>
      <c r="E2429" s="1">
        <f>IFERROR(__xludf.DUMMYFUNCTION("""COMPUTED_VALUE"""),80.61)</f>
        <v>80.61</v>
      </c>
      <c r="F2429" s="1">
        <f>IFERROR(__xludf.DUMMYFUNCTION("""COMPUTED_VALUE"""),1264619.0)</f>
        <v>1264619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IFERROR(__xludf.DUMMYFUNCTION("""COMPUTED_VALUE"""),80.82)</f>
        <v>80.82</v>
      </c>
      <c r="C2430" s="1">
        <f>IFERROR(__xludf.DUMMYFUNCTION("""COMPUTED_VALUE"""),81.05)</f>
        <v>81.05</v>
      </c>
      <c r="D2430" s="1">
        <f>IFERROR(__xludf.DUMMYFUNCTION("""COMPUTED_VALUE"""),79.46)</f>
        <v>79.46</v>
      </c>
      <c r="E2430" s="1">
        <f>IFERROR(__xludf.DUMMYFUNCTION("""COMPUTED_VALUE"""),79.53)</f>
        <v>79.53</v>
      </c>
      <c r="F2430" s="1">
        <f>IFERROR(__xludf.DUMMYFUNCTION("""COMPUTED_VALUE"""),1522918.0)</f>
        <v>1522918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IFERROR(__xludf.DUMMYFUNCTION("""COMPUTED_VALUE"""),79.48)</f>
        <v>79.48</v>
      </c>
      <c r="C2431" s="1">
        <f>IFERROR(__xludf.DUMMYFUNCTION("""COMPUTED_VALUE"""),81.54)</f>
        <v>81.54</v>
      </c>
      <c r="D2431" s="1">
        <f>IFERROR(__xludf.DUMMYFUNCTION("""COMPUTED_VALUE"""),79.37)</f>
        <v>79.37</v>
      </c>
      <c r="E2431" s="1">
        <f>IFERROR(__xludf.DUMMYFUNCTION("""COMPUTED_VALUE"""),81.27)</f>
        <v>81.27</v>
      </c>
      <c r="F2431" s="1">
        <f>IFERROR(__xludf.DUMMYFUNCTION("""COMPUTED_VALUE"""),1145370.0)</f>
        <v>1145370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IFERROR(__xludf.DUMMYFUNCTION("""COMPUTED_VALUE"""),81.9)</f>
        <v>81.9</v>
      </c>
      <c r="C2432" s="1">
        <f>IFERROR(__xludf.DUMMYFUNCTION("""COMPUTED_VALUE"""),83.7)</f>
        <v>83.7</v>
      </c>
      <c r="D2432" s="1">
        <f>IFERROR(__xludf.DUMMYFUNCTION("""COMPUTED_VALUE"""),81.9)</f>
        <v>81.9</v>
      </c>
      <c r="E2432" s="1">
        <f>IFERROR(__xludf.DUMMYFUNCTION("""COMPUTED_VALUE"""),82.79)</f>
        <v>82.79</v>
      </c>
      <c r="F2432" s="1">
        <f>IFERROR(__xludf.DUMMYFUNCTION("""COMPUTED_VALUE"""),863174.0)</f>
        <v>863174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IFERROR(__xludf.DUMMYFUNCTION("""COMPUTED_VALUE"""),83.49)</f>
        <v>83.49</v>
      </c>
      <c r="C2433" s="1">
        <f>IFERROR(__xludf.DUMMYFUNCTION("""COMPUTED_VALUE"""),84.51)</f>
        <v>84.51</v>
      </c>
      <c r="D2433" s="1">
        <f>IFERROR(__xludf.DUMMYFUNCTION("""COMPUTED_VALUE"""),82.89)</f>
        <v>82.89</v>
      </c>
      <c r="E2433" s="1">
        <f>IFERROR(__xludf.DUMMYFUNCTION("""COMPUTED_VALUE"""),83.28)</f>
        <v>83.28</v>
      </c>
      <c r="F2433" s="1">
        <f>IFERROR(__xludf.DUMMYFUNCTION("""COMPUTED_VALUE"""),1077531.0)</f>
        <v>1077531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IFERROR(__xludf.DUMMYFUNCTION("""COMPUTED_VALUE"""),81.81)</f>
        <v>81.81</v>
      </c>
      <c r="C2434" s="1">
        <f>IFERROR(__xludf.DUMMYFUNCTION("""COMPUTED_VALUE"""),83.06)</f>
        <v>83.06</v>
      </c>
      <c r="D2434" s="1">
        <f>IFERROR(__xludf.DUMMYFUNCTION("""COMPUTED_VALUE"""),81.81)</f>
        <v>81.81</v>
      </c>
      <c r="E2434" s="1">
        <f>IFERROR(__xludf.DUMMYFUNCTION("""COMPUTED_VALUE"""),82.56)</f>
        <v>82.56</v>
      </c>
      <c r="F2434" s="1">
        <f>IFERROR(__xludf.DUMMYFUNCTION("""COMPUTED_VALUE"""),1353054.0)</f>
        <v>1353054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IFERROR(__xludf.DUMMYFUNCTION("""COMPUTED_VALUE"""),83.2)</f>
        <v>83.2</v>
      </c>
      <c r="C2435" s="1">
        <f>IFERROR(__xludf.DUMMYFUNCTION("""COMPUTED_VALUE"""),85.27)</f>
        <v>85.27</v>
      </c>
      <c r="D2435" s="1">
        <f>IFERROR(__xludf.DUMMYFUNCTION("""COMPUTED_VALUE"""),83.2)</f>
        <v>83.2</v>
      </c>
      <c r="E2435" s="1">
        <f>IFERROR(__xludf.DUMMYFUNCTION("""COMPUTED_VALUE"""),84.97)</f>
        <v>84.97</v>
      </c>
      <c r="F2435" s="1">
        <f>IFERROR(__xludf.DUMMYFUNCTION("""COMPUTED_VALUE"""),1471033.0)</f>
        <v>1471033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IFERROR(__xludf.DUMMYFUNCTION("""COMPUTED_VALUE"""),85.93)</f>
        <v>85.93</v>
      </c>
      <c r="C2436" s="1">
        <f>IFERROR(__xludf.DUMMYFUNCTION("""COMPUTED_VALUE"""),87.36)</f>
        <v>87.36</v>
      </c>
      <c r="D2436" s="1">
        <f>IFERROR(__xludf.DUMMYFUNCTION("""COMPUTED_VALUE"""),85.87)</f>
        <v>85.87</v>
      </c>
      <c r="E2436" s="1">
        <f>IFERROR(__xludf.DUMMYFUNCTION("""COMPUTED_VALUE"""),86.73)</f>
        <v>86.73</v>
      </c>
      <c r="F2436" s="1">
        <f>IFERROR(__xludf.DUMMYFUNCTION("""COMPUTED_VALUE"""),1255286.0)</f>
        <v>1255286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IFERROR(__xludf.DUMMYFUNCTION("""COMPUTED_VALUE"""),86.5)</f>
        <v>86.5</v>
      </c>
      <c r="C2437" s="1">
        <f>IFERROR(__xludf.DUMMYFUNCTION("""COMPUTED_VALUE"""),87.35)</f>
        <v>87.35</v>
      </c>
      <c r="D2437" s="1">
        <f>IFERROR(__xludf.DUMMYFUNCTION("""COMPUTED_VALUE"""),85.54)</f>
        <v>85.54</v>
      </c>
      <c r="E2437" s="1">
        <f>IFERROR(__xludf.DUMMYFUNCTION("""COMPUTED_VALUE"""),86.0)</f>
        <v>86</v>
      </c>
      <c r="F2437" s="1">
        <f>IFERROR(__xludf.DUMMYFUNCTION("""COMPUTED_VALUE"""),1090193.0)</f>
        <v>1090193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IFERROR(__xludf.DUMMYFUNCTION("""COMPUTED_VALUE"""),86.45)</f>
        <v>86.45</v>
      </c>
      <c r="C2438" s="1">
        <f>IFERROR(__xludf.DUMMYFUNCTION("""COMPUTED_VALUE"""),87.29)</f>
        <v>87.29</v>
      </c>
      <c r="D2438" s="1">
        <f>IFERROR(__xludf.DUMMYFUNCTION("""COMPUTED_VALUE"""),86.1)</f>
        <v>86.1</v>
      </c>
      <c r="E2438" s="1">
        <f>IFERROR(__xludf.DUMMYFUNCTION("""COMPUTED_VALUE"""),86.59)</f>
        <v>86.59</v>
      </c>
      <c r="F2438" s="1">
        <f>IFERROR(__xludf.DUMMYFUNCTION("""COMPUTED_VALUE"""),1047218.0)</f>
        <v>1047218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IFERROR(__xludf.DUMMYFUNCTION("""COMPUTED_VALUE"""),86.27)</f>
        <v>86.27</v>
      </c>
      <c r="C2439" s="1">
        <f>IFERROR(__xludf.DUMMYFUNCTION("""COMPUTED_VALUE"""),87.3)</f>
        <v>87.3</v>
      </c>
      <c r="D2439" s="1">
        <f>IFERROR(__xludf.DUMMYFUNCTION("""COMPUTED_VALUE"""),85.11)</f>
        <v>85.11</v>
      </c>
      <c r="E2439" s="1">
        <f>IFERROR(__xludf.DUMMYFUNCTION("""COMPUTED_VALUE"""),87.3)</f>
        <v>87.3</v>
      </c>
      <c r="F2439" s="1">
        <f>IFERROR(__xludf.DUMMYFUNCTION("""COMPUTED_VALUE"""),1520570.0)</f>
        <v>1520570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IFERROR(__xludf.DUMMYFUNCTION("""COMPUTED_VALUE"""),86.44)</f>
        <v>86.44</v>
      </c>
      <c r="C2440" s="1">
        <f>IFERROR(__xludf.DUMMYFUNCTION("""COMPUTED_VALUE"""),86.94)</f>
        <v>86.94</v>
      </c>
      <c r="D2440" s="1">
        <f>IFERROR(__xludf.DUMMYFUNCTION("""COMPUTED_VALUE"""),83.63)</f>
        <v>83.63</v>
      </c>
      <c r="E2440" s="1">
        <f>IFERROR(__xludf.DUMMYFUNCTION("""COMPUTED_VALUE"""),85.32)</f>
        <v>85.32</v>
      </c>
      <c r="F2440" s="1">
        <f>IFERROR(__xludf.DUMMYFUNCTION("""COMPUTED_VALUE"""),1630326.0)</f>
        <v>1630326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IFERROR(__xludf.DUMMYFUNCTION("""COMPUTED_VALUE"""),85.49)</f>
        <v>85.49</v>
      </c>
      <c r="C2441" s="1">
        <f>IFERROR(__xludf.DUMMYFUNCTION("""COMPUTED_VALUE"""),87.5)</f>
        <v>87.5</v>
      </c>
      <c r="D2441" s="1">
        <f>IFERROR(__xludf.DUMMYFUNCTION("""COMPUTED_VALUE"""),85.37)</f>
        <v>85.37</v>
      </c>
      <c r="E2441" s="1">
        <f>IFERROR(__xludf.DUMMYFUNCTION("""COMPUTED_VALUE"""),86.53)</f>
        <v>86.53</v>
      </c>
      <c r="F2441" s="1">
        <f>IFERROR(__xludf.DUMMYFUNCTION("""COMPUTED_VALUE"""),1452993.0)</f>
        <v>1452993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IFERROR(__xludf.DUMMYFUNCTION("""COMPUTED_VALUE"""),86.77)</f>
        <v>86.77</v>
      </c>
      <c r="C2442" s="1">
        <f>IFERROR(__xludf.DUMMYFUNCTION("""COMPUTED_VALUE"""),87.3)</f>
        <v>87.3</v>
      </c>
      <c r="D2442" s="1">
        <f>IFERROR(__xludf.DUMMYFUNCTION("""COMPUTED_VALUE"""),86.37)</f>
        <v>86.37</v>
      </c>
      <c r="E2442" s="1">
        <f>IFERROR(__xludf.DUMMYFUNCTION("""COMPUTED_VALUE"""),86.75)</f>
        <v>86.75</v>
      </c>
      <c r="F2442" s="1">
        <f>IFERROR(__xludf.DUMMYFUNCTION("""COMPUTED_VALUE"""),970182.0)</f>
        <v>970182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IFERROR(__xludf.DUMMYFUNCTION("""COMPUTED_VALUE"""),85.5)</f>
        <v>85.5</v>
      </c>
      <c r="C2443" s="1">
        <f>IFERROR(__xludf.DUMMYFUNCTION("""COMPUTED_VALUE"""),85.78)</f>
        <v>85.78</v>
      </c>
      <c r="D2443" s="1">
        <f>IFERROR(__xludf.DUMMYFUNCTION("""COMPUTED_VALUE"""),83.96)</f>
        <v>83.96</v>
      </c>
      <c r="E2443" s="1">
        <f>IFERROR(__xludf.DUMMYFUNCTION("""COMPUTED_VALUE"""),84.26)</f>
        <v>84.26</v>
      </c>
      <c r="F2443" s="1">
        <f>IFERROR(__xludf.DUMMYFUNCTION("""COMPUTED_VALUE"""),1031823.0)</f>
        <v>1031823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IFERROR(__xludf.DUMMYFUNCTION("""COMPUTED_VALUE"""),83.5)</f>
        <v>83.5</v>
      </c>
      <c r="C2444" s="1">
        <f>IFERROR(__xludf.DUMMYFUNCTION("""COMPUTED_VALUE"""),86.34)</f>
        <v>86.34</v>
      </c>
      <c r="D2444" s="1">
        <f>IFERROR(__xludf.DUMMYFUNCTION("""COMPUTED_VALUE"""),83.11)</f>
        <v>83.11</v>
      </c>
      <c r="E2444" s="1">
        <f>IFERROR(__xludf.DUMMYFUNCTION("""COMPUTED_VALUE"""),86.08)</f>
        <v>86.08</v>
      </c>
      <c r="F2444" s="1">
        <f>IFERROR(__xludf.DUMMYFUNCTION("""COMPUTED_VALUE"""),1223350.0)</f>
        <v>1223350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IFERROR(__xludf.DUMMYFUNCTION("""COMPUTED_VALUE"""),85.94)</f>
        <v>85.94</v>
      </c>
      <c r="C2445" s="1">
        <f>IFERROR(__xludf.DUMMYFUNCTION("""COMPUTED_VALUE"""),86.12)</f>
        <v>86.12</v>
      </c>
      <c r="D2445" s="1">
        <f>IFERROR(__xludf.DUMMYFUNCTION("""COMPUTED_VALUE"""),84.46)</f>
        <v>84.46</v>
      </c>
      <c r="E2445" s="1">
        <f>IFERROR(__xludf.DUMMYFUNCTION("""COMPUTED_VALUE"""),85.53)</f>
        <v>85.53</v>
      </c>
      <c r="F2445" s="1">
        <f>IFERROR(__xludf.DUMMYFUNCTION("""COMPUTED_VALUE"""),1271305.0)</f>
        <v>1271305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IFERROR(__xludf.DUMMYFUNCTION("""COMPUTED_VALUE"""),85.86)</f>
        <v>85.86</v>
      </c>
      <c r="C2446" s="1">
        <f>IFERROR(__xludf.DUMMYFUNCTION("""COMPUTED_VALUE"""),86.55)</f>
        <v>86.55</v>
      </c>
      <c r="D2446" s="1">
        <f>IFERROR(__xludf.DUMMYFUNCTION("""COMPUTED_VALUE"""),85.04)</f>
        <v>85.04</v>
      </c>
      <c r="E2446" s="1">
        <f>IFERROR(__xludf.DUMMYFUNCTION("""COMPUTED_VALUE"""),86.31)</f>
        <v>86.31</v>
      </c>
      <c r="F2446" s="1">
        <f>IFERROR(__xludf.DUMMYFUNCTION("""COMPUTED_VALUE"""),1227803.0)</f>
        <v>1227803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IFERROR(__xludf.DUMMYFUNCTION("""COMPUTED_VALUE"""),86.6)</f>
        <v>86.6</v>
      </c>
      <c r="C2447" s="1">
        <f>IFERROR(__xludf.DUMMYFUNCTION("""COMPUTED_VALUE"""),87.11)</f>
        <v>87.11</v>
      </c>
      <c r="D2447" s="1">
        <f>IFERROR(__xludf.DUMMYFUNCTION("""COMPUTED_VALUE"""),84.63)</f>
        <v>84.63</v>
      </c>
      <c r="E2447" s="1">
        <f>IFERROR(__xludf.DUMMYFUNCTION("""COMPUTED_VALUE"""),84.63)</f>
        <v>84.63</v>
      </c>
      <c r="F2447" s="1">
        <f>IFERROR(__xludf.DUMMYFUNCTION("""COMPUTED_VALUE"""),1666370.0)</f>
        <v>1666370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IFERROR(__xludf.DUMMYFUNCTION("""COMPUTED_VALUE"""),84.5)</f>
        <v>84.5</v>
      </c>
      <c r="C2448" s="1">
        <f>IFERROR(__xludf.DUMMYFUNCTION("""COMPUTED_VALUE"""),87.21)</f>
        <v>87.21</v>
      </c>
      <c r="D2448" s="1">
        <f>IFERROR(__xludf.DUMMYFUNCTION("""COMPUTED_VALUE"""),84.26)</f>
        <v>84.26</v>
      </c>
      <c r="E2448" s="1">
        <f>IFERROR(__xludf.DUMMYFUNCTION("""COMPUTED_VALUE"""),86.9)</f>
        <v>86.9</v>
      </c>
      <c r="F2448" s="1">
        <f>IFERROR(__xludf.DUMMYFUNCTION("""COMPUTED_VALUE"""),2728133.0)</f>
        <v>2728133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IFERROR(__xludf.DUMMYFUNCTION("""COMPUTED_VALUE"""),90.24)</f>
        <v>90.24</v>
      </c>
      <c r="C2449" s="1">
        <f>IFERROR(__xludf.DUMMYFUNCTION("""COMPUTED_VALUE"""),90.33)</f>
        <v>90.33</v>
      </c>
      <c r="D2449" s="1">
        <f>IFERROR(__xludf.DUMMYFUNCTION("""COMPUTED_VALUE"""),84.45)</f>
        <v>84.45</v>
      </c>
      <c r="E2449" s="1">
        <f>IFERROR(__xludf.DUMMYFUNCTION("""COMPUTED_VALUE"""),86.74)</f>
        <v>86.74</v>
      </c>
      <c r="F2449" s="1">
        <f>IFERROR(__xludf.DUMMYFUNCTION("""COMPUTED_VALUE"""),6396847.0)</f>
        <v>6396847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IFERROR(__xludf.DUMMYFUNCTION("""COMPUTED_VALUE"""),86.62)</f>
        <v>86.62</v>
      </c>
      <c r="C2450" s="1">
        <f>IFERROR(__xludf.DUMMYFUNCTION("""COMPUTED_VALUE"""),87.63)</f>
        <v>87.63</v>
      </c>
      <c r="D2450" s="1">
        <f>IFERROR(__xludf.DUMMYFUNCTION("""COMPUTED_VALUE"""),85.29)</f>
        <v>85.29</v>
      </c>
      <c r="E2450" s="1">
        <f>IFERROR(__xludf.DUMMYFUNCTION("""COMPUTED_VALUE"""),86.08)</f>
        <v>86.08</v>
      </c>
      <c r="F2450" s="1">
        <f>IFERROR(__xludf.DUMMYFUNCTION("""COMPUTED_VALUE"""),1541767.0)</f>
        <v>1541767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IFERROR(__xludf.DUMMYFUNCTION("""COMPUTED_VALUE"""),86.13)</f>
        <v>86.13</v>
      </c>
      <c r="C2451" s="1">
        <f>IFERROR(__xludf.DUMMYFUNCTION("""COMPUTED_VALUE"""),86.67)</f>
        <v>86.67</v>
      </c>
      <c r="D2451" s="1">
        <f>IFERROR(__xludf.DUMMYFUNCTION("""COMPUTED_VALUE"""),85.29)</f>
        <v>85.29</v>
      </c>
      <c r="E2451" s="1">
        <f>IFERROR(__xludf.DUMMYFUNCTION("""COMPUTED_VALUE"""),86.38)</f>
        <v>86.38</v>
      </c>
      <c r="F2451" s="1">
        <f>IFERROR(__xludf.DUMMYFUNCTION("""COMPUTED_VALUE"""),892408.0)</f>
        <v>892408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IFERROR(__xludf.DUMMYFUNCTION("""COMPUTED_VALUE"""),86.86)</f>
        <v>86.86</v>
      </c>
      <c r="C2452" s="1">
        <f>IFERROR(__xludf.DUMMYFUNCTION("""COMPUTED_VALUE"""),87.52)</f>
        <v>87.52</v>
      </c>
      <c r="D2452" s="1">
        <f>IFERROR(__xludf.DUMMYFUNCTION("""COMPUTED_VALUE"""),86.61)</f>
        <v>86.61</v>
      </c>
      <c r="E2452" s="1">
        <f>IFERROR(__xludf.DUMMYFUNCTION("""COMPUTED_VALUE"""),87.48)</f>
        <v>87.48</v>
      </c>
      <c r="F2452" s="1">
        <f>IFERROR(__xludf.DUMMYFUNCTION("""COMPUTED_VALUE"""),1072374.0)</f>
        <v>1072374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IFERROR(__xludf.DUMMYFUNCTION("""COMPUTED_VALUE"""),87.29)</f>
        <v>87.29</v>
      </c>
      <c r="C2453" s="1">
        <f>IFERROR(__xludf.DUMMYFUNCTION("""COMPUTED_VALUE"""),88.35)</f>
        <v>88.35</v>
      </c>
      <c r="D2453" s="1">
        <f>IFERROR(__xludf.DUMMYFUNCTION("""COMPUTED_VALUE"""),87.11)</f>
        <v>87.11</v>
      </c>
      <c r="E2453" s="1">
        <f>IFERROR(__xludf.DUMMYFUNCTION("""COMPUTED_VALUE"""),88.0)</f>
        <v>88</v>
      </c>
      <c r="F2453" s="1">
        <f>IFERROR(__xludf.DUMMYFUNCTION("""COMPUTED_VALUE"""),1214198.0)</f>
        <v>1214198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IFERROR(__xludf.DUMMYFUNCTION("""COMPUTED_VALUE"""),88.58)</f>
        <v>88.58</v>
      </c>
      <c r="C2454" s="1">
        <f>IFERROR(__xludf.DUMMYFUNCTION("""COMPUTED_VALUE"""),90.9)</f>
        <v>90.9</v>
      </c>
      <c r="D2454" s="1">
        <f>IFERROR(__xludf.DUMMYFUNCTION("""COMPUTED_VALUE"""),88.34)</f>
        <v>88.34</v>
      </c>
      <c r="E2454" s="1">
        <f>IFERROR(__xludf.DUMMYFUNCTION("""COMPUTED_VALUE"""),88.69)</f>
        <v>88.69</v>
      </c>
      <c r="F2454" s="1">
        <f>IFERROR(__xludf.DUMMYFUNCTION("""COMPUTED_VALUE"""),1761569.0)</f>
        <v>1761569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IFERROR(__xludf.DUMMYFUNCTION("""COMPUTED_VALUE"""),88.23)</f>
        <v>88.23</v>
      </c>
      <c r="C2455" s="1">
        <f>IFERROR(__xludf.DUMMYFUNCTION("""COMPUTED_VALUE"""),88.42)</f>
        <v>88.42</v>
      </c>
      <c r="D2455" s="1">
        <f>IFERROR(__xludf.DUMMYFUNCTION("""COMPUTED_VALUE"""),85.05)</f>
        <v>85.05</v>
      </c>
      <c r="E2455" s="1">
        <f>IFERROR(__xludf.DUMMYFUNCTION("""COMPUTED_VALUE"""),85.6)</f>
        <v>85.6</v>
      </c>
      <c r="F2455" s="1">
        <f>IFERROR(__xludf.DUMMYFUNCTION("""COMPUTED_VALUE"""),1257741.0)</f>
        <v>1257741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IFERROR(__xludf.DUMMYFUNCTION("""COMPUTED_VALUE"""),84.91)</f>
        <v>84.91</v>
      </c>
      <c r="C2456" s="1">
        <f>IFERROR(__xludf.DUMMYFUNCTION("""COMPUTED_VALUE"""),85.27)</f>
        <v>85.27</v>
      </c>
      <c r="D2456" s="1">
        <f>IFERROR(__xludf.DUMMYFUNCTION("""COMPUTED_VALUE"""),83.39)</f>
        <v>83.39</v>
      </c>
      <c r="E2456" s="1">
        <f>IFERROR(__xludf.DUMMYFUNCTION("""COMPUTED_VALUE"""),84.65)</f>
        <v>84.65</v>
      </c>
      <c r="F2456" s="1">
        <f>IFERROR(__xludf.DUMMYFUNCTION("""COMPUTED_VALUE"""),1012783.0)</f>
        <v>1012783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IFERROR(__xludf.DUMMYFUNCTION("""COMPUTED_VALUE"""),84.52)</f>
        <v>84.52</v>
      </c>
      <c r="C2457" s="1">
        <f>IFERROR(__xludf.DUMMYFUNCTION("""COMPUTED_VALUE"""),85.66)</f>
        <v>85.66</v>
      </c>
      <c r="D2457" s="1">
        <f>IFERROR(__xludf.DUMMYFUNCTION("""COMPUTED_VALUE"""),84.31)</f>
        <v>84.31</v>
      </c>
      <c r="E2457" s="1">
        <f>IFERROR(__xludf.DUMMYFUNCTION("""COMPUTED_VALUE"""),85.6)</f>
        <v>85.6</v>
      </c>
      <c r="F2457" s="1">
        <f>IFERROR(__xludf.DUMMYFUNCTION("""COMPUTED_VALUE"""),875431.0)</f>
        <v>875431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IFERROR(__xludf.DUMMYFUNCTION("""COMPUTED_VALUE"""),85.43)</f>
        <v>85.43</v>
      </c>
      <c r="C2458" s="1">
        <f>IFERROR(__xludf.DUMMYFUNCTION("""COMPUTED_VALUE"""),87.07)</f>
        <v>87.07</v>
      </c>
      <c r="D2458" s="1">
        <f>IFERROR(__xludf.DUMMYFUNCTION("""COMPUTED_VALUE"""),85.37)</f>
        <v>85.37</v>
      </c>
      <c r="E2458" s="1">
        <f>IFERROR(__xludf.DUMMYFUNCTION("""COMPUTED_VALUE"""),86.31)</f>
        <v>86.31</v>
      </c>
      <c r="F2458" s="1">
        <f>IFERROR(__xludf.DUMMYFUNCTION("""COMPUTED_VALUE"""),1111804.0)</f>
        <v>1111804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IFERROR(__xludf.DUMMYFUNCTION("""COMPUTED_VALUE"""),85.37)</f>
        <v>85.37</v>
      </c>
      <c r="C2459" s="1">
        <f>IFERROR(__xludf.DUMMYFUNCTION("""COMPUTED_VALUE"""),85.97)</f>
        <v>85.97</v>
      </c>
      <c r="D2459" s="1">
        <f>IFERROR(__xludf.DUMMYFUNCTION("""COMPUTED_VALUE"""),85.09)</f>
        <v>85.09</v>
      </c>
      <c r="E2459" s="1">
        <f>IFERROR(__xludf.DUMMYFUNCTION("""COMPUTED_VALUE"""),85.1)</f>
        <v>85.1</v>
      </c>
      <c r="F2459" s="1">
        <f>IFERROR(__xludf.DUMMYFUNCTION("""COMPUTED_VALUE"""),939374.0)</f>
        <v>939374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IFERROR(__xludf.DUMMYFUNCTION("""COMPUTED_VALUE"""),85.96)</f>
        <v>85.96</v>
      </c>
      <c r="C2460" s="1">
        <f>IFERROR(__xludf.DUMMYFUNCTION("""COMPUTED_VALUE"""),87.05)</f>
        <v>87.05</v>
      </c>
      <c r="D2460" s="1">
        <f>IFERROR(__xludf.DUMMYFUNCTION("""COMPUTED_VALUE"""),85.48)</f>
        <v>85.48</v>
      </c>
      <c r="E2460" s="1">
        <f>IFERROR(__xludf.DUMMYFUNCTION("""COMPUTED_VALUE"""),86.6)</f>
        <v>86.6</v>
      </c>
      <c r="F2460" s="1">
        <f>IFERROR(__xludf.DUMMYFUNCTION("""COMPUTED_VALUE"""),909195.0)</f>
        <v>909195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IFERROR(__xludf.DUMMYFUNCTION("""COMPUTED_VALUE"""),86.4)</f>
        <v>86.4</v>
      </c>
      <c r="C2461" s="1">
        <f>IFERROR(__xludf.DUMMYFUNCTION("""COMPUTED_VALUE"""),88.03)</f>
        <v>88.03</v>
      </c>
      <c r="D2461" s="1">
        <f>IFERROR(__xludf.DUMMYFUNCTION("""COMPUTED_VALUE"""),86.36)</f>
        <v>86.36</v>
      </c>
      <c r="E2461" s="1">
        <f>IFERROR(__xludf.DUMMYFUNCTION("""COMPUTED_VALUE"""),87.41)</f>
        <v>87.41</v>
      </c>
      <c r="F2461" s="1">
        <f>IFERROR(__xludf.DUMMYFUNCTION("""COMPUTED_VALUE"""),955401.0)</f>
        <v>955401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IFERROR(__xludf.DUMMYFUNCTION("""COMPUTED_VALUE"""),88.53)</f>
        <v>88.53</v>
      </c>
      <c r="C2462" s="1">
        <f>IFERROR(__xludf.DUMMYFUNCTION("""COMPUTED_VALUE"""),91.06)</f>
        <v>91.06</v>
      </c>
      <c r="D2462" s="1">
        <f>IFERROR(__xludf.DUMMYFUNCTION("""COMPUTED_VALUE"""),88.53)</f>
        <v>88.53</v>
      </c>
      <c r="E2462" s="1">
        <f>IFERROR(__xludf.DUMMYFUNCTION("""COMPUTED_VALUE"""),90.53)</f>
        <v>90.53</v>
      </c>
      <c r="F2462" s="1">
        <f>IFERROR(__xludf.DUMMYFUNCTION("""COMPUTED_VALUE"""),1755390.0)</f>
        <v>1755390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IFERROR(__xludf.DUMMYFUNCTION("""COMPUTED_VALUE"""),90.0)</f>
        <v>90</v>
      </c>
      <c r="C2463" s="1">
        <f>IFERROR(__xludf.DUMMYFUNCTION("""COMPUTED_VALUE"""),90.44)</f>
        <v>90.44</v>
      </c>
      <c r="D2463" s="1">
        <f>IFERROR(__xludf.DUMMYFUNCTION("""COMPUTED_VALUE"""),89.43)</f>
        <v>89.43</v>
      </c>
      <c r="E2463" s="1">
        <f>IFERROR(__xludf.DUMMYFUNCTION("""COMPUTED_VALUE"""),90.03)</f>
        <v>90.03</v>
      </c>
      <c r="F2463" s="1">
        <f>IFERROR(__xludf.DUMMYFUNCTION("""COMPUTED_VALUE"""),683488.0)</f>
        <v>683488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IFERROR(__xludf.DUMMYFUNCTION("""COMPUTED_VALUE"""),90.75)</f>
        <v>90.75</v>
      </c>
      <c r="C2464" s="1">
        <f>IFERROR(__xludf.DUMMYFUNCTION("""COMPUTED_VALUE"""),93.05)</f>
        <v>93.05</v>
      </c>
      <c r="D2464" s="1">
        <f>IFERROR(__xludf.DUMMYFUNCTION("""COMPUTED_VALUE"""),90.75)</f>
        <v>90.75</v>
      </c>
      <c r="E2464" s="1">
        <f>IFERROR(__xludf.DUMMYFUNCTION("""COMPUTED_VALUE"""),92.42)</f>
        <v>92.42</v>
      </c>
      <c r="F2464" s="1">
        <f>IFERROR(__xludf.DUMMYFUNCTION("""COMPUTED_VALUE"""),1491331.0)</f>
        <v>1491331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IFERROR(__xludf.DUMMYFUNCTION("""COMPUTED_VALUE"""),92.42)</f>
        <v>92.42</v>
      </c>
      <c r="C2465" s="1">
        <f>IFERROR(__xludf.DUMMYFUNCTION("""COMPUTED_VALUE"""),92.58)</f>
        <v>92.58</v>
      </c>
      <c r="D2465" s="1">
        <f>IFERROR(__xludf.DUMMYFUNCTION("""COMPUTED_VALUE"""),91.33)</f>
        <v>91.33</v>
      </c>
      <c r="E2465" s="1">
        <f>IFERROR(__xludf.DUMMYFUNCTION("""COMPUTED_VALUE"""),92.44)</f>
        <v>92.44</v>
      </c>
      <c r="F2465" s="1">
        <f>IFERROR(__xludf.DUMMYFUNCTION("""COMPUTED_VALUE"""),936489.0)</f>
        <v>936489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IFERROR(__xludf.DUMMYFUNCTION("""COMPUTED_VALUE"""),92.87)</f>
        <v>92.87</v>
      </c>
      <c r="C2466" s="1">
        <f>IFERROR(__xludf.DUMMYFUNCTION("""COMPUTED_VALUE"""),93.36)</f>
        <v>93.36</v>
      </c>
      <c r="D2466" s="1">
        <f>IFERROR(__xludf.DUMMYFUNCTION("""COMPUTED_VALUE"""),92.11)</f>
        <v>92.11</v>
      </c>
      <c r="E2466" s="1">
        <f>IFERROR(__xludf.DUMMYFUNCTION("""COMPUTED_VALUE"""),92.73)</f>
        <v>92.73</v>
      </c>
      <c r="F2466" s="1">
        <f>IFERROR(__xludf.DUMMYFUNCTION("""COMPUTED_VALUE"""),792960.0)</f>
        <v>792960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IFERROR(__xludf.DUMMYFUNCTION("""COMPUTED_VALUE"""),93.1)</f>
        <v>93.1</v>
      </c>
      <c r="C2467" s="1">
        <f>IFERROR(__xludf.DUMMYFUNCTION("""COMPUTED_VALUE"""),94.7)</f>
        <v>94.7</v>
      </c>
      <c r="D2467" s="1">
        <f>IFERROR(__xludf.DUMMYFUNCTION("""COMPUTED_VALUE"""),92.81)</f>
        <v>92.81</v>
      </c>
      <c r="E2467" s="1">
        <f>IFERROR(__xludf.DUMMYFUNCTION("""COMPUTED_VALUE"""),94.28)</f>
        <v>94.28</v>
      </c>
      <c r="F2467" s="1">
        <f>IFERROR(__xludf.DUMMYFUNCTION("""COMPUTED_VALUE"""),1695717.0)</f>
        <v>1695717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IFERROR(__xludf.DUMMYFUNCTION("""COMPUTED_VALUE"""),95.0)</f>
        <v>95</v>
      </c>
      <c r="C2468" s="1">
        <f>IFERROR(__xludf.DUMMYFUNCTION("""COMPUTED_VALUE"""),96.36)</f>
        <v>96.36</v>
      </c>
      <c r="D2468" s="1">
        <f>IFERROR(__xludf.DUMMYFUNCTION("""COMPUTED_VALUE"""),94.74)</f>
        <v>94.74</v>
      </c>
      <c r="E2468" s="1">
        <f>IFERROR(__xludf.DUMMYFUNCTION("""COMPUTED_VALUE"""),96.02)</f>
        <v>96.02</v>
      </c>
      <c r="F2468" s="1">
        <f>IFERROR(__xludf.DUMMYFUNCTION("""COMPUTED_VALUE"""),1261351.0)</f>
        <v>1261351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IFERROR(__xludf.DUMMYFUNCTION("""COMPUTED_VALUE"""),95.02)</f>
        <v>95.02</v>
      </c>
      <c r="C2469" s="1">
        <f>IFERROR(__xludf.DUMMYFUNCTION("""COMPUTED_VALUE"""),95.62)</f>
        <v>95.62</v>
      </c>
      <c r="D2469" s="1">
        <f>IFERROR(__xludf.DUMMYFUNCTION("""COMPUTED_VALUE"""),93.13)</f>
        <v>93.13</v>
      </c>
      <c r="E2469" s="1">
        <f>IFERROR(__xludf.DUMMYFUNCTION("""COMPUTED_VALUE"""),94.18)</f>
        <v>94.18</v>
      </c>
      <c r="F2469" s="1">
        <f>IFERROR(__xludf.DUMMYFUNCTION("""COMPUTED_VALUE"""),1659539.0)</f>
        <v>1659539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IFERROR(__xludf.DUMMYFUNCTION("""COMPUTED_VALUE"""),93.57)</f>
        <v>93.57</v>
      </c>
      <c r="C2470" s="1">
        <f>IFERROR(__xludf.DUMMYFUNCTION("""COMPUTED_VALUE"""),94.88)</f>
        <v>94.88</v>
      </c>
      <c r="D2470" s="1">
        <f>IFERROR(__xludf.DUMMYFUNCTION("""COMPUTED_VALUE"""),93.37)</f>
        <v>93.37</v>
      </c>
      <c r="E2470" s="1">
        <f>IFERROR(__xludf.DUMMYFUNCTION("""COMPUTED_VALUE"""),94.63)</f>
        <v>94.63</v>
      </c>
      <c r="F2470" s="1">
        <f>IFERROR(__xludf.DUMMYFUNCTION("""COMPUTED_VALUE"""),794726.0)</f>
        <v>794726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IFERROR(__xludf.DUMMYFUNCTION("""COMPUTED_VALUE"""),95.39)</f>
        <v>95.39</v>
      </c>
      <c r="C2471" s="1">
        <f>IFERROR(__xludf.DUMMYFUNCTION("""COMPUTED_VALUE"""),96.28)</f>
        <v>96.28</v>
      </c>
      <c r="D2471" s="1">
        <f>IFERROR(__xludf.DUMMYFUNCTION("""COMPUTED_VALUE"""),94.49)</f>
        <v>94.49</v>
      </c>
      <c r="E2471" s="1">
        <f>IFERROR(__xludf.DUMMYFUNCTION("""COMPUTED_VALUE"""),95.12)</f>
        <v>95.12</v>
      </c>
      <c r="F2471" s="1">
        <f>IFERROR(__xludf.DUMMYFUNCTION("""COMPUTED_VALUE"""),892144.0)</f>
        <v>892144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IFERROR(__xludf.DUMMYFUNCTION("""COMPUTED_VALUE"""),94.9)</f>
        <v>94.9</v>
      </c>
      <c r="C2472" s="1">
        <f>IFERROR(__xludf.DUMMYFUNCTION("""COMPUTED_VALUE"""),95.71)</f>
        <v>95.71</v>
      </c>
      <c r="D2472" s="1">
        <f>IFERROR(__xludf.DUMMYFUNCTION("""COMPUTED_VALUE"""),94.54)</f>
        <v>94.54</v>
      </c>
      <c r="E2472" s="1">
        <f>IFERROR(__xludf.DUMMYFUNCTION("""COMPUTED_VALUE"""),94.77)</f>
        <v>94.77</v>
      </c>
      <c r="F2472" s="1">
        <f>IFERROR(__xludf.DUMMYFUNCTION("""COMPUTED_VALUE"""),861588.0)</f>
        <v>861588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IFERROR(__xludf.DUMMYFUNCTION("""COMPUTED_VALUE"""),94.91)</f>
        <v>94.91</v>
      </c>
      <c r="C2473" s="1">
        <f>IFERROR(__xludf.DUMMYFUNCTION("""COMPUTED_VALUE"""),95.67)</f>
        <v>95.67</v>
      </c>
      <c r="D2473" s="1">
        <f>IFERROR(__xludf.DUMMYFUNCTION("""COMPUTED_VALUE"""),94.59)</f>
        <v>94.59</v>
      </c>
      <c r="E2473" s="1">
        <f>IFERROR(__xludf.DUMMYFUNCTION("""COMPUTED_VALUE"""),94.98)</f>
        <v>94.98</v>
      </c>
      <c r="F2473" s="1">
        <f>IFERROR(__xludf.DUMMYFUNCTION("""COMPUTED_VALUE"""),970256.0)</f>
        <v>970256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IFERROR(__xludf.DUMMYFUNCTION("""COMPUTED_VALUE"""),95.17)</f>
        <v>95.17</v>
      </c>
      <c r="C2474" s="1">
        <f>IFERROR(__xludf.DUMMYFUNCTION("""COMPUTED_VALUE"""),96.0)</f>
        <v>96</v>
      </c>
      <c r="D2474" s="1">
        <f>IFERROR(__xludf.DUMMYFUNCTION("""COMPUTED_VALUE"""),94.77)</f>
        <v>94.77</v>
      </c>
      <c r="E2474" s="1">
        <f>IFERROR(__xludf.DUMMYFUNCTION("""COMPUTED_VALUE"""),95.35)</f>
        <v>95.35</v>
      </c>
      <c r="F2474" s="1">
        <f>IFERROR(__xludf.DUMMYFUNCTION("""COMPUTED_VALUE"""),716123.0)</f>
        <v>716123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IFERROR(__xludf.DUMMYFUNCTION("""COMPUTED_VALUE"""),94.94)</f>
        <v>94.94</v>
      </c>
      <c r="C2475" s="1">
        <f>IFERROR(__xludf.DUMMYFUNCTION("""COMPUTED_VALUE"""),95.74)</f>
        <v>95.74</v>
      </c>
      <c r="D2475" s="1">
        <f>IFERROR(__xludf.DUMMYFUNCTION("""COMPUTED_VALUE"""),94.67)</f>
        <v>94.67</v>
      </c>
      <c r="E2475" s="1">
        <f>IFERROR(__xludf.DUMMYFUNCTION("""COMPUTED_VALUE"""),94.77)</f>
        <v>94.77</v>
      </c>
      <c r="F2475" s="1">
        <f>IFERROR(__xludf.DUMMYFUNCTION("""COMPUTED_VALUE"""),829045.0)</f>
        <v>829045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IFERROR(__xludf.DUMMYFUNCTION("""COMPUTED_VALUE"""),94.69)</f>
        <v>94.69</v>
      </c>
      <c r="C2476" s="1">
        <f>IFERROR(__xludf.DUMMYFUNCTION("""COMPUTED_VALUE"""),94.88)</f>
        <v>94.88</v>
      </c>
      <c r="D2476" s="1">
        <f>IFERROR(__xludf.DUMMYFUNCTION("""COMPUTED_VALUE"""),92.58)</f>
        <v>92.58</v>
      </c>
      <c r="E2476" s="1">
        <f>IFERROR(__xludf.DUMMYFUNCTION("""COMPUTED_VALUE"""),93.17)</f>
        <v>93.17</v>
      </c>
      <c r="F2476" s="1">
        <f>IFERROR(__xludf.DUMMYFUNCTION("""COMPUTED_VALUE"""),990577.0)</f>
        <v>990577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IFERROR(__xludf.DUMMYFUNCTION("""COMPUTED_VALUE"""),93.79)</f>
        <v>93.79</v>
      </c>
      <c r="C2477" s="1">
        <f>IFERROR(__xludf.DUMMYFUNCTION("""COMPUTED_VALUE"""),94.96)</f>
        <v>94.96</v>
      </c>
      <c r="D2477" s="1">
        <f>IFERROR(__xludf.DUMMYFUNCTION("""COMPUTED_VALUE"""),93.15)</f>
        <v>93.15</v>
      </c>
      <c r="E2477" s="1">
        <f>IFERROR(__xludf.DUMMYFUNCTION("""COMPUTED_VALUE"""),94.86)</f>
        <v>94.86</v>
      </c>
      <c r="F2477" s="1">
        <f>IFERROR(__xludf.DUMMYFUNCTION("""COMPUTED_VALUE"""),847577.0)</f>
        <v>847577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IFERROR(__xludf.DUMMYFUNCTION("""COMPUTED_VALUE"""),95.58)</f>
        <v>95.58</v>
      </c>
      <c r="C2478" s="1">
        <f>IFERROR(__xludf.DUMMYFUNCTION("""COMPUTED_VALUE"""),96.06)</f>
        <v>96.06</v>
      </c>
      <c r="D2478" s="1">
        <f>IFERROR(__xludf.DUMMYFUNCTION("""COMPUTED_VALUE"""),95.17)</f>
        <v>95.17</v>
      </c>
      <c r="E2478" s="1">
        <f>IFERROR(__xludf.DUMMYFUNCTION("""COMPUTED_VALUE"""),95.42)</f>
        <v>95.42</v>
      </c>
      <c r="F2478" s="1">
        <f>IFERROR(__xludf.DUMMYFUNCTION("""COMPUTED_VALUE"""),767917.0)</f>
        <v>767917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IFERROR(__xludf.DUMMYFUNCTION("""COMPUTED_VALUE"""),95.42)</f>
        <v>95.42</v>
      </c>
      <c r="C2479" s="1">
        <f>IFERROR(__xludf.DUMMYFUNCTION("""COMPUTED_VALUE"""),96.2)</f>
        <v>96.2</v>
      </c>
      <c r="D2479" s="1">
        <f>IFERROR(__xludf.DUMMYFUNCTION("""COMPUTED_VALUE"""),95.21)</f>
        <v>95.21</v>
      </c>
      <c r="E2479" s="1">
        <f>IFERROR(__xludf.DUMMYFUNCTION("""COMPUTED_VALUE"""),95.49)</f>
        <v>95.49</v>
      </c>
      <c r="F2479" s="1">
        <f>IFERROR(__xludf.DUMMYFUNCTION("""COMPUTED_VALUE"""),858751.0)</f>
        <v>858751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IFERROR(__xludf.DUMMYFUNCTION("""COMPUTED_VALUE"""),95.4)</f>
        <v>95.4</v>
      </c>
      <c r="C2480" s="1">
        <f>IFERROR(__xludf.DUMMYFUNCTION("""COMPUTED_VALUE"""),95.4)</f>
        <v>95.4</v>
      </c>
      <c r="D2480" s="1">
        <f>IFERROR(__xludf.DUMMYFUNCTION("""COMPUTED_VALUE"""),93.56)</f>
        <v>93.56</v>
      </c>
      <c r="E2480" s="1">
        <f>IFERROR(__xludf.DUMMYFUNCTION("""COMPUTED_VALUE"""),94.27)</f>
        <v>94.27</v>
      </c>
      <c r="F2480" s="1">
        <f>IFERROR(__xludf.DUMMYFUNCTION("""COMPUTED_VALUE"""),771919.0)</f>
        <v>771919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IFERROR(__xludf.DUMMYFUNCTION("""COMPUTED_VALUE"""),94.54)</f>
        <v>94.54</v>
      </c>
      <c r="C2481" s="1">
        <f>IFERROR(__xludf.DUMMYFUNCTION("""COMPUTED_VALUE"""),95.44)</f>
        <v>95.44</v>
      </c>
      <c r="D2481" s="1">
        <f>IFERROR(__xludf.DUMMYFUNCTION("""COMPUTED_VALUE"""),93.92)</f>
        <v>93.92</v>
      </c>
      <c r="E2481" s="1">
        <f>IFERROR(__xludf.DUMMYFUNCTION("""COMPUTED_VALUE"""),94.09)</f>
        <v>94.09</v>
      </c>
      <c r="F2481" s="1">
        <f>IFERROR(__xludf.DUMMYFUNCTION("""COMPUTED_VALUE"""),776773.0)</f>
        <v>776773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IFERROR(__xludf.DUMMYFUNCTION("""COMPUTED_VALUE"""),94.22)</f>
        <v>94.22</v>
      </c>
      <c r="C2482" s="1">
        <f>IFERROR(__xludf.DUMMYFUNCTION("""COMPUTED_VALUE"""),94.6)</f>
        <v>94.6</v>
      </c>
      <c r="D2482" s="1">
        <f>IFERROR(__xludf.DUMMYFUNCTION("""COMPUTED_VALUE"""),93.46)</f>
        <v>93.46</v>
      </c>
      <c r="E2482" s="1">
        <f>IFERROR(__xludf.DUMMYFUNCTION("""COMPUTED_VALUE"""),93.88)</f>
        <v>93.88</v>
      </c>
      <c r="F2482" s="1">
        <f>IFERROR(__xludf.DUMMYFUNCTION("""COMPUTED_VALUE"""),782134.0)</f>
        <v>782134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IFERROR(__xludf.DUMMYFUNCTION("""COMPUTED_VALUE"""),93.37)</f>
        <v>93.37</v>
      </c>
      <c r="C2483" s="1">
        <f>IFERROR(__xludf.DUMMYFUNCTION("""COMPUTED_VALUE"""),94.63)</f>
        <v>94.63</v>
      </c>
      <c r="D2483" s="1">
        <f>IFERROR(__xludf.DUMMYFUNCTION("""COMPUTED_VALUE"""),93.37)</f>
        <v>93.37</v>
      </c>
      <c r="E2483" s="1">
        <f>IFERROR(__xludf.DUMMYFUNCTION("""COMPUTED_VALUE"""),94.16)</f>
        <v>94.16</v>
      </c>
      <c r="F2483" s="1">
        <f>IFERROR(__xludf.DUMMYFUNCTION("""COMPUTED_VALUE"""),649399.0)</f>
        <v>649399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IFERROR(__xludf.DUMMYFUNCTION("""COMPUTED_VALUE"""),93.8)</f>
        <v>93.8</v>
      </c>
      <c r="C2484" s="1">
        <f>IFERROR(__xludf.DUMMYFUNCTION("""COMPUTED_VALUE"""),96.47)</f>
        <v>96.47</v>
      </c>
      <c r="D2484" s="1">
        <f>IFERROR(__xludf.DUMMYFUNCTION("""COMPUTED_VALUE"""),93.8)</f>
        <v>93.8</v>
      </c>
      <c r="E2484" s="1">
        <f>IFERROR(__xludf.DUMMYFUNCTION("""COMPUTED_VALUE"""),95.26)</f>
        <v>95.26</v>
      </c>
      <c r="F2484" s="1">
        <f>IFERROR(__xludf.DUMMYFUNCTION("""COMPUTED_VALUE"""),1055987.0)</f>
        <v>1055987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IFERROR(__xludf.DUMMYFUNCTION("""COMPUTED_VALUE"""),94.5)</f>
        <v>94.5</v>
      </c>
      <c r="C2485" s="1">
        <f>IFERROR(__xludf.DUMMYFUNCTION("""COMPUTED_VALUE"""),96.0)</f>
        <v>96</v>
      </c>
      <c r="D2485" s="1">
        <f>IFERROR(__xludf.DUMMYFUNCTION("""COMPUTED_VALUE"""),94.19)</f>
        <v>94.19</v>
      </c>
      <c r="E2485" s="1">
        <f>IFERROR(__xludf.DUMMYFUNCTION("""COMPUTED_VALUE"""),95.88)</f>
        <v>95.88</v>
      </c>
      <c r="F2485" s="1">
        <f>IFERROR(__xludf.DUMMYFUNCTION("""COMPUTED_VALUE"""),672000.0)</f>
        <v>672000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IFERROR(__xludf.DUMMYFUNCTION("""COMPUTED_VALUE"""),95.89)</f>
        <v>95.89</v>
      </c>
      <c r="C2486" s="1">
        <f>IFERROR(__xludf.DUMMYFUNCTION("""COMPUTED_VALUE"""),97.27)</f>
        <v>97.27</v>
      </c>
      <c r="D2486" s="1">
        <f>IFERROR(__xludf.DUMMYFUNCTION("""COMPUTED_VALUE"""),95.69)</f>
        <v>95.69</v>
      </c>
      <c r="E2486" s="1">
        <f>IFERROR(__xludf.DUMMYFUNCTION("""COMPUTED_VALUE"""),96.84)</f>
        <v>96.84</v>
      </c>
      <c r="F2486" s="1">
        <f>IFERROR(__xludf.DUMMYFUNCTION("""COMPUTED_VALUE"""),838177.0)</f>
        <v>838177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IFERROR(__xludf.DUMMYFUNCTION("""COMPUTED_VALUE"""),97.29)</f>
        <v>97.29</v>
      </c>
      <c r="C2487" s="1">
        <f>IFERROR(__xludf.DUMMYFUNCTION("""COMPUTED_VALUE"""),98.24)</f>
        <v>98.24</v>
      </c>
      <c r="D2487" s="1">
        <f>IFERROR(__xludf.DUMMYFUNCTION("""COMPUTED_VALUE"""),96.49)</f>
        <v>96.49</v>
      </c>
      <c r="E2487" s="1">
        <f>IFERROR(__xludf.DUMMYFUNCTION("""COMPUTED_VALUE"""),98.0)</f>
        <v>98</v>
      </c>
      <c r="F2487" s="1">
        <f>IFERROR(__xludf.DUMMYFUNCTION("""COMPUTED_VALUE"""),1177916.0)</f>
        <v>1177916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IFERROR(__xludf.DUMMYFUNCTION("""COMPUTED_VALUE"""),98.31)</f>
        <v>98.31</v>
      </c>
      <c r="C2488" s="1">
        <f>IFERROR(__xludf.DUMMYFUNCTION("""COMPUTED_VALUE"""),99.89)</f>
        <v>99.89</v>
      </c>
      <c r="D2488" s="1">
        <f>IFERROR(__xludf.DUMMYFUNCTION("""COMPUTED_VALUE"""),97.73)</f>
        <v>97.73</v>
      </c>
      <c r="E2488" s="1">
        <f>IFERROR(__xludf.DUMMYFUNCTION("""COMPUTED_VALUE"""),99.73)</f>
        <v>99.73</v>
      </c>
      <c r="F2488" s="1">
        <f>IFERROR(__xludf.DUMMYFUNCTION("""COMPUTED_VALUE"""),1042615.0)</f>
        <v>1042615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IFERROR(__xludf.DUMMYFUNCTION("""COMPUTED_VALUE"""),99.94)</f>
        <v>99.94</v>
      </c>
      <c r="C2489" s="1">
        <f>IFERROR(__xludf.DUMMYFUNCTION("""COMPUTED_VALUE"""),100.49)</f>
        <v>100.49</v>
      </c>
      <c r="D2489" s="1">
        <f>IFERROR(__xludf.DUMMYFUNCTION("""COMPUTED_VALUE"""),98.92)</f>
        <v>98.92</v>
      </c>
      <c r="E2489" s="1">
        <f>IFERROR(__xludf.DUMMYFUNCTION("""COMPUTED_VALUE"""),100.15)</f>
        <v>100.15</v>
      </c>
      <c r="F2489" s="1">
        <f>IFERROR(__xludf.DUMMYFUNCTION("""COMPUTED_VALUE"""),1169950.0)</f>
        <v>1169950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IFERROR(__xludf.DUMMYFUNCTION("""COMPUTED_VALUE"""),99.91)</f>
        <v>99.91</v>
      </c>
      <c r="C2490" s="1">
        <f>IFERROR(__xludf.DUMMYFUNCTION("""COMPUTED_VALUE"""),99.91)</f>
        <v>99.91</v>
      </c>
      <c r="D2490" s="1">
        <f>IFERROR(__xludf.DUMMYFUNCTION("""COMPUTED_VALUE"""),98.28)</f>
        <v>98.28</v>
      </c>
      <c r="E2490" s="1">
        <f>IFERROR(__xludf.DUMMYFUNCTION("""COMPUTED_VALUE"""),99.57)</f>
        <v>99.57</v>
      </c>
      <c r="F2490" s="1">
        <f>IFERROR(__xludf.DUMMYFUNCTION("""COMPUTED_VALUE"""),686402.0)</f>
        <v>686402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IFERROR(__xludf.DUMMYFUNCTION("""COMPUTED_VALUE"""),99.57)</f>
        <v>99.57</v>
      </c>
      <c r="C2491" s="1">
        <f>IFERROR(__xludf.DUMMYFUNCTION("""COMPUTED_VALUE"""),99.65)</f>
        <v>99.65</v>
      </c>
      <c r="D2491" s="1">
        <f>IFERROR(__xludf.DUMMYFUNCTION("""COMPUTED_VALUE"""),97.95)</f>
        <v>97.95</v>
      </c>
      <c r="E2491" s="1">
        <f>IFERROR(__xludf.DUMMYFUNCTION("""COMPUTED_VALUE"""),98.18)</f>
        <v>98.18</v>
      </c>
      <c r="F2491" s="1">
        <f>IFERROR(__xludf.DUMMYFUNCTION("""COMPUTED_VALUE"""),668610.0)</f>
        <v>668610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IFERROR(__xludf.DUMMYFUNCTION("""COMPUTED_VALUE"""),98.45)</f>
        <v>98.45</v>
      </c>
      <c r="C2492" s="1">
        <f>IFERROR(__xludf.DUMMYFUNCTION("""COMPUTED_VALUE"""),98.7)</f>
        <v>98.7</v>
      </c>
      <c r="D2492" s="1">
        <f>IFERROR(__xludf.DUMMYFUNCTION("""COMPUTED_VALUE"""),96.62)</f>
        <v>96.62</v>
      </c>
      <c r="E2492" s="1">
        <f>IFERROR(__xludf.DUMMYFUNCTION("""COMPUTED_VALUE"""),97.58)</f>
        <v>97.58</v>
      </c>
      <c r="F2492" s="1">
        <f>IFERROR(__xludf.DUMMYFUNCTION("""COMPUTED_VALUE"""),743085.0)</f>
        <v>743085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IFERROR(__xludf.DUMMYFUNCTION("""COMPUTED_VALUE"""),97.99)</f>
        <v>97.99</v>
      </c>
      <c r="C2493" s="1">
        <f>IFERROR(__xludf.DUMMYFUNCTION("""COMPUTED_VALUE"""),98.59)</f>
        <v>98.59</v>
      </c>
      <c r="D2493" s="1">
        <f>IFERROR(__xludf.DUMMYFUNCTION("""COMPUTED_VALUE"""),97.37)</f>
        <v>97.37</v>
      </c>
      <c r="E2493" s="1">
        <f>IFERROR(__xludf.DUMMYFUNCTION("""COMPUTED_VALUE"""),97.83)</f>
        <v>97.83</v>
      </c>
      <c r="F2493" s="1">
        <f>IFERROR(__xludf.DUMMYFUNCTION("""COMPUTED_VALUE"""),796237.0)</f>
        <v>796237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IFERROR(__xludf.DUMMYFUNCTION("""COMPUTED_VALUE"""),97.66)</f>
        <v>97.66</v>
      </c>
      <c r="C2494" s="1">
        <f>IFERROR(__xludf.DUMMYFUNCTION("""COMPUTED_VALUE"""),98.69)</f>
        <v>98.69</v>
      </c>
      <c r="D2494" s="1">
        <f>IFERROR(__xludf.DUMMYFUNCTION("""COMPUTED_VALUE"""),97.0)</f>
        <v>97</v>
      </c>
      <c r="E2494" s="1">
        <f>IFERROR(__xludf.DUMMYFUNCTION("""COMPUTED_VALUE"""),98.64)</f>
        <v>98.64</v>
      </c>
      <c r="F2494" s="1">
        <f>IFERROR(__xludf.DUMMYFUNCTION("""COMPUTED_VALUE"""),1081627.0)</f>
        <v>1081627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IFERROR(__xludf.DUMMYFUNCTION("""COMPUTED_VALUE"""),98.81)</f>
        <v>98.81</v>
      </c>
      <c r="C2495" s="1">
        <f>IFERROR(__xludf.DUMMYFUNCTION("""COMPUTED_VALUE"""),98.97)</f>
        <v>98.97</v>
      </c>
      <c r="D2495" s="1">
        <f>IFERROR(__xludf.DUMMYFUNCTION("""COMPUTED_VALUE"""),98.01)</f>
        <v>98.01</v>
      </c>
      <c r="E2495" s="1">
        <f>IFERROR(__xludf.DUMMYFUNCTION("""COMPUTED_VALUE"""),98.31)</f>
        <v>98.31</v>
      </c>
      <c r="F2495" s="1">
        <f>IFERROR(__xludf.DUMMYFUNCTION("""COMPUTED_VALUE"""),637162.0)</f>
        <v>637162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IFERROR(__xludf.DUMMYFUNCTION("""COMPUTED_VALUE"""),98.04)</f>
        <v>98.04</v>
      </c>
      <c r="C2496" s="1">
        <f>IFERROR(__xludf.DUMMYFUNCTION("""COMPUTED_VALUE"""),98.27)</f>
        <v>98.27</v>
      </c>
      <c r="D2496" s="1">
        <f>IFERROR(__xludf.DUMMYFUNCTION("""COMPUTED_VALUE"""),97.01)</f>
        <v>97.01</v>
      </c>
      <c r="E2496" s="1">
        <f>IFERROR(__xludf.DUMMYFUNCTION("""COMPUTED_VALUE"""),97.26)</f>
        <v>97.26</v>
      </c>
      <c r="F2496" s="1">
        <f>IFERROR(__xludf.DUMMYFUNCTION("""COMPUTED_VALUE"""),397623.0)</f>
        <v>397623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IFERROR(__xludf.DUMMYFUNCTION("""COMPUTED_VALUE"""),97.34)</f>
        <v>97.34</v>
      </c>
      <c r="C2497" s="1">
        <f>IFERROR(__xludf.DUMMYFUNCTION("""COMPUTED_VALUE"""),97.57)</f>
        <v>97.57</v>
      </c>
      <c r="D2497" s="1">
        <f>IFERROR(__xludf.DUMMYFUNCTION("""COMPUTED_VALUE"""),96.4)</f>
        <v>96.4</v>
      </c>
      <c r="E2497" s="1">
        <f>IFERROR(__xludf.DUMMYFUNCTION("""COMPUTED_VALUE"""),96.69)</f>
        <v>96.69</v>
      </c>
      <c r="F2497" s="1">
        <f>IFERROR(__xludf.DUMMYFUNCTION("""COMPUTED_VALUE"""),954673.0)</f>
        <v>954673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IFERROR(__xludf.DUMMYFUNCTION("""COMPUTED_VALUE"""),95.16)</f>
        <v>95.16</v>
      </c>
      <c r="C2498" s="1">
        <f>IFERROR(__xludf.DUMMYFUNCTION("""COMPUTED_VALUE"""),96.31)</f>
        <v>96.31</v>
      </c>
      <c r="D2498" s="1">
        <f>IFERROR(__xludf.DUMMYFUNCTION("""COMPUTED_VALUE"""),94.01)</f>
        <v>94.01</v>
      </c>
      <c r="E2498" s="1">
        <f>IFERROR(__xludf.DUMMYFUNCTION("""COMPUTED_VALUE"""),95.99)</f>
        <v>95.99</v>
      </c>
      <c r="F2498" s="1">
        <f>IFERROR(__xludf.DUMMYFUNCTION("""COMPUTED_VALUE"""),1547987.0)</f>
        <v>1547987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IFERROR(__xludf.DUMMYFUNCTION("""COMPUTED_VALUE"""),96.81)</f>
        <v>96.81</v>
      </c>
      <c r="C2499" s="1">
        <f>IFERROR(__xludf.DUMMYFUNCTION("""COMPUTED_VALUE"""),98.05)</f>
        <v>98.05</v>
      </c>
      <c r="D2499" s="1">
        <f>IFERROR(__xludf.DUMMYFUNCTION("""COMPUTED_VALUE"""),96.39)</f>
        <v>96.39</v>
      </c>
      <c r="E2499" s="1">
        <f>IFERROR(__xludf.DUMMYFUNCTION("""COMPUTED_VALUE"""),96.41)</f>
        <v>96.41</v>
      </c>
      <c r="F2499" s="1">
        <f>IFERROR(__xludf.DUMMYFUNCTION("""COMPUTED_VALUE"""),938390.0)</f>
        <v>938390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IFERROR(__xludf.DUMMYFUNCTION("""COMPUTED_VALUE"""),96.62)</f>
        <v>96.62</v>
      </c>
      <c r="C2500" s="1">
        <f>IFERROR(__xludf.DUMMYFUNCTION("""COMPUTED_VALUE"""),97.15)</f>
        <v>97.15</v>
      </c>
      <c r="D2500" s="1">
        <f>IFERROR(__xludf.DUMMYFUNCTION("""COMPUTED_VALUE"""),95.86)</f>
        <v>95.86</v>
      </c>
      <c r="E2500" s="1">
        <f>IFERROR(__xludf.DUMMYFUNCTION("""COMPUTED_VALUE"""),96.08)</f>
        <v>96.08</v>
      </c>
      <c r="F2500" s="1">
        <f>IFERROR(__xludf.DUMMYFUNCTION("""COMPUTED_VALUE"""),1336443.0)</f>
        <v>1336443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IFERROR(__xludf.DUMMYFUNCTION("""COMPUTED_VALUE"""),96.97)</f>
        <v>96.97</v>
      </c>
      <c r="C2501" s="1">
        <f>IFERROR(__xludf.DUMMYFUNCTION("""COMPUTED_VALUE"""),98.15)</f>
        <v>98.15</v>
      </c>
      <c r="D2501" s="1">
        <f>IFERROR(__xludf.DUMMYFUNCTION("""COMPUTED_VALUE"""),96.68)</f>
        <v>96.68</v>
      </c>
      <c r="E2501" s="1">
        <f>IFERROR(__xludf.DUMMYFUNCTION("""COMPUTED_VALUE"""),97.37)</f>
        <v>97.37</v>
      </c>
      <c r="F2501" s="1">
        <f>IFERROR(__xludf.DUMMYFUNCTION("""COMPUTED_VALUE"""),1318449.0)</f>
        <v>1318449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IFERROR(__xludf.DUMMYFUNCTION("""COMPUTED_VALUE"""),97.09)</f>
        <v>97.09</v>
      </c>
      <c r="C2502" s="1">
        <f>IFERROR(__xludf.DUMMYFUNCTION("""COMPUTED_VALUE"""),97.19)</f>
        <v>97.19</v>
      </c>
      <c r="D2502" s="1">
        <f>IFERROR(__xludf.DUMMYFUNCTION("""COMPUTED_VALUE"""),96.48)</f>
        <v>96.48</v>
      </c>
      <c r="E2502" s="1">
        <f>IFERROR(__xludf.DUMMYFUNCTION("""COMPUTED_VALUE"""),96.69)</f>
        <v>96.69</v>
      </c>
      <c r="F2502" s="1">
        <f>IFERROR(__xludf.DUMMYFUNCTION("""COMPUTED_VALUE"""),919822.0)</f>
        <v>919822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IFERROR(__xludf.DUMMYFUNCTION("""COMPUTED_VALUE"""),96.75)</f>
        <v>96.75</v>
      </c>
      <c r="C2503" s="1">
        <f>IFERROR(__xludf.DUMMYFUNCTION("""COMPUTED_VALUE"""),97.3)</f>
        <v>97.3</v>
      </c>
      <c r="D2503" s="1">
        <f>IFERROR(__xludf.DUMMYFUNCTION("""COMPUTED_VALUE"""),96.38)</f>
        <v>96.38</v>
      </c>
      <c r="E2503" s="1">
        <f>IFERROR(__xludf.DUMMYFUNCTION("""COMPUTED_VALUE"""),96.94)</f>
        <v>96.94</v>
      </c>
      <c r="F2503" s="1">
        <f>IFERROR(__xludf.DUMMYFUNCTION("""COMPUTED_VALUE"""),991000.0)</f>
        <v>991000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IFERROR(__xludf.DUMMYFUNCTION("""COMPUTED_VALUE"""),96.99)</f>
        <v>96.99</v>
      </c>
      <c r="C2504" s="1">
        <f>IFERROR(__xludf.DUMMYFUNCTION("""COMPUTED_VALUE"""),99.11)</f>
        <v>99.11</v>
      </c>
      <c r="D2504" s="1">
        <f>IFERROR(__xludf.DUMMYFUNCTION("""COMPUTED_VALUE"""),96.56)</f>
        <v>96.56</v>
      </c>
      <c r="E2504" s="1">
        <f>IFERROR(__xludf.DUMMYFUNCTION("""COMPUTED_VALUE"""),99.03)</f>
        <v>99.03</v>
      </c>
      <c r="F2504" s="1">
        <f>IFERROR(__xludf.DUMMYFUNCTION("""COMPUTED_VALUE"""),810640.0)</f>
        <v>810640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IFERROR(__xludf.DUMMYFUNCTION("""COMPUTED_VALUE"""),98.7)</f>
        <v>98.7</v>
      </c>
      <c r="C2505" s="1">
        <f>IFERROR(__xludf.DUMMYFUNCTION("""COMPUTED_VALUE"""),99.75)</f>
        <v>99.75</v>
      </c>
      <c r="D2505" s="1">
        <f>IFERROR(__xludf.DUMMYFUNCTION("""COMPUTED_VALUE"""),98.07)</f>
        <v>98.07</v>
      </c>
      <c r="E2505" s="1">
        <f>IFERROR(__xludf.DUMMYFUNCTION("""COMPUTED_VALUE"""),99.05)</f>
        <v>99.05</v>
      </c>
      <c r="F2505" s="1">
        <f>IFERROR(__xludf.DUMMYFUNCTION("""COMPUTED_VALUE"""),840141.0)</f>
        <v>840141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IFERROR(__xludf.DUMMYFUNCTION("""COMPUTED_VALUE"""),99.0)</f>
        <v>99</v>
      </c>
      <c r="C2506" s="1">
        <f>IFERROR(__xludf.DUMMYFUNCTION("""COMPUTED_VALUE"""),99.41)</f>
        <v>99.41</v>
      </c>
      <c r="D2506" s="1">
        <f>IFERROR(__xludf.DUMMYFUNCTION("""COMPUTED_VALUE"""),97.78)</f>
        <v>97.78</v>
      </c>
      <c r="E2506" s="1">
        <f>IFERROR(__xludf.DUMMYFUNCTION("""COMPUTED_VALUE"""),97.88)</f>
        <v>97.88</v>
      </c>
      <c r="F2506" s="1">
        <f>IFERROR(__xludf.DUMMYFUNCTION("""COMPUTED_VALUE"""),1024881.0)</f>
        <v>1024881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IFERROR(__xludf.DUMMYFUNCTION("""COMPUTED_VALUE"""),99.2)</f>
        <v>99.2</v>
      </c>
      <c r="C2507" s="1">
        <f>IFERROR(__xludf.DUMMYFUNCTION("""COMPUTED_VALUE"""),99.42)</f>
        <v>99.42</v>
      </c>
      <c r="D2507" s="1">
        <f>IFERROR(__xludf.DUMMYFUNCTION("""COMPUTED_VALUE"""),97.97)</f>
        <v>97.97</v>
      </c>
      <c r="E2507" s="1">
        <f>IFERROR(__xludf.DUMMYFUNCTION("""COMPUTED_VALUE"""),98.0)</f>
        <v>98</v>
      </c>
      <c r="F2507" s="1">
        <f>IFERROR(__xludf.DUMMYFUNCTION("""COMPUTED_VALUE"""),1617340.0)</f>
        <v>1617340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IFERROR(__xludf.DUMMYFUNCTION("""COMPUTED_VALUE"""),98.27)</f>
        <v>98.27</v>
      </c>
      <c r="C2508" s="1">
        <f>IFERROR(__xludf.DUMMYFUNCTION("""COMPUTED_VALUE"""),99.15)</f>
        <v>99.15</v>
      </c>
      <c r="D2508" s="1">
        <f>IFERROR(__xludf.DUMMYFUNCTION("""COMPUTED_VALUE"""),98.07)</f>
        <v>98.07</v>
      </c>
      <c r="E2508" s="1">
        <f>IFERROR(__xludf.DUMMYFUNCTION("""COMPUTED_VALUE"""),98.9)</f>
        <v>98.9</v>
      </c>
      <c r="F2508" s="1">
        <f>IFERROR(__xludf.DUMMYFUNCTION("""COMPUTED_VALUE"""),946672.0)</f>
        <v>946672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IFERROR(__xludf.DUMMYFUNCTION("""COMPUTED_VALUE"""),99.45)</f>
        <v>99.45</v>
      </c>
      <c r="C2509" s="1">
        <f>IFERROR(__xludf.DUMMYFUNCTION("""COMPUTED_VALUE"""),99.79)</f>
        <v>99.79</v>
      </c>
      <c r="D2509" s="1">
        <f>IFERROR(__xludf.DUMMYFUNCTION("""COMPUTED_VALUE"""),98.28)</f>
        <v>98.28</v>
      </c>
      <c r="E2509" s="1">
        <f>IFERROR(__xludf.DUMMYFUNCTION("""COMPUTED_VALUE"""),98.64)</f>
        <v>98.64</v>
      </c>
      <c r="F2509" s="1">
        <f>IFERROR(__xludf.DUMMYFUNCTION("""COMPUTED_VALUE"""),1544824.0)</f>
        <v>1544824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IFERROR(__xludf.DUMMYFUNCTION("""COMPUTED_VALUE"""),98.42)</f>
        <v>98.42</v>
      </c>
      <c r="C2510" s="1">
        <f>IFERROR(__xludf.DUMMYFUNCTION("""COMPUTED_VALUE"""),98.88)</f>
        <v>98.88</v>
      </c>
      <c r="D2510" s="1">
        <f>IFERROR(__xludf.DUMMYFUNCTION("""COMPUTED_VALUE"""),97.26)</f>
        <v>97.26</v>
      </c>
      <c r="E2510" s="1">
        <f>IFERROR(__xludf.DUMMYFUNCTION("""COMPUTED_VALUE"""),98.79)</f>
        <v>98.79</v>
      </c>
      <c r="F2510" s="1">
        <f>IFERROR(__xludf.DUMMYFUNCTION("""COMPUTED_VALUE"""),2005467.0)</f>
        <v>2005467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IFERROR(__xludf.DUMMYFUNCTION("""COMPUTED_VALUE"""),94.4)</f>
        <v>94.4</v>
      </c>
      <c r="C2511" s="1">
        <f>IFERROR(__xludf.DUMMYFUNCTION("""COMPUTED_VALUE"""),95.1)</f>
        <v>95.1</v>
      </c>
      <c r="D2511" s="1">
        <f>IFERROR(__xludf.DUMMYFUNCTION("""COMPUTED_VALUE"""),92.6)</f>
        <v>92.6</v>
      </c>
      <c r="E2511" s="1">
        <f>IFERROR(__xludf.DUMMYFUNCTION("""COMPUTED_VALUE"""),92.71)</f>
        <v>92.71</v>
      </c>
      <c r="F2511" s="1">
        <f>IFERROR(__xludf.DUMMYFUNCTION("""COMPUTED_VALUE"""),6536484.0)</f>
        <v>6536484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IFERROR(__xludf.DUMMYFUNCTION("""COMPUTED_VALUE"""),92.1)</f>
        <v>92.1</v>
      </c>
      <c r="C2512" s="1">
        <f>IFERROR(__xludf.DUMMYFUNCTION("""COMPUTED_VALUE"""),92.5)</f>
        <v>92.5</v>
      </c>
      <c r="D2512" s="1">
        <f>IFERROR(__xludf.DUMMYFUNCTION("""COMPUTED_VALUE"""),89.04)</f>
        <v>89.04</v>
      </c>
      <c r="E2512" s="1">
        <f>IFERROR(__xludf.DUMMYFUNCTION("""COMPUTED_VALUE"""),89.18)</f>
        <v>89.18</v>
      </c>
      <c r="F2512" s="1">
        <f>IFERROR(__xludf.DUMMYFUNCTION("""COMPUTED_VALUE"""),3562015.0)</f>
        <v>3562015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IFERROR(__xludf.DUMMYFUNCTION("""COMPUTED_VALUE"""),89.04)</f>
        <v>89.04</v>
      </c>
      <c r="C2513" s="1">
        <f>IFERROR(__xludf.DUMMYFUNCTION("""COMPUTED_VALUE"""),89.34)</f>
        <v>89.34</v>
      </c>
      <c r="D2513" s="1">
        <f>IFERROR(__xludf.DUMMYFUNCTION("""COMPUTED_VALUE"""),88.57)</f>
        <v>88.57</v>
      </c>
      <c r="E2513" s="1">
        <f>IFERROR(__xludf.DUMMYFUNCTION("""COMPUTED_VALUE"""),88.86)</f>
        <v>88.86</v>
      </c>
      <c r="F2513" s="1">
        <f>IFERROR(__xludf.DUMMYFUNCTION("""COMPUTED_VALUE"""),959936.0)</f>
        <v>959936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IFERROR(__xludf.DUMMYFUNCTION("""COMPUTED_VALUE"""),88.94)</f>
        <v>88.94</v>
      </c>
      <c r="C2514" s="1">
        <f>IFERROR(__xludf.DUMMYFUNCTION("""COMPUTED_VALUE"""),89.37)</f>
        <v>89.37</v>
      </c>
      <c r="D2514" s="1">
        <f>IFERROR(__xludf.DUMMYFUNCTION("""COMPUTED_VALUE"""),87.91)</f>
        <v>87.91</v>
      </c>
      <c r="E2514" s="1">
        <f>IFERROR(__xludf.DUMMYFUNCTION("""COMPUTED_VALUE"""),89.03)</f>
        <v>89.03</v>
      </c>
      <c r="F2514" s="1">
        <f>IFERROR(__xludf.DUMMYFUNCTION("""COMPUTED_VALUE"""),1706987.0)</f>
        <v>1706987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IFERROR(__xludf.DUMMYFUNCTION("""COMPUTED_VALUE"""),89.28)</f>
        <v>89.28</v>
      </c>
      <c r="C2515" s="1">
        <f>IFERROR(__xludf.DUMMYFUNCTION("""COMPUTED_VALUE"""),89.68)</f>
        <v>89.68</v>
      </c>
      <c r="D2515" s="1">
        <f>IFERROR(__xludf.DUMMYFUNCTION("""COMPUTED_VALUE"""),87.73)</f>
        <v>87.73</v>
      </c>
      <c r="E2515" s="1">
        <f>IFERROR(__xludf.DUMMYFUNCTION("""COMPUTED_VALUE"""),88.4)</f>
        <v>88.4</v>
      </c>
      <c r="F2515" s="1">
        <f>IFERROR(__xludf.DUMMYFUNCTION("""COMPUTED_VALUE"""),1377107.0)</f>
        <v>1377107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IFERROR(__xludf.DUMMYFUNCTION("""COMPUTED_VALUE"""),88.35)</f>
        <v>88.35</v>
      </c>
      <c r="C2516" s="1">
        <f>IFERROR(__xludf.DUMMYFUNCTION("""COMPUTED_VALUE"""),88.37)</f>
        <v>88.37</v>
      </c>
      <c r="D2516" s="1">
        <f>IFERROR(__xludf.DUMMYFUNCTION("""COMPUTED_VALUE"""),86.96)</f>
        <v>86.96</v>
      </c>
      <c r="E2516" s="1">
        <f>IFERROR(__xludf.DUMMYFUNCTION("""COMPUTED_VALUE"""),87.43)</f>
        <v>87.43</v>
      </c>
      <c r="F2516" s="1">
        <f>IFERROR(__xludf.DUMMYFUNCTION("""COMPUTED_VALUE"""),1421482.0)</f>
        <v>1421482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IFERROR(__xludf.DUMMYFUNCTION("""COMPUTED_VALUE"""),87.22)</f>
        <v>87.22</v>
      </c>
      <c r="C2517" s="1">
        <f>IFERROR(__xludf.DUMMYFUNCTION("""COMPUTED_VALUE"""),88.05)</f>
        <v>88.05</v>
      </c>
      <c r="D2517" s="1">
        <f>IFERROR(__xludf.DUMMYFUNCTION("""COMPUTED_VALUE"""),87.13)</f>
        <v>87.13</v>
      </c>
      <c r="E2517" s="1">
        <f>IFERROR(__xludf.DUMMYFUNCTION("""COMPUTED_VALUE"""),87.67)</f>
        <v>87.67</v>
      </c>
      <c r="F2517" s="1">
        <f>IFERROR(__xludf.DUMMYFUNCTION("""COMPUTED_VALUE"""),1257215.0)</f>
        <v>1257215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IFERROR(__xludf.DUMMYFUNCTION("""COMPUTED_VALUE"""),87.97)</f>
        <v>87.97</v>
      </c>
      <c r="C2518" s="1">
        <f>IFERROR(__xludf.DUMMYFUNCTION("""COMPUTED_VALUE"""),89.51)</f>
        <v>89.51</v>
      </c>
      <c r="D2518" s="1">
        <f>IFERROR(__xludf.DUMMYFUNCTION("""COMPUTED_VALUE"""),87.81)</f>
        <v>87.81</v>
      </c>
      <c r="E2518" s="1">
        <f>IFERROR(__xludf.DUMMYFUNCTION("""COMPUTED_VALUE"""),89.51)</f>
        <v>89.51</v>
      </c>
      <c r="F2518" s="1">
        <f>IFERROR(__xludf.DUMMYFUNCTION("""COMPUTED_VALUE"""),1998685.0)</f>
        <v>1998685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IFERROR(__xludf.DUMMYFUNCTION("""COMPUTED_VALUE"""),88.39)</f>
        <v>88.39</v>
      </c>
      <c r="C2519" s="1">
        <f>IFERROR(__xludf.DUMMYFUNCTION("""COMPUTED_VALUE"""),88.73)</f>
        <v>88.73</v>
      </c>
      <c r="D2519" s="1">
        <f>IFERROR(__xludf.DUMMYFUNCTION("""COMPUTED_VALUE"""),86.7)</f>
        <v>86.7</v>
      </c>
      <c r="E2519" s="1">
        <f>IFERROR(__xludf.DUMMYFUNCTION("""COMPUTED_VALUE"""),87.26)</f>
        <v>87.26</v>
      </c>
      <c r="F2519" s="1">
        <f>IFERROR(__xludf.DUMMYFUNCTION("""COMPUTED_VALUE"""),1475407.0)</f>
        <v>1475407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IFERROR(__xludf.DUMMYFUNCTION("""COMPUTED_VALUE"""),86.49)</f>
        <v>86.49</v>
      </c>
      <c r="C2520" s="1">
        <f>IFERROR(__xludf.DUMMYFUNCTION("""COMPUTED_VALUE"""),87.58)</f>
        <v>87.58</v>
      </c>
      <c r="D2520" s="1">
        <f>IFERROR(__xludf.DUMMYFUNCTION("""COMPUTED_VALUE"""),86.18)</f>
        <v>86.18</v>
      </c>
      <c r="E2520" s="1">
        <f>IFERROR(__xludf.DUMMYFUNCTION("""COMPUTED_VALUE"""),87.05)</f>
        <v>87.05</v>
      </c>
      <c r="F2520" s="1">
        <f>IFERROR(__xludf.DUMMYFUNCTION("""COMPUTED_VALUE"""),1345985.0)</f>
        <v>1345985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IFERROR(__xludf.DUMMYFUNCTION("""COMPUTED_VALUE"""),87.24)</f>
        <v>87.24</v>
      </c>
      <c r="C2521" s="1">
        <f>IFERROR(__xludf.DUMMYFUNCTION("""COMPUTED_VALUE"""),87.85)</f>
        <v>87.85</v>
      </c>
      <c r="D2521" s="1">
        <f>IFERROR(__xludf.DUMMYFUNCTION("""COMPUTED_VALUE"""),86.97)</f>
        <v>86.97</v>
      </c>
      <c r="E2521" s="1">
        <f>IFERROR(__xludf.DUMMYFUNCTION("""COMPUTED_VALUE"""),87.23)</f>
        <v>87.23</v>
      </c>
      <c r="F2521" s="1">
        <f>IFERROR(__xludf.DUMMYFUNCTION("""COMPUTED_VALUE"""),1199701.0)</f>
        <v>1199701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IFERROR(__xludf.DUMMYFUNCTION("""COMPUTED_VALUE"""),87.22)</f>
        <v>87.22</v>
      </c>
      <c r="C2522" s="1">
        <f>IFERROR(__xludf.DUMMYFUNCTION("""COMPUTED_VALUE"""),87.82)</f>
        <v>87.82</v>
      </c>
      <c r="D2522" s="1">
        <f>IFERROR(__xludf.DUMMYFUNCTION("""COMPUTED_VALUE"""),86.95)</f>
        <v>86.95</v>
      </c>
      <c r="E2522" s="1">
        <f>IFERROR(__xludf.DUMMYFUNCTION("""COMPUTED_VALUE"""),87.08)</f>
        <v>87.08</v>
      </c>
      <c r="F2522" s="1">
        <f>IFERROR(__xludf.DUMMYFUNCTION("""COMPUTED_VALUE"""),1651054.0)</f>
        <v>1651054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IFERROR(__xludf.DUMMYFUNCTION("""COMPUTED_VALUE"""),87.61)</f>
        <v>87.61</v>
      </c>
      <c r="C2523" s="1">
        <f>IFERROR(__xludf.DUMMYFUNCTION("""COMPUTED_VALUE"""),88.08)</f>
        <v>88.08</v>
      </c>
      <c r="D2523" s="1">
        <f>IFERROR(__xludf.DUMMYFUNCTION("""COMPUTED_VALUE"""),87.25)</f>
        <v>87.25</v>
      </c>
      <c r="E2523" s="1">
        <f>IFERROR(__xludf.DUMMYFUNCTION("""COMPUTED_VALUE"""),87.6)</f>
        <v>87.6</v>
      </c>
      <c r="F2523" s="1">
        <f>IFERROR(__xludf.DUMMYFUNCTION("""COMPUTED_VALUE"""),1153499.0)</f>
        <v>1153499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IFERROR(__xludf.DUMMYFUNCTION("""COMPUTED_VALUE"""),87.9)</f>
        <v>87.9</v>
      </c>
      <c r="C2524" s="1">
        <f>IFERROR(__xludf.DUMMYFUNCTION("""COMPUTED_VALUE"""),89.81)</f>
        <v>89.81</v>
      </c>
      <c r="D2524" s="1">
        <f>IFERROR(__xludf.DUMMYFUNCTION("""COMPUTED_VALUE"""),87.9)</f>
        <v>87.9</v>
      </c>
      <c r="E2524" s="1">
        <f>IFERROR(__xludf.DUMMYFUNCTION("""COMPUTED_VALUE"""),89.09)</f>
        <v>89.09</v>
      </c>
      <c r="F2524" s="1">
        <f>IFERROR(__xludf.DUMMYFUNCTION("""COMPUTED_VALUE"""),2066127.0)</f>
        <v>2066127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IFERROR(__xludf.DUMMYFUNCTION("""COMPUTED_VALUE"""),89.02)</f>
        <v>89.02</v>
      </c>
      <c r="C2525" s="1">
        <f>IFERROR(__xludf.DUMMYFUNCTION("""COMPUTED_VALUE"""),91.11)</f>
        <v>91.11</v>
      </c>
      <c r="D2525" s="1">
        <f>IFERROR(__xludf.DUMMYFUNCTION("""COMPUTED_VALUE"""),88.56)</f>
        <v>88.56</v>
      </c>
      <c r="E2525" s="1">
        <f>IFERROR(__xludf.DUMMYFUNCTION("""COMPUTED_VALUE"""),91.03)</f>
        <v>91.03</v>
      </c>
      <c r="F2525" s="1">
        <f>IFERROR(__xludf.DUMMYFUNCTION("""COMPUTED_VALUE"""),1340873.0)</f>
        <v>1340873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IFERROR(__xludf.DUMMYFUNCTION("""COMPUTED_VALUE"""),90.88)</f>
        <v>90.88</v>
      </c>
      <c r="C2526" s="1">
        <f>IFERROR(__xludf.DUMMYFUNCTION("""COMPUTED_VALUE"""),93.14)</f>
        <v>93.14</v>
      </c>
      <c r="D2526" s="1">
        <f>IFERROR(__xludf.DUMMYFUNCTION("""COMPUTED_VALUE"""),90.82)</f>
        <v>90.82</v>
      </c>
      <c r="E2526" s="1">
        <f>IFERROR(__xludf.DUMMYFUNCTION("""COMPUTED_VALUE"""),91.94)</f>
        <v>91.94</v>
      </c>
      <c r="F2526" s="1">
        <f>IFERROR(__xludf.DUMMYFUNCTION("""COMPUTED_VALUE"""),1543719.0)</f>
        <v>1543719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IFERROR(__xludf.DUMMYFUNCTION("""COMPUTED_VALUE"""),91.59)</f>
        <v>91.59</v>
      </c>
      <c r="C2527" s="1">
        <f>IFERROR(__xludf.DUMMYFUNCTION("""COMPUTED_VALUE"""),93.83)</f>
        <v>93.83</v>
      </c>
      <c r="D2527" s="1">
        <f>IFERROR(__xludf.DUMMYFUNCTION("""COMPUTED_VALUE"""),91.24)</f>
        <v>91.24</v>
      </c>
      <c r="E2527" s="1">
        <f>IFERROR(__xludf.DUMMYFUNCTION("""COMPUTED_VALUE"""),92.88)</f>
        <v>92.88</v>
      </c>
      <c r="F2527" s="1">
        <f>IFERROR(__xludf.DUMMYFUNCTION("""COMPUTED_VALUE"""),1343922.0)</f>
        <v>1343922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IFERROR(__xludf.DUMMYFUNCTION("""COMPUTED_VALUE"""),93.26)</f>
        <v>93.26</v>
      </c>
      <c r="C2528" s="1">
        <f>IFERROR(__xludf.DUMMYFUNCTION("""COMPUTED_VALUE"""),94.88)</f>
        <v>94.88</v>
      </c>
      <c r="D2528" s="1">
        <f>IFERROR(__xludf.DUMMYFUNCTION("""COMPUTED_VALUE"""),93.0)</f>
        <v>93</v>
      </c>
      <c r="E2528" s="1">
        <f>IFERROR(__xludf.DUMMYFUNCTION("""COMPUTED_VALUE"""),94.7)</f>
        <v>94.7</v>
      </c>
      <c r="F2528" s="1">
        <f>IFERROR(__xludf.DUMMYFUNCTION("""COMPUTED_VALUE"""),1202603.0)</f>
        <v>1202603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IFERROR(__xludf.DUMMYFUNCTION("""COMPUTED_VALUE"""),95.0)</f>
        <v>95</v>
      </c>
      <c r="C2529" s="1">
        <f>IFERROR(__xludf.DUMMYFUNCTION("""COMPUTED_VALUE"""),96.01)</f>
        <v>96.01</v>
      </c>
      <c r="D2529" s="1">
        <f>IFERROR(__xludf.DUMMYFUNCTION("""COMPUTED_VALUE"""),94.83)</f>
        <v>94.83</v>
      </c>
      <c r="E2529" s="1">
        <f>IFERROR(__xludf.DUMMYFUNCTION("""COMPUTED_VALUE"""),95.68)</f>
        <v>95.68</v>
      </c>
      <c r="F2529" s="1">
        <f>IFERROR(__xludf.DUMMYFUNCTION("""COMPUTED_VALUE"""),1703389.0)</f>
        <v>1703389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IFERROR(__xludf.DUMMYFUNCTION("""COMPUTED_VALUE"""),95.38)</f>
        <v>95.38</v>
      </c>
      <c r="C2530" s="1">
        <f>IFERROR(__xludf.DUMMYFUNCTION("""COMPUTED_VALUE"""),96.13)</f>
        <v>96.13</v>
      </c>
      <c r="D2530" s="1">
        <f>IFERROR(__xludf.DUMMYFUNCTION("""COMPUTED_VALUE"""),94.77)</f>
        <v>94.77</v>
      </c>
      <c r="E2530" s="1">
        <f>IFERROR(__xludf.DUMMYFUNCTION("""COMPUTED_VALUE"""),95.9)</f>
        <v>95.9</v>
      </c>
      <c r="F2530" s="1">
        <f>IFERROR(__xludf.DUMMYFUNCTION("""COMPUTED_VALUE"""),1549019.0)</f>
        <v>1549019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IFERROR(__xludf.DUMMYFUNCTION("""COMPUTED_VALUE"""),96.43)</f>
        <v>96.43</v>
      </c>
      <c r="C2531" s="1">
        <f>IFERROR(__xludf.DUMMYFUNCTION("""COMPUTED_VALUE"""),97.86)</f>
        <v>97.86</v>
      </c>
      <c r="D2531" s="1">
        <f>IFERROR(__xludf.DUMMYFUNCTION("""COMPUTED_VALUE"""),96.19)</f>
        <v>96.19</v>
      </c>
      <c r="E2531" s="1">
        <f>IFERROR(__xludf.DUMMYFUNCTION("""COMPUTED_VALUE"""),97.35)</f>
        <v>97.35</v>
      </c>
      <c r="F2531" s="1">
        <f>IFERROR(__xludf.DUMMYFUNCTION("""COMPUTED_VALUE"""),1162748.0)</f>
        <v>1162748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IFERROR(__xludf.DUMMYFUNCTION("""COMPUTED_VALUE"""),96.97)</f>
        <v>96.97</v>
      </c>
      <c r="C2532" s="1">
        <f>IFERROR(__xludf.DUMMYFUNCTION("""COMPUTED_VALUE"""),98.19)</f>
        <v>98.19</v>
      </c>
      <c r="D2532" s="1">
        <f>IFERROR(__xludf.DUMMYFUNCTION("""COMPUTED_VALUE"""),96.45)</f>
        <v>96.45</v>
      </c>
      <c r="E2532" s="1">
        <f>IFERROR(__xludf.DUMMYFUNCTION("""COMPUTED_VALUE"""),98.11)</f>
        <v>98.11</v>
      </c>
      <c r="F2532" s="1">
        <f>IFERROR(__xludf.DUMMYFUNCTION("""COMPUTED_VALUE"""),746152.0)</f>
        <v>746152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IFERROR(__xludf.DUMMYFUNCTION("""COMPUTED_VALUE"""),98.32)</f>
        <v>98.32</v>
      </c>
      <c r="C2533" s="1">
        <f>IFERROR(__xludf.DUMMYFUNCTION("""COMPUTED_VALUE"""),98.32)</f>
        <v>98.32</v>
      </c>
      <c r="D2533" s="1">
        <f>IFERROR(__xludf.DUMMYFUNCTION("""COMPUTED_VALUE"""),95.89)</f>
        <v>95.89</v>
      </c>
      <c r="E2533" s="1">
        <f>IFERROR(__xludf.DUMMYFUNCTION("""COMPUTED_VALUE"""),96.73)</f>
        <v>96.73</v>
      </c>
      <c r="F2533" s="1">
        <f>IFERROR(__xludf.DUMMYFUNCTION("""COMPUTED_VALUE"""),1096173.0)</f>
        <v>1096173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IFERROR(__xludf.DUMMYFUNCTION("""COMPUTED_VALUE"""),95.44)</f>
        <v>95.44</v>
      </c>
      <c r="C2534" s="1">
        <f>IFERROR(__xludf.DUMMYFUNCTION("""COMPUTED_VALUE"""),96.71)</f>
        <v>96.71</v>
      </c>
      <c r="D2534" s="1">
        <f>IFERROR(__xludf.DUMMYFUNCTION("""COMPUTED_VALUE"""),95.12)</f>
        <v>95.12</v>
      </c>
      <c r="E2534" s="1">
        <f>IFERROR(__xludf.DUMMYFUNCTION("""COMPUTED_VALUE"""),95.98)</f>
        <v>95.98</v>
      </c>
      <c r="F2534" s="1">
        <f>IFERROR(__xludf.DUMMYFUNCTION("""COMPUTED_VALUE"""),1015001.0)</f>
        <v>1015001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IFERROR(__xludf.DUMMYFUNCTION("""COMPUTED_VALUE"""),96.37)</f>
        <v>96.37</v>
      </c>
      <c r="C2535" s="1">
        <f>IFERROR(__xludf.DUMMYFUNCTION("""COMPUTED_VALUE"""),99.0)</f>
        <v>99</v>
      </c>
      <c r="D2535" s="1">
        <f>IFERROR(__xludf.DUMMYFUNCTION("""COMPUTED_VALUE"""),96.01)</f>
        <v>96.01</v>
      </c>
      <c r="E2535" s="1">
        <f>IFERROR(__xludf.DUMMYFUNCTION("""COMPUTED_VALUE"""),98.57)</f>
        <v>98.57</v>
      </c>
      <c r="F2535" s="1">
        <f>IFERROR(__xludf.DUMMYFUNCTION("""COMPUTED_VALUE"""),1104647.0)</f>
        <v>1104647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IFERROR(__xludf.DUMMYFUNCTION("""COMPUTED_VALUE"""),99.0)</f>
        <v>99</v>
      </c>
      <c r="C2536" s="1">
        <f>IFERROR(__xludf.DUMMYFUNCTION("""COMPUTED_VALUE"""),99.72)</f>
        <v>99.72</v>
      </c>
      <c r="D2536" s="1">
        <f>IFERROR(__xludf.DUMMYFUNCTION("""COMPUTED_VALUE"""),98.45)</f>
        <v>98.45</v>
      </c>
      <c r="E2536" s="1">
        <f>IFERROR(__xludf.DUMMYFUNCTION("""COMPUTED_VALUE"""),98.5)</f>
        <v>98.5</v>
      </c>
      <c r="F2536" s="1">
        <f>IFERROR(__xludf.DUMMYFUNCTION("""COMPUTED_VALUE"""),898071.0)</f>
        <v>898071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IFERROR(__xludf.DUMMYFUNCTION("""COMPUTED_VALUE"""),97.68)</f>
        <v>97.68</v>
      </c>
      <c r="C2537" s="1">
        <f>IFERROR(__xludf.DUMMYFUNCTION("""COMPUTED_VALUE"""),99.38)</f>
        <v>99.38</v>
      </c>
      <c r="D2537" s="1">
        <f>IFERROR(__xludf.DUMMYFUNCTION("""COMPUTED_VALUE"""),97.23)</f>
        <v>97.23</v>
      </c>
      <c r="E2537" s="1">
        <f>IFERROR(__xludf.DUMMYFUNCTION("""COMPUTED_VALUE"""),99.36)</f>
        <v>99.36</v>
      </c>
      <c r="F2537" s="1">
        <f>IFERROR(__xludf.DUMMYFUNCTION("""COMPUTED_VALUE"""),911212.0)</f>
        <v>911212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IFERROR(__xludf.DUMMYFUNCTION("""COMPUTED_VALUE"""),99.04)</f>
        <v>99.04</v>
      </c>
      <c r="C2538" s="1">
        <f>IFERROR(__xludf.DUMMYFUNCTION("""COMPUTED_VALUE"""),99.33)</f>
        <v>99.33</v>
      </c>
      <c r="D2538" s="1">
        <f>IFERROR(__xludf.DUMMYFUNCTION("""COMPUTED_VALUE"""),97.02)</f>
        <v>97.02</v>
      </c>
      <c r="E2538" s="1">
        <f>IFERROR(__xludf.DUMMYFUNCTION("""COMPUTED_VALUE"""),97.04)</f>
        <v>97.04</v>
      </c>
      <c r="F2538" s="1">
        <f>IFERROR(__xludf.DUMMYFUNCTION("""COMPUTED_VALUE"""),1231604.0)</f>
        <v>1231604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IFERROR(__xludf.DUMMYFUNCTION("""COMPUTED_VALUE"""),96.5)</f>
        <v>96.5</v>
      </c>
      <c r="C2539" s="1">
        <f>IFERROR(__xludf.DUMMYFUNCTION("""COMPUTED_VALUE"""),97.54)</f>
        <v>97.54</v>
      </c>
      <c r="D2539" s="1">
        <f>IFERROR(__xludf.DUMMYFUNCTION("""COMPUTED_VALUE"""),94.97)</f>
        <v>94.97</v>
      </c>
      <c r="E2539" s="1">
        <f>IFERROR(__xludf.DUMMYFUNCTION("""COMPUTED_VALUE"""),95.06)</f>
        <v>95.06</v>
      </c>
      <c r="F2539" s="1">
        <f>IFERROR(__xludf.DUMMYFUNCTION("""COMPUTED_VALUE"""),1816683.0)</f>
        <v>1816683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IFERROR(__xludf.DUMMYFUNCTION("""COMPUTED_VALUE"""),96.49)</f>
        <v>96.49</v>
      </c>
      <c r="C2540" s="1">
        <f>IFERROR(__xludf.DUMMYFUNCTION("""COMPUTED_VALUE"""),97.19)</f>
        <v>97.19</v>
      </c>
      <c r="D2540" s="1">
        <f>IFERROR(__xludf.DUMMYFUNCTION("""COMPUTED_VALUE"""),95.61)</f>
        <v>95.61</v>
      </c>
      <c r="E2540" s="1">
        <f>IFERROR(__xludf.DUMMYFUNCTION("""COMPUTED_VALUE"""),96.75)</f>
        <v>96.75</v>
      </c>
      <c r="F2540" s="1">
        <f>IFERROR(__xludf.DUMMYFUNCTION("""COMPUTED_VALUE"""),1208829.0)</f>
        <v>1208829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IFERROR(__xludf.DUMMYFUNCTION("""COMPUTED_VALUE"""),97.97)</f>
        <v>97.97</v>
      </c>
      <c r="C2541" s="1">
        <f>IFERROR(__xludf.DUMMYFUNCTION("""COMPUTED_VALUE"""),98.45)</f>
        <v>98.45</v>
      </c>
      <c r="D2541" s="1">
        <f>IFERROR(__xludf.DUMMYFUNCTION("""COMPUTED_VALUE"""),97.14)</f>
        <v>97.14</v>
      </c>
      <c r="E2541" s="1">
        <f>IFERROR(__xludf.DUMMYFUNCTION("""COMPUTED_VALUE"""),97.97)</f>
        <v>97.97</v>
      </c>
      <c r="F2541" s="1">
        <f>IFERROR(__xludf.DUMMYFUNCTION("""COMPUTED_VALUE"""),772007.0)</f>
        <v>772007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IFERROR(__xludf.DUMMYFUNCTION("""COMPUTED_VALUE"""),98.17)</f>
        <v>98.17</v>
      </c>
      <c r="C2542" s="1">
        <f>IFERROR(__xludf.DUMMYFUNCTION("""COMPUTED_VALUE"""),98.42)</f>
        <v>98.42</v>
      </c>
      <c r="D2542" s="1">
        <f>IFERROR(__xludf.DUMMYFUNCTION("""COMPUTED_VALUE"""),96.97)</f>
        <v>96.97</v>
      </c>
      <c r="E2542" s="1">
        <f>IFERROR(__xludf.DUMMYFUNCTION("""COMPUTED_VALUE"""),96.97)</f>
        <v>96.97</v>
      </c>
      <c r="F2542" s="1">
        <f>IFERROR(__xludf.DUMMYFUNCTION("""COMPUTED_VALUE"""),955191.0)</f>
        <v>955191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IFERROR(__xludf.DUMMYFUNCTION("""COMPUTED_VALUE"""),96.85)</f>
        <v>96.85</v>
      </c>
      <c r="C2543" s="1">
        <f>IFERROR(__xludf.DUMMYFUNCTION("""COMPUTED_VALUE"""),97.81)</f>
        <v>97.81</v>
      </c>
      <c r="D2543" s="1">
        <f>IFERROR(__xludf.DUMMYFUNCTION("""COMPUTED_VALUE"""),96.21)</f>
        <v>96.21</v>
      </c>
      <c r="E2543" s="1">
        <f>IFERROR(__xludf.DUMMYFUNCTION("""COMPUTED_VALUE"""),96.3)</f>
        <v>96.3</v>
      </c>
      <c r="F2543" s="1">
        <f>IFERROR(__xludf.DUMMYFUNCTION("""COMPUTED_VALUE"""),1026065.0)</f>
        <v>1026065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IFERROR(__xludf.DUMMYFUNCTION("""COMPUTED_VALUE"""),95.97)</f>
        <v>95.97</v>
      </c>
      <c r="C2544" s="1">
        <f>IFERROR(__xludf.DUMMYFUNCTION("""COMPUTED_VALUE"""),97.76)</f>
        <v>97.76</v>
      </c>
      <c r="D2544" s="1">
        <f>IFERROR(__xludf.DUMMYFUNCTION("""COMPUTED_VALUE"""),95.93)</f>
        <v>95.93</v>
      </c>
      <c r="E2544" s="1">
        <f>IFERROR(__xludf.DUMMYFUNCTION("""COMPUTED_VALUE"""),97.65)</f>
        <v>97.65</v>
      </c>
      <c r="F2544" s="1">
        <f>IFERROR(__xludf.DUMMYFUNCTION("""COMPUTED_VALUE"""),845598.0)</f>
        <v>845598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IFERROR(__xludf.DUMMYFUNCTION("""COMPUTED_VALUE"""),98.25)</f>
        <v>98.25</v>
      </c>
      <c r="C2545" s="1">
        <f>IFERROR(__xludf.DUMMYFUNCTION("""COMPUTED_VALUE"""),99.63)</f>
        <v>99.63</v>
      </c>
      <c r="D2545" s="1">
        <f>IFERROR(__xludf.DUMMYFUNCTION("""COMPUTED_VALUE"""),98.05)</f>
        <v>98.05</v>
      </c>
      <c r="E2545" s="1">
        <f>IFERROR(__xludf.DUMMYFUNCTION("""COMPUTED_VALUE"""),98.84)</f>
        <v>98.84</v>
      </c>
      <c r="F2545" s="1">
        <f>IFERROR(__xludf.DUMMYFUNCTION("""COMPUTED_VALUE"""),945114.0)</f>
        <v>945114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IFERROR(__xludf.DUMMYFUNCTION("""COMPUTED_VALUE"""),99.19)</f>
        <v>99.19</v>
      </c>
      <c r="C2546" s="1">
        <f>IFERROR(__xludf.DUMMYFUNCTION("""COMPUTED_VALUE"""),99.52)</f>
        <v>99.52</v>
      </c>
      <c r="D2546" s="1">
        <f>IFERROR(__xludf.DUMMYFUNCTION("""COMPUTED_VALUE"""),98.18)</f>
        <v>98.18</v>
      </c>
      <c r="E2546" s="1">
        <f>IFERROR(__xludf.DUMMYFUNCTION("""COMPUTED_VALUE"""),98.23)</f>
        <v>98.23</v>
      </c>
      <c r="F2546" s="1">
        <f>IFERROR(__xludf.DUMMYFUNCTION("""COMPUTED_VALUE"""),654394.0)</f>
        <v>654394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IFERROR(__xludf.DUMMYFUNCTION("""COMPUTED_VALUE"""),97.47)</f>
        <v>97.47</v>
      </c>
      <c r="C2547" s="1">
        <f>IFERROR(__xludf.DUMMYFUNCTION("""COMPUTED_VALUE"""),99.59)</f>
        <v>99.59</v>
      </c>
      <c r="D2547" s="1">
        <f>IFERROR(__xludf.DUMMYFUNCTION("""COMPUTED_VALUE"""),97.33)</f>
        <v>97.33</v>
      </c>
      <c r="E2547" s="1">
        <f>IFERROR(__xludf.DUMMYFUNCTION("""COMPUTED_VALUE"""),98.89)</f>
        <v>98.89</v>
      </c>
      <c r="F2547" s="1">
        <f>IFERROR(__xludf.DUMMYFUNCTION("""COMPUTED_VALUE"""),749944.0)</f>
        <v>749944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IFERROR(__xludf.DUMMYFUNCTION("""COMPUTED_VALUE"""),98.58)</f>
        <v>98.58</v>
      </c>
      <c r="C2548" s="1">
        <f>IFERROR(__xludf.DUMMYFUNCTION("""COMPUTED_VALUE"""),99.07)</f>
        <v>99.07</v>
      </c>
      <c r="D2548" s="1">
        <f>IFERROR(__xludf.DUMMYFUNCTION("""COMPUTED_VALUE"""),97.97)</f>
        <v>97.97</v>
      </c>
      <c r="E2548" s="1">
        <f>IFERROR(__xludf.DUMMYFUNCTION("""COMPUTED_VALUE"""),98.81)</f>
        <v>98.81</v>
      </c>
      <c r="F2548" s="1">
        <f>IFERROR(__xludf.DUMMYFUNCTION("""COMPUTED_VALUE"""),729880.0)</f>
        <v>729880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IFERROR(__xludf.DUMMYFUNCTION("""COMPUTED_VALUE"""),98.96)</f>
        <v>98.96</v>
      </c>
      <c r="C2549" s="1">
        <f>IFERROR(__xludf.DUMMYFUNCTION("""COMPUTED_VALUE"""),99.36)</f>
        <v>99.36</v>
      </c>
      <c r="D2549" s="1">
        <f>IFERROR(__xludf.DUMMYFUNCTION("""COMPUTED_VALUE"""),98.05)</f>
        <v>98.05</v>
      </c>
      <c r="E2549" s="1">
        <f>IFERROR(__xludf.DUMMYFUNCTION("""COMPUTED_VALUE"""),98.27)</f>
        <v>98.27</v>
      </c>
      <c r="F2549" s="1">
        <f>IFERROR(__xludf.DUMMYFUNCTION("""COMPUTED_VALUE"""),767921.0)</f>
        <v>767921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IFERROR(__xludf.DUMMYFUNCTION("""COMPUTED_VALUE"""),98.54)</f>
        <v>98.54</v>
      </c>
      <c r="C2550" s="1">
        <f>IFERROR(__xludf.DUMMYFUNCTION("""COMPUTED_VALUE"""),100.4)</f>
        <v>100.4</v>
      </c>
      <c r="D2550" s="1">
        <f>IFERROR(__xludf.DUMMYFUNCTION("""COMPUTED_VALUE"""),98.35)</f>
        <v>98.35</v>
      </c>
      <c r="E2550" s="1">
        <f>IFERROR(__xludf.DUMMYFUNCTION("""COMPUTED_VALUE"""),100.13)</f>
        <v>100.13</v>
      </c>
      <c r="F2550" s="1">
        <f>IFERROR(__xludf.DUMMYFUNCTION("""COMPUTED_VALUE"""),907276.0)</f>
        <v>907276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IFERROR(__xludf.DUMMYFUNCTION("""COMPUTED_VALUE"""),100.74)</f>
        <v>100.74</v>
      </c>
      <c r="C2551" s="1">
        <f>IFERROR(__xludf.DUMMYFUNCTION("""COMPUTED_VALUE"""),103.18)</f>
        <v>103.18</v>
      </c>
      <c r="D2551" s="1">
        <f>IFERROR(__xludf.DUMMYFUNCTION("""COMPUTED_VALUE"""),100.55)</f>
        <v>100.55</v>
      </c>
      <c r="E2551" s="1">
        <f>IFERROR(__xludf.DUMMYFUNCTION("""COMPUTED_VALUE"""),101.9)</f>
        <v>101.9</v>
      </c>
      <c r="F2551" s="1">
        <f>IFERROR(__xludf.DUMMYFUNCTION("""COMPUTED_VALUE"""),1081565.0)</f>
        <v>1081565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IFERROR(__xludf.DUMMYFUNCTION("""COMPUTED_VALUE"""),101.43)</f>
        <v>101.43</v>
      </c>
      <c r="C2552" s="1">
        <f>IFERROR(__xludf.DUMMYFUNCTION("""COMPUTED_VALUE"""),101.66)</f>
        <v>101.66</v>
      </c>
      <c r="D2552" s="1">
        <f>IFERROR(__xludf.DUMMYFUNCTION("""COMPUTED_VALUE"""),100.39)</f>
        <v>100.39</v>
      </c>
      <c r="E2552" s="1">
        <f>IFERROR(__xludf.DUMMYFUNCTION("""COMPUTED_VALUE"""),101.21)</f>
        <v>101.21</v>
      </c>
      <c r="F2552" s="1">
        <f>IFERROR(__xludf.DUMMYFUNCTION("""COMPUTED_VALUE"""),864378.0)</f>
        <v>864378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IFERROR(__xludf.DUMMYFUNCTION("""COMPUTED_VALUE"""),98.32)</f>
        <v>98.32</v>
      </c>
      <c r="C2553" s="1">
        <f>IFERROR(__xludf.DUMMYFUNCTION("""COMPUTED_VALUE"""),99.42)</f>
        <v>99.42</v>
      </c>
      <c r="D2553" s="1">
        <f>IFERROR(__xludf.DUMMYFUNCTION("""COMPUTED_VALUE"""),97.26)</f>
        <v>97.26</v>
      </c>
      <c r="E2553" s="1">
        <f>IFERROR(__xludf.DUMMYFUNCTION("""COMPUTED_VALUE"""),97.45)</f>
        <v>97.45</v>
      </c>
      <c r="F2553" s="1">
        <f>IFERROR(__xludf.DUMMYFUNCTION("""COMPUTED_VALUE"""),948707.0)</f>
        <v>948707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IFERROR(__xludf.DUMMYFUNCTION("""COMPUTED_VALUE"""),97.78)</f>
        <v>97.78</v>
      </c>
      <c r="C2554" s="1">
        <f>IFERROR(__xludf.DUMMYFUNCTION("""COMPUTED_VALUE"""),98.08)</f>
        <v>98.08</v>
      </c>
      <c r="D2554" s="1">
        <f>IFERROR(__xludf.DUMMYFUNCTION("""COMPUTED_VALUE"""),93.01)</f>
        <v>93.01</v>
      </c>
      <c r="E2554" s="1">
        <f>IFERROR(__xludf.DUMMYFUNCTION("""COMPUTED_VALUE"""),93.29)</f>
        <v>93.29</v>
      </c>
      <c r="F2554" s="1">
        <f>IFERROR(__xludf.DUMMYFUNCTION("""COMPUTED_VALUE"""),1049912.0)</f>
        <v>1049912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IFERROR(__xludf.DUMMYFUNCTION("""COMPUTED_VALUE"""),93.97)</f>
        <v>93.97</v>
      </c>
      <c r="C2555" s="1">
        <f>IFERROR(__xludf.DUMMYFUNCTION("""COMPUTED_VALUE"""),94.92)</f>
        <v>94.92</v>
      </c>
      <c r="D2555" s="1">
        <f>IFERROR(__xludf.DUMMYFUNCTION("""COMPUTED_VALUE"""),91.29)</f>
        <v>91.29</v>
      </c>
      <c r="E2555" s="1">
        <f>IFERROR(__xludf.DUMMYFUNCTION("""COMPUTED_VALUE"""),91.3)</f>
        <v>91.3</v>
      </c>
      <c r="F2555" s="1">
        <f>IFERROR(__xludf.DUMMYFUNCTION("""COMPUTED_VALUE"""),988939.0)</f>
        <v>988939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IFERROR(__xludf.DUMMYFUNCTION("""COMPUTED_VALUE"""),89.88)</f>
        <v>89.88</v>
      </c>
      <c r="C2556" s="1">
        <f>IFERROR(__xludf.DUMMYFUNCTION("""COMPUTED_VALUE"""),91.87)</f>
        <v>91.87</v>
      </c>
      <c r="D2556" s="1">
        <f>IFERROR(__xludf.DUMMYFUNCTION("""COMPUTED_VALUE"""),87.63)</f>
        <v>87.63</v>
      </c>
      <c r="E2556" s="1">
        <f>IFERROR(__xludf.DUMMYFUNCTION("""COMPUTED_VALUE"""),88.19)</f>
        <v>88.19</v>
      </c>
      <c r="F2556" s="1">
        <f>IFERROR(__xludf.DUMMYFUNCTION("""COMPUTED_VALUE"""),1507476.0)</f>
        <v>1507476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IFERROR(__xludf.DUMMYFUNCTION("""COMPUTED_VALUE"""),85.77)</f>
        <v>85.77</v>
      </c>
      <c r="C2557" s="1">
        <f>IFERROR(__xludf.DUMMYFUNCTION("""COMPUTED_VALUE"""),87.31)</f>
        <v>87.31</v>
      </c>
      <c r="D2557" s="1">
        <f>IFERROR(__xludf.DUMMYFUNCTION("""COMPUTED_VALUE"""),84.01)</f>
        <v>84.01</v>
      </c>
      <c r="E2557" s="1">
        <f>IFERROR(__xludf.DUMMYFUNCTION("""COMPUTED_VALUE"""),87.31)</f>
        <v>87.31</v>
      </c>
      <c r="F2557" s="1">
        <f>IFERROR(__xludf.DUMMYFUNCTION("""COMPUTED_VALUE"""),2582295.0)</f>
        <v>2582295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IFERROR(__xludf.DUMMYFUNCTION("""COMPUTED_VALUE"""),87.3)</f>
        <v>87.3</v>
      </c>
      <c r="C2558" s="1">
        <f>IFERROR(__xludf.DUMMYFUNCTION("""COMPUTED_VALUE"""),89.84)</f>
        <v>89.84</v>
      </c>
      <c r="D2558" s="1">
        <f>IFERROR(__xludf.DUMMYFUNCTION("""COMPUTED_VALUE"""),85.22)</f>
        <v>85.22</v>
      </c>
      <c r="E2558" s="1">
        <f>IFERROR(__xludf.DUMMYFUNCTION("""COMPUTED_VALUE"""),89.74)</f>
        <v>89.74</v>
      </c>
      <c r="F2558" s="1">
        <f>IFERROR(__xludf.DUMMYFUNCTION("""COMPUTED_VALUE"""),1827552.0)</f>
        <v>1827552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IFERROR(__xludf.DUMMYFUNCTION("""COMPUTED_VALUE"""),89.45)</f>
        <v>89.45</v>
      </c>
      <c r="C2559" s="1">
        <f>IFERROR(__xludf.DUMMYFUNCTION("""COMPUTED_VALUE"""),91.14)</f>
        <v>91.14</v>
      </c>
      <c r="D2559" s="1">
        <f>IFERROR(__xludf.DUMMYFUNCTION("""COMPUTED_VALUE"""),84.95)</f>
        <v>84.95</v>
      </c>
      <c r="E2559" s="1">
        <f>IFERROR(__xludf.DUMMYFUNCTION("""COMPUTED_VALUE"""),86.16)</f>
        <v>86.16</v>
      </c>
      <c r="F2559" s="1">
        <f>IFERROR(__xludf.DUMMYFUNCTION("""COMPUTED_VALUE"""),1875537.0)</f>
        <v>1875537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IFERROR(__xludf.DUMMYFUNCTION("""COMPUTED_VALUE"""),87.22)</f>
        <v>87.22</v>
      </c>
      <c r="C2560" s="1">
        <f>IFERROR(__xludf.DUMMYFUNCTION("""COMPUTED_VALUE"""),90.77)</f>
        <v>90.77</v>
      </c>
      <c r="D2560" s="1">
        <f>IFERROR(__xludf.DUMMYFUNCTION("""COMPUTED_VALUE"""),86.9)</f>
        <v>86.9</v>
      </c>
      <c r="E2560" s="1">
        <f>IFERROR(__xludf.DUMMYFUNCTION("""COMPUTED_VALUE"""),90.7)</f>
        <v>90.7</v>
      </c>
      <c r="F2560" s="1">
        <f>IFERROR(__xludf.DUMMYFUNCTION("""COMPUTED_VALUE"""),1238181.0)</f>
        <v>1238181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IFERROR(__xludf.DUMMYFUNCTION("""COMPUTED_VALUE"""),88.03)</f>
        <v>88.03</v>
      </c>
      <c r="C2561" s="1">
        <f>IFERROR(__xludf.DUMMYFUNCTION("""COMPUTED_VALUE"""),88.08)</f>
        <v>88.08</v>
      </c>
      <c r="D2561" s="1">
        <f>IFERROR(__xludf.DUMMYFUNCTION("""COMPUTED_VALUE"""),85.0)</f>
        <v>85</v>
      </c>
      <c r="E2561" s="1">
        <f>IFERROR(__xludf.DUMMYFUNCTION("""COMPUTED_VALUE"""),85.93)</f>
        <v>85.93</v>
      </c>
      <c r="F2561" s="1">
        <f>IFERROR(__xludf.DUMMYFUNCTION("""COMPUTED_VALUE"""),1439176.0)</f>
        <v>1439176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IFERROR(__xludf.DUMMYFUNCTION("""COMPUTED_VALUE"""),83.68)</f>
        <v>83.68</v>
      </c>
      <c r="C2562" s="1">
        <f>IFERROR(__xludf.DUMMYFUNCTION("""COMPUTED_VALUE"""),85.39)</f>
        <v>85.39</v>
      </c>
      <c r="D2562" s="1">
        <f>IFERROR(__xludf.DUMMYFUNCTION("""COMPUTED_VALUE"""),82.14)</f>
        <v>82.14</v>
      </c>
      <c r="E2562" s="1">
        <f>IFERROR(__xludf.DUMMYFUNCTION("""COMPUTED_VALUE"""),85.0)</f>
        <v>85</v>
      </c>
      <c r="F2562" s="1">
        <f>IFERROR(__xludf.DUMMYFUNCTION("""COMPUTED_VALUE"""),1680156.0)</f>
        <v>1680156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IFERROR(__xludf.DUMMYFUNCTION("""COMPUTED_VALUE"""),80.1)</f>
        <v>80.1</v>
      </c>
      <c r="C2563" s="1">
        <f>IFERROR(__xludf.DUMMYFUNCTION("""COMPUTED_VALUE"""),80.5)</f>
        <v>80.5</v>
      </c>
      <c r="D2563" s="1">
        <f>IFERROR(__xludf.DUMMYFUNCTION("""COMPUTED_VALUE"""),75.2)</f>
        <v>75.2</v>
      </c>
      <c r="E2563" s="1">
        <f>IFERROR(__xludf.DUMMYFUNCTION("""COMPUTED_VALUE"""),75.21)</f>
        <v>75.21</v>
      </c>
      <c r="F2563" s="1">
        <f>IFERROR(__xludf.DUMMYFUNCTION("""COMPUTED_VALUE"""),2988765.0)</f>
        <v>2988765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IFERROR(__xludf.DUMMYFUNCTION("""COMPUTED_VALUE"""),78.14)</f>
        <v>78.14</v>
      </c>
      <c r="C2564" s="1">
        <f>IFERROR(__xludf.DUMMYFUNCTION("""COMPUTED_VALUE"""),80.36)</f>
        <v>80.36</v>
      </c>
      <c r="D2564" s="1">
        <f>IFERROR(__xludf.DUMMYFUNCTION("""COMPUTED_VALUE"""),75.9)</f>
        <v>75.9</v>
      </c>
      <c r="E2564" s="1">
        <f>IFERROR(__xludf.DUMMYFUNCTION("""COMPUTED_VALUE"""),79.79)</f>
        <v>79.79</v>
      </c>
      <c r="F2564" s="1">
        <f>IFERROR(__xludf.DUMMYFUNCTION("""COMPUTED_VALUE"""),2251503.0)</f>
        <v>2251503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IFERROR(__xludf.DUMMYFUNCTION("""COMPUTED_VALUE"""),76.92)</f>
        <v>76.92</v>
      </c>
      <c r="C2565" s="1">
        <f>IFERROR(__xludf.DUMMYFUNCTION("""COMPUTED_VALUE"""),78.13)</f>
        <v>78.13</v>
      </c>
      <c r="D2565" s="1">
        <f>IFERROR(__xludf.DUMMYFUNCTION("""COMPUTED_VALUE"""),75.06)</f>
        <v>75.06</v>
      </c>
      <c r="E2565" s="1">
        <f>IFERROR(__xludf.DUMMYFUNCTION("""COMPUTED_VALUE"""),76.21)</f>
        <v>76.21</v>
      </c>
      <c r="F2565" s="1">
        <f>IFERROR(__xludf.DUMMYFUNCTION("""COMPUTED_VALUE"""),2056171.0)</f>
        <v>2056171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IFERROR(__xludf.DUMMYFUNCTION("""COMPUTED_VALUE"""),71.23)</f>
        <v>71.23</v>
      </c>
      <c r="C2566" s="1">
        <f>IFERROR(__xludf.DUMMYFUNCTION("""COMPUTED_VALUE"""),74.6)</f>
        <v>74.6</v>
      </c>
      <c r="D2566" s="1">
        <f>IFERROR(__xludf.DUMMYFUNCTION("""COMPUTED_VALUE"""),67.32)</f>
        <v>67.32</v>
      </c>
      <c r="E2566" s="1">
        <f>IFERROR(__xludf.DUMMYFUNCTION("""COMPUTED_VALUE"""),67.87)</f>
        <v>67.87</v>
      </c>
      <c r="F2566" s="1">
        <f>IFERROR(__xludf.DUMMYFUNCTION("""COMPUTED_VALUE"""),2535333.0)</f>
        <v>2535333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IFERROR(__xludf.DUMMYFUNCTION("""COMPUTED_VALUE"""),72.44)</f>
        <v>72.44</v>
      </c>
      <c r="C2567" s="1">
        <f>IFERROR(__xludf.DUMMYFUNCTION("""COMPUTED_VALUE"""),72.55)</f>
        <v>72.55</v>
      </c>
      <c r="D2567" s="1">
        <f>IFERROR(__xludf.DUMMYFUNCTION("""COMPUTED_VALUE"""),65.12)</f>
        <v>65.12</v>
      </c>
      <c r="E2567" s="1">
        <f>IFERROR(__xludf.DUMMYFUNCTION("""COMPUTED_VALUE"""),69.19)</f>
        <v>69.19</v>
      </c>
      <c r="F2567" s="1">
        <f>IFERROR(__xludf.DUMMYFUNCTION("""COMPUTED_VALUE"""),2560743.0)</f>
        <v>2560743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IFERROR(__xludf.DUMMYFUNCTION("""COMPUTED_VALUE"""),63.13)</f>
        <v>63.13</v>
      </c>
      <c r="C2568" s="1">
        <f>IFERROR(__xludf.DUMMYFUNCTION("""COMPUTED_VALUE"""),63.13)</f>
        <v>63.13</v>
      </c>
      <c r="D2568" s="1">
        <f>IFERROR(__xludf.DUMMYFUNCTION("""COMPUTED_VALUE"""),51.27)</f>
        <v>51.27</v>
      </c>
      <c r="E2568" s="1">
        <f>IFERROR(__xludf.DUMMYFUNCTION("""COMPUTED_VALUE"""),54.95)</f>
        <v>54.95</v>
      </c>
      <c r="F2568" s="1">
        <f>IFERROR(__xludf.DUMMYFUNCTION("""COMPUTED_VALUE"""),4721068.0)</f>
        <v>4721068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IFERROR(__xludf.DUMMYFUNCTION("""COMPUTED_VALUE"""),55.4)</f>
        <v>55.4</v>
      </c>
      <c r="C2569" s="1">
        <f>IFERROR(__xludf.DUMMYFUNCTION("""COMPUTED_VALUE"""),57.6)</f>
        <v>57.6</v>
      </c>
      <c r="D2569" s="1">
        <f>IFERROR(__xludf.DUMMYFUNCTION("""COMPUTED_VALUE"""),49.42)</f>
        <v>49.42</v>
      </c>
      <c r="E2569" s="1">
        <f>IFERROR(__xludf.DUMMYFUNCTION("""COMPUTED_VALUE"""),53.76)</f>
        <v>53.76</v>
      </c>
      <c r="F2569" s="1">
        <f>IFERROR(__xludf.DUMMYFUNCTION("""COMPUTED_VALUE"""),3979317.0)</f>
        <v>3979317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IFERROR(__xludf.DUMMYFUNCTION("""COMPUTED_VALUE"""),50.21)</f>
        <v>50.21</v>
      </c>
      <c r="C2570" s="1">
        <f>IFERROR(__xludf.DUMMYFUNCTION("""COMPUTED_VALUE"""),50.4)</f>
        <v>50.4</v>
      </c>
      <c r="D2570" s="1">
        <f>IFERROR(__xludf.DUMMYFUNCTION("""COMPUTED_VALUE"""),37.59)</f>
        <v>37.59</v>
      </c>
      <c r="E2570" s="1">
        <f>IFERROR(__xludf.DUMMYFUNCTION("""COMPUTED_VALUE"""),48.22)</f>
        <v>48.22</v>
      </c>
      <c r="F2570" s="1">
        <f>IFERROR(__xludf.DUMMYFUNCTION("""COMPUTED_VALUE"""),4240181.0)</f>
        <v>4240181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IFERROR(__xludf.DUMMYFUNCTION("""COMPUTED_VALUE"""),47.26)</f>
        <v>47.26</v>
      </c>
      <c r="C2571" s="1">
        <f>IFERROR(__xludf.DUMMYFUNCTION("""COMPUTED_VALUE"""),49.64)</f>
        <v>49.64</v>
      </c>
      <c r="D2571" s="1">
        <f>IFERROR(__xludf.DUMMYFUNCTION("""COMPUTED_VALUE"""),41.51)</f>
        <v>41.51</v>
      </c>
      <c r="E2571" s="1">
        <f>IFERROR(__xludf.DUMMYFUNCTION("""COMPUTED_VALUE"""),48.13)</f>
        <v>48.13</v>
      </c>
      <c r="F2571" s="1">
        <f>IFERROR(__xludf.DUMMYFUNCTION("""COMPUTED_VALUE"""),3107414.0)</f>
        <v>3107414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IFERROR(__xludf.DUMMYFUNCTION("""COMPUTED_VALUE"""),49.06)</f>
        <v>49.06</v>
      </c>
      <c r="C2572" s="1">
        <f>IFERROR(__xludf.DUMMYFUNCTION("""COMPUTED_VALUE"""),52.37)</f>
        <v>52.37</v>
      </c>
      <c r="D2572" s="1">
        <f>IFERROR(__xludf.DUMMYFUNCTION("""COMPUTED_VALUE"""),44.02)</f>
        <v>44.02</v>
      </c>
      <c r="E2572" s="1">
        <f>IFERROR(__xludf.DUMMYFUNCTION("""COMPUTED_VALUE"""),44.27)</f>
        <v>44.27</v>
      </c>
      <c r="F2572" s="1">
        <f>IFERROR(__xludf.DUMMYFUNCTION("""COMPUTED_VALUE"""),4444849.0)</f>
        <v>4444849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IFERROR(__xludf.DUMMYFUNCTION("""COMPUTED_VALUE"""),44.1)</f>
        <v>44.1</v>
      </c>
      <c r="C2573" s="1">
        <f>IFERROR(__xludf.DUMMYFUNCTION("""COMPUTED_VALUE"""),48.23)</f>
        <v>48.23</v>
      </c>
      <c r="D2573" s="1">
        <f>IFERROR(__xludf.DUMMYFUNCTION("""COMPUTED_VALUE"""),43.14)</f>
        <v>43.14</v>
      </c>
      <c r="E2573" s="1">
        <f>IFERROR(__xludf.DUMMYFUNCTION("""COMPUTED_VALUE"""),47.7)</f>
        <v>47.7</v>
      </c>
      <c r="F2573" s="1">
        <f>IFERROR(__xludf.DUMMYFUNCTION("""COMPUTED_VALUE"""),2855639.0)</f>
        <v>2855639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IFERROR(__xludf.DUMMYFUNCTION("""COMPUTED_VALUE"""),51.31)</f>
        <v>51.31</v>
      </c>
      <c r="C2574" s="1">
        <f>IFERROR(__xludf.DUMMYFUNCTION("""COMPUTED_VALUE"""),56.81)</f>
        <v>56.81</v>
      </c>
      <c r="D2574" s="1">
        <f>IFERROR(__xludf.DUMMYFUNCTION("""COMPUTED_VALUE"""),51.11)</f>
        <v>51.11</v>
      </c>
      <c r="E2574" s="1">
        <f>IFERROR(__xludf.DUMMYFUNCTION("""COMPUTED_VALUE"""),56.32)</f>
        <v>56.32</v>
      </c>
      <c r="F2574" s="1">
        <f>IFERROR(__xludf.DUMMYFUNCTION("""COMPUTED_VALUE"""),2259892.0)</f>
        <v>2259892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IFERROR(__xludf.DUMMYFUNCTION("""COMPUTED_VALUE"""),58.12)</f>
        <v>58.12</v>
      </c>
      <c r="C2575" s="1">
        <f>IFERROR(__xludf.DUMMYFUNCTION("""COMPUTED_VALUE"""),68.24)</f>
        <v>68.24</v>
      </c>
      <c r="D2575" s="1">
        <f>IFERROR(__xludf.DUMMYFUNCTION("""COMPUTED_VALUE"""),54.24)</f>
        <v>54.24</v>
      </c>
      <c r="E2575" s="1">
        <f>IFERROR(__xludf.DUMMYFUNCTION("""COMPUTED_VALUE"""),63.88)</f>
        <v>63.88</v>
      </c>
      <c r="F2575" s="1">
        <f>IFERROR(__xludf.DUMMYFUNCTION("""COMPUTED_VALUE"""),3037083.0)</f>
        <v>3037083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IFERROR(__xludf.DUMMYFUNCTION("""COMPUTED_VALUE"""),64.9)</f>
        <v>64.9</v>
      </c>
      <c r="C2576" s="1">
        <f>IFERROR(__xludf.DUMMYFUNCTION("""COMPUTED_VALUE"""),67.45)</f>
        <v>67.45</v>
      </c>
      <c r="D2576" s="1">
        <f>IFERROR(__xludf.DUMMYFUNCTION("""COMPUTED_VALUE"""),60.46)</f>
        <v>60.46</v>
      </c>
      <c r="E2576" s="1">
        <f>IFERROR(__xludf.DUMMYFUNCTION("""COMPUTED_VALUE"""),60.92)</f>
        <v>60.92</v>
      </c>
      <c r="F2576" s="1">
        <f>IFERROR(__xludf.DUMMYFUNCTION("""COMPUTED_VALUE"""),2736603.0)</f>
        <v>2736603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IFERROR(__xludf.DUMMYFUNCTION("""COMPUTED_VALUE"""),57.76)</f>
        <v>57.76</v>
      </c>
      <c r="C2577" s="1">
        <f>IFERROR(__xludf.DUMMYFUNCTION("""COMPUTED_VALUE"""),59.27)</f>
        <v>59.27</v>
      </c>
      <c r="D2577" s="1">
        <f>IFERROR(__xludf.DUMMYFUNCTION("""COMPUTED_VALUE"""),53.44)</f>
        <v>53.44</v>
      </c>
      <c r="E2577" s="1">
        <f>IFERROR(__xludf.DUMMYFUNCTION("""COMPUTED_VALUE"""),58.93)</f>
        <v>58.93</v>
      </c>
      <c r="F2577" s="1">
        <f>IFERROR(__xludf.DUMMYFUNCTION("""COMPUTED_VALUE"""),2470293.0)</f>
        <v>2470293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IFERROR(__xludf.DUMMYFUNCTION("""COMPUTED_VALUE"""),57.46)</f>
        <v>57.46</v>
      </c>
      <c r="C2578" s="1">
        <f>IFERROR(__xludf.DUMMYFUNCTION("""COMPUTED_VALUE"""),58.9)</f>
        <v>58.9</v>
      </c>
      <c r="D2578" s="1">
        <f>IFERROR(__xludf.DUMMYFUNCTION("""COMPUTED_VALUE"""),54.21)</f>
        <v>54.21</v>
      </c>
      <c r="E2578" s="1">
        <f>IFERROR(__xludf.DUMMYFUNCTION("""COMPUTED_VALUE"""),55.75)</f>
        <v>55.75</v>
      </c>
      <c r="F2578" s="1">
        <f>IFERROR(__xludf.DUMMYFUNCTION("""COMPUTED_VALUE"""),1984815.0)</f>
        <v>1984815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IFERROR(__xludf.DUMMYFUNCTION("""COMPUTED_VALUE"""),55.0)</f>
        <v>55</v>
      </c>
      <c r="C2579" s="1">
        <f>IFERROR(__xludf.DUMMYFUNCTION("""COMPUTED_VALUE"""),55.74)</f>
        <v>55.74</v>
      </c>
      <c r="D2579" s="1">
        <f>IFERROR(__xludf.DUMMYFUNCTION("""COMPUTED_VALUE"""),53.22)</f>
        <v>53.22</v>
      </c>
      <c r="E2579" s="1">
        <f>IFERROR(__xludf.DUMMYFUNCTION("""COMPUTED_VALUE"""),53.83)</f>
        <v>53.83</v>
      </c>
      <c r="F2579" s="1">
        <f>IFERROR(__xludf.DUMMYFUNCTION("""COMPUTED_VALUE"""),2424724.0)</f>
        <v>2424724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IFERROR(__xludf.DUMMYFUNCTION("""COMPUTED_VALUE"""),49.41)</f>
        <v>49.41</v>
      </c>
      <c r="C2580" s="1">
        <f>IFERROR(__xludf.DUMMYFUNCTION("""COMPUTED_VALUE"""),53.71)</f>
        <v>53.71</v>
      </c>
      <c r="D2580" s="1">
        <f>IFERROR(__xludf.DUMMYFUNCTION("""COMPUTED_VALUE"""),48.1)</f>
        <v>48.1</v>
      </c>
      <c r="E2580" s="1">
        <f>IFERROR(__xludf.DUMMYFUNCTION("""COMPUTED_VALUE"""),52.36)</f>
        <v>52.36</v>
      </c>
      <c r="F2580" s="1">
        <f>IFERROR(__xludf.DUMMYFUNCTION("""COMPUTED_VALUE"""),3424703.0)</f>
        <v>3424703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IFERROR(__xludf.DUMMYFUNCTION("""COMPUTED_VALUE"""),49.01)</f>
        <v>49.01</v>
      </c>
      <c r="C2581" s="1">
        <f>IFERROR(__xludf.DUMMYFUNCTION("""COMPUTED_VALUE"""),52.83)</f>
        <v>52.83</v>
      </c>
      <c r="D2581" s="1">
        <f>IFERROR(__xludf.DUMMYFUNCTION("""COMPUTED_VALUE"""),48.26)</f>
        <v>48.26</v>
      </c>
      <c r="E2581" s="1">
        <f>IFERROR(__xludf.DUMMYFUNCTION("""COMPUTED_VALUE"""),50.2)</f>
        <v>50.2</v>
      </c>
      <c r="F2581" s="1">
        <f>IFERROR(__xludf.DUMMYFUNCTION("""COMPUTED_VALUE"""),4688280.0)</f>
        <v>4688280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IFERROR(__xludf.DUMMYFUNCTION("""COMPUTED_VALUE"""),48.75)</f>
        <v>48.75</v>
      </c>
      <c r="C2582" s="1">
        <f>IFERROR(__xludf.DUMMYFUNCTION("""COMPUTED_VALUE"""),49.89)</f>
        <v>49.89</v>
      </c>
      <c r="D2582" s="1">
        <f>IFERROR(__xludf.DUMMYFUNCTION("""COMPUTED_VALUE"""),47.06)</f>
        <v>47.06</v>
      </c>
      <c r="E2582" s="1">
        <f>IFERROR(__xludf.DUMMYFUNCTION("""COMPUTED_VALUE"""),48.6)</f>
        <v>48.6</v>
      </c>
      <c r="F2582" s="1">
        <f>IFERROR(__xludf.DUMMYFUNCTION("""COMPUTED_VALUE"""),3316621.0)</f>
        <v>3316621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IFERROR(__xludf.DUMMYFUNCTION("""COMPUTED_VALUE"""),52.36)</f>
        <v>52.36</v>
      </c>
      <c r="C2583" s="1">
        <f>IFERROR(__xludf.DUMMYFUNCTION("""COMPUTED_VALUE"""),55.57)</f>
        <v>55.57</v>
      </c>
      <c r="D2583" s="1">
        <f>IFERROR(__xludf.DUMMYFUNCTION("""COMPUTED_VALUE"""),50.28)</f>
        <v>50.28</v>
      </c>
      <c r="E2583" s="1">
        <f>IFERROR(__xludf.DUMMYFUNCTION("""COMPUTED_VALUE"""),54.45)</f>
        <v>54.45</v>
      </c>
      <c r="F2583" s="1">
        <f>IFERROR(__xludf.DUMMYFUNCTION("""COMPUTED_VALUE"""),2540472.0)</f>
        <v>2540472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IFERROR(__xludf.DUMMYFUNCTION("""COMPUTED_VALUE"""),58.38)</f>
        <v>58.38</v>
      </c>
      <c r="C2584" s="1">
        <f>IFERROR(__xludf.DUMMYFUNCTION("""COMPUTED_VALUE"""),60.98)</f>
        <v>60.98</v>
      </c>
      <c r="D2584" s="1">
        <f>IFERROR(__xludf.DUMMYFUNCTION("""COMPUTED_VALUE"""),56.05)</f>
        <v>56.05</v>
      </c>
      <c r="E2584" s="1">
        <f>IFERROR(__xludf.DUMMYFUNCTION("""COMPUTED_VALUE"""),58.01)</f>
        <v>58.01</v>
      </c>
      <c r="F2584" s="1">
        <f>IFERROR(__xludf.DUMMYFUNCTION("""COMPUTED_VALUE"""),2787033.0)</f>
        <v>2787033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IFERROR(__xludf.DUMMYFUNCTION("""COMPUTED_VALUE"""),59.0)</f>
        <v>59</v>
      </c>
      <c r="C2585" s="1">
        <f>IFERROR(__xludf.DUMMYFUNCTION("""COMPUTED_VALUE"""),64.13)</f>
        <v>64.13</v>
      </c>
      <c r="D2585" s="1">
        <f>IFERROR(__xludf.DUMMYFUNCTION("""COMPUTED_VALUE"""),57.7)</f>
        <v>57.7</v>
      </c>
      <c r="E2585" s="1">
        <f>IFERROR(__xludf.DUMMYFUNCTION("""COMPUTED_VALUE"""),63.22)</f>
        <v>63.22</v>
      </c>
      <c r="F2585" s="1">
        <f>IFERROR(__xludf.DUMMYFUNCTION("""COMPUTED_VALUE"""),2085497.0)</f>
        <v>2085497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IFERROR(__xludf.DUMMYFUNCTION("""COMPUTED_VALUE"""),64.97)</f>
        <v>64.97</v>
      </c>
      <c r="C2586" s="1">
        <f>IFERROR(__xludf.DUMMYFUNCTION("""COMPUTED_VALUE"""),70.27)</f>
        <v>70.27</v>
      </c>
      <c r="D2586" s="1">
        <f>IFERROR(__xludf.DUMMYFUNCTION("""COMPUTED_VALUE"""),64.5)</f>
        <v>64.5</v>
      </c>
      <c r="E2586" s="1">
        <f>IFERROR(__xludf.DUMMYFUNCTION("""COMPUTED_VALUE"""),66.5)</f>
        <v>66.5</v>
      </c>
      <c r="F2586" s="1">
        <f>IFERROR(__xludf.DUMMYFUNCTION("""COMPUTED_VALUE"""),2834145.0)</f>
        <v>2834145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IFERROR(__xludf.DUMMYFUNCTION("""COMPUTED_VALUE"""),66.11)</f>
        <v>66.11</v>
      </c>
      <c r="C2587" s="1">
        <f>IFERROR(__xludf.DUMMYFUNCTION("""COMPUTED_VALUE"""),66.47)</f>
        <v>66.47</v>
      </c>
      <c r="D2587" s="1">
        <f>IFERROR(__xludf.DUMMYFUNCTION("""COMPUTED_VALUE"""),61.78)</f>
        <v>61.78</v>
      </c>
      <c r="E2587" s="1">
        <f>IFERROR(__xludf.DUMMYFUNCTION("""COMPUTED_VALUE"""),62.6)</f>
        <v>62.6</v>
      </c>
      <c r="F2587" s="1">
        <f>IFERROR(__xludf.DUMMYFUNCTION("""COMPUTED_VALUE"""),1916124.0)</f>
        <v>1916124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IFERROR(__xludf.DUMMYFUNCTION("""COMPUTED_VALUE"""),63.85)</f>
        <v>63.85</v>
      </c>
      <c r="C2588" s="1">
        <f>IFERROR(__xludf.DUMMYFUNCTION("""COMPUTED_VALUE"""),66.18)</f>
        <v>66.18</v>
      </c>
      <c r="D2588" s="1">
        <f>IFERROR(__xludf.DUMMYFUNCTION("""COMPUTED_VALUE"""),63.85)</f>
        <v>63.85</v>
      </c>
      <c r="E2588" s="1">
        <f>IFERROR(__xludf.DUMMYFUNCTION("""COMPUTED_VALUE"""),64.39)</f>
        <v>64.39</v>
      </c>
      <c r="F2588" s="1">
        <f>IFERROR(__xludf.DUMMYFUNCTION("""COMPUTED_VALUE"""),2067214.0)</f>
        <v>2067214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IFERROR(__xludf.DUMMYFUNCTION("""COMPUTED_VALUE"""),62.38)</f>
        <v>62.38</v>
      </c>
      <c r="C2589" s="1">
        <f>IFERROR(__xludf.DUMMYFUNCTION("""COMPUTED_VALUE"""),63.88)</f>
        <v>63.88</v>
      </c>
      <c r="D2589" s="1">
        <f>IFERROR(__xludf.DUMMYFUNCTION("""COMPUTED_VALUE"""),60.81)</f>
        <v>60.81</v>
      </c>
      <c r="E2589" s="1">
        <f>IFERROR(__xludf.DUMMYFUNCTION("""COMPUTED_VALUE"""),61.58)</f>
        <v>61.58</v>
      </c>
      <c r="F2589" s="1">
        <f>IFERROR(__xludf.DUMMYFUNCTION("""COMPUTED_VALUE"""),1439255.0)</f>
        <v>1439255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IFERROR(__xludf.DUMMYFUNCTION("""COMPUTED_VALUE"""),61.69)</f>
        <v>61.69</v>
      </c>
      <c r="C2590" s="1">
        <f>IFERROR(__xludf.DUMMYFUNCTION("""COMPUTED_VALUE"""),61.98)</f>
        <v>61.98</v>
      </c>
      <c r="D2590" s="1">
        <f>IFERROR(__xludf.DUMMYFUNCTION("""COMPUTED_VALUE"""),58.93)</f>
        <v>58.93</v>
      </c>
      <c r="E2590" s="1">
        <f>IFERROR(__xludf.DUMMYFUNCTION("""COMPUTED_VALUE"""),59.07)</f>
        <v>59.07</v>
      </c>
      <c r="F2590" s="1">
        <f>IFERROR(__xludf.DUMMYFUNCTION("""COMPUTED_VALUE"""),2340344.0)</f>
        <v>2340344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IFERROR(__xludf.DUMMYFUNCTION("""COMPUTED_VALUE"""),61.89)</f>
        <v>61.89</v>
      </c>
      <c r="C2591" s="1">
        <f>IFERROR(__xludf.DUMMYFUNCTION("""COMPUTED_VALUE"""),65.85)</f>
        <v>65.85</v>
      </c>
      <c r="D2591" s="1">
        <f>IFERROR(__xludf.DUMMYFUNCTION("""COMPUTED_VALUE"""),61.89)</f>
        <v>61.89</v>
      </c>
      <c r="E2591" s="1">
        <f>IFERROR(__xludf.DUMMYFUNCTION("""COMPUTED_VALUE"""),65.22)</f>
        <v>65.22</v>
      </c>
      <c r="F2591" s="1">
        <f>IFERROR(__xludf.DUMMYFUNCTION("""COMPUTED_VALUE"""),4415008.0)</f>
        <v>4415008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IFERROR(__xludf.DUMMYFUNCTION("""COMPUTED_VALUE"""),63.81)</f>
        <v>63.81</v>
      </c>
      <c r="C2592" s="1">
        <f>IFERROR(__xludf.DUMMYFUNCTION("""COMPUTED_VALUE"""),65.43)</f>
        <v>65.43</v>
      </c>
      <c r="D2592" s="1">
        <f>IFERROR(__xludf.DUMMYFUNCTION("""COMPUTED_VALUE"""),63.11)</f>
        <v>63.11</v>
      </c>
      <c r="E2592" s="1">
        <f>IFERROR(__xludf.DUMMYFUNCTION("""COMPUTED_VALUE"""),64.56)</f>
        <v>64.56</v>
      </c>
      <c r="F2592" s="1">
        <f>IFERROR(__xludf.DUMMYFUNCTION("""COMPUTED_VALUE"""),3915110.0)</f>
        <v>3915110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IFERROR(__xludf.DUMMYFUNCTION("""COMPUTED_VALUE"""),61.35)</f>
        <v>61.35</v>
      </c>
      <c r="C2593" s="1">
        <f>IFERROR(__xludf.DUMMYFUNCTION("""COMPUTED_VALUE"""),64.01)</f>
        <v>64.01</v>
      </c>
      <c r="D2593" s="1">
        <f>IFERROR(__xludf.DUMMYFUNCTION("""COMPUTED_VALUE"""),61.23)</f>
        <v>61.23</v>
      </c>
      <c r="E2593" s="1">
        <f>IFERROR(__xludf.DUMMYFUNCTION("""COMPUTED_VALUE"""),63.58)</f>
        <v>63.58</v>
      </c>
      <c r="F2593" s="1">
        <f>IFERROR(__xludf.DUMMYFUNCTION("""COMPUTED_VALUE"""),3827887.0)</f>
        <v>3827887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IFERROR(__xludf.DUMMYFUNCTION("""COMPUTED_VALUE"""),64.79)</f>
        <v>64.79</v>
      </c>
      <c r="C2594" s="1">
        <f>IFERROR(__xludf.DUMMYFUNCTION("""COMPUTED_VALUE"""),65.55)</f>
        <v>65.55</v>
      </c>
      <c r="D2594" s="1">
        <f>IFERROR(__xludf.DUMMYFUNCTION("""COMPUTED_VALUE"""),64.4)</f>
        <v>64.4</v>
      </c>
      <c r="E2594" s="1">
        <f>IFERROR(__xludf.DUMMYFUNCTION("""COMPUTED_VALUE"""),64.91)</f>
        <v>64.91</v>
      </c>
      <c r="F2594" s="1">
        <f>IFERROR(__xludf.DUMMYFUNCTION("""COMPUTED_VALUE"""),2430450.0)</f>
        <v>2430450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IFERROR(__xludf.DUMMYFUNCTION("""COMPUTED_VALUE"""),65.03)</f>
        <v>65.03</v>
      </c>
      <c r="C2595" s="1">
        <f>IFERROR(__xludf.DUMMYFUNCTION("""COMPUTED_VALUE"""),66.83)</f>
        <v>66.83</v>
      </c>
      <c r="D2595" s="1">
        <f>IFERROR(__xludf.DUMMYFUNCTION("""COMPUTED_VALUE"""),64.84)</f>
        <v>64.84</v>
      </c>
      <c r="E2595" s="1">
        <f>IFERROR(__xludf.DUMMYFUNCTION("""COMPUTED_VALUE"""),65.99)</f>
        <v>65.99</v>
      </c>
      <c r="F2595" s="1">
        <f>IFERROR(__xludf.DUMMYFUNCTION("""COMPUTED_VALUE"""),2126018.0)</f>
        <v>2126018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IFERROR(__xludf.DUMMYFUNCTION("""COMPUTED_VALUE"""),66.89)</f>
        <v>66.89</v>
      </c>
      <c r="C2596" s="1">
        <f>IFERROR(__xludf.DUMMYFUNCTION("""COMPUTED_VALUE"""),71.62)</f>
        <v>71.62</v>
      </c>
      <c r="D2596" s="1">
        <f>IFERROR(__xludf.DUMMYFUNCTION("""COMPUTED_VALUE"""),66.89)</f>
        <v>66.89</v>
      </c>
      <c r="E2596" s="1">
        <f>IFERROR(__xludf.DUMMYFUNCTION("""COMPUTED_VALUE"""),70.96)</f>
        <v>70.96</v>
      </c>
      <c r="F2596" s="1">
        <f>IFERROR(__xludf.DUMMYFUNCTION("""COMPUTED_VALUE"""),3321714.0)</f>
        <v>3321714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IFERROR(__xludf.DUMMYFUNCTION("""COMPUTED_VALUE"""),71.86)</f>
        <v>71.86</v>
      </c>
      <c r="C2597" s="1">
        <f>IFERROR(__xludf.DUMMYFUNCTION("""COMPUTED_VALUE"""),75.8)</f>
        <v>75.8</v>
      </c>
      <c r="D2597" s="1">
        <f>IFERROR(__xludf.DUMMYFUNCTION("""COMPUTED_VALUE"""),71.83)</f>
        <v>71.83</v>
      </c>
      <c r="E2597" s="1">
        <f>IFERROR(__xludf.DUMMYFUNCTION("""COMPUTED_VALUE"""),74.97)</f>
        <v>74.97</v>
      </c>
      <c r="F2597" s="1">
        <f>IFERROR(__xludf.DUMMYFUNCTION("""COMPUTED_VALUE"""),2782352.0)</f>
        <v>2782352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IFERROR(__xludf.DUMMYFUNCTION("""COMPUTED_VALUE"""),76.69)</f>
        <v>76.69</v>
      </c>
      <c r="C2598" s="1">
        <f>IFERROR(__xludf.DUMMYFUNCTION("""COMPUTED_VALUE"""),79.48)</f>
        <v>79.48</v>
      </c>
      <c r="D2598" s="1">
        <f>IFERROR(__xludf.DUMMYFUNCTION("""COMPUTED_VALUE"""),73.69)</f>
        <v>73.69</v>
      </c>
      <c r="E2598" s="1">
        <f>IFERROR(__xludf.DUMMYFUNCTION("""COMPUTED_VALUE"""),74.1)</f>
        <v>74.1</v>
      </c>
      <c r="F2598" s="1">
        <f>IFERROR(__xludf.DUMMYFUNCTION("""COMPUTED_VALUE"""),2527418.0)</f>
        <v>2527418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IFERROR(__xludf.DUMMYFUNCTION("""COMPUTED_VALUE"""),76.19)</f>
        <v>76.19</v>
      </c>
      <c r="C2599" s="1">
        <f>IFERROR(__xludf.DUMMYFUNCTION("""COMPUTED_VALUE"""),80.26)</f>
        <v>80.26</v>
      </c>
      <c r="D2599" s="1">
        <f>IFERROR(__xludf.DUMMYFUNCTION("""COMPUTED_VALUE"""),75.26)</f>
        <v>75.26</v>
      </c>
      <c r="E2599" s="1">
        <f>IFERROR(__xludf.DUMMYFUNCTION("""COMPUTED_VALUE"""),78.99)</f>
        <v>78.99</v>
      </c>
      <c r="F2599" s="1">
        <f>IFERROR(__xludf.DUMMYFUNCTION("""COMPUTED_VALUE"""),1881057.0)</f>
        <v>1881057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IFERROR(__xludf.DUMMYFUNCTION("""COMPUTED_VALUE"""),77.68)</f>
        <v>77.68</v>
      </c>
      <c r="C2600" s="1">
        <f>IFERROR(__xludf.DUMMYFUNCTION("""COMPUTED_VALUE"""),77.72)</f>
        <v>77.72</v>
      </c>
      <c r="D2600" s="1">
        <f>IFERROR(__xludf.DUMMYFUNCTION("""COMPUTED_VALUE"""),73.35)</f>
        <v>73.35</v>
      </c>
      <c r="E2600" s="1">
        <f>IFERROR(__xludf.DUMMYFUNCTION("""COMPUTED_VALUE"""),73.65)</f>
        <v>73.65</v>
      </c>
      <c r="F2600" s="1">
        <f>IFERROR(__xludf.DUMMYFUNCTION("""COMPUTED_VALUE"""),1969736.0)</f>
        <v>1969736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IFERROR(__xludf.DUMMYFUNCTION("""COMPUTED_VALUE"""),70.98)</f>
        <v>70.98</v>
      </c>
      <c r="C2601" s="1">
        <f>IFERROR(__xludf.DUMMYFUNCTION("""COMPUTED_VALUE"""),71.98)</f>
        <v>71.98</v>
      </c>
      <c r="D2601" s="1">
        <f>IFERROR(__xludf.DUMMYFUNCTION("""COMPUTED_VALUE"""),70.17)</f>
        <v>70.17</v>
      </c>
      <c r="E2601" s="1">
        <f>IFERROR(__xludf.DUMMYFUNCTION("""COMPUTED_VALUE"""),71.07)</f>
        <v>71.07</v>
      </c>
      <c r="F2601" s="1">
        <f>IFERROR(__xludf.DUMMYFUNCTION("""COMPUTED_VALUE"""),2088193.0)</f>
        <v>2088193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IFERROR(__xludf.DUMMYFUNCTION("""COMPUTED_VALUE"""),69.99)</f>
        <v>69.99</v>
      </c>
      <c r="C2602" s="1">
        <f>IFERROR(__xludf.DUMMYFUNCTION("""COMPUTED_VALUE"""),71.72)</f>
        <v>71.72</v>
      </c>
      <c r="D2602" s="1">
        <f>IFERROR(__xludf.DUMMYFUNCTION("""COMPUTED_VALUE"""),69.41)</f>
        <v>69.41</v>
      </c>
      <c r="E2602" s="1">
        <f>IFERROR(__xludf.DUMMYFUNCTION("""COMPUTED_VALUE"""),71.68)</f>
        <v>71.68</v>
      </c>
      <c r="F2602" s="1">
        <f>IFERROR(__xludf.DUMMYFUNCTION("""COMPUTED_VALUE"""),1932842.0)</f>
        <v>1932842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IFERROR(__xludf.DUMMYFUNCTION("""COMPUTED_VALUE"""),73.04)</f>
        <v>73.04</v>
      </c>
      <c r="C2603" s="1">
        <f>IFERROR(__xludf.DUMMYFUNCTION("""COMPUTED_VALUE"""),74.48)</f>
        <v>74.48</v>
      </c>
      <c r="D2603" s="1">
        <f>IFERROR(__xludf.DUMMYFUNCTION("""COMPUTED_VALUE"""),72.76)</f>
        <v>72.76</v>
      </c>
      <c r="E2603" s="1">
        <f>IFERROR(__xludf.DUMMYFUNCTION("""COMPUTED_VALUE"""),72.97)</f>
        <v>72.97</v>
      </c>
      <c r="F2603" s="1">
        <f>IFERROR(__xludf.DUMMYFUNCTION("""COMPUTED_VALUE"""),1551081.0)</f>
        <v>1551081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IFERROR(__xludf.DUMMYFUNCTION("""COMPUTED_VALUE"""),73.97)</f>
        <v>73.97</v>
      </c>
      <c r="C2604" s="1">
        <f>IFERROR(__xludf.DUMMYFUNCTION("""COMPUTED_VALUE"""),74.25)</f>
        <v>74.25</v>
      </c>
      <c r="D2604" s="1">
        <f>IFERROR(__xludf.DUMMYFUNCTION("""COMPUTED_VALUE"""),72.39)</f>
        <v>72.39</v>
      </c>
      <c r="E2604" s="1">
        <f>IFERROR(__xludf.DUMMYFUNCTION("""COMPUTED_VALUE"""),72.97)</f>
        <v>72.97</v>
      </c>
      <c r="F2604" s="1">
        <f>IFERROR(__xludf.DUMMYFUNCTION("""COMPUTED_VALUE"""),1445836.0)</f>
        <v>1445836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IFERROR(__xludf.DUMMYFUNCTION("""COMPUTED_VALUE"""),73.74)</f>
        <v>73.74</v>
      </c>
      <c r="C2605" s="1">
        <f>IFERROR(__xludf.DUMMYFUNCTION("""COMPUTED_VALUE"""),74.95)</f>
        <v>74.95</v>
      </c>
      <c r="D2605" s="1">
        <f>IFERROR(__xludf.DUMMYFUNCTION("""COMPUTED_VALUE"""),72.36)</f>
        <v>72.36</v>
      </c>
      <c r="E2605" s="1">
        <f>IFERROR(__xludf.DUMMYFUNCTION("""COMPUTED_VALUE"""),72.87)</f>
        <v>72.87</v>
      </c>
      <c r="F2605" s="1">
        <f>IFERROR(__xludf.DUMMYFUNCTION("""COMPUTED_VALUE"""),1477504.0)</f>
        <v>1477504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IFERROR(__xludf.DUMMYFUNCTION("""COMPUTED_VALUE"""),75.01)</f>
        <v>75.01</v>
      </c>
      <c r="C2606" s="1">
        <f>IFERROR(__xludf.DUMMYFUNCTION("""COMPUTED_VALUE"""),76.94)</f>
        <v>76.94</v>
      </c>
      <c r="D2606" s="1">
        <f>IFERROR(__xludf.DUMMYFUNCTION("""COMPUTED_VALUE"""),73.82)</f>
        <v>73.82</v>
      </c>
      <c r="E2606" s="1">
        <f>IFERROR(__xludf.DUMMYFUNCTION("""COMPUTED_VALUE"""),76.69)</f>
        <v>76.69</v>
      </c>
      <c r="F2606" s="1">
        <f>IFERROR(__xludf.DUMMYFUNCTION("""COMPUTED_VALUE"""),1578111.0)</f>
        <v>1578111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IFERROR(__xludf.DUMMYFUNCTION("""COMPUTED_VALUE"""),76.2)</f>
        <v>76.2</v>
      </c>
      <c r="C2607" s="1">
        <f>IFERROR(__xludf.DUMMYFUNCTION("""COMPUTED_VALUE"""),76.86)</f>
        <v>76.86</v>
      </c>
      <c r="D2607" s="1">
        <f>IFERROR(__xludf.DUMMYFUNCTION("""COMPUTED_VALUE"""),74.34)</f>
        <v>74.34</v>
      </c>
      <c r="E2607" s="1">
        <f>IFERROR(__xludf.DUMMYFUNCTION("""COMPUTED_VALUE"""),75.96)</f>
        <v>75.96</v>
      </c>
      <c r="F2607" s="1">
        <f>IFERROR(__xludf.DUMMYFUNCTION("""COMPUTED_VALUE"""),1010760.0)</f>
        <v>1010760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IFERROR(__xludf.DUMMYFUNCTION("""COMPUTED_VALUE"""),77.51)</f>
        <v>77.51</v>
      </c>
      <c r="C2608" s="1">
        <f>IFERROR(__xludf.DUMMYFUNCTION("""COMPUTED_VALUE"""),78.68)</f>
        <v>78.68</v>
      </c>
      <c r="D2608" s="1">
        <f>IFERROR(__xludf.DUMMYFUNCTION("""COMPUTED_VALUE"""),74.73)</f>
        <v>74.73</v>
      </c>
      <c r="E2608" s="1">
        <f>IFERROR(__xludf.DUMMYFUNCTION("""COMPUTED_VALUE"""),74.78)</f>
        <v>74.78</v>
      </c>
      <c r="F2608" s="1">
        <f>IFERROR(__xludf.DUMMYFUNCTION("""COMPUTED_VALUE"""),1726017.0)</f>
        <v>1726017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IFERROR(__xludf.DUMMYFUNCTION("""COMPUTED_VALUE"""),74.41)</f>
        <v>74.41</v>
      </c>
      <c r="C2609" s="1">
        <f>IFERROR(__xludf.DUMMYFUNCTION("""COMPUTED_VALUE"""),74.99)</f>
        <v>74.99</v>
      </c>
      <c r="D2609" s="1">
        <f>IFERROR(__xludf.DUMMYFUNCTION("""COMPUTED_VALUE"""),72.44)</f>
        <v>72.44</v>
      </c>
      <c r="E2609" s="1">
        <f>IFERROR(__xludf.DUMMYFUNCTION("""COMPUTED_VALUE"""),73.95)</f>
        <v>73.95</v>
      </c>
      <c r="F2609" s="1">
        <f>IFERROR(__xludf.DUMMYFUNCTION("""COMPUTED_VALUE"""),1661458.0)</f>
        <v>1661458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IFERROR(__xludf.DUMMYFUNCTION("""COMPUTED_VALUE"""),71.23)</f>
        <v>71.23</v>
      </c>
      <c r="C2610" s="1">
        <f>IFERROR(__xludf.DUMMYFUNCTION("""COMPUTED_VALUE"""),75.25)</f>
        <v>75.25</v>
      </c>
      <c r="D2610" s="1">
        <f>IFERROR(__xludf.DUMMYFUNCTION("""COMPUTED_VALUE"""),70.72)</f>
        <v>70.72</v>
      </c>
      <c r="E2610" s="1">
        <f>IFERROR(__xludf.DUMMYFUNCTION("""COMPUTED_VALUE"""),75.17)</f>
        <v>75.17</v>
      </c>
      <c r="F2610" s="1">
        <f>IFERROR(__xludf.DUMMYFUNCTION("""COMPUTED_VALUE"""),1371889.0)</f>
        <v>1371889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IFERROR(__xludf.DUMMYFUNCTION("""COMPUTED_VALUE"""),74.12)</f>
        <v>74.12</v>
      </c>
      <c r="C2611" s="1">
        <f>IFERROR(__xludf.DUMMYFUNCTION("""COMPUTED_VALUE"""),75.97)</f>
        <v>75.97</v>
      </c>
      <c r="D2611" s="1">
        <f>IFERROR(__xludf.DUMMYFUNCTION("""COMPUTED_VALUE"""),72.97)</f>
        <v>72.97</v>
      </c>
      <c r="E2611" s="1">
        <f>IFERROR(__xludf.DUMMYFUNCTION("""COMPUTED_VALUE"""),75.8)</f>
        <v>75.8</v>
      </c>
      <c r="F2611" s="1">
        <f>IFERROR(__xludf.DUMMYFUNCTION("""COMPUTED_VALUE"""),1492159.0)</f>
        <v>1492159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IFERROR(__xludf.DUMMYFUNCTION("""COMPUTED_VALUE"""),80.02)</f>
        <v>80.02</v>
      </c>
      <c r="C2612" s="1">
        <f>IFERROR(__xludf.DUMMYFUNCTION("""COMPUTED_VALUE"""),83.76)</f>
        <v>83.76</v>
      </c>
      <c r="D2612" s="1">
        <f>IFERROR(__xludf.DUMMYFUNCTION("""COMPUTED_VALUE"""),79.58)</f>
        <v>79.58</v>
      </c>
      <c r="E2612" s="1">
        <f>IFERROR(__xludf.DUMMYFUNCTION("""COMPUTED_VALUE"""),79.75)</f>
        <v>79.75</v>
      </c>
      <c r="F2612" s="1">
        <f>IFERROR(__xludf.DUMMYFUNCTION("""COMPUTED_VALUE"""),2049949.0)</f>
        <v>2049949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IFERROR(__xludf.DUMMYFUNCTION("""COMPUTED_VALUE"""),79.66)</f>
        <v>79.66</v>
      </c>
      <c r="C2613" s="1">
        <f>IFERROR(__xludf.DUMMYFUNCTION("""COMPUTED_VALUE"""),81.19)</f>
        <v>81.19</v>
      </c>
      <c r="D2613" s="1">
        <f>IFERROR(__xludf.DUMMYFUNCTION("""COMPUTED_VALUE"""),78.42)</f>
        <v>78.42</v>
      </c>
      <c r="E2613" s="1">
        <f>IFERROR(__xludf.DUMMYFUNCTION("""COMPUTED_VALUE"""),78.95)</f>
        <v>78.95</v>
      </c>
      <c r="F2613" s="1">
        <f>IFERROR(__xludf.DUMMYFUNCTION("""COMPUTED_VALUE"""),1060174.0)</f>
        <v>1060174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IFERROR(__xludf.DUMMYFUNCTION("""COMPUTED_VALUE"""),79.79)</f>
        <v>79.79</v>
      </c>
      <c r="C2614" s="1">
        <f>IFERROR(__xludf.DUMMYFUNCTION("""COMPUTED_VALUE"""),80.57)</f>
        <v>80.57</v>
      </c>
      <c r="D2614" s="1">
        <f>IFERROR(__xludf.DUMMYFUNCTION("""COMPUTED_VALUE"""),77.92)</f>
        <v>77.92</v>
      </c>
      <c r="E2614" s="1">
        <f>IFERROR(__xludf.DUMMYFUNCTION("""COMPUTED_VALUE"""),78.35)</f>
        <v>78.35</v>
      </c>
      <c r="F2614" s="1">
        <f>IFERROR(__xludf.DUMMYFUNCTION("""COMPUTED_VALUE"""),1251423.0)</f>
        <v>1251423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IFERROR(__xludf.DUMMYFUNCTION("""COMPUTED_VALUE"""),78.56)</f>
        <v>78.56</v>
      </c>
      <c r="C2615" s="1">
        <f>IFERROR(__xludf.DUMMYFUNCTION("""COMPUTED_VALUE"""),80.53)</f>
        <v>80.53</v>
      </c>
      <c r="D2615" s="1">
        <f>IFERROR(__xludf.DUMMYFUNCTION("""COMPUTED_VALUE"""),77.79)</f>
        <v>77.79</v>
      </c>
      <c r="E2615" s="1">
        <f>IFERROR(__xludf.DUMMYFUNCTION("""COMPUTED_VALUE"""),80.42)</f>
        <v>80.42</v>
      </c>
      <c r="F2615" s="1">
        <f>IFERROR(__xludf.DUMMYFUNCTION("""COMPUTED_VALUE"""),969588.0)</f>
        <v>969588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IFERROR(__xludf.DUMMYFUNCTION("""COMPUTED_VALUE"""),80.68)</f>
        <v>80.68</v>
      </c>
      <c r="C2616" s="1">
        <f>IFERROR(__xludf.DUMMYFUNCTION("""COMPUTED_VALUE"""),81.79)</f>
        <v>81.79</v>
      </c>
      <c r="D2616" s="1">
        <f>IFERROR(__xludf.DUMMYFUNCTION("""COMPUTED_VALUE"""),79.76)</f>
        <v>79.76</v>
      </c>
      <c r="E2616" s="1">
        <f>IFERROR(__xludf.DUMMYFUNCTION("""COMPUTED_VALUE"""),81.55)</f>
        <v>81.55</v>
      </c>
      <c r="F2616" s="1">
        <f>IFERROR(__xludf.DUMMYFUNCTION("""COMPUTED_VALUE"""),1429397.0)</f>
        <v>1429397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IFERROR(__xludf.DUMMYFUNCTION("""COMPUTED_VALUE"""),84.8)</f>
        <v>84.8</v>
      </c>
      <c r="C2617" s="1">
        <f>IFERROR(__xludf.DUMMYFUNCTION("""COMPUTED_VALUE"""),86.37)</f>
        <v>86.37</v>
      </c>
      <c r="D2617" s="1">
        <f>IFERROR(__xludf.DUMMYFUNCTION("""COMPUTED_VALUE"""),83.67)</f>
        <v>83.67</v>
      </c>
      <c r="E2617" s="1">
        <f>IFERROR(__xludf.DUMMYFUNCTION("""COMPUTED_VALUE"""),85.22)</f>
        <v>85.22</v>
      </c>
      <c r="F2617" s="1">
        <f>IFERROR(__xludf.DUMMYFUNCTION("""COMPUTED_VALUE"""),1776678.0)</f>
        <v>1776678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IFERROR(__xludf.DUMMYFUNCTION("""COMPUTED_VALUE"""),87.82)</f>
        <v>87.82</v>
      </c>
      <c r="C2618" s="1">
        <f>IFERROR(__xludf.DUMMYFUNCTION("""COMPUTED_VALUE"""),89.8)</f>
        <v>89.8</v>
      </c>
      <c r="D2618" s="1">
        <f>IFERROR(__xludf.DUMMYFUNCTION("""COMPUTED_VALUE"""),86.06)</f>
        <v>86.06</v>
      </c>
      <c r="E2618" s="1">
        <f>IFERROR(__xludf.DUMMYFUNCTION("""COMPUTED_VALUE"""),89.21)</f>
        <v>89.21</v>
      </c>
      <c r="F2618" s="1">
        <f>IFERROR(__xludf.DUMMYFUNCTION("""COMPUTED_VALUE"""),2217361.0)</f>
        <v>2217361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IFERROR(__xludf.DUMMYFUNCTION("""COMPUTED_VALUE"""),90.06)</f>
        <v>90.06</v>
      </c>
      <c r="C2619" s="1">
        <f>IFERROR(__xludf.DUMMYFUNCTION("""COMPUTED_VALUE"""),90.74)</f>
        <v>90.74</v>
      </c>
      <c r="D2619" s="1">
        <f>IFERROR(__xludf.DUMMYFUNCTION("""COMPUTED_VALUE"""),88.0)</f>
        <v>88</v>
      </c>
      <c r="E2619" s="1">
        <f>IFERROR(__xludf.DUMMYFUNCTION("""COMPUTED_VALUE"""),88.68)</f>
        <v>88.68</v>
      </c>
      <c r="F2619" s="1">
        <f>IFERROR(__xludf.DUMMYFUNCTION("""COMPUTED_VALUE"""),2035145.0)</f>
        <v>2035145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IFERROR(__xludf.DUMMYFUNCTION("""COMPUTED_VALUE"""),87.51)</f>
        <v>87.51</v>
      </c>
      <c r="C2620" s="1">
        <f>IFERROR(__xludf.DUMMYFUNCTION("""COMPUTED_VALUE"""),89.69)</f>
        <v>89.69</v>
      </c>
      <c r="D2620" s="1">
        <f>IFERROR(__xludf.DUMMYFUNCTION("""COMPUTED_VALUE"""),85.93)</f>
        <v>85.93</v>
      </c>
      <c r="E2620" s="1">
        <f>IFERROR(__xludf.DUMMYFUNCTION("""COMPUTED_VALUE"""),88.05)</f>
        <v>88.05</v>
      </c>
      <c r="F2620" s="1">
        <f>IFERROR(__xludf.DUMMYFUNCTION("""COMPUTED_VALUE"""),1931759.0)</f>
        <v>1931759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IFERROR(__xludf.DUMMYFUNCTION("""COMPUTED_VALUE"""),89.6)</f>
        <v>89.6</v>
      </c>
      <c r="C2621" s="1">
        <f>IFERROR(__xludf.DUMMYFUNCTION("""COMPUTED_VALUE"""),91.45)</f>
        <v>91.45</v>
      </c>
      <c r="D2621" s="1">
        <f>IFERROR(__xludf.DUMMYFUNCTION("""COMPUTED_VALUE"""),89.36)</f>
        <v>89.36</v>
      </c>
      <c r="E2621" s="1">
        <f>IFERROR(__xludf.DUMMYFUNCTION("""COMPUTED_VALUE"""),90.09)</f>
        <v>90.09</v>
      </c>
      <c r="F2621" s="1">
        <f>IFERROR(__xludf.DUMMYFUNCTION("""COMPUTED_VALUE"""),1735233.0)</f>
        <v>1735233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IFERROR(__xludf.DUMMYFUNCTION("""COMPUTED_VALUE"""),91.16)</f>
        <v>91.16</v>
      </c>
      <c r="C2622" s="1">
        <f>IFERROR(__xludf.DUMMYFUNCTION("""COMPUTED_VALUE"""),92.1)</f>
        <v>92.1</v>
      </c>
      <c r="D2622" s="1">
        <f>IFERROR(__xludf.DUMMYFUNCTION("""COMPUTED_VALUE"""),89.87)</f>
        <v>89.87</v>
      </c>
      <c r="E2622" s="1">
        <f>IFERROR(__xludf.DUMMYFUNCTION("""COMPUTED_VALUE"""),92.03)</f>
        <v>92.03</v>
      </c>
      <c r="F2622" s="1">
        <f>IFERROR(__xludf.DUMMYFUNCTION("""COMPUTED_VALUE"""),1339737.0)</f>
        <v>1339737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IFERROR(__xludf.DUMMYFUNCTION("""COMPUTED_VALUE"""),92.54)</f>
        <v>92.54</v>
      </c>
      <c r="C2623" s="1">
        <f>IFERROR(__xludf.DUMMYFUNCTION("""COMPUTED_VALUE"""),94.87)</f>
        <v>94.87</v>
      </c>
      <c r="D2623" s="1">
        <f>IFERROR(__xludf.DUMMYFUNCTION("""COMPUTED_VALUE"""),92.33)</f>
        <v>92.33</v>
      </c>
      <c r="E2623" s="1">
        <f>IFERROR(__xludf.DUMMYFUNCTION("""COMPUTED_VALUE"""),94.8)</f>
        <v>94.8</v>
      </c>
      <c r="F2623" s="1">
        <f>IFERROR(__xludf.DUMMYFUNCTION("""COMPUTED_VALUE"""),1252594.0)</f>
        <v>1252594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IFERROR(__xludf.DUMMYFUNCTION("""COMPUTED_VALUE"""),93.7)</f>
        <v>93.7</v>
      </c>
      <c r="C2624" s="1">
        <f>IFERROR(__xludf.DUMMYFUNCTION("""COMPUTED_VALUE"""),94.91)</f>
        <v>94.91</v>
      </c>
      <c r="D2624" s="1">
        <f>IFERROR(__xludf.DUMMYFUNCTION("""COMPUTED_VALUE"""),92.49)</f>
        <v>92.49</v>
      </c>
      <c r="E2624" s="1">
        <f>IFERROR(__xludf.DUMMYFUNCTION("""COMPUTED_VALUE"""),93.13)</f>
        <v>93.13</v>
      </c>
      <c r="F2624" s="1">
        <f>IFERROR(__xludf.DUMMYFUNCTION("""COMPUTED_VALUE"""),1389812.0)</f>
        <v>1389812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IFERROR(__xludf.DUMMYFUNCTION("""COMPUTED_VALUE"""),96.39)</f>
        <v>96.39</v>
      </c>
      <c r="C2625" s="1">
        <f>IFERROR(__xludf.DUMMYFUNCTION("""COMPUTED_VALUE"""),97.78)</f>
        <v>97.78</v>
      </c>
      <c r="D2625" s="1">
        <f>IFERROR(__xludf.DUMMYFUNCTION("""COMPUTED_VALUE"""),94.24)</f>
        <v>94.24</v>
      </c>
      <c r="E2625" s="1">
        <f>IFERROR(__xludf.DUMMYFUNCTION("""COMPUTED_VALUE"""),95.93)</f>
        <v>95.93</v>
      </c>
      <c r="F2625" s="1">
        <f>IFERROR(__xludf.DUMMYFUNCTION("""COMPUTED_VALUE"""),2024567.0)</f>
        <v>2024567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IFERROR(__xludf.DUMMYFUNCTION("""COMPUTED_VALUE"""),97.05)</f>
        <v>97.05</v>
      </c>
      <c r="C2626" s="1">
        <f>IFERROR(__xludf.DUMMYFUNCTION("""COMPUTED_VALUE"""),98.45)</f>
        <v>98.45</v>
      </c>
      <c r="D2626" s="1">
        <f>IFERROR(__xludf.DUMMYFUNCTION("""COMPUTED_VALUE"""),96.89)</f>
        <v>96.89</v>
      </c>
      <c r="E2626" s="1">
        <f>IFERROR(__xludf.DUMMYFUNCTION("""COMPUTED_VALUE"""),98.35)</f>
        <v>98.35</v>
      </c>
      <c r="F2626" s="1">
        <f>IFERROR(__xludf.DUMMYFUNCTION("""COMPUTED_VALUE"""),1526835.0)</f>
        <v>1526835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IFERROR(__xludf.DUMMYFUNCTION("""COMPUTED_VALUE"""),96.63)</f>
        <v>96.63</v>
      </c>
      <c r="C2627" s="1">
        <f>IFERROR(__xludf.DUMMYFUNCTION("""COMPUTED_VALUE"""),96.65)</f>
        <v>96.65</v>
      </c>
      <c r="D2627" s="1">
        <f>IFERROR(__xludf.DUMMYFUNCTION("""COMPUTED_VALUE"""),93.95)</f>
        <v>93.95</v>
      </c>
      <c r="E2627" s="1">
        <f>IFERROR(__xludf.DUMMYFUNCTION("""COMPUTED_VALUE"""),94.92)</f>
        <v>94.92</v>
      </c>
      <c r="F2627" s="1">
        <f>IFERROR(__xludf.DUMMYFUNCTION("""COMPUTED_VALUE"""),1763398.0)</f>
        <v>1763398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IFERROR(__xludf.DUMMYFUNCTION("""COMPUTED_VALUE"""),94.73)</f>
        <v>94.73</v>
      </c>
      <c r="C2628" s="1">
        <f>IFERROR(__xludf.DUMMYFUNCTION("""COMPUTED_VALUE"""),94.73)</f>
        <v>94.73</v>
      </c>
      <c r="D2628" s="1">
        <f>IFERROR(__xludf.DUMMYFUNCTION("""COMPUTED_VALUE"""),90.83)</f>
        <v>90.83</v>
      </c>
      <c r="E2628" s="1">
        <f>IFERROR(__xludf.DUMMYFUNCTION("""COMPUTED_VALUE"""),91.99)</f>
        <v>91.99</v>
      </c>
      <c r="F2628" s="1">
        <f>IFERROR(__xludf.DUMMYFUNCTION("""COMPUTED_VALUE"""),1923651.0)</f>
        <v>1923651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IFERROR(__xludf.DUMMYFUNCTION("""COMPUTED_VALUE"""),88.67)</f>
        <v>88.67</v>
      </c>
      <c r="C2629" s="1">
        <f>IFERROR(__xludf.DUMMYFUNCTION("""COMPUTED_VALUE"""),89.66)</f>
        <v>89.66</v>
      </c>
      <c r="D2629" s="1">
        <f>IFERROR(__xludf.DUMMYFUNCTION("""COMPUTED_VALUE"""),85.63)</f>
        <v>85.63</v>
      </c>
      <c r="E2629" s="1">
        <f>IFERROR(__xludf.DUMMYFUNCTION("""COMPUTED_VALUE"""),87.29)</f>
        <v>87.29</v>
      </c>
      <c r="F2629" s="1">
        <f>IFERROR(__xludf.DUMMYFUNCTION("""COMPUTED_VALUE"""),2155177.0)</f>
        <v>2155177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IFERROR(__xludf.DUMMYFUNCTION("""COMPUTED_VALUE"""),91.0)</f>
        <v>91</v>
      </c>
      <c r="C2630" s="1">
        <f>IFERROR(__xludf.DUMMYFUNCTION("""COMPUTED_VALUE"""),92.0)</f>
        <v>92</v>
      </c>
      <c r="D2630" s="1">
        <f>IFERROR(__xludf.DUMMYFUNCTION("""COMPUTED_VALUE"""),87.64)</f>
        <v>87.64</v>
      </c>
      <c r="E2630" s="1">
        <f>IFERROR(__xludf.DUMMYFUNCTION("""COMPUTED_VALUE"""),89.98)</f>
        <v>89.98</v>
      </c>
      <c r="F2630" s="1">
        <f>IFERROR(__xludf.DUMMYFUNCTION("""COMPUTED_VALUE"""),1412877.0)</f>
        <v>1412877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IFERROR(__xludf.DUMMYFUNCTION("""COMPUTED_VALUE"""),86.62)</f>
        <v>86.62</v>
      </c>
      <c r="C2631" s="1">
        <f>IFERROR(__xludf.DUMMYFUNCTION("""COMPUTED_VALUE"""),93.68)</f>
        <v>93.68</v>
      </c>
      <c r="D2631" s="1">
        <f>IFERROR(__xludf.DUMMYFUNCTION("""COMPUTED_VALUE"""),86.3)</f>
        <v>86.3</v>
      </c>
      <c r="E2631" s="1">
        <f>IFERROR(__xludf.DUMMYFUNCTION("""COMPUTED_VALUE"""),92.83)</f>
        <v>92.83</v>
      </c>
      <c r="F2631" s="1">
        <f>IFERROR(__xludf.DUMMYFUNCTION("""COMPUTED_VALUE"""),1648333.0)</f>
        <v>1648333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IFERROR(__xludf.DUMMYFUNCTION("""COMPUTED_VALUE"""),96.6)</f>
        <v>96.6</v>
      </c>
      <c r="C2632" s="1">
        <f>IFERROR(__xludf.DUMMYFUNCTION("""COMPUTED_VALUE"""),97.76)</f>
        <v>97.76</v>
      </c>
      <c r="D2632" s="1">
        <f>IFERROR(__xludf.DUMMYFUNCTION("""COMPUTED_VALUE"""),94.05)</f>
        <v>94.05</v>
      </c>
      <c r="E2632" s="1">
        <f>IFERROR(__xludf.DUMMYFUNCTION("""COMPUTED_VALUE"""),96.36)</f>
        <v>96.36</v>
      </c>
      <c r="F2632" s="1">
        <f>IFERROR(__xludf.DUMMYFUNCTION("""COMPUTED_VALUE"""),1534276.0)</f>
        <v>1534276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IFERROR(__xludf.DUMMYFUNCTION("""COMPUTED_VALUE"""),96.48)</f>
        <v>96.48</v>
      </c>
      <c r="C2633" s="1">
        <f>IFERROR(__xludf.DUMMYFUNCTION("""COMPUTED_VALUE"""),97.98)</f>
        <v>97.98</v>
      </c>
      <c r="D2633" s="1">
        <f>IFERROR(__xludf.DUMMYFUNCTION("""COMPUTED_VALUE"""),95.28)</f>
        <v>95.28</v>
      </c>
      <c r="E2633" s="1">
        <f>IFERROR(__xludf.DUMMYFUNCTION("""COMPUTED_VALUE"""),96.99)</f>
        <v>96.99</v>
      </c>
      <c r="F2633" s="1">
        <f>IFERROR(__xludf.DUMMYFUNCTION("""COMPUTED_VALUE"""),1348575.0)</f>
        <v>1348575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IFERROR(__xludf.DUMMYFUNCTION("""COMPUTED_VALUE"""),96.01)</f>
        <v>96.01</v>
      </c>
      <c r="C2634" s="1">
        <f>IFERROR(__xludf.DUMMYFUNCTION("""COMPUTED_VALUE"""),98.69)</f>
        <v>98.69</v>
      </c>
      <c r="D2634" s="1">
        <f>IFERROR(__xludf.DUMMYFUNCTION("""COMPUTED_VALUE"""),95.96)</f>
        <v>95.96</v>
      </c>
      <c r="E2634" s="1">
        <f>IFERROR(__xludf.DUMMYFUNCTION("""COMPUTED_VALUE"""),97.91)</f>
        <v>97.91</v>
      </c>
      <c r="F2634" s="1">
        <f>IFERROR(__xludf.DUMMYFUNCTION("""COMPUTED_VALUE"""),1931938.0)</f>
        <v>1931938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IFERROR(__xludf.DUMMYFUNCTION("""COMPUTED_VALUE"""),98.45)</f>
        <v>98.45</v>
      </c>
      <c r="C2635" s="1">
        <f>IFERROR(__xludf.DUMMYFUNCTION("""COMPUTED_VALUE"""),98.96)</f>
        <v>98.96</v>
      </c>
      <c r="D2635" s="1">
        <f>IFERROR(__xludf.DUMMYFUNCTION("""COMPUTED_VALUE"""),89.68)</f>
        <v>89.68</v>
      </c>
      <c r="E2635" s="1">
        <f>IFERROR(__xludf.DUMMYFUNCTION("""COMPUTED_VALUE"""),91.87)</f>
        <v>91.87</v>
      </c>
      <c r="F2635" s="1">
        <f>IFERROR(__xludf.DUMMYFUNCTION("""COMPUTED_VALUE"""),6567867.0)</f>
        <v>6567867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IFERROR(__xludf.DUMMYFUNCTION("""COMPUTED_VALUE"""),92.5)</f>
        <v>92.5</v>
      </c>
      <c r="C2636" s="1">
        <f>IFERROR(__xludf.DUMMYFUNCTION("""COMPUTED_VALUE"""),94.79)</f>
        <v>94.79</v>
      </c>
      <c r="D2636" s="1">
        <f>IFERROR(__xludf.DUMMYFUNCTION("""COMPUTED_VALUE"""),91.71)</f>
        <v>91.71</v>
      </c>
      <c r="E2636" s="1">
        <f>IFERROR(__xludf.DUMMYFUNCTION("""COMPUTED_VALUE"""),93.96)</f>
        <v>93.96</v>
      </c>
      <c r="F2636" s="1">
        <f>IFERROR(__xludf.DUMMYFUNCTION("""COMPUTED_VALUE"""),2147653.0)</f>
        <v>2147653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IFERROR(__xludf.DUMMYFUNCTION("""COMPUTED_VALUE"""),95.0)</f>
        <v>95</v>
      </c>
      <c r="C2637" s="1">
        <f>IFERROR(__xludf.DUMMYFUNCTION("""COMPUTED_VALUE"""),95.39)</f>
        <v>95.39</v>
      </c>
      <c r="D2637" s="1">
        <f>IFERROR(__xludf.DUMMYFUNCTION("""COMPUTED_VALUE"""),91.04)</f>
        <v>91.04</v>
      </c>
      <c r="E2637" s="1">
        <f>IFERROR(__xludf.DUMMYFUNCTION("""COMPUTED_VALUE"""),92.21)</f>
        <v>92.21</v>
      </c>
      <c r="F2637" s="1">
        <f>IFERROR(__xludf.DUMMYFUNCTION("""COMPUTED_VALUE"""),2191587.0)</f>
        <v>2191587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IFERROR(__xludf.DUMMYFUNCTION("""COMPUTED_VALUE"""),91.0)</f>
        <v>91</v>
      </c>
      <c r="C2638" s="1">
        <f>IFERROR(__xludf.DUMMYFUNCTION("""COMPUTED_VALUE"""),92.62)</f>
        <v>92.62</v>
      </c>
      <c r="D2638" s="1">
        <f>IFERROR(__xludf.DUMMYFUNCTION("""COMPUTED_VALUE"""),88.51)</f>
        <v>88.51</v>
      </c>
      <c r="E2638" s="1">
        <f>IFERROR(__xludf.DUMMYFUNCTION("""COMPUTED_VALUE"""),89.45)</f>
        <v>89.45</v>
      </c>
      <c r="F2638" s="1">
        <f>IFERROR(__xludf.DUMMYFUNCTION("""COMPUTED_VALUE"""),1733751.0)</f>
        <v>1733751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IFERROR(__xludf.DUMMYFUNCTION("""COMPUTED_VALUE"""),89.21)</f>
        <v>89.21</v>
      </c>
      <c r="C2639" s="1">
        <f>IFERROR(__xludf.DUMMYFUNCTION("""COMPUTED_VALUE"""),89.96)</f>
        <v>89.96</v>
      </c>
      <c r="D2639" s="1">
        <f>IFERROR(__xludf.DUMMYFUNCTION("""COMPUTED_VALUE"""),88.31)</f>
        <v>88.31</v>
      </c>
      <c r="E2639" s="1">
        <f>IFERROR(__xludf.DUMMYFUNCTION("""COMPUTED_VALUE"""),89.59)</f>
        <v>89.59</v>
      </c>
      <c r="F2639" s="1">
        <f>IFERROR(__xludf.DUMMYFUNCTION("""COMPUTED_VALUE"""),1683204.0)</f>
        <v>1683204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IFERROR(__xludf.DUMMYFUNCTION("""COMPUTED_VALUE"""),89.37)</f>
        <v>89.37</v>
      </c>
      <c r="C2640" s="1">
        <f>IFERROR(__xludf.DUMMYFUNCTION("""COMPUTED_VALUE"""),89.85)</f>
        <v>89.85</v>
      </c>
      <c r="D2640" s="1">
        <f>IFERROR(__xludf.DUMMYFUNCTION("""COMPUTED_VALUE"""),86.12)</f>
        <v>86.12</v>
      </c>
      <c r="E2640" s="1">
        <f>IFERROR(__xludf.DUMMYFUNCTION("""COMPUTED_VALUE"""),86.58)</f>
        <v>86.58</v>
      </c>
      <c r="F2640" s="1">
        <f>IFERROR(__xludf.DUMMYFUNCTION("""COMPUTED_VALUE"""),2826770.0)</f>
        <v>2826770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IFERROR(__xludf.DUMMYFUNCTION("""COMPUTED_VALUE"""),87.8)</f>
        <v>87.8</v>
      </c>
      <c r="C2641" s="1">
        <f>IFERROR(__xludf.DUMMYFUNCTION("""COMPUTED_VALUE"""),89.07)</f>
        <v>89.07</v>
      </c>
      <c r="D2641" s="1">
        <f>IFERROR(__xludf.DUMMYFUNCTION("""COMPUTED_VALUE"""),85.42)</f>
        <v>85.42</v>
      </c>
      <c r="E2641" s="1">
        <f>IFERROR(__xludf.DUMMYFUNCTION("""COMPUTED_VALUE"""),88.98)</f>
        <v>88.98</v>
      </c>
      <c r="F2641" s="1">
        <f>IFERROR(__xludf.DUMMYFUNCTION("""COMPUTED_VALUE"""),932096.0)</f>
        <v>932096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IFERROR(__xludf.DUMMYFUNCTION("""COMPUTED_VALUE"""),88.66)</f>
        <v>88.66</v>
      </c>
      <c r="C2642" s="1">
        <f>IFERROR(__xludf.DUMMYFUNCTION("""COMPUTED_VALUE"""),90.47)</f>
        <v>90.47</v>
      </c>
      <c r="D2642" s="1">
        <f>IFERROR(__xludf.DUMMYFUNCTION("""COMPUTED_VALUE"""),88.08)</f>
        <v>88.08</v>
      </c>
      <c r="E2642" s="1">
        <f>IFERROR(__xludf.DUMMYFUNCTION("""COMPUTED_VALUE"""),89.55)</f>
        <v>89.55</v>
      </c>
      <c r="F2642" s="1">
        <f>IFERROR(__xludf.DUMMYFUNCTION("""COMPUTED_VALUE"""),987270.0)</f>
        <v>987270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IFERROR(__xludf.DUMMYFUNCTION("""COMPUTED_VALUE"""),89.28)</f>
        <v>89.28</v>
      </c>
      <c r="C2643" s="1">
        <f>IFERROR(__xludf.DUMMYFUNCTION("""COMPUTED_VALUE"""),90.94)</f>
        <v>90.94</v>
      </c>
      <c r="D2643" s="1">
        <f>IFERROR(__xludf.DUMMYFUNCTION("""COMPUTED_VALUE"""),88.34)</f>
        <v>88.34</v>
      </c>
      <c r="E2643" s="1">
        <f>IFERROR(__xludf.DUMMYFUNCTION("""COMPUTED_VALUE"""),89.02)</f>
        <v>89.02</v>
      </c>
      <c r="F2643" s="1">
        <f>IFERROR(__xludf.DUMMYFUNCTION("""COMPUTED_VALUE"""),935035.0)</f>
        <v>935035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IFERROR(__xludf.DUMMYFUNCTION("""COMPUTED_VALUE"""),91.15)</f>
        <v>91.15</v>
      </c>
      <c r="C2644" s="1">
        <f>IFERROR(__xludf.DUMMYFUNCTION("""COMPUTED_VALUE"""),92.38)</f>
        <v>92.38</v>
      </c>
      <c r="D2644" s="1">
        <f>IFERROR(__xludf.DUMMYFUNCTION("""COMPUTED_VALUE"""),88.53)</f>
        <v>88.53</v>
      </c>
      <c r="E2644" s="1">
        <f>IFERROR(__xludf.DUMMYFUNCTION("""COMPUTED_VALUE"""),89.22)</f>
        <v>89.22</v>
      </c>
      <c r="F2644" s="1">
        <f>IFERROR(__xludf.DUMMYFUNCTION("""COMPUTED_VALUE"""),1255556.0)</f>
        <v>1255556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IFERROR(__xludf.DUMMYFUNCTION("""COMPUTED_VALUE"""),90.58)</f>
        <v>90.58</v>
      </c>
      <c r="C2645" s="1">
        <f>IFERROR(__xludf.DUMMYFUNCTION("""COMPUTED_VALUE"""),91.69)</f>
        <v>91.69</v>
      </c>
      <c r="D2645" s="1">
        <f>IFERROR(__xludf.DUMMYFUNCTION("""COMPUTED_VALUE"""),89.57)</f>
        <v>89.57</v>
      </c>
      <c r="E2645" s="1">
        <f>IFERROR(__xludf.DUMMYFUNCTION("""COMPUTED_VALUE"""),90.38)</f>
        <v>90.38</v>
      </c>
      <c r="F2645" s="1">
        <f>IFERROR(__xludf.DUMMYFUNCTION("""COMPUTED_VALUE"""),1248693.0)</f>
        <v>1248693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IFERROR(__xludf.DUMMYFUNCTION("""COMPUTED_VALUE"""),89.87)</f>
        <v>89.87</v>
      </c>
      <c r="C2646" s="1">
        <f>IFERROR(__xludf.DUMMYFUNCTION("""COMPUTED_VALUE"""),90.53)</f>
        <v>90.53</v>
      </c>
      <c r="D2646" s="1">
        <f>IFERROR(__xludf.DUMMYFUNCTION("""COMPUTED_VALUE"""),87.94)</f>
        <v>87.94</v>
      </c>
      <c r="E2646" s="1">
        <f>IFERROR(__xludf.DUMMYFUNCTION("""COMPUTED_VALUE"""),88.59)</f>
        <v>88.59</v>
      </c>
      <c r="F2646" s="1">
        <f>IFERROR(__xludf.DUMMYFUNCTION("""COMPUTED_VALUE"""),1275096.0)</f>
        <v>1275096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IFERROR(__xludf.DUMMYFUNCTION("""COMPUTED_VALUE"""),88.74)</f>
        <v>88.74</v>
      </c>
      <c r="C2647" s="1">
        <f>IFERROR(__xludf.DUMMYFUNCTION("""COMPUTED_VALUE"""),89.64)</f>
        <v>89.64</v>
      </c>
      <c r="D2647" s="1">
        <f>IFERROR(__xludf.DUMMYFUNCTION("""COMPUTED_VALUE"""),87.67)</f>
        <v>87.67</v>
      </c>
      <c r="E2647" s="1">
        <f>IFERROR(__xludf.DUMMYFUNCTION("""COMPUTED_VALUE"""),88.7)</f>
        <v>88.7</v>
      </c>
      <c r="F2647" s="1">
        <f>IFERROR(__xludf.DUMMYFUNCTION("""COMPUTED_VALUE"""),1065471.0)</f>
        <v>1065471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IFERROR(__xludf.DUMMYFUNCTION("""COMPUTED_VALUE"""),88.69)</f>
        <v>88.69</v>
      </c>
      <c r="C2648" s="1">
        <f>IFERROR(__xludf.DUMMYFUNCTION("""COMPUTED_VALUE"""),89.5)</f>
        <v>89.5</v>
      </c>
      <c r="D2648" s="1">
        <f>IFERROR(__xludf.DUMMYFUNCTION("""COMPUTED_VALUE"""),85.71)</f>
        <v>85.71</v>
      </c>
      <c r="E2648" s="1">
        <f>IFERROR(__xludf.DUMMYFUNCTION("""COMPUTED_VALUE"""),86.23)</f>
        <v>86.23</v>
      </c>
      <c r="F2648" s="1">
        <f>IFERROR(__xludf.DUMMYFUNCTION("""COMPUTED_VALUE"""),1440340.0)</f>
        <v>1440340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IFERROR(__xludf.DUMMYFUNCTION("""COMPUTED_VALUE"""),86.45)</f>
        <v>86.45</v>
      </c>
      <c r="C2649" s="1">
        <f>IFERROR(__xludf.DUMMYFUNCTION("""COMPUTED_VALUE"""),88.21)</f>
        <v>88.21</v>
      </c>
      <c r="D2649" s="1">
        <f>IFERROR(__xludf.DUMMYFUNCTION("""COMPUTED_VALUE"""),85.88)</f>
        <v>85.88</v>
      </c>
      <c r="E2649" s="1">
        <f>IFERROR(__xludf.DUMMYFUNCTION("""COMPUTED_VALUE"""),88.19)</f>
        <v>88.19</v>
      </c>
      <c r="F2649" s="1">
        <f>IFERROR(__xludf.DUMMYFUNCTION("""COMPUTED_VALUE"""),968633.0)</f>
        <v>968633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IFERROR(__xludf.DUMMYFUNCTION("""COMPUTED_VALUE"""),89.07)</f>
        <v>89.07</v>
      </c>
      <c r="C2650" s="1">
        <f>IFERROR(__xludf.DUMMYFUNCTION("""COMPUTED_VALUE"""),90.33)</f>
        <v>90.33</v>
      </c>
      <c r="D2650" s="1">
        <f>IFERROR(__xludf.DUMMYFUNCTION("""COMPUTED_VALUE"""),87.19)</f>
        <v>87.19</v>
      </c>
      <c r="E2650" s="1">
        <f>IFERROR(__xludf.DUMMYFUNCTION("""COMPUTED_VALUE"""),87.28)</f>
        <v>87.28</v>
      </c>
      <c r="F2650" s="1">
        <f>IFERROR(__xludf.DUMMYFUNCTION("""COMPUTED_VALUE"""),1328107.0)</f>
        <v>1328107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IFERROR(__xludf.DUMMYFUNCTION("""COMPUTED_VALUE"""),86.95)</f>
        <v>86.95</v>
      </c>
      <c r="C2651" s="1">
        <f>IFERROR(__xludf.DUMMYFUNCTION("""COMPUTED_VALUE"""),91.51)</f>
        <v>91.51</v>
      </c>
      <c r="D2651" s="1">
        <f>IFERROR(__xludf.DUMMYFUNCTION("""COMPUTED_VALUE"""),86.76)</f>
        <v>86.76</v>
      </c>
      <c r="E2651" s="1">
        <f>IFERROR(__xludf.DUMMYFUNCTION("""COMPUTED_VALUE"""),91.35)</f>
        <v>91.35</v>
      </c>
      <c r="F2651" s="1">
        <f>IFERROR(__xludf.DUMMYFUNCTION("""COMPUTED_VALUE"""),1131072.0)</f>
        <v>1131072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IFERROR(__xludf.DUMMYFUNCTION("""COMPUTED_VALUE"""),92.58)</f>
        <v>92.58</v>
      </c>
      <c r="C2652" s="1">
        <f>IFERROR(__xludf.DUMMYFUNCTION("""COMPUTED_VALUE"""),95.06)</f>
        <v>95.06</v>
      </c>
      <c r="D2652" s="1">
        <f>IFERROR(__xludf.DUMMYFUNCTION("""COMPUTED_VALUE"""),92.18)</f>
        <v>92.18</v>
      </c>
      <c r="E2652" s="1">
        <f>IFERROR(__xludf.DUMMYFUNCTION("""COMPUTED_VALUE"""),95.04)</f>
        <v>95.04</v>
      </c>
      <c r="F2652" s="1">
        <f>IFERROR(__xludf.DUMMYFUNCTION("""COMPUTED_VALUE"""),1437801.0)</f>
        <v>1437801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IFERROR(__xludf.DUMMYFUNCTION("""COMPUTED_VALUE"""),94.84)</f>
        <v>94.84</v>
      </c>
      <c r="C2653" s="1">
        <f>IFERROR(__xludf.DUMMYFUNCTION("""COMPUTED_VALUE"""),95.72)</f>
        <v>95.72</v>
      </c>
      <c r="D2653" s="1">
        <f>IFERROR(__xludf.DUMMYFUNCTION("""COMPUTED_VALUE"""),93.91)</f>
        <v>93.91</v>
      </c>
      <c r="E2653" s="1">
        <f>IFERROR(__xludf.DUMMYFUNCTION("""COMPUTED_VALUE"""),95.22)</f>
        <v>95.22</v>
      </c>
      <c r="F2653" s="1">
        <f>IFERROR(__xludf.DUMMYFUNCTION("""COMPUTED_VALUE"""),1024172.0)</f>
        <v>1024172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IFERROR(__xludf.DUMMYFUNCTION("""COMPUTED_VALUE"""),95.56)</f>
        <v>95.56</v>
      </c>
      <c r="C2654" s="1">
        <f>IFERROR(__xludf.DUMMYFUNCTION("""COMPUTED_VALUE"""),95.96)</f>
        <v>95.96</v>
      </c>
      <c r="D2654" s="1">
        <f>IFERROR(__xludf.DUMMYFUNCTION("""COMPUTED_VALUE"""),94.56)</f>
        <v>94.56</v>
      </c>
      <c r="E2654" s="1">
        <f>IFERROR(__xludf.DUMMYFUNCTION("""COMPUTED_VALUE"""),95.02)</f>
        <v>95.02</v>
      </c>
      <c r="F2654" s="1">
        <f>IFERROR(__xludf.DUMMYFUNCTION("""COMPUTED_VALUE"""),927512.0)</f>
        <v>927512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IFERROR(__xludf.DUMMYFUNCTION("""COMPUTED_VALUE"""),94.21)</f>
        <v>94.21</v>
      </c>
      <c r="C2655" s="1">
        <f>IFERROR(__xludf.DUMMYFUNCTION("""COMPUTED_VALUE"""),94.54)</f>
        <v>94.54</v>
      </c>
      <c r="D2655" s="1">
        <f>IFERROR(__xludf.DUMMYFUNCTION("""COMPUTED_VALUE"""),92.55)</f>
        <v>92.55</v>
      </c>
      <c r="E2655" s="1">
        <f>IFERROR(__xludf.DUMMYFUNCTION("""COMPUTED_VALUE"""),93.35)</f>
        <v>93.35</v>
      </c>
      <c r="F2655" s="1">
        <f>IFERROR(__xludf.DUMMYFUNCTION("""COMPUTED_VALUE"""),982925.0)</f>
        <v>982925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IFERROR(__xludf.DUMMYFUNCTION("""COMPUTED_VALUE"""),93.81)</f>
        <v>93.81</v>
      </c>
      <c r="C2656" s="1">
        <f>IFERROR(__xludf.DUMMYFUNCTION("""COMPUTED_VALUE"""),96.32)</f>
        <v>96.32</v>
      </c>
      <c r="D2656" s="1">
        <f>IFERROR(__xludf.DUMMYFUNCTION("""COMPUTED_VALUE"""),93.71)</f>
        <v>93.71</v>
      </c>
      <c r="E2656" s="1">
        <f>IFERROR(__xludf.DUMMYFUNCTION("""COMPUTED_VALUE"""),95.27)</f>
        <v>95.27</v>
      </c>
      <c r="F2656" s="1">
        <f>IFERROR(__xludf.DUMMYFUNCTION("""COMPUTED_VALUE"""),847384.0)</f>
        <v>847384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IFERROR(__xludf.DUMMYFUNCTION("""COMPUTED_VALUE"""),95.3)</f>
        <v>95.3</v>
      </c>
      <c r="C2657" s="1">
        <f>IFERROR(__xludf.DUMMYFUNCTION("""COMPUTED_VALUE"""),98.2)</f>
        <v>98.2</v>
      </c>
      <c r="D2657" s="1">
        <f>IFERROR(__xludf.DUMMYFUNCTION("""COMPUTED_VALUE"""),95.3)</f>
        <v>95.3</v>
      </c>
      <c r="E2657" s="1">
        <f>IFERROR(__xludf.DUMMYFUNCTION("""COMPUTED_VALUE"""),97.85)</f>
        <v>97.85</v>
      </c>
      <c r="F2657" s="1">
        <f>IFERROR(__xludf.DUMMYFUNCTION("""COMPUTED_VALUE"""),1387194.0)</f>
        <v>1387194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IFERROR(__xludf.DUMMYFUNCTION("""COMPUTED_VALUE"""),98.53)</f>
        <v>98.53</v>
      </c>
      <c r="C2658" s="1">
        <f>IFERROR(__xludf.DUMMYFUNCTION("""COMPUTED_VALUE"""),99.96)</f>
        <v>99.96</v>
      </c>
      <c r="D2658" s="1">
        <f>IFERROR(__xludf.DUMMYFUNCTION("""COMPUTED_VALUE"""),96.92)</f>
        <v>96.92</v>
      </c>
      <c r="E2658" s="1">
        <f>IFERROR(__xludf.DUMMYFUNCTION("""COMPUTED_VALUE"""),97.78)</f>
        <v>97.78</v>
      </c>
      <c r="F2658" s="1">
        <f>IFERROR(__xludf.DUMMYFUNCTION("""COMPUTED_VALUE"""),1323336.0)</f>
        <v>1323336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IFERROR(__xludf.DUMMYFUNCTION("""COMPUTED_VALUE"""),97.06)</f>
        <v>97.06</v>
      </c>
      <c r="C2659" s="1">
        <f>IFERROR(__xludf.DUMMYFUNCTION("""COMPUTED_VALUE"""),98.26)</f>
        <v>98.26</v>
      </c>
      <c r="D2659" s="1">
        <f>IFERROR(__xludf.DUMMYFUNCTION("""COMPUTED_VALUE"""),96.51)</f>
        <v>96.51</v>
      </c>
      <c r="E2659" s="1">
        <f>IFERROR(__xludf.DUMMYFUNCTION("""COMPUTED_VALUE"""),97.46)</f>
        <v>97.46</v>
      </c>
      <c r="F2659" s="1">
        <f>IFERROR(__xludf.DUMMYFUNCTION("""COMPUTED_VALUE"""),932995.0)</f>
        <v>932995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IFERROR(__xludf.DUMMYFUNCTION("""COMPUTED_VALUE"""),97.88)</f>
        <v>97.88</v>
      </c>
      <c r="C2660" s="1">
        <f>IFERROR(__xludf.DUMMYFUNCTION("""COMPUTED_VALUE"""),98.35)</f>
        <v>98.35</v>
      </c>
      <c r="D2660" s="1">
        <f>IFERROR(__xludf.DUMMYFUNCTION("""COMPUTED_VALUE"""),96.56)</f>
        <v>96.56</v>
      </c>
      <c r="E2660" s="1">
        <f>IFERROR(__xludf.DUMMYFUNCTION("""COMPUTED_VALUE"""),97.77)</f>
        <v>97.77</v>
      </c>
      <c r="F2660" s="1">
        <f>IFERROR(__xludf.DUMMYFUNCTION("""COMPUTED_VALUE"""),961130.0)</f>
        <v>961130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IFERROR(__xludf.DUMMYFUNCTION("""COMPUTED_VALUE"""),97.45)</f>
        <v>97.45</v>
      </c>
      <c r="C2661" s="1">
        <f>IFERROR(__xludf.DUMMYFUNCTION("""COMPUTED_VALUE"""),99.44)</f>
        <v>99.44</v>
      </c>
      <c r="D2661" s="1">
        <f>IFERROR(__xludf.DUMMYFUNCTION("""COMPUTED_VALUE"""),97.05)</f>
        <v>97.05</v>
      </c>
      <c r="E2661" s="1">
        <f>IFERROR(__xludf.DUMMYFUNCTION("""COMPUTED_VALUE"""),97.17)</f>
        <v>97.17</v>
      </c>
      <c r="F2661" s="1">
        <f>IFERROR(__xludf.DUMMYFUNCTION("""COMPUTED_VALUE"""),926015.0)</f>
        <v>926015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IFERROR(__xludf.DUMMYFUNCTION("""COMPUTED_VALUE"""),97.51)</f>
        <v>97.51</v>
      </c>
      <c r="C2662" s="1">
        <f>IFERROR(__xludf.DUMMYFUNCTION("""COMPUTED_VALUE"""),99.17)</f>
        <v>99.17</v>
      </c>
      <c r="D2662" s="1">
        <f>IFERROR(__xludf.DUMMYFUNCTION("""COMPUTED_VALUE"""),97.48)</f>
        <v>97.48</v>
      </c>
      <c r="E2662" s="1">
        <f>IFERROR(__xludf.DUMMYFUNCTION("""COMPUTED_VALUE"""),98.68)</f>
        <v>98.68</v>
      </c>
      <c r="F2662" s="1">
        <f>IFERROR(__xludf.DUMMYFUNCTION("""COMPUTED_VALUE"""),1358347.0)</f>
        <v>1358347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IFERROR(__xludf.DUMMYFUNCTION("""COMPUTED_VALUE"""),98.0)</f>
        <v>98</v>
      </c>
      <c r="C2663" s="1">
        <f>IFERROR(__xludf.DUMMYFUNCTION("""COMPUTED_VALUE"""),98.84)</f>
        <v>98.84</v>
      </c>
      <c r="D2663" s="1">
        <f>IFERROR(__xludf.DUMMYFUNCTION("""COMPUTED_VALUE"""),97.39)</f>
        <v>97.39</v>
      </c>
      <c r="E2663" s="1">
        <f>IFERROR(__xludf.DUMMYFUNCTION("""COMPUTED_VALUE"""),98.33)</f>
        <v>98.33</v>
      </c>
      <c r="F2663" s="1">
        <f>IFERROR(__xludf.DUMMYFUNCTION("""COMPUTED_VALUE"""),1267477.0)</f>
        <v>1267477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IFERROR(__xludf.DUMMYFUNCTION("""COMPUTED_VALUE"""),98.56)</f>
        <v>98.56</v>
      </c>
      <c r="C2664" s="1">
        <f>IFERROR(__xludf.DUMMYFUNCTION("""COMPUTED_VALUE"""),98.69)</f>
        <v>98.69</v>
      </c>
      <c r="D2664" s="1">
        <f>IFERROR(__xludf.DUMMYFUNCTION("""COMPUTED_VALUE"""),96.05)</f>
        <v>96.05</v>
      </c>
      <c r="E2664" s="1">
        <f>IFERROR(__xludf.DUMMYFUNCTION("""COMPUTED_VALUE"""),96.97)</f>
        <v>96.97</v>
      </c>
      <c r="F2664" s="1">
        <f>IFERROR(__xludf.DUMMYFUNCTION("""COMPUTED_VALUE"""),1104659.0)</f>
        <v>1104659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IFERROR(__xludf.DUMMYFUNCTION("""COMPUTED_VALUE"""),97.36)</f>
        <v>97.36</v>
      </c>
      <c r="C2665" s="1">
        <f>IFERROR(__xludf.DUMMYFUNCTION("""COMPUTED_VALUE"""),98.28)</f>
        <v>98.28</v>
      </c>
      <c r="D2665" s="1">
        <f>IFERROR(__xludf.DUMMYFUNCTION("""COMPUTED_VALUE"""),96.47)</f>
        <v>96.47</v>
      </c>
      <c r="E2665" s="1">
        <f>IFERROR(__xludf.DUMMYFUNCTION("""COMPUTED_VALUE"""),97.4)</f>
        <v>97.4</v>
      </c>
      <c r="F2665" s="1">
        <f>IFERROR(__xludf.DUMMYFUNCTION("""COMPUTED_VALUE"""),892642.0)</f>
        <v>892642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IFERROR(__xludf.DUMMYFUNCTION("""COMPUTED_VALUE"""),97.26)</f>
        <v>97.26</v>
      </c>
      <c r="C2666" s="1">
        <f>IFERROR(__xludf.DUMMYFUNCTION("""COMPUTED_VALUE"""),100.7)</f>
        <v>100.7</v>
      </c>
      <c r="D2666" s="1">
        <f>IFERROR(__xludf.DUMMYFUNCTION("""COMPUTED_VALUE"""),97.26)</f>
        <v>97.26</v>
      </c>
      <c r="E2666" s="1">
        <f>IFERROR(__xludf.DUMMYFUNCTION("""COMPUTED_VALUE"""),99.36)</f>
        <v>99.36</v>
      </c>
      <c r="F2666" s="1">
        <f>IFERROR(__xludf.DUMMYFUNCTION("""COMPUTED_VALUE"""),1444152.0)</f>
        <v>1444152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IFERROR(__xludf.DUMMYFUNCTION("""COMPUTED_VALUE"""),100.3)</f>
        <v>100.3</v>
      </c>
      <c r="C2667" s="1">
        <f>IFERROR(__xludf.DUMMYFUNCTION("""COMPUTED_VALUE"""),101.11)</f>
        <v>101.11</v>
      </c>
      <c r="D2667" s="1">
        <f>IFERROR(__xludf.DUMMYFUNCTION("""COMPUTED_VALUE"""),99.45)</f>
        <v>99.45</v>
      </c>
      <c r="E2667" s="1">
        <f>IFERROR(__xludf.DUMMYFUNCTION("""COMPUTED_VALUE"""),100.36)</f>
        <v>100.36</v>
      </c>
      <c r="F2667" s="1">
        <f>IFERROR(__xludf.DUMMYFUNCTION("""COMPUTED_VALUE"""),954316.0)</f>
        <v>954316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IFERROR(__xludf.DUMMYFUNCTION("""COMPUTED_VALUE"""),99.68)</f>
        <v>99.68</v>
      </c>
      <c r="C2668" s="1">
        <f>IFERROR(__xludf.DUMMYFUNCTION("""COMPUTED_VALUE"""),101.15)</f>
        <v>101.15</v>
      </c>
      <c r="D2668" s="1">
        <f>IFERROR(__xludf.DUMMYFUNCTION("""COMPUTED_VALUE"""),99.18)</f>
        <v>99.18</v>
      </c>
      <c r="E2668" s="1">
        <f>IFERROR(__xludf.DUMMYFUNCTION("""COMPUTED_VALUE"""),100.65)</f>
        <v>100.65</v>
      </c>
      <c r="F2668" s="1">
        <f>IFERROR(__xludf.DUMMYFUNCTION("""COMPUTED_VALUE"""),1085460.0)</f>
        <v>1085460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IFERROR(__xludf.DUMMYFUNCTION("""COMPUTED_VALUE"""),99.76)</f>
        <v>99.76</v>
      </c>
      <c r="C2669" s="1">
        <f>IFERROR(__xludf.DUMMYFUNCTION("""COMPUTED_VALUE"""),100.64)</f>
        <v>100.64</v>
      </c>
      <c r="D2669" s="1">
        <f>IFERROR(__xludf.DUMMYFUNCTION("""COMPUTED_VALUE"""),99.11)</f>
        <v>99.11</v>
      </c>
      <c r="E2669" s="1">
        <f>IFERROR(__xludf.DUMMYFUNCTION("""COMPUTED_VALUE"""),100.28)</f>
        <v>100.28</v>
      </c>
      <c r="F2669" s="1">
        <f>IFERROR(__xludf.DUMMYFUNCTION("""COMPUTED_VALUE"""),859743.0)</f>
        <v>859743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IFERROR(__xludf.DUMMYFUNCTION("""COMPUTED_VALUE"""),100.51)</f>
        <v>100.51</v>
      </c>
      <c r="C2670" s="1">
        <f>IFERROR(__xludf.DUMMYFUNCTION("""COMPUTED_VALUE"""),102.77)</f>
        <v>102.77</v>
      </c>
      <c r="D2670" s="1">
        <f>IFERROR(__xludf.DUMMYFUNCTION("""COMPUTED_VALUE"""),100.51)</f>
        <v>100.51</v>
      </c>
      <c r="E2670" s="1">
        <f>IFERROR(__xludf.DUMMYFUNCTION("""COMPUTED_VALUE"""),102.2)</f>
        <v>102.2</v>
      </c>
      <c r="F2670" s="1">
        <f>IFERROR(__xludf.DUMMYFUNCTION("""COMPUTED_VALUE"""),1375149.0)</f>
        <v>1375149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IFERROR(__xludf.DUMMYFUNCTION("""COMPUTED_VALUE"""),103.0)</f>
        <v>103</v>
      </c>
      <c r="C2671" s="1">
        <f>IFERROR(__xludf.DUMMYFUNCTION("""COMPUTED_VALUE"""),104.83)</f>
        <v>104.83</v>
      </c>
      <c r="D2671" s="1">
        <f>IFERROR(__xludf.DUMMYFUNCTION("""COMPUTED_VALUE"""),102.5)</f>
        <v>102.5</v>
      </c>
      <c r="E2671" s="1">
        <f>IFERROR(__xludf.DUMMYFUNCTION("""COMPUTED_VALUE"""),103.99)</f>
        <v>103.99</v>
      </c>
      <c r="F2671" s="1">
        <f>IFERROR(__xludf.DUMMYFUNCTION("""COMPUTED_VALUE"""),1383939.0)</f>
        <v>1383939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IFERROR(__xludf.DUMMYFUNCTION("""COMPUTED_VALUE"""),104.7)</f>
        <v>104.7</v>
      </c>
      <c r="C2672" s="1">
        <f>IFERROR(__xludf.DUMMYFUNCTION("""COMPUTED_VALUE"""),106.74)</f>
        <v>106.74</v>
      </c>
      <c r="D2672" s="1">
        <f>IFERROR(__xludf.DUMMYFUNCTION("""COMPUTED_VALUE"""),104.36)</f>
        <v>104.36</v>
      </c>
      <c r="E2672" s="1">
        <f>IFERROR(__xludf.DUMMYFUNCTION("""COMPUTED_VALUE"""),106.24)</f>
        <v>106.24</v>
      </c>
      <c r="F2672" s="1">
        <f>IFERROR(__xludf.DUMMYFUNCTION("""COMPUTED_VALUE"""),1484416.0)</f>
        <v>1484416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IFERROR(__xludf.DUMMYFUNCTION("""COMPUTED_VALUE"""),105.46)</f>
        <v>105.46</v>
      </c>
      <c r="C2673" s="1">
        <f>IFERROR(__xludf.DUMMYFUNCTION("""COMPUTED_VALUE"""),105.86)</f>
        <v>105.86</v>
      </c>
      <c r="D2673" s="1">
        <f>IFERROR(__xludf.DUMMYFUNCTION("""COMPUTED_VALUE"""),104.08)</f>
        <v>104.08</v>
      </c>
      <c r="E2673" s="1">
        <f>IFERROR(__xludf.DUMMYFUNCTION("""COMPUTED_VALUE"""),104.36)</f>
        <v>104.36</v>
      </c>
      <c r="F2673" s="1">
        <f>IFERROR(__xludf.DUMMYFUNCTION("""COMPUTED_VALUE"""),831082.0)</f>
        <v>831082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IFERROR(__xludf.DUMMYFUNCTION("""COMPUTED_VALUE"""),104.6)</f>
        <v>104.6</v>
      </c>
      <c r="C2674" s="1">
        <f>IFERROR(__xludf.DUMMYFUNCTION("""COMPUTED_VALUE"""),104.93)</f>
        <v>104.93</v>
      </c>
      <c r="D2674" s="1">
        <f>IFERROR(__xludf.DUMMYFUNCTION("""COMPUTED_VALUE"""),103.59)</f>
        <v>103.59</v>
      </c>
      <c r="E2674" s="1">
        <f>IFERROR(__xludf.DUMMYFUNCTION("""COMPUTED_VALUE"""),104.35)</f>
        <v>104.35</v>
      </c>
      <c r="F2674" s="1">
        <f>IFERROR(__xludf.DUMMYFUNCTION("""COMPUTED_VALUE"""),575834.0)</f>
        <v>575834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IFERROR(__xludf.DUMMYFUNCTION("""COMPUTED_VALUE"""),104.27)</f>
        <v>104.27</v>
      </c>
      <c r="C2675" s="1">
        <f>IFERROR(__xludf.DUMMYFUNCTION("""COMPUTED_VALUE"""),106.4)</f>
        <v>106.4</v>
      </c>
      <c r="D2675" s="1">
        <f>IFERROR(__xludf.DUMMYFUNCTION("""COMPUTED_VALUE"""),104.27)</f>
        <v>104.27</v>
      </c>
      <c r="E2675" s="1">
        <f>IFERROR(__xludf.DUMMYFUNCTION("""COMPUTED_VALUE"""),105.62)</f>
        <v>105.62</v>
      </c>
      <c r="F2675" s="1">
        <f>IFERROR(__xludf.DUMMYFUNCTION("""COMPUTED_VALUE"""),1178559.0)</f>
        <v>1178559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IFERROR(__xludf.DUMMYFUNCTION("""COMPUTED_VALUE"""),106.87)</f>
        <v>106.87</v>
      </c>
      <c r="C2676" s="1">
        <f>IFERROR(__xludf.DUMMYFUNCTION("""COMPUTED_VALUE"""),107.43)</f>
        <v>107.43</v>
      </c>
      <c r="D2676" s="1">
        <f>IFERROR(__xludf.DUMMYFUNCTION("""COMPUTED_VALUE"""),105.66)</f>
        <v>105.66</v>
      </c>
      <c r="E2676" s="1">
        <f>IFERROR(__xludf.DUMMYFUNCTION("""COMPUTED_VALUE"""),106.63)</f>
        <v>106.63</v>
      </c>
      <c r="F2676" s="1">
        <f>IFERROR(__xludf.DUMMYFUNCTION("""COMPUTED_VALUE"""),1236470.0)</f>
        <v>1236470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IFERROR(__xludf.DUMMYFUNCTION("""COMPUTED_VALUE"""),107.07)</f>
        <v>107.07</v>
      </c>
      <c r="C2677" s="1">
        <f>IFERROR(__xludf.DUMMYFUNCTION("""COMPUTED_VALUE"""),107.5)</f>
        <v>107.5</v>
      </c>
      <c r="D2677" s="1">
        <f>IFERROR(__xludf.DUMMYFUNCTION("""COMPUTED_VALUE"""),105.71)</f>
        <v>105.71</v>
      </c>
      <c r="E2677" s="1">
        <f>IFERROR(__xludf.DUMMYFUNCTION("""COMPUTED_VALUE"""),106.78)</f>
        <v>106.78</v>
      </c>
      <c r="F2677" s="1">
        <f>IFERROR(__xludf.DUMMYFUNCTION("""COMPUTED_VALUE"""),788419.0)</f>
        <v>788419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IFERROR(__xludf.DUMMYFUNCTION("""COMPUTED_VALUE"""),105.7)</f>
        <v>105.7</v>
      </c>
      <c r="C2678" s="1">
        <f>IFERROR(__xludf.DUMMYFUNCTION("""COMPUTED_VALUE"""),107.66)</f>
        <v>107.66</v>
      </c>
      <c r="D2678" s="1">
        <f>IFERROR(__xludf.DUMMYFUNCTION("""COMPUTED_VALUE"""),105.41)</f>
        <v>105.41</v>
      </c>
      <c r="E2678" s="1">
        <f>IFERROR(__xludf.DUMMYFUNCTION("""COMPUTED_VALUE"""),106.12)</f>
        <v>106.12</v>
      </c>
      <c r="F2678" s="1">
        <f>IFERROR(__xludf.DUMMYFUNCTION("""COMPUTED_VALUE"""),640858.0)</f>
        <v>640858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IFERROR(__xludf.DUMMYFUNCTION("""COMPUTED_VALUE"""),106.13)</f>
        <v>106.13</v>
      </c>
      <c r="C2679" s="1">
        <f>IFERROR(__xludf.DUMMYFUNCTION("""COMPUTED_VALUE"""),107.41)</f>
        <v>107.41</v>
      </c>
      <c r="D2679" s="1">
        <f>IFERROR(__xludf.DUMMYFUNCTION("""COMPUTED_VALUE"""),105.64)</f>
        <v>105.64</v>
      </c>
      <c r="E2679" s="1">
        <f>IFERROR(__xludf.DUMMYFUNCTION("""COMPUTED_VALUE"""),106.92)</f>
        <v>106.92</v>
      </c>
      <c r="F2679" s="1">
        <f>IFERROR(__xludf.DUMMYFUNCTION("""COMPUTED_VALUE"""),677436.0)</f>
        <v>677436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IFERROR(__xludf.DUMMYFUNCTION("""COMPUTED_VALUE"""),107.8)</f>
        <v>107.8</v>
      </c>
      <c r="C2680" s="1">
        <f>IFERROR(__xludf.DUMMYFUNCTION("""COMPUTED_VALUE"""),108.98)</f>
        <v>108.98</v>
      </c>
      <c r="D2680" s="1">
        <f>IFERROR(__xludf.DUMMYFUNCTION("""COMPUTED_VALUE"""),106.94)</f>
        <v>106.94</v>
      </c>
      <c r="E2680" s="1">
        <f>IFERROR(__xludf.DUMMYFUNCTION("""COMPUTED_VALUE"""),108.8)</f>
        <v>108.8</v>
      </c>
      <c r="F2680" s="1">
        <f>IFERROR(__xludf.DUMMYFUNCTION("""COMPUTED_VALUE"""),651820.0)</f>
        <v>651820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IFERROR(__xludf.DUMMYFUNCTION("""COMPUTED_VALUE"""),108.82)</f>
        <v>108.82</v>
      </c>
      <c r="C2681" s="1">
        <f>IFERROR(__xludf.DUMMYFUNCTION("""COMPUTED_VALUE"""),109.31)</f>
        <v>109.31</v>
      </c>
      <c r="D2681" s="1">
        <f>IFERROR(__xludf.DUMMYFUNCTION("""COMPUTED_VALUE"""),106.99)</f>
        <v>106.99</v>
      </c>
      <c r="E2681" s="1">
        <f>IFERROR(__xludf.DUMMYFUNCTION("""COMPUTED_VALUE"""),107.04)</f>
        <v>107.04</v>
      </c>
      <c r="F2681" s="1">
        <f>IFERROR(__xludf.DUMMYFUNCTION("""COMPUTED_VALUE"""),657199.0)</f>
        <v>657199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IFERROR(__xludf.DUMMYFUNCTION("""COMPUTED_VALUE"""),106.88)</f>
        <v>106.88</v>
      </c>
      <c r="C2682" s="1">
        <f>IFERROR(__xludf.DUMMYFUNCTION("""COMPUTED_VALUE"""),107.66)</f>
        <v>107.66</v>
      </c>
      <c r="D2682" s="1">
        <f>IFERROR(__xludf.DUMMYFUNCTION("""COMPUTED_VALUE"""),106.36)</f>
        <v>106.36</v>
      </c>
      <c r="E2682" s="1">
        <f>IFERROR(__xludf.DUMMYFUNCTION("""COMPUTED_VALUE"""),107.23)</f>
        <v>107.23</v>
      </c>
      <c r="F2682" s="1">
        <f>IFERROR(__xludf.DUMMYFUNCTION("""COMPUTED_VALUE"""),605817.0)</f>
        <v>605817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IFERROR(__xludf.DUMMYFUNCTION("""COMPUTED_VALUE"""),107.78)</f>
        <v>107.78</v>
      </c>
      <c r="C2683" s="1">
        <f>IFERROR(__xludf.DUMMYFUNCTION("""COMPUTED_VALUE"""),108.41)</f>
        <v>108.41</v>
      </c>
      <c r="D2683" s="1">
        <f>IFERROR(__xludf.DUMMYFUNCTION("""COMPUTED_VALUE"""),106.26)</f>
        <v>106.26</v>
      </c>
      <c r="E2683" s="1">
        <f>IFERROR(__xludf.DUMMYFUNCTION("""COMPUTED_VALUE"""),106.54)</f>
        <v>106.54</v>
      </c>
      <c r="F2683" s="1">
        <f>IFERROR(__xludf.DUMMYFUNCTION("""COMPUTED_VALUE"""),736221.0)</f>
        <v>736221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IFERROR(__xludf.DUMMYFUNCTION("""COMPUTED_VALUE"""),107.09)</f>
        <v>107.09</v>
      </c>
      <c r="C2684" s="1">
        <f>IFERROR(__xludf.DUMMYFUNCTION("""COMPUTED_VALUE"""),107.89)</f>
        <v>107.89</v>
      </c>
      <c r="D2684" s="1">
        <f>IFERROR(__xludf.DUMMYFUNCTION("""COMPUTED_VALUE"""),106.45)</f>
        <v>106.45</v>
      </c>
      <c r="E2684" s="1">
        <f>IFERROR(__xludf.DUMMYFUNCTION("""COMPUTED_VALUE"""),107.25)</f>
        <v>107.25</v>
      </c>
      <c r="F2684" s="1">
        <f>IFERROR(__xludf.DUMMYFUNCTION("""COMPUTED_VALUE"""),624418.0)</f>
        <v>624418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IFERROR(__xludf.DUMMYFUNCTION("""COMPUTED_VALUE"""),107.29)</f>
        <v>107.29</v>
      </c>
      <c r="C2685" s="1">
        <f>IFERROR(__xludf.DUMMYFUNCTION("""COMPUTED_VALUE"""),107.77)</f>
        <v>107.77</v>
      </c>
      <c r="D2685" s="1">
        <f>IFERROR(__xludf.DUMMYFUNCTION("""COMPUTED_VALUE"""),106.18)</f>
        <v>106.18</v>
      </c>
      <c r="E2685" s="1">
        <f>IFERROR(__xludf.DUMMYFUNCTION("""COMPUTED_VALUE"""),106.93)</f>
        <v>106.93</v>
      </c>
      <c r="F2685" s="1">
        <f>IFERROR(__xludf.DUMMYFUNCTION("""COMPUTED_VALUE"""),1021783.0)</f>
        <v>1021783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IFERROR(__xludf.DUMMYFUNCTION("""COMPUTED_VALUE"""),106.61)</f>
        <v>106.61</v>
      </c>
      <c r="C2686" s="1">
        <f>IFERROR(__xludf.DUMMYFUNCTION("""COMPUTED_VALUE"""),109.15)</f>
        <v>109.15</v>
      </c>
      <c r="D2686" s="1">
        <f>IFERROR(__xludf.DUMMYFUNCTION("""COMPUTED_VALUE"""),105.9)</f>
        <v>105.9</v>
      </c>
      <c r="E2686" s="1">
        <f>IFERROR(__xludf.DUMMYFUNCTION("""COMPUTED_VALUE"""),108.58)</f>
        <v>108.58</v>
      </c>
      <c r="F2686" s="1">
        <f>IFERROR(__xludf.DUMMYFUNCTION("""COMPUTED_VALUE"""),1087661.0)</f>
        <v>1087661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IFERROR(__xludf.DUMMYFUNCTION("""COMPUTED_VALUE"""),108.49)</f>
        <v>108.49</v>
      </c>
      <c r="C2687" s="1">
        <f>IFERROR(__xludf.DUMMYFUNCTION("""COMPUTED_VALUE"""),109.06)</f>
        <v>109.06</v>
      </c>
      <c r="D2687" s="1">
        <f>IFERROR(__xludf.DUMMYFUNCTION("""COMPUTED_VALUE"""),106.64)</f>
        <v>106.64</v>
      </c>
      <c r="E2687" s="1">
        <f>IFERROR(__xludf.DUMMYFUNCTION("""COMPUTED_VALUE"""),108.6)</f>
        <v>108.6</v>
      </c>
      <c r="F2687" s="1">
        <f>IFERROR(__xludf.DUMMYFUNCTION("""COMPUTED_VALUE"""),1098273.0)</f>
        <v>1098273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IFERROR(__xludf.DUMMYFUNCTION("""COMPUTED_VALUE"""),108.58)</f>
        <v>108.58</v>
      </c>
      <c r="C2688" s="1">
        <f>IFERROR(__xludf.DUMMYFUNCTION("""COMPUTED_VALUE"""),108.59)</f>
        <v>108.59</v>
      </c>
      <c r="D2688" s="1">
        <f>IFERROR(__xludf.DUMMYFUNCTION("""COMPUTED_VALUE"""),104.28)</f>
        <v>104.28</v>
      </c>
      <c r="E2688" s="1">
        <f>IFERROR(__xludf.DUMMYFUNCTION("""COMPUTED_VALUE"""),106.32)</f>
        <v>106.32</v>
      </c>
      <c r="F2688" s="1">
        <f>IFERROR(__xludf.DUMMYFUNCTION("""COMPUTED_VALUE"""),925216.0)</f>
        <v>925216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IFERROR(__xludf.DUMMYFUNCTION("""COMPUTED_VALUE"""),106.66)</f>
        <v>106.66</v>
      </c>
      <c r="C2689" s="1">
        <f>IFERROR(__xludf.DUMMYFUNCTION("""COMPUTED_VALUE"""),108.12)</f>
        <v>108.12</v>
      </c>
      <c r="D2689" s="1">
        <f>IFERROR(__xludf.DUMMYFUNCTION("""COMPUTED_VALUE"""),104.29)</f>
        <v>104.29</v>
      </c>
      <c r="E2689" s="1">
        <f>IFERROR(__xludf.DUMMYFUNCTION("""COMPUTED_VALUE"""),105.58)</f>
        <v>105.58</v>
      </c>
      <c r="F2689" s="1">
        <f>IFERROR(__xludf.DUMMYFUNCTION("""COMPUTED_VALUE"""),625499.0)</f>
        <v>625499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IFERROR(__xludf.DUMMYFUNCTION("""COMPUTED_VALUE"""),104.24)</f>
        <v>104.24</v>
      </c>
      <c r="C2690" s="1">
        <f>IFERROR(__xludf.DUMMYFUNCTION("""COMPUTED_VALUE"""),107.11)</f>
        <v>107.11</v>
      </c>
      <c r="D2690" s="1">
        <f>IFERROR(__xludf.DUMMYFUNCTION("""COMPUTED_VALUE"""),103.44)</f>
        <v>103.44</v>
      </c>
      <c r="E2690" s="1">
        <f>IFERROR(__xludf.DUMMYFUNCTION("""COMPUTED_VALUE"""),104.62)</f>
        <v>104.62</v>
      </c>
      <c r="F2690" s="1">
        <f>IFERROR(__xludf.DUMMYFUNCTION("""COMPUTED_VALUE"""),1337132.0)</f>
        <v>1337132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IFERROR(__xludf.DUMMYFUNCTION("""COMPUTED_VALUE"""),105.01)</f>
        <v>105.01</v>
      </c>
      <c r="C2691" s="1">
        <f>IFERROR(__xludf.DUMMYFUNCTION("""COMPUTED_VALUE"""),105.84)</f>
        <v>105.84</v>
      </c>
      <c r="D2691" s="1">
        <f>IFERROR(__xludf.DUMMYFUNCTION("""COMPUTED_VALUE"""),103.92)</f>
        <v>103.92</v>
      </c>
      <c r="E2691" s="1">
        <f>IFERROR(__xludf.DUMMYFUNCTION("""COMPUTED_VALUE"""),105.15)</f>
        <v>105.15</v>
      </c>
      <c r="F2691" s="1">
        <f>IFERROR(__xludf.DUMMYFUNCTION("""COMPUTED_VALUE"""),1914743.0)</f>
        <v>1914743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IFERROR(__xludf.DUMMYFUNCTION("""COMPUTED_VALUE"""),105.0)</f>
        <v>105</v>
      </c>
      <c r="C2692" s="1">
        <f>IFERROR(__xludf.DUMMYFUNCTION("""COMPUTED_VALUE"""),106.47)</f>
        <v>106.47</v>
      </c>
      <c r="D2692" s="1">
        <f>IFERROR(__xludf.DUMMYFUNCTION("""COMPUTED_VALUE"""),102.37)</f>
        <v>102.37</v>
      </c>
      <c r="E2692" s="1">
        <f>IFERROR(__xludf.DUMMYFUNCTION("""COMPUTED_VALUE"""),102.46)</f>
        <v>102.46</v>
      </c>
      <c r="F2692" s="1">
        <f>IFERROR(__xludf.DUMMYFUNCTION("""COMPUTED_VALUE"""),1029148.0)</f>
        <v>1029148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IFERROR(__xludf.DUMMYFUNCTION("""COMPUTED_VALUE"""),102.89)</f>
        <v>102.89</v>
      </c>
      <c r="C2693" s="1">
        <f>IFERROR(__xludf.DUMMYFUNCTION("""COMPUTED_VALUE"""),103.05)</f>
        <v>103.05</v>
      </c>
      <c r="D2693" s="1">
        <f>IFERROR(__xludf.DUMMYFUNCTION("""COMPUTED_VALUE"""),101.09)</f>
        <v>101.09</v>
      </c>
      <c r="E2693" s="1">
        <f>IFERROR(__xludf.DUMMYFUNCTION("""COMPUTED_VALUE"""),101.63)</f>
        <v>101.63</v>
      </c>
      <c r="F2693" s="1">
        <f>IFERROR(__xludf.DUMMYFUNCTION("""COMPUTED_VALUE"""),1279883.0)</f>
        <v>1279883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IFERROR(__xludf.DUMMYFUNCTION("""COMPUTED_VALUE"""),101.86)</f>
        <v>101.86</v>
      </c>
      <c r="C2694" s="1">
        <f>IFERROR(__xludf.DUMMYFUNCTION("""COMPUTED_VALUE"""),105.09)</f>
        <v>105.09</v>
      </c>
      <c r="D2694" s="1">
        <f>IFERROR(__xludf.DUMMYFUNCTION("""COMPUTED_VALUE"""),101.72)</f>
        <v>101.72</v>
      </c>
      <c r="E2694" s="1">
        <f>IFERROR(__xludf.DUMMYFUNCTION("""COMPUTED_VALUE"""),104.8)</f>
        <v>104.8</v>
      </c>
      <c r="F2694" s="1">
        <f>IFERROR(__xludf.DUMMYFUNCTION("""COMPUTED_VALUE"""),1108282.0)</f>
        <v>1108282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IFERROR(__xludf.DUMMYFUNCTION("""COMPUTED_VALUE"""),105.99)</f>
        <v>105.99</v>
      </c>
      <c r="C2695" s="1">
        <f>IFERROR(__xludf.DUMMYFUNCTION("""COMPUTED_VALUE"""),106.44)</f>
        <v>106.44</v>
      </c>
      <c r="D2695" s="1">
        <f>IFERROR(__xludf.DUMMYFUNCTION("""COMPUTED_VALUE"""),104.76)</f>
        <v>104.76</v>
      </c>
      <c r="E2695" s="1">
        <f>IFERROR(__xludf.DUMMYFUNCTION("""COMPUTED_VALUE"""),105.01)</f>
        <v>105.01</v>
      </c>
      <c r="F2695" s="1">
        <f>IFERROR(__xludf.DUMMYFUNCTION("""COMPUTED_VALUE"""),914643.0)</f>
        <v>914643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IFERROR(__xludf.DUMMYFUNCTION("""COMPUTED_VALUE"""),105.69)</f>
        <v>105.69</v>
      </c>
      <c r="C2696" s="1">
        <f>IFERROR(__xludf.DUMMYFUNCTION("""COMPUTED_VALUE"""),106.0)</f>
        <v>106</v>
      </c>
      <c r="D2696" s="1">
        <f>IFERROR(__xludf.DUMMYFUNCTION("""COMPUTED_VALUE"""),104.32)</f>
        <v>104.32</v>
      </c>
      <c r="E2696" s="1">
        <f>IFERROR(__xludf.DUMMYFUNCTION("""COMPUTED_VALUE"""),104.51)</f>
        <v>104.51</v>
      </c>
      <c r="F2696" s="1">
        <f>IFERROR(__xludf.DUMMYFUNCTION("""COMPUTED_VALUE"""),948476.0)</f>
        <v>948476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IFERROR(__xludf.DUMMYFUNCTION("""COMPUTED_VALUE"""),103.23)</f>
        <v>103.23</v>
      </c>
      <c r="C2697" s="1">
        <f>IFERROR(__xludf.DUMMYFUNCTION("""COMPUTED_VALUE"""),104.23)</f>
        <v>104.23</v>
      </c>
      <c r="D2697" s="1">
        <f>IFERROR(__xludf.DUMMYFUNCTION("""COMPUTED_VALUE"""),102.15)</f>
        <v>102.15</v>
      </c>
      <c r="E2697" s="1">
        <f>IFERROR(__xludf.DUMMYFUNCTION("""COMPUTED_VALUE"""),102.99)</f>
        <v>102.99</v>
      </c>
      <c r="F2697" s="1">
        <f>IFERROR(__xludf.DUMMYFUNCTION("""COMPUTED_VALUE"""),839407.0)</f>
        <v>839407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IFERROR(__xludf.DUMMYFUNCTION("""COMPUTED_VALUE"""),102.46)</f>
        <v>102.46</v>
      </c>
      <c r="C2698" s="1">
        <f>IFERROR(__xludf.DUMMYFUNCTION("""COMPUTED_VALUE"""),104.75)</f>
        <v>104.75</v>
      </c>
      <c r="D2698" s="1">
        <f>IFERROR(__xludf.DUMMYFUNCTION("""COMPUTED_VALUE"""),102.45)</f>
        <v>102.45</v>
      </c>
      <c r="E2698" s="1">
        <f>IFERROR(__xludf.DUMMYFUNCTION("""COMPUTED_VALUE"""),103.07)</f>
        <v>103.07</v>
      </c>
      <c r="F2698" s="1">
        <f>IFERROR(__xludf.DUMMYFUNCTION("""COMPUTED_VALUE"""),1224865.0)</f>
        <v>1224865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IFERROR(__xludf.DUMMYFUNCTION("""COMPUTED_VALUE"""),102.11)</f>
        <v>102.11</v>
      </c>
      <c r="C2699" s="1">
        <f>IFERROR(__xludf.DUMMYFUNCTION("""COMPUTED_VALUE"""),102.11)</f>
        <v>102.11</v>
      </c>
      <c r="D2699" s="1">
        <f>IFERROR(__xludf.DUMMYFUNCTION("""COMPUTED_VALUE"""),99.38)</f>
        <v>99.38</v>
      </c>
      <c r="E2699" s="1">
        <f>IFERROR(__xludf.DUMMYFUNCTION("""COMPUTED_VALUE"""),101.12)</f>
        <v>101.12</v>
      </c>
      <c r="F2699" s="1">
        <f>IFERROR(__xludf.DUMMYFUNCTION("""COMPUTED_VALUE"""),1251685.0)</f>
        <v>1251685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IFERROR(__xludf.DUMMYFUNCTION("""COMPUTED_VALUE"""),104.4)</f>
        <v>104.4</v>
      </c>
      <c r="C2700" s="1">
        <f>IFERROR(__xludf.DUMMYFUNCTION("""COMPUTED_VALUE"""),105.78)</f>
        <v>105.78</v>
      </c>
      <c r="D2700" s="1">
        <f>IFERROR(__xludf.DUMMYFUNCTION("""COMPUTED_VALUE"""),103.51)</f>
        <v>103.51</v>
      </c>
      <c r="E2700" s="1">
        <f>IFERROR(__xludf.DUMMYFUNCTION("""COMPUTED_VALUE"""),104.3)</f>
        <v>104.3</v>
      </c>
      <c r="F2700" s="1">
        <f>IFERROR(__xludf.DUMMYFUNCTION("""COMPUTED_VALUE"""),1778904.0)</f>
        <v>1778904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IFERROR(__xludf.DUMMYFUNCTION("""COMPUTED_VALUE"""),108.28)</f>
        <v>108.28</v>
      </c>
      <c r="C2701" s="1">
        <f>IFERROR(__xludf.DUMMYFUNCTION("""COMPUTED_VALUE"""),108.85)</f>
        <v>108.85</v>
      </c>
      <c r="D2701" s="1">
        <f>IFERROR(__xludf.DUMMYFUNCTION("""COMPUTED_VALUE"""),105.86)</f>
        <v>105.86</v>
      </c>
      <c r="E2701" s="1">
        <f>IFERROR(__xludf.DUMMYFUNCTION("""COMPUTED_VALUE"""),105.93)</f>
        <v>105.93</v>
      </c>
      <c r="F2701" s="1">
        <f>IFERROR(__xludf.DUMMYFUNCTION("""COMPUTED_VALUE"""),3925428.0)</f>
        <v>3925428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IFERROR(__xludf.DUMMYFUNCTION("""COMPUTED_VALUE"""),100.1)</f>
        <v>100.1</v>
      </c>
      <c r="C2702" s="1">
        <f>IFERROR(__xludf.DUMMYFUNCTION("""COMPUTED_VALUE"""),100.25)</f>
        <v>100.25</v>
      </c>
      <c r="D2702" s="1">
        <f>IFERROR(__xludf.DUMMYFUNCTION("""COMPUTED_VALUE"""),91.7)</f>
        <v>91.7</v>
      </c>
      <c r="E2702" s="1">
        <f>IFERROR(__xludf.DUMMYFUNCTION("""COMPUTED_VALUE"""),94.28)</f>
        <v>94.28</v>
      </c>
      <c r="F2702" s="1">
        <f>IFERROR(__xludf.DUMMYFUNCTION("""COMPUTED_VALUE"""),7406433.0)</f>
        <v>7406433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IFERROR(__xludf.DUMMYFUNCTION("""COMPUTED_VALUE"""),95.25)</f>
        <v>95.25</v>
      </c>
      <c r="C2703" s="1">
        <f>IFERROR(__xludf.DUMMYFUNCTION("""COMPUTED_VALUE"""),95.51)</f>
        <v>95.51</v>
      </c>
      <c r="D2703" s="1">
        <f>IFERROR(__xludf.DUMMYFUNCTION("""COMPUTED_VALUE"""),92.5)</f>
        <v>92.5</v>
      </c>
      <c r="E2703" s="1">
        <f>IFERROR(__xludf.DUMMYFUNCTION("""COMPUTED_VALUE"""),94.03)</f>
        <v>94.03</v>
      </c>
      <c r="F2703" s="1">
        <f>IFERROR(__xludf.DUMMYFUNCTION("""COMPUTED_VALUE"""),3435024.0)</f>
        <v>3435024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IFERROR(__xludf.DUMMYFUNCTION("""COMPUTED_VALUE"""),95.88)</f>
        <v>95.88</v>
      </c>
      <c r="C2704" s="1">
        <f>IFERROR(__xludf.DUMMYFUNCTION("""COMPUTED_VALUE"""),96.28)</f>
        <v>96.28</v>
      </c>
      <c r="D2704" s="1">
        <f>IFERROR(__xludf.DUMMYFUNCTION("""COMPUTED_VALUE"""),94.44)</f>
        <v>94.44</v>
      </c>
      <c r="E2704" s="1">
        <f>IFERROR(__xludf.DUMMYFUNCTION("""COMPUTED_VALUE"""),95.05)</f>
        <v>95.05</v>
      </c>
      <c r="F2704" s="1">
        <f>IFERROR(__xludf.DUMMYFUNCTION("""COMPUTED_VALUE"""),1685683.0)</f>
        <v>1685683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IFERROR(__xludf.DUMMYFUNCTION("""COMPUTED_VALUE"""),94.71)</f>
        <v>94.71</v>
      </c>
      <c r="C2705" s="1">
        <f>IFERROR(__xludf.DUMMYFUNCTION("""COMPUTED_VALUE"""),94.89)</f>
        <v>94.89</v>
      </c>
      <c r="D2705" s="1">
        <f>IFERROR(__xludf.DUMMYFUNCTION("""COMPUTED_VALUE"""),92.65)</f>
        <v>92.65</v>
      </c>
      <c r="E2705" s="1">
        <f>IFERROR(__xludf.DUMMYFUNCTION("""COMPUTED_VALUE"""),93.08)</f>
        <v>93.08</v>
      </c>
      <c r="F2705" s="1">
        <f>IFERROR(__xludf.DUMMYFUNCTION("""COMPUTED_VALUE"""),2104941.0)</f>
        <v>2104941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IFERROR(__xludf.DUMMYFUNCTION("""COMPUTED_VALUE"""),93.03)</f>
        <v>93.03</v>
      </c>
      <c r="C2706" s="1">
        <f>IFERROR(__xludf.DUMMYFUNCTION("""COMPUTED_VALUE"""),93.49)</f>
        <v>93.49</v>
      </c>
      <c r="D2706" s="1">
        <f>IFERROR(__xludf.DUMMYFUNCTION("""COMPUTED_VALUE"""),91.14)</f>
        <v>91.14</v>
      </c>
      <c r="E2706" s="1">
        <f>IFERROR(__xludf.DUMMYFUNCTION("""COMPUTED_VALUE"""),91.91)</f>
        <v>91.91</v>
      </c>
      <c r="F2706" s="1">
        <f>IFERROR(__xludf.DUMMYFUNCTION("""COMPUTED_VALUE"""),2718830.0)</f>
        <v>2718830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IFERROR(__xludf.DUMMYFUNCTION("""COMPUTED_VALUE"""),92.84)</f>
        <v>92.84</v>
      </c>
      <c r="C2707" s="1">
        <f>IFERROR(__xludf.DUMMYFUNCTION("""COMPUTED_VALUE"""),93.53)</f>
        <v>93.53</v>
      </c>
      <c r="D2707" s="1">
        <f>IFERROR(__xludf.DUMMYFUNCTION("""COMPUTED_VALUE"""),91.13)</f>
        <v>91.13</v>
      </c>
      <c r="E2707" s="1">
        <f>IFERROR(__xludf.DUMMYFUNCTION("""COMPUTED_VALUE"""),93.49)</f>
        <v>93.49</v>
      </c>
      <c r="F2707" s="1">
        <f>IFERROR(__xludf.DUMMYFUNCTION("""COMPUTED_VALUE"""),1764562.0)</f>
        <v>1764562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IFERROR(__xludf.DUMMYFUNCTION("""COMPUTED_VALUE"""),93.55)</f>
        <v>93.55</v>
      </c>
      <c r="C2708" s="1">
        <f>IFERROR(__xludf.DUMMYFUNCTION("""COMPUTED_VALUE"""),95.86)</f>
        <v>95.86</v>
      </c>
      <c r="D2708" s="1">
        <f>IFERROR(__xludf.DUMMYFUNCTION("""COMPUTED_VALUE"""),93.03)</f>
        <v>93.03</v>
      </c>
      <c r="E2708" s="1">
        <f>IFERROR(__xludf.DUMMYFUNCTION("""COMPUTED_VALUE"""),95.55)</f>
        <v>95.55</v>
      </c>
      <c r="F2708" s="1">
        <f>IFERROR(__xludf.DUMMYFUNCTION("""COMPUTED_VALUE"""),2556289.0)</f>
        <v>2556289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IFERROR(__xludf.DUMMYFUNCTION("""COMPUTED_VALUE"""),96.95)</f>
        <v>96.95</v>
      </c>
      <c r="C2709" s="1">
        <f>IFERROR(__xludf.DUMMYFUNCTION("""COMPUTED_VALUE"""),99.19)</f>
        <v>99.19</v>
      </c>
      <c r="D2709" s="1">
        <f>IFERROR(__xludf.DUMMYFUNCTION("""COMPUTED_VALUE"""),96.46)</f>
        <v>96.46</v>
      </c>
      <c r="E2709" s="1">
        <f>IFERROR(__xludf.DUMMYFUNCTION("""COMPUTED_VALUE"""),97.91)</f>
        <v>97.91</v>
      </c>
      <c r="F2709" s="1">
        <f>IFERROR(__xludf.DUMMYFUNCTION("""COMPUTED_VALUE"""),2243645.0)</f>
        <v>2243645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IFERROR(__xludf.DUMMYFUNCTION("""COMPUTED_VALUE"""),98.82)</f>
        <v>98.82</v>
      </c>
      <c r="C2710" s="1">
        <f>IFERROR(__xludf.DUMMYFUNCTION("""COMPUTED_VALUE"""),98.84)</f>
        <v>98.84</v>
      </c>
      <c r="D2710" s="1">
        <f>IFERROR(__xludf.DUMMYFUNCTION("""COMPUTED_VALUE"""),93.0)</f>
        <v>93</v>
      </c>
      <c r="E2710" s="1">
        <f>IFERROR(__xludf.DUMMYFUNCTION("""COMPUTED_VALUE"""),93.15)</f>
        <v>93.15</v>
      </c>
      <c r="F2710" s="1">
        <f>IFERROR(__xludf.DUMMYFUNCTION("""COMPUTED_VALUE"""),2021184.0)</f>
        <v>2021184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IFERROR(__xludf.DUMMYFUNCTION("""COMPUTED_VALUE"""),93.86)</f>
        <v>93.86</v>
      </c>
      <c r="C2711" s="1">
        <f>IFERROR(__xludf.DUMMYFUNCTION("""COMPUTED_VALUE"""),95.04)</f>
        <v>95.04</v>
      </c>
      <c r="D2711" s="1">
        <f>IFERROR(__xludf.DUMMYFUNCTION("""COMPUTED_VALUE"""),93.44)</f>
        <v>93.44</v>
      </c>
      <c r="E2711" s="1">
        <f>IFERROR(__xludf.DUMMYFUNCTION("""COMPUTED_VALUE"""),94.1)</f>
        <v>94.1</v>
      </c>
      <c r="F2711" s="1">
        <f>IFERROR(__xludf.DUMMYFUNCTION("""COMPUTED_VALUE"""),1542051.0)</f>
        <v>1542051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IFERROR(__xludf.DUMMYFUNCTION("""COMPUTED_VALUE"""),94.57)</f>
        <v>94.57</v>
      </c>
      <c r="C2712" s="1">
        <f>IFERROR(__xludf.DUMMYFUNCTION("""COMPUTED_VALUE"""),96.1)</f>
        <v>96.1</v>
      </c>
      <c r="D2712" s="1">
        <f>IFERROR(__xludf.DUMMYFUNCTION("""COMPUTED_VALUE"""),93.53)</f>
        <v>93.53</v>
      </c>
      <c r="E2712" s="1">
        <f>IFERROR(__xludf.DUMMYFUNCTION("""COMPUTED_VALUE"""),95.94)</f>
        <v>95.94</v>
      </c>
      <c r="F2712" s="1">
        <f>IFERROR(__xludf.DUMMYFUNCTION("""COMPUTED_VALUE"""),764099.0)</f>
        <v>764099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IFERROR(__xludf.DUMMYFUNCTION("""COMPUTED_VALUE"""),96.8)</f>
        <v>96.8</v>
      </c>
      <c r="C2713" s="1">
        <f>IFERROR(__xludf.DUMMYFUNCTION("""COMPUTED_VALUE"""),97.29)</f>
        <v>97.29</v>
      </c>
      <c r="D2713" s="1">
        <f>IFERROR(__xludf.DUMMYFUNCTION("""COMPUTED_VALUE"""),94.65)</f>
        <v>94.65</v>
      </c>
      <c r="E2713" s="1">
        <f>IFERROR(__xludf.DUMMYFUNCTION("""COMPUTED_VALUE"""),94.96)</f>
        <v>94.96</v>
      </c>
      <c r="F2713" s="1">
        <f>IFERROR(__xludf.DUMMYFUNCTION("""COMPUTED_VALUE"""),2174987.0)</f>
        <v>2174987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IFERROR(__xludf.DUMMYFUNCTION("""COMPUTED_VALUE"""),94.98)</f>
        <v>94.98</v>
      </c>
      <c r="C2714" s="1">
        <f>IFERROR(__xludf.DUMMYFUNCTION("""COMPUTED_VALUE"""),95.2)</f>
        <v>95.2</v>
      </c>
      <c r="D2714" s="1">
        <f>IFERROR(__xludf.DUMMYFUNCTION("""COMPUTED_VALUE"""),92.49)</f>
        <v>92.49</v>
      </c>
      <c r="E2714" s="1">
        <f>IFERROR(__xludf.DUMMYFUNCTION("""COMPUTED_VALUE"""),92.51)</f>
        <v>92.51</v>
      </c>
      <c r="F2714" s="1">
        <f>IFERROR(__xludf.DUMMYFUNCTION("""COMPUTED_VALUE"""),1878926.0)</f>
        <v>1878926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IFERROR(__xludf.DUMMYFUNCTION("""COMPUTED_VALUE"""),92.52)</f>
        <v>92.52</v>
      </c>
      <c r="C2715" s="1">
        <f>IFERROR(__xludf.DUMMYFUNCTION("""COMPUTED_VALUE"""),95.44)</f>
        <v>95.44</v>
      </c>
      <c r="D2715" s="1">
        <f>IFERROR(__xludf.DUMMYFUNCTION("""COMPUTED_VALUE"""),92.12)</f>
        <v>92.12</v>
      </c>
      <c r="E2715" s="1">
        <f>IFERROR(__xludf.DUMMYFUNCTION("""COMPUTED_VALUE"""),93.13)</f>
        <v>93.13</v>
      </c>
      <c r="F2715" s="1">
        <f>IFERROR(__xludf.DUMMYFUNCTION("""COMPUTED_VALUE"""),2132654.0)</f>
        <v>2132654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IFERROR(__xludf.DUMMYFUNCTION("""COMPUTED_VALUE"""),93.74)</f>
        <v>93.74</v>
      </c>
      <c r="C2716" s="1">
        <f>IFERROR(__xludf.DUMMYFUNCTION("""COMPUTED_VALUE"""),93.92)</f>
        <v>93.92</v>
      </c>
      <c r="D2716" s="1">
        <f>IFERROR(__xludf.DUMMYFUNCTION("""COMPUTED_VALUE"""),91.31)</f>
        <v>91.31</v>
      </c>
      <c r="E2716" s="1">
        <f>IFERROR(__xludf.DUMMYFUNCTION("""COMPUTED_VALUE"""),91.58)</f>
        <v>91.58</v>
      </c>
      <c r="F2716" s="1">
        <f>IFERROR(__xludf.DUMMYFUNCTION("""COMPUTED_VALUE"""),1963828.0)</f>
        <v>1963828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IFERROR(__xludf.DUMMYFUNCTION("""COMPUTED_VALUE"""),90.5)</f>
        <v>90.5</v>
      </c>
      <c r="C2717" s="1">
        <f>IFERROR(__xludf.DUMMYFUNCTION("""COMPUTED_VALUE"""),93.73)</f>
        <v>93.73</v>
      </c>
      <c r="D2717" s="1">
        <f>IFERROR(__xludf.DUMMYFUNCTION("""COMPUTED_VALUE"""),90.25)</f>
        <v>90.25</v>
      </c>
      <c r="E2717" s="1">
        <f>IFERROR(__xludf.DUMMYFUNCTION("""COMPUTED_VALUE"""),93.12)</f>
        <v>93.12</v>
      </c>
      <c r="F2717" s="1">
        <f>IFERROR(__xludf.DUMMYFUNCTION("""COMPUTED_VALUE"""),1674575.0)</f>
        <v>1674575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IFERROR(__xludf.DUMMYFUNCTION("""COMPUTED_VALUE"""),93.38)</f>
        <v>93.38</v>
      </c>
      <c r="C2718" s="1">
        <f>IFERROR(__xludf.DUMMYFUNCTION("""COMPUTED_VALUE"""),94.33)</f>
        <v>94.33</v>
      </c>
      <c r="D2718" s="1">
        <f>IFERROR(__xludf.DUMMYFUNCTION("""COMPUTED_VALUE"""),92.51)</f>
        <v>92.51</v>
      </c>
      <c r="E2718" s="1">
        <f>IFERROR(__xludf.DUMMYFUNCTION("""COMPUTED_VALUE"""),93.74)</f>
        <v>93.74</v>
      </c>
      <c r="F2718" s="1">
        <f>IFERROR(__xludf.DUMMYFUNCTION("""COMPUTED_VALUE"""),1251851.0)</f>
        <v>1251851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IFERROR(__xludf.DUMMYFUNCTION("""COMPUTED_VALUE"""),94.76)</f>
        <v>94.76</v>
      </c>
      <c r="C2719" s="1">
        <f>IFERROR(__xludf.DUMMYFUNCTION("""COMPUTED_VALUE"""),95.76)</f>
        <v>95.76</v>
      </c>
      <c r="D2719" s="1">
        <f>IFERROR(__xludf.DUMMYFUNCTION("""COMPUTED_VALUE"""),91.93)</f>
        <v>91.93</v>
      </c>
      <c r="E2719" s="1">
        <f>IFERROR(__xludf.DUMMYFUNCTION("""COMPUTED_VALUE"""),92.04)</f>
        <v>92.04</v>
      </c>
      <c r="F2719" s="1">
        <f>IFERROR(__xludf.DUMMYFUNCTION("""COMPUTED_VALUE"""),1063747.0)</f>
        <v>1063747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IFERROR(__xludf.DUMMYFUNCTION("""COMPUTED_VALUE"""),92.24)</f>
        <v>92.24</v>
      </c>
      <c r="C2720" s="1">
        <f>IFERROR(__xludf.DUMMYFUNCTION("""COMPUTED_VALUE"""),92.77)</f>
        <v>92.77</v>
      </c>
      <c r="D2720" s="1">
        <f>IFERROR(__xludf.DUMMYFUNCTION("""COMPUTED_VALUE"""),91.08)</f>
        <v>91.08</v>
      </c>
      <c r="E2720" s="1">
        <f>IFERROR(__xludf.DUMMYFUNCTION("""COMPUTED_VALUE"""),91.13)</f>
        <v>91.13</v>
      </c>
      <c r="F2720" s="1">
        <f>IFERROR(__xludf.DUMMYFUNCTION("""COMPUTED_VALUE"""),1178989.0)</f>
        <v>1178989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IFERROR(__xludf.DUMMYFUNCTION("""COMPUTED_VALUE"""),93.07)</f>
        <v>93.07</v>
      </c>
      <c r="C2721" s="1">
        <f>IFERROR(__xludf.DUMMYFUNCTION("""COMPUTED_VALUE"""),93.89)</f>
        <v>93.89</v>
      </c>
      <c r="D2721" s="1">
        <f>IFERROR(__xludf.DUMMYFUNCTION("""COMPUTED_VALUE"""),89.68)</f>
        <v>89.68</v>
      </c>
      <c r="E2721" s="1">
        <f>IFERROR(__xludf.DUMMYFUNCTION("""COMPUTED_VALUE"""),89.81)</f>
        <v>89.81</v>
      </c>
      <c r="F2721" s="1">
        <f>IFERROR(__xludf.DUMMYFUNCTION("""COMPUTED_VALUE"""),1083551.0)</f>
        <v>1083551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IFERROR(__xludf.DUMMYFUNCTION("""COMPUTED_VALUE"""),89.53)</f>
        <v>89.53</v>
      </c>
      <c r="C2722" s="1">
        <f>IFERROR(__xludf.DUMMYFUNCTION("""COMPUTED_VALUE"""),91.68)</f>
        <v>91.68</v>
      </c>
      <c r="D2722" s="1">
        <f>IFERROR(__xludf.DUMMYFUNCTION("""COMPUTED_VALUE"""),89.0)</f>
        <v>89</v>
      </c>
      <c r="E2722" s="1">
        <f>IFERROR(__xludf.DUMMYFUNCTION("""COMPUTED_VALUE"""),91.42)</f>
        <v>91.42</v>
      </c>
      <c r="F2722" s="1">
        <f>IFERROR(__xludf.DUMMYFUNCTION("""COMPUTED_VALUE"""),1075604.0)</f>
        <v>1075604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IFERROR(__xludf.DUMMYFUNCTION("""COMPUTED_VALUE"""),91.92)</f>
        <v>91.92</v>
      </c>
      <c r="C2723" s="1">
        <f>IFERROR(__xludf.DUMMYFUNCTION("""COMPUTED_VALUE"""),92.04)</f>
        <v>92.04</v>
      </c>
      <c r="D2723" s="1">
        <f>IFERROR(__xludf.DUMMYFUNCTION("""COMPUTED_VALUE"""),89.59)</f>
        <v>89.59</v>
      </c>
      <c r="E2723" s="1">
        <f>IFERROR(__xludf.DUMMYFUNCTION("""COMPUTED_VALUE"""),90.95)</f>
        <v>90.95</v>
      </c>
      <c r="F2723" s="1">
        <f>IFERROR(__xludf.DUMMYFUNCTION("""COMPUTED_VALUE"""),950235.0)</f>
        <v>950235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IFERROR(__xludf.DUMMYFUNCTION("""COMPUTED_VALUE"""),90.14)</f>
        <v>90.14</v>
      </c>
      <c r="C2724" s="1">
        <f>IFERROR(__xludf.DUMMYFUNCTION("""COMPUTED_VALUE"""),90.35)</f>
        <v>90.35</v>
      </c>
      <c r="D2724" s="1">
        <f>IFERROR(__xludf.DUMMYFUNCTION("""COMPUTED_VALUE"""),87.27)</f>
        <v>87.27</v>
      </c>
      <c r="E2724" s="1">
        <f>IFERROR(__xludf.DUMMYFUNCTION("""COMPUTED_VALUE"""),88.79)</f>
        <v>88.79</v>
      </c>
      <c r="F2724" s="1">
        <f>IFERROR(__xludf.DUMMYFUNCTION("""COMPUTED_VALUE"""),1317327.0)</f>
        <v>1317327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IFERROR(__xludf.DUMMYFUNCTION("""COMPUTED_VALUE"""),89.14)</f>
        <v>89.14</v>
      </c>
      <c r="C2725" s="1">
        <f>IFERROR(__xludf.DUMMYFUNCTION("""COMPUTED_VALUE"""),89.43)</f>
        <v>89.43</v>
      </c>
      <c r="D2725" s="1">
        <f>IFERROR(__xludf.DUMMYFUNCTION("""COMPUTED_VALUE"""),87.25)</f>
        <v>87.25</v>
      </c>
      <c r="E2725" s="1">
        <f>IFERROR(__xludf.DUMMYFUNCTION("""COMPUTED_VALUE"""),87.44)</f>
        <v>87.44</v>
      </c>
      <c r="F2725" s="1">
        <f>IFERROR(__xludf.DUMMYFUNCTION("""COMPUTED_VALUE"""),1267676.0)</f>
        <v>1267676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IFERROR(__xludf.DUMMYFUNCTION("""COMPUTED_VALUE"""),85.03)</f>
        <v>85.03</v>
      </c>
      <c r="C2726" s="1">
        <f>IFERROR(__xludf.DUMMYFUNCTION("""COMPUTED_VALUE"""),88.46)</f>
        <v>88.46</v>
      </c>
      <c r="D2726" s="1">
        <f>IFERROR(__xludf.DUMMYFUNCTION("""COMPUTED_VALUE"""),84.7)</f>
        <v>84.7</v>
      </c>
      <c r="E2726" s="1">
        <f>IFERROR(__xludf.DUMMYFUNCTION("""COMPUTED_VALUE"""),87.88)</f>
        <v>87.88</v>
      </c>
      <c r="F2726" s="1">
        <f>IFERROR(__xludf.DUMMYFUNCTION("""COMPUTED_VALUE"""),1413992.0)</f>
        <v>1413992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IFERROR(__xludf.DUMMYFUNCTION("""COMPUTED_VALUE"""),87.53)</f>
        <v>87.53</v>
      </c>
      <c r="C2727" s="1">
        <f>IFERROR(__xludf.DUMMYFUNCTION("""COMPUTED_VALUE"""),88.74)</f>
        <v>88.74</v>
      </c>
      <c r="D2727" s="1">
        <f>IFERROR(__xludf.DUMMYFUNCTION("""COMPUTED_VALUE"""),86.47)</f>
        <v>86.47</v>
      </c>
      <c r="E2727" s="1">
        <f>IFERROR(__xludf.DUMMYFUNCTION("""COMPUTED_VALUE"""),88.21)</f>
        <v>88.21</v>
      </c>
      <c r="F2727" s="1">
        <f>IFERROR(__xludf.DUMMYFUNCTION("""COMPUTED_VALUE"""),1381469.0)</f>
        <v>1381469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IFERROR(__xludf.DUMMYFUNCTION("""COMPUTED_VALUE"""),87.41)</f>
        <v>87.41</v>
      </c>
      <c r="C2728" s="1">
        <f>IFERROR(__xludf.DUMMYFUNCTION("""COMPUTED_VALUE"""),88.44)</f>
        <v>88.44</v>
      </c>
      <c r="D2728" s="1">
        <f>IFERROR(__xludf.DUMMYFUNCTION("""COMPUTED_VALUE"""),85.79)</f>
        <v>85.79</v>
      </c>
      <c r="E2728" s="1">
        <f>IFERROR(__xludf.DUMMYFUNCTION("""COMPUTED_VALUE"""),86.44)</f>
        <v>86.44</v>
      </c>
      <c r="F2728" s="1">
        <f>IFERROR(__xludf.DUMMYFUNCTION("""COMPUTED_VALUE"""),1322572.0)</f>
        <v>1322572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IFERROR(__xludf.DUMMYFUNCTION("""COMPUTED_VALUE"""),87.2)</f>
        <v>87.2</v>
      </c>
      <c r="C2729" s="1">
        <f>IFERROR(__xludf.DUMMYFUNCTION("""COMPUTED_VALUE"""),89.16)</f>
        <v>89.16</v>
      </c>
      <c r="D2729" s="1">
        <f>IFERROR(__xludf.DUMMYFUNCTION("""COMPUTED_VALUE"""),87.11)</f>
        <v>87.11</v>
      </c>
      <c r="E2729" s="1">
        <f>IFERROR(__xludf.DUMMYFUNCTION("""COMPUTED_VALUE"""),89.08)</f>
        <v>89.08</v>
      </c>
      <c r="F2729" s="1">
        <f>IFERROR(__xludf.DUMMYFUNCTION("""COMPUTED_VALUE"""),1174148.0)</f>
        <v>1174148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IFERROR(__xludf.DUMMYFUNCTION("""COMPUTED_VALUE"""),90.13)</f>
        <v>90.13</v>
      </c>
      <c r="C2730" s="1">
        <f>IFERROR(__xludf.DUMMYFUNCTION("""COMPUTED_VALUE"""),93.96)</f>
        <v>93.96</v>
      </c>
      <c r="D2730" s="1">
        <f>IFERROR(__xludf.DUMMYFUNCTION("""COMPUTED_VALUE"""),90.13)</f>
        <v>90.13</v>
      </c>
      <c r="E2730" s="1">
        <f>IFERROR(__xludf.DUMMYFUNCTION("""COMPUTED_VALUE"""),93.12)</f>
        <v>93.12</v>
      </c>
      <c r="F2730" s="1">
        <f>IFERROR(__xludf.DUMMYFUNCTION("""COMPUTED_VALUE"""),1154877.0)</f>
        <v>1154877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IFERROR(__xludf.DUMMYFUNCTION("""COMPUTED_VALUE"""),91.85)</f>
        <v>91.85</v>
      </c>
      <c r="C2731" s="1">
        <f>IFERROR(__xludf.DUMMYFUNCTION("""COMPUTED_VALUE"""),94.19)</f>
        <v>94.19</v>
      </c>
      <c r="D2731" s="1">
        <f>IFERROR(__xludf.DUMMYFUNCTION("""COMPUTED_VALUE"""),91.54)</f>
        <v>91.54</v>
      </c>
      <c r="E2731" s="1">
        <f>IFERROR(__xludf.DUMMYFUNCTION("""COMPUTED_VALUE"""),91.55)</f>
        <v>91.55</v>
      </c>
      <c r="F2731" s="1">
        <f>IFERROR(__xludf.DUMMYFUNCTION("""COMPUTED_VALUE"""),1056719.0)</f>
        <v>1056719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IFERROR(__xludf.DUMMYFUNCTION("""COMPUTED_VALUE"""),92.92)</f>
        <v>92.92</v>
      </c>
      <c r="C2732" s="1">
        <f>IFERROR(__xludf.DUMMYFUNCTION("""COMPUTED_VALUE"""),94.27)</f>
        <v>94.27</v>
      </c>
      <c r="D2732" s="1">
        <f>IFERROR(__xludf.DUMMYFUNCTION("""COMPUTED_VALUE"""),92.44)</f>
        <v>92.44</v>
      </c>
      <c r="E2732" s="1">
        <f>IFERROR(__xludf.DUMMYFUNCTION("""COMPUTED_VALUE"""),93.32)</f>
        <v>93.32</v>
      </c>
      <c r="F2732" s="1">
        <f>IFERROR(__xludf.DUMMYFUNCTION("""COMPUTED_VALUE"""),718053.0)</f>
        <v>718053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IFERROR(__xludf.DUMMYFUNCTION("""COMPUTED_VALUE"""),93.63)</f>
        <v>93.63</v>
      </c>
      <c r="C2733" s="1">
        <f>IFERROR(__xludf.DUMMYFUNCTION("""COMPUTED_VALUE"""),93.76)</f>
        <v>93.76</v>
      </c>
      <c r="D2733" s="1">
        <f>IFERROR(__xludf.DUMMYFUNCTION("""COMPUTED_VALUE"""),92.11)</f>
        <v>92.11</v>
      </c>
      <c r="E2733" s="1">
        <f>IFERROR(__xludf.DUMMYFUNCTION("""COMPUTED_VALUE"""),92.75)</f>
        <v>92.75</v>
      </c>
      <c r="F2733" s="1">
        <f>IFERROR(__xludf.DUMMYFUNCTION("""COMPUTED_VALUE"""),682620.0)</f>
        <v>682620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IFERROR(__xludf.DUMMYFUNCTION("""COMPUTED_VALUE"""),96.7)</f>
        <v>96.7</v>
      </c>
      <c r="C2734" s="1">
        <f>IFERROR(__xludf.DUMMYFUNCTION("""COMPUTED_VALUE"""),101.16)</f>
        <v>101.16</v>
      </c>
      <c r="D2734" s="1">
        <f>IFERROR(__xludf.DUMMYFUNCTION("""COMPUTED_VALUE"""),95.84)</f>
        <v>95.84</v>
      </c>
      <c r="E2734" s="1">
        <f>IFERROR(__xludf.DUMMYFUNCTION("""COMPUTED_VALUE"""),95.97)</f>
        <v>95.97</v>
      </c>
      <c r="F2734" s="1">
        <f>IFERROR(__xludf.DUMMYFUNCTION("""COMPUTED_VALUE"""),1499009.0)</f>
        <v>1499009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IFERROR(__xludf.DUMMYFUNCTION("""COMPUTED_VALUE"""),96.21)</f>
        <v>96.21</v>
      </c>
      <c r="C2735" s="1">
        <f>IFERROR(__xludf.DUMMYFUNCTION("""COMPUTED_VALUE"""),96.65)</f>
        <v>96.65</v>
      </c>
      <c r="D2735" s="1">
        <f>IFERROR(__xludf.DUMMYFUNCTION("""COMPUTED_VALUE"""),92.94)</f>
        <v>92.94</v>
      </c>
      <c r="E2735" s="1">
        <f>IFERROR(__xludf.DUMMYFUNCTION("""COMPUTED_VALUE"""),94.31)</f>
        <v>94.31</v>
      </c>
      <c r="F2735" s="1">
        <f>IFERROR(__xludf.DUMMYFUNCTION("""COMPUTED_VALUE"""),1367640.0)</f>
        <v>1367640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IFERROR(__xludf.DUMMYFUNCTION("""COMPUTED_VALUE"""),94.39)</f>
        <v>94.39</v>
      </c>
      <c r="C2736" s="1">
        <f>IFERROR(__xludf.DUMMYFUNCTION("""COMPUTED_VALUE"""),94.93)</f>
        <v>94.93</v>
      </c>
      <c r="D2736" s="1">
        <f>IFERROR(__xludf.DUMMYFUNCTION("""COMPUTED_VALUE"""),92.7)</f>
        <v>92.7</v>
      </c>
      <c r="E2736" s="1">
        <f>IFERROR(__xludf.DUMMYFUNCTION("""COMPUTED_VALUE"""),93.42)</f>
        <v>93.42</v>
      </c>
      <c r="F2736" s="1">
        <f>IFERROR(__xludf.DUMMYFUNCTION("""COMPUTED_VALUE"""),1171364.0)</f>
        <v>1171364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IFERROR(__xludf.DUMMYFUNCTION("""COMPUTED_VALUE"""),92.88)</f>
        <v>92.88</v>
      </c>
      <c r="C2737" s="1">
        <f>IFERROR(__xludf.DUMMYFUNCTION("""COMPUTED_VALUE"""),93.96)</f>
        <v>93.96</v>
      </c>
      <c r="D2737" s="1">
        <f>IFERROR(__xludf.DUMMYFUNCTION("""COMPUTED_VALUE"""),91.66)</f>
        <v>91.66</v>
      </c>
      <c r="E2737" s="1">
        <f>IFERROR(__xludf.DUMMYFUNCTION("""COMPUTED_VALUE"""),93.1)</f>
        <v>93.1</v>
      </c>
      <c r="F2737" s="1">
        <f>IFERROR(__xludf.DUMMYFUNCTION("""COMPUTED_VALUE"""),1083111.0)</f>
        <v>1083111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IFERROR(__xludf.DUMMYFUNCTION("""COMPUTED_VALUE"""),93.87)</f>
        <v>93.87</v>
      </c>
      <c r="C2738" s="1">
        <f>IFERROR(__xludf.DUMMYFUNCTION("""COMPUTED_VALUE"""),95.71)</f>
        <v>95.71</v>
      </c>
      <c r="D2738" s="1">
        <f>IFERROR(__xludf.DUMMYFUNCTION("""COMPUTED_VALUE"""),93.78)</f>
        <v>93.78</v>
      </c>
      <c r="E2738" s="1">
        <f>IFERROR(__xludf.DUMMYFUNCTION("""COMPUTED_VALUE"""),95.48)</f>
        <v>95.48</v>
      </c>
      <c r="F2738" s="1">
        <f>IFERROR(__xludf.DUMMYFUNCTION("""COMPUTED_VALUE"""),924895.0)</f>
        <v>924895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IFERROR(__xludf.DUMMYFUNCTION("""COMPUTED_VALUE"""),97.28)</f>
        <v>97.28</v>
      </c>
      <c r="C2739" s="1">
        <f>IFERROR(__xludf.DUMMYFUNCTION("""COMPUTED_VALUE"""),98.23)</f>
        <v>98.23</v>
      </c>
      <c r="D2739" s="1">
        <f>IFERROR(__xludf.DUMMYFUNCTION("""COMPUTED_VALUE"""),95.09)</f>
        <v>95.09</v>
      </c>
      <c r="E2739" s="1">
        <f>IFERROR(__xludf.DUMMYFUNCTION("""COMPUTED_VALUE"""),97.59)</f>
        <v>97.59</v>
      </c>
      <c r="F2739" s="1">
        <f>IFERROR(__xludf.DUMMYFUNCTION("""COMPUTED_VALUE"""),886059.0)</f>
        <v>886059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IFERROR(__xludf.DUMMYFUNCTION("""COMPUTED_VALUE"""),96.79)</f>
        <v>96.79</v>
      </c>
      <c r="C2740" s="1">
        <f>IFERROR(__xludf.DUMMYFUNCTION("""COMPUTED_VALUE"""),96.79)</f>
        <v>96.79</v>
      </c>
      <c r="D2740" s="1">
        <f>IFERROR(__xludf.DUMMYFUNCTION("""COMPUTED_VALUE"""),94.31)</f>
        <v>94.31</v>
      </c>
      <c r="E2740" s="1">
        <f>IFERROR(__xludf.DUMMYFUNCTION("""COMPUTED_VALUE"""),94.73)</f>
        <v>94.73</v>
      </c>
      <c r="F2740" s="1">
        <f>IFERROR(__xludf.DUMMYFUNCTION("""COMPUTED_VALUE"""),1211775.0)</f>
        <v>1211775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IFERROR(__xludf.DUMMYFUNCTION("""COMPUTED_VALUE"""),94.53)</f>
        <v>94.53</v>
      </c>
      <c r="C2741" s="1">
        <f>IFERROR(__xludf.DUMMYFUNCTION("""COMPUTED_VALUE"""),95.55)</f>
        <v>95.55</v>
      </c>
      <c r="D2741" s="1">
        <f>IFERROR(__xludf.DUMMYFUNCTION("""COMPUTED_VALUE"""),92.72)</f>
        <v>92.72</v>
      </c>
      <c r="E2741" s="1">
        <f>IFERROR(__xludf.DUMMYFUNCTION("""COMPUTED_VALUE"""),92.82)</f>
        <v>92.82</v>
      </c>
      <c r="F2741" s="1">
        <f>IFERROR(__xludf.DUMMYFUNCTION("""COMPUTED_VALUE"""),1394833.0)</f>
        <v>1394833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IFERROR(__xludf.DUMMYFUNCTION("""COMPUTED_VALUE"""),92.68)</f>
        <v>92.68</v>
      </c>
      <c r="C2742" s="1">
        <f>IFERROR(__xludf.DUMMYFUNCTION("""COMPUTED_VALUE"""),94.55)</f>
        <v>94.55</v>
      </c>
      <c r="D2742" s="1">
        <f>IFERROR(__xludf.DUMMYFUNCTION("""COMPUTED_VALUE"""),92.06)</f>
        <v>92.06</v>
      </c>
      <c r="E2742" s="1">
        <f>IFERROR(__xludf.DUMMYFUNCTION("""COMPUTED_VALUE"""),94.53)</f>
        <v>94.53</v>
      </c>
      <c r="F2742" s="1">
        <f>IFERROR(__xludf.DUMMYFUNCTION("""COMPUTED_VALUE"""),959550.0)</f>
        <v>959550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IFERROR(__xludf.DUMMYFUNCTION("""COMPUTED_VALUE"""),94.46)</f>
        <v>94.46</v>
      </c>
      <c r="C2743" s="1">
        <f>IFERROR(__xludf.DUMMYFUNCTION("""COMPUTED_VALUE"""),95.37)</f>
        <v>95.37</v>
      </c>
      <c r="D2743" s="1">
        <f>IFERROR(__xludf.DUMMYFUNCTION("""COMPUTED_VALUE"""),93.76)</f>
        <v>93.76</v>
      </c>
      <c r="E2743" s="1">
        <f>IFERROR(__xludf.DUMMYFUNCTION("""COMPUTED_VALUE"""),94.55)</f>
        <v>94.55</v>
      </c>
      <c r="F2743" s="1">
        <f>IFERROR(__xludf.DUMMYFUNCTION("""COMPUTED_VALUE"""),1176057.0)</f>
        <v>1176057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IFERROR(__xludf.DUMMYFUNCTION("""COMPUTED_VALUE"""),95.5)</f>
        <v>95.5</v>
      </c>
      <c r="C2744" s="1">
        <f>IFERROR(__xludf.DUMMYFUNCTION("""COMPUTED_VALUE"""),97.2)</f>
        <v>97.2</v>
      </c>
      <c r="D2744" s="1">
        <f>IFERROR(__xludf.DUMMYFUNCTION("""COMPUTED_VALUE"""),94.88)</f>
        <v>94.88</v>
      </c>
      <c r="E2744" s="1">
        <f>IFERROR(__xludf.DUMMYFUNCTION("""COMPUTED_VALUE"""),96.44)</f>
        <v>96.44</v>
      </c>
      <c r="F2744" s="1">
        <f>IFERROR(__xludf.DUMMYFUNCTION("""COMPUTED_VALUE"""),1250638.0)</f>
        <v>1250638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IFERROR(__xludf.DUMMYFUNCTION("""COMPUTED_VALUE"""),97.36)</f>
        <v>97.36</v>
      </c>
      <c r="C2745" s="1">
        <f>IFERROR(__xludf.DUMMYFUNCTION("""COMPUTED_VALUE"""),97.82)</f>
        <v>97.82</v>
      </c>
      <c r="D2745" s="1">
        <f>IFERROR(__xludf.DUMMYFUNCTION("""COMPUTED_VALUE"""),95.82)</f>
        <v>95.82</v>
      </c>
      <c r="E2745" s="1">
        <f>IFERROR(__xludf.DUMMYFUNCTION("""COMPUTED_VALUE"""),96.04)</f>
        <v>96.04</v>
      </c>
      <c r="F2745" s="1">
        <f>IFERROR(__xludf.DUMMYFUNCTION("""COMPUTED_VALUE"""),1083222.0)</f>
        <v>1083222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IFERROR(__xludf.DUMMYFUNCTION("""COMPUTED_VALUE"""),95.2)</f>
        <v>95.2</v>
      </c>
      <c r="C2746" s="1">
        <f>IFERROR(__xludf.DUMMYFUNCTION("""COMPUTED_VALUE"""),95.77)</f>
        <v>95.77</v>
      </c>
      <c r="D2746" s="1">
        <f>IFERROR(__xludf.DUMMYFUNCTION("""COMPUTED_VALUE"""),93.94)</f>
        <v>93.94</v>
      </c>
      <c r="E2746" s="1">
        <f>IFERROR(__xludf.DUMMYFUNCTION("""COMPUTED_VALUE"""),95.29)</f>
        <v>95.29</v>
      </c>
      <c r="F2746" s="1">
        <f>IFERROR(__xludf.DUMMYFUNCTION("""COMPUTED_VALUE"""),834655.0)</f>
        <v>834655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IFERROR(__xludf.DUMMYFUNCTION("""COMPUTED_VALUE"""),95.54)</f>
        <v>95.54</v>
      </c>
      <c r="C2747" s="1">
        <f>IFERROR(__xludf.DUMMYFUNCTION("""COMPUTED_VALUE"""),96.87)</f>
        <v>96.87</v>
      </c>
      <c r="D2747" s="1">
        <f>IFERROR(__xludf.DUMMYFUNCTION("""COMPUTED_VALUE"""),94.88)</f>
        <v>94.88</v>
      </c>
      <c r="E2747" s="1">
        <f>IFERROR(__xludf.DUMMYFUNCTION("""COMPUTED_VALUE"""),95.37)</f>
        <v>95.37</v>
      </c>
      <c r="F2747" s="1">
        <f>IFERROR(__xludf.DUMMYFUNCTION("""COMPUTED_VALUE"""),394103.0)</f>
        <v>394103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IFERROR(__xludf.DUMMYFUNCTION("""COMPUTED_VALUE"""),94.91)</f>
        <v>94.91</v>
      </c>
      <c r="C2748" s="1">
        <f>IFERROR(__xludf.DUMMYFUNCTION("""COMPUTED_VALUE"""),95.95)</f>
        <v>95.95</v>
      </c>
      <c r="D2748" s="1">
        <f>IFERROR(__xludf.DUMMYFUNCTION("""COMPUTED_VALUE"""),92.65)</f>
        <v>92.65</v>
      </c>
      <c r="E2748" s="1">
        <f>IFERROR(__xludf.DUMMYFUNCTION("""COMPUTED_VALUE"""),93.48)</f>
        <v>93.48</v>
      </c>
      <c r="F2748" s="1">
        <f>IFERROR(__xludf.DUMMYFUNCTION("""COMPUTED_VALUE"""),986136.0)</f>
        <v>986136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IFERROR(__xludf.DUMMYFUNCTION("""COMPUTED_VALUE"""),94.43)</f>
        <v>94.43</v>
      </c>
      <c r="C2749" s="1">
        <f>IFERROR(__xludf.DUMMYFUNCTION("""COMPUTED_VALUE"""),96.31)</f>
        <v>96.31</v>
      </c>
      <c r="D2749" s="1">
        <f>IFERROR(__xludf.DUMMYFUNCTION("""COMPUTED_VALUE"""),93.57)</f>
        <v>93.57</v>
      </c>
      <c r="E2749" s="1">
        <f>IFERROR(__xludf.DUMMYFUNCTION("""COMPUTED_VALUE"""),96.14)</f>
        <v>96.14</v>
      </c>
      <c r="F2749" s="1">
        <f>IFERROR(__xludf.DUMMYFUNCTION("""COMPUTED_VALUE"""),1302078.0)</f>
        <v>1302078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IFERROR(__xludf.DUMMYFUNCTION("""COMPUTED_VALUE"""),95.47)</f>
        <v>95.47</v>
      </c>
      <c r="C2750" s="1">
        <f>IFERROR(__xludf.DUMMYFUNCTION("""COMPUTED_VALUE"""),96.69)</f>
        <v>96.69</v>
      </c>
      <c r="D2750" s="1">
        <f>IFERROR(__xludf.DUMMYFUNCTION("""COMPUTED_VALUE"""),93.3)</f>
        <v>93.3</v>
      </c>
      <c r="E2750" s="1">
        <f>IFERROR(__xludf.DUMMYFUNCTION("""COMPUTED_VALUE"""),96.47)</f>
        <v>96.47</v>
      </c>
      <c r="F2750" s="1">
        <f>IFERROR(__xludf.DUMMYFUNCTION("""COMPUTED_VALUE"""),1414249.0)</f>
        <v>1414249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IFERROR(__xludf.DUMMYFUNCTION("""COMPUTED_VALUE"""),96.27)</f>
        <v>96.27</v>
      </c>
      <c r="C2751" s="1">
        <f>IFERROR(__xludf.DUMMYFUNCTION("""COMPUTED_VALUE"""),97.34)</f>
        <v>97.34</v>
      </c>
      <c r="D2751" s="1">
        <f>IFERROR(__xludf.DUMMYFUNCTION("""COMPUTED_VALUE"""),95.65)</f>
        <v>95.65</v>
      </c>
      <c r="E2751" s="1">
        <f>IFERROR(__xludf.DUMMYFUNCTION("""COMPUTED_VALUE"""),96.27)</f>
        <v>96.27</v>
      </c>
      <c r="F2751" s="1">
        <f>IFERROR(__xludf.DUMMYFUNCTION("""COMPUTED_VALUE"""),882275.0)</f>
        <v>882275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IFERROR(__xludf.DUMMYFUNCTION("""COMPUTED_VALUE"""),96.62)</f>
        <v>96.62</v>
      </c>
      <c r="C2752" s="1">
        <f>IFERROR(__xludf.DUMMYFUNCTION("""COMPUTED_VALUE"""),97.09)</f>
        <v>97.09</v>
      </c>
      <c r="D2752" s="1">
        <f>IFERROR(__xludf.DUMMYFUNCTION("""COMPUTED_VALUE"""),95.65)</f>
        <v>95.65</v>
      </c>
      <c r="E2752" s="1">
        <f>IFERROR(__xludf.DUMMYFUNCTION("""COMPUTED_VALUE"""),96.5)</f>
        <v>96.5</v>
      </c>
      <c r="F2752" s="1">
        <f>IFERROR(__xludf.DUMMYFUNCTION("""COMPUTED_VALUE"""),1007366.0)</f>
        <v>1007366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IFERROR(__xludf.DUMMYFUNCTION("""COMPUTED_VALUE"""),96.43)</f>
        <v>96.43</v>
      </c>
      <c r="C2753" s="1">
        <f>IFERROR(__xludf.DUMMYFUNCTION("""COMPUTED_VALUE"""),97.3)</f>
        <v>97.3</v>
      </c>
      <c r="D2753" s="1">
        <f>IFERROR(__xludf.DUMMYFUNCTION("""COMPUTED_VALUE"""),95.58)</f>
        <v>95.58</v>
      </c>
      <c r="E2753" s="1">
        <f>IFERROR(__xludf.DUMMYFUNCTION("""COMPUTED_VALUE"""),96.06)</f>
        <v>96.06</v>
      </c>
      <c r="F2753" s="1">
        <f>IFERROR(__xludf.DUMMYFUNCTION("""COMPUTED_VALUE"""),1112474.0)</f>
        <v>1112474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IFERROR(__xludf.DUMMYFUNCTION("""COMPUTED_VALUE"""),95.18)</f>
        <v>95.18</v>
      </c>
      <c r="C2754" s="1">
        <f>IFERROR(__xludf.DUMMYFUNCTION("""COMPUTED_VALUE"""),95.77)</f>
        <v>95.77</v>
      </c>
      <c r="D2754" s="1">
        <f>IFERROR(__xludf.DUMMYFUNCTION("""COMPUTED_VALUE"""),93.9)</f>
        <v>93.9</v>
      </c>
      <c r="E2754" s="1">
        <f>IFERROR(__xludf.DUMMYFUNCTION("""COMPUTED_VALUE"""),94.38)</f>
        <v>94.38</v>
      </c>
      <c r="F2754" s="1">
        <f>IFERROR(__xludf.DUMMYFUNCTION("""COMPUTED_VALUE"""),1219655.0)</f>
        <v>1219655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IFERROR(__xludf.DUMMYFUNCTION("""COMPUTED_VALUE"""),92.87)</f>
        <v>92.87</v>
      </c>
      <c r="C2755" s="1">
        <f>IFERROR(__xludf.DUMMYFUNCTION("""COMPUTED_VALUE"""),95.09)</f>
        <v>95.09</v>
      </c>
      <c r="D2755" s="1">
        <f>IFERROR(__xludf.DUMMYFUNCTION("""COMPUTED_VALUE"""),92.16)</f>
        <v>92.16</v>
      </c>
      <c r="E2755" s="1">
        <f>IFERROR(__xludf.DUMMYFUNCTION("""COMPUTED_VALUE"""),94.87)</f>
        <v>94.87</v>
      </c>
      <c r="F2755" s="1">
        <f>IFERROR(__xludf.DUMMYFUNCTION("""COMPUTED_VALUE"""),1527321.0)</f>
        <v>1527321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IFERROR(__xludf.DUMMYFUNCTION("""COMPUTED_VALUE"""),94.24)</f>
        <v>94.24</v>
      </c>
      <c r="C2756" s="1">
        <f>IFERROR(__xludf.DUMMYFUNCTION("""COMPUTED_VALUE"""),95.22)</f>
        <v>95.22</v>
      </c>
      <c r="D2756" s="1">
        <f>IFERROR(__xludf.DUMMYFUNCTION("""COMPUTED_VALUE"""),93.55)</f>
        <v>93.55</v>
      </c>
      <c r="E2756" s="1">
        <f>IFERROR(__xludf.DUMMYFUNCTION("""COMPUTED_VALUE"""),94.34)</f>
        <v>94.34</v>
      </c>
      <c r="F2756" s="1">
        <f>IFERROR(__xludf.DUMMYFUNCTION("""COMPUTED_VALUE"""),737918.0)</f>
        <v>737918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IFERROR(__xludf.DUMMYFUNCTION("""COMPUTED_VALUE"""),93.9)</f>
        <v>93.9</v>
      </c>
      <c r="C2757" s="1">
        <f>IFERROR(__xludf.DUMMYFUNCTION("""COMPUTED_VALUE"""),94.95)</f>
        <v>94.95</v>
      </c>
      <c r="D2757" s="1">
        <f>IFERROR(__xludf.DUMMYFUNCTION("""COMPUTED_VALUE"""),93.39)</f>
        <v>93.39</v>
      </c>
      <c r="E2757" s="1">
        <f>IFERROR(__xludf.DUMMYFUNCTION("""COMPUTED_VALUE"""),93.93)</f>
        <v>93.93</v>
      </c>
      <c r="F2757" s="1">
        <f>IFERROR(__xludf.DUMMYFUNCTION("""COMPUTED_VALUE"""),808049.0)</f>
        <v>808049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IFERROR(__xludf.DUMMYFUNCTION("""COMPUTED_VALUE"""),94.94)</f>
        <v>94.94</v>
      </c>
      <c r="C2758" s="1">
        <f>IFERROR(__xludf.DUMMYFUNCTION("""COMPUTED_VALUE"""),95.41)</f>
        <v>95.41</v>
      </c>
      <c r="D2758" s="1">
        <f>IFERROR(__xludf.DUMMYFUNCTION("""COMPUTED_VALUE"""),92.3)</f>
        <v>92.3</v>
      </c>
      <c r="E2758" s="1">
        <f>IFERROR(__xludf.DUMMYFUNCTION("""COMPUTED_VALUE"""),92.54)</f>
        <v>92.54</v>
      </c>
      <c r="F2758" s="1">
        <f>IFERROR(__xludf.DUMMYFUNCTION("""COMPUTED_VALUE"""),1455933.0)</f>
        <v>1455933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IFERROR(__xludf.DUMMYFUNCTION("""COMPUTED_VALUE"""),93.88)</f>
        <v>93.88</v>
      </c>
      <c r="C2759" s="1">
        <f>IFERROR(__xludf.DUMMYFUNCTION("""COMPUTED_VALUE"""),96.38)</f>
        <v>96.38</v>
      </c>
      <c r="D2759" s="1">
        <f>IFERROR(__xludf.DUMMYFUNCTION("""COMPUTED_VALUE"""),93.81)</f>
        <v>93.81</v>
      </c>
      <c r="E2759" s="1">
        <f>IFERROR(__xludf.DUMMYFUNCTION("""COMPUTED_VALUE"""),96.13)</f>
        <v>96.13</v>
      </c>
      <c r="F2759" s="1">
        <f>IFERROR(__xludf.DUMMYFUNCTION("""COMPUTED_VALUE"""),1070453.0)</f>
        <v>1070453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IFERROR(__xludf.DUMMYFUNCTION("""COMPUTED_VALUE"""),96.54)</f>
        <v>96.54</v>
      </c>
      <c r="C2760" s="1">
        <f>IFERROR(__xludf.DUMMYFUNCTION("""COMPUTED_VALUE"""),99.55)</f>
        <v>99.55</v>
      </c>
      <c r="D2760" s="1">
        <f>IFERROR(__xludf.DUMMYFUNCTION("""COMPUTED_VALUE"""),96.16)</f>
        <v>96.16</v>
      </c>
      <c r="E2760" s="1">
        <f>IFERROR(__xludf.DUMMYFUNCTION("""COMPUTED_VALUE"""),99.08)</f>
        <v>99.08</v>
      </c>
      <c r="F2760" s="1">
        <f>IFERROR(__xludf.DUMMYFUNCTION("""COMPUTED_VALUE"""),1567943.0)</f>
        <v>1567943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IFERROR(__xludf.DUMMYFUNCTION("""COMPUTED_VALUE"""),98.72)</f>
        <v>98.72</v>
      </c>
      <c r="C2761" s="1">
        <f>IFERROR(__xludf.DUMMYFUNCTION("""COMPUTED_VALUE"""),99.9)</f>
        <v>99.9</v>
      </c>
      <c r="D2761" s="1">
        <f>IFERROR(__xludf.DUMMYFUNCTION("""COMPUTED_VALUE"""),97.01)</f>
        <v>97.01</v>
      </c>
      <c r="E2761" s="1">
        <f>IFERROR(__xludf.DUMMYFUNCTION("""COMPUTED_VALUE"""),99.79)</f>
        <v>99.79</v>
      </c>
      <c r="F2761" s="1">
        <f>IFERROR(__xludf.DUMMYFUNCTION("""COMPUTED_VALUE"""),1545040.0)</f>
        <v>1545040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IFERROR(__xludf.DUMMYFUNCTION("""COMPUTED_VALUE"""),99.37)</f>
        <v>99.37</v>
      </c>
      <c r="C2762" s="1">
        <f>IFERROR(__xludf.DUMMYFUNCTION("""COMPUTED_VALUE"""),100.44)</f>
        <v>100.44</v>
      </c>
      <c r="D2762" s="1">
        <f>IFERROR(__xludf.DUMMYFUNCTION("""COMPUTED_VALUE"""),97.94)</f>
        <v>97.94</v>
      </c>
      <c r="E2762" s="1">
        <f>IFERROR(__xludf.DUMMYFUNCTION("""COMPUTED_VALUE"""),98.25)</f>
        <v>98.25</v>
      </c>
      <c r="F2762" s="1">
        <f>IFERROR(__xludf.DUMMYFUNCTION("""COMPUTED_VALUE"""),3965280.0)</f>
        <v>3965280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IFERROR(__xludf.DUMMYFUNCTION("""COMPUTED_VALUE"""),97.52)</f>
        <v>97.52</v>
      </c>
      <c r="C2763" s="1">
        <f>IFERROR(__xludf.DUMMYFUNCTION("""COMPUTED_VALUE"""),100.68)</f>
        <v>100.68</v>
      </c>
      <c r="D2763" s="1">
        <f>IFERROR(__xludf.DUMMYFUNCTION("""COMPUTED_VALUE"""),97.21)</f>
        <v>97.21</v>
      </c>
      <c r="E2763" s="1">
        <f>IFERROR(__xludf.DUMMYFUNCTION("""COMPUTED_VALUE"""),100.46)</f>
        <v>100.46</v>
      </c>
      <c r="F2763" s="1">
        <f>IFERROR(__xludf.DUMMYFUNCTION("""COMPUTED_VALUE"""),2899716.0)</f>
        <v>2899716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IFERROR(__xludf.DUMMYFUNCTION("""COMPUTED_VALUE"""),96.62)</f>
        <v>96.62</v>
      </c>
      <c r="C2764" s="1">
        <f>IFERROR(__xludf.DUMMYFUNCTION("""COMPUTED_VALUE"""),98.83)</f>
        <v>98.83</v>
      </c>
      <c r="D2764" s="1">
        <f>IFERROR(__xludf.DUMMYFUNCTION("""COMPUTED_VALUE"""),91.83)</f>
        <v>91.83</v>
      </c>
      <c r="E2764" s="1">
        <f>IFERROR(__xludf.DUMMYFUNCTION("""COMPUTED_VALUE"""),92.33)</f>
        <v>92.33</v>
      </c>
      <c r="F2764" s="1">
        <f>IFERROR(__xludf.DUMMYFUNCTION("""COMPUTED_VALUE"""),9171572.0)</f>
        <v>9171572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IFERROR(__xludf.DUMMYFUNCTION("""COMPUTED_VALUE"""),92.94)</f>
        <v>92.94</v>
      </c>
      <c r="C2765" s="1">
        <f>IFERROR(__xludf.DUMMYFUNCTION("""COMPUTED_VALUE"""),94.01)</f>
        <v>94.01</v>
      </c>
      <c r="D2765" s="1">
        <f>IFERROR(__xludf.DUMMYFUNCTION("""COMPUTED_VALUE"""),92.0)</f>
        <v>92</v>
      </c>
      <c r="E2765" s="1">
        <f>IFERROR(__xludf.DUMMYFUNCTION("""COMPUTED_VALUE"""),93.18)</f>
        <v>93.18</v>
      </c>
      <c r="F2765" s="1">
        <f>IFERROR(__xludf.DUMMYFUNCTION("""COMPUTED_VALUE"""),2539612.0)</f>
        <v>2539612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IFERROR(__xludf.DUMMYFUNCTION("""COMPUTED_VALUE"""),93.28)</f>
        <v>93.28</v>
      </c>
      <c r="C2766" s="1">
        <f>IFERROR(__xludf.DUMMYFUNCTION("""COMPUTED_VALUE"""),93.47)</f>
        <v>93.47</v>
      </c>
      <c r="D2766" s="1">
        <f>IFERROR(__xludf.DUMMYFUNCTION("""COMPUTED_VALUE"""),91.25)</f>
        <v>91.25</v>
      </c>
      <c r="E2766" s="1">
        <f>IFERROR(__xludf.DUMMYFUNCTION("""COMPUTED_VALUE"""),92.3)</f>
        <v>92.3</v>
      </c>
      <c r="F2766" s="1">
        <f>IFERROR(__xludf.DUMMYFUNCTION("""COMPUTED_VALUE"""),1042258.0)</f>
        <v>1042258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IFERROR(__xludf.DUMMYFUNCTION("""COMPUTED_VALUE"""),92.84)</f>
        <v>92.84</v>
      </c>
      <c r="C2767" s="1">
        <f>IFERROR(__xludf.DUMMYFUNCTION("""COMPUTED_VALUE"""),92.84)</f>
        <v>92.84</v>
      </c>
      <c r="D2767" s="1">
        <f>IFERROR(__xludf.DUMMYFUNCTION("""COMPUTED_VALUE"""),90.88)</f>
        <v>90.88</v>
      </c>
      <c r="E2767" s="1">
        <f>IFERROR(__xludf.DUMMYFUNCTION("""COMPUTED_VALUE"""),91.0)</f>
        <v>91</v>
      </c>
      <c r="F2767" s="1">
        <f>IFERROR(__xludf.DUMMYFUNCTION("""COMPUTED_VALUE"""),1346124.0)</f>
        <v>1346124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IFERROR(__xludf.DUMMYFUNCTION("""COMPUTED_VALUE"""),91.01)</f>
        <v>91.01</v>
      </c>
      <c r="C2768" s="1">
        <f>IFERROR(__xludf.DUMMYFUNCTION("""COMPUTED_VALUE"""),92.45)</f>
        <v>92.45</v>
      </c>
      <c r="D2768" s="1">
        <f>IFERROR(__xludf.DUMMYFUNCTION("""COMPUTED_VALUE"""),90.3)</f>
        <v>90.3</v>
      </c>
      <c r="E2768" s="1">
        <f>IFERROR(__xludf.DUMMYFUNCTION("""COMPUTED_VALUE"""),92.24)</f>
        <v>92.24</v>
      </c>
      <c r="F2768" s="1">
        <f>IFERROR(__xludf.DUMMYFUNCTION("""COMPUTED_VALUE"""),1225092.0)</f>
        <v>1225092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IFERROR(__xludf.DUMMYFUNCTION("""COMPUTED_VALUE"""),91.79)</f>
        <v>91.79</v>
      </c>
      <c r="C2769" s="1">
        <f>IFERROR(__xludf.DUMMYFUNCTION("""COMPUTED_VALUE"""),94.85)</f>
        <v>94.85</v>
      </c>
      <c r="D2769" s="1">
        <f>IFERROR(__xludf.DUMMYFUNCTION("""COMPUTED_VALUE"""),91.75)</f>
        <v>91.75</v>
      </c>
      <c r="E2769" s="1">
        <f>IFERROR(__xludf.DUMMYFUNCTION("""COMPUTED_VALUE"""),94.62)</f>
        <v>94.62</v>
      </c>
      <c r="F2769" s="1">
        <f>IFERROR(__xludf.DUMMYFUNCTION("""COMPUTED_VALUE"""),1307934.0)</f>
        <v>1307934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IFERROR(__xludf.DUMMYFUNCTION("""COMPUTED_VALUE"""),94.18)</f>
        <v>94.18</v>
      </c>
      <c r="C2770" s="1">
        <f>IFERROR(__xludf.DUMMYFUNCTION("""COMPUTED_VALUE"""),95.0)</f>
        <v>95</v>
      </c>
      <c r="D2770" s="1">
        <f>IFERROR(__xludf.DUMMYFUNCTION("""COMPUTED_VALUE"""),92.89)</f>
        <v>92.89</v>
      </c>
      <c r="E2770" s="1">
        <f>IFERROR(__xludf.DUMMYFUNCTION("""COMPUTED_VALUE"""),94.46)</f>
        <v>94.46</v>
      </c>
      <c r="F2770" s="1">
        <f>IFERROR(__xludf.DUMMYFUNCTION("""COMPUTED_VALUE"""),1171257.0)</f>
        <v>1171257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IFERROR(__xludf.DUMMYFUNCTION("""COMPUTED_VALUE"""),94.3)</f>
        <v>94.3</v>
      </c>
      <c r="C2771" s="1">
        <f>IFERROR(__xludf.DUMMYFUNCTION("""COMPUTED_VALUE"""),94.37)</f>
        <v>94.37</v>
      </c>
      <c r="D2771" s="1">
        <f>IFERROR(__xludf.DUMMYFUNCTION("""COMPUTED_VALUE"""),92.13)</f>
        <v>92.13</v>
      </c>
      <c r="E2771" s="1">
        <f>IFERROR(__xludf.DUMMYFUNCTION("""COMPUTED_VALUE"""),93.3)</f>
        <v>93.3</v>
      </c>
      <c r="F2771" s="1">
        <f>IFERROR(__xludf.DUMMYFUNCTION("""COMPUTED_VALUE"""),1665371.0)</f>
        <v>1665371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IFERROR(__xludf.DUMMYFUNCTION("""COMPUTED_VALUE"""),93.24)</f>
        <v>93.24</v>
      </c>
      <c r="C2772" s="1">
        <f>IFERROR(__xludf.DUMMYFUNCTION("""COMPUTED_VALUE"""),94.31)</f>
        <v>94.31</v>
      </c>
      <c r="D2772" s="1">
        <f>IFERROR(__xludf.DUMMYFUNCTION("""COMPUTED_VALUE"""),92.36)</f>
        <v>92.36</v>
      </c>
      <c r="E2772" s="1">
        <f>IFERROR(__xludf.DUMMYFUNCTION("""COMPUTED_VALUE"""),94.2)</f>
        <v>94.2</v>
      </c>
      <c r="F2772" s="1">
        <f>IFERROR(__xludf.DUMMYFUNCTION("""COMPUTED_VALUE"""),1532409.0)</f>
        <v>1532409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IFERROR(__xludf.DUMMYFUNCTION("""COMPUTED_VALUE"""),94.05)</f>
        <v>94.05</v>
      </c>
      <c r="C2773" s="1">
        <f>IFERROR(__xludf.DUMMYFUNCTION("""COMPUTED_VALUE"""),98.34)</f>
        <v>98.34</v>
      </c>
      <c r="D2773" s="1">
        <f>IFERROR(__xludf.DUMMYFUNCTION("""COMPUTED_VALUE"""),94.05)</f>
        <v>94.05</v>
      </c>
      <c r="E2773" s="1">
        <f>IFERROR(__xludf.DUMMYFUNCTION("""COMPUTED_VALUE"""),97.96)</f>
        <v>97.96</v>
      </c>
      <c r="F2773" s="1">
        <f>IFERROR(__xludf.DUMMYFUNCTION("""COMPUTED_VALUE"""),1710488.0)</f>
        <v>1710488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IFERROR(__xludf.DUMMYFUNCTION("""COMPUTED_VALUE"""),98.62)</f>
        <v>98.62</v>
      </c>
      <c r="C2774" s="1">
        <f>IFERROR(__xludf.DUMMYFUNCTION("""COMPUTED_VALUE"""),100.61)</f>
        <v>100.61</v>
      </c>
      <c r="D2774" s="1">
        <f>IFERROR(__xludf.DUMMYFUNCTION("""COMPUTED_VALUE"""),97.43)</f>
        <v>97.43</v>
      </c>
      <c r="E2774" s="1">
        <f>IFERROR(__xludf.DUMMYFUNCTION("""COMPUTED_VALUE"""),100.3)</f>
        <v>100.3</v>
      </c>
      <c r="F2774" s="1">
        <f>IFERROR(__xludf.DUMMYFUNCTION("""COMPUTED_VALUE"""),1819349.0)</f>
        <v>1819349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IFERROR(__xludf.DUMMYFUNCTION("""COMPUTED_VALUE"""),100.33)</f>
        <v>100.33</v>
      </c>
      <c r="C2775" s="1">
        <f>IFERROR(__xludf.DUMMYFUNCTION("""COMPUTED_VALUE"""),103.15)</f>
        <v>103.15</v>
      </c>
      <c r="D2775" s="1">
        <f>IFERROR(__xludf.DUMMYFUNCTION("""COMPUTED_VALUE"""),100.33)</f>
        <v>100.33</v>
      </c>
      <c r="E2775" s="1">
        <f>IFERROR(__xludf.DUMMYFUNCTION("""COMPUTED_VALUE"""),102.1)</f>
        <v>102.1</v>
      </c>
      <c r="F2775" s="1">
        <f>IFERROR(__xludf.DUMMYFUNCTION("""COMPUTED_VALUE"""),1608124.0)</f>
        <v>1608124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IFERROR(__xludf.DUMMYFUNCTION("""COMPUTED_VALUE"""),101.04)</f>
        <v>101.04</v>
      </c>
      <c r="C2776" s="1">
        <f>IFERROR(__xludf.DUMMYFUNCTION("""COMPUTED_VALUE"""),104.71)</f>
        <v>104.71</v>
      </c>
      <c r="D2776" s="1">
        <f>IFERROR(__xludf.DUMMYFUNCTION("""COMPUTED_VALUE"""),100.88)</f>
        <v>100.88</v>
      </c>
      <c r="E2776" s="1">
        <f>IFERROR(__xludf.DUMMYFUNCTION("""COMPUTED_VALUE"""),104.64)</f>
        <v>104.64</v>
      </c>
      <c r="F2776" s="1">
        <f>IFERROR(__xludf.DUMMYFUNCTION("""COMPUTED_VALUE"""),1049514.0)</f>
        <v>1049514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IFERROR(__xludf.DUMMYFUNCTION("""COMPUTED_VALUE"""),104.26)</f>
        <v>104.26</v>
      </c>
      <c r="C2777" s="1">
        <f>IFERROR(__xludf.DUMMYFUNCTION("""COMPUTED_VALUE"""),106.64)</f>
        <v>106.64</v>
      </c>
      <c r="D2777" s="1">
        <f>IFERROR(__xludf.DUMMYFUNCTION("""COMPUTED_VALUE"""),103.86)</f>
        <v>103.86</v>
      </c>
      <c r="E2777" s="1">
        <f>IFERROR(__xludf.DUMMYFUNCTION("""COMPUTED_VALUE"""),106.5)</f>
        <v>106.5</v>
      </c>
      <c r="F2777" s="1">
        <f>IFERROR(__xludf.DUMMYFUNCTION("""COMPUTED_VALUE"""),1321680.0)</f>
        <v>1321680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IFERROR(__xludf.DUMMYFUNCTION("""COMPUTED_VALUE"""),106.66)</f>
        <v>106.66</v>
      </c>
      <c r="C2778" s="1">
        <f>IFERROR(__xludf.DUMMYFUNCTION("""COMPUTED_VALUE"""),108.22)</f>
        <v>108.22</v>
      </c>
      <c r="D2778" s="1">
        <f>IFERROR(__xludf.DUMMYFUNCTION("""COMPUTED_VALUE"""),105.44)</f>
        <v>105.44</v>
      </c>
      <c r="E2778" s="1">
        <f>IFERROR(__xludf.DUMMYFUNCTION("""COMPUTED_VALUE"""),105.49)</f>
        <v>105.49</v>
      </c>
      <c r="F2778" s="1">
        <f>IFERROR(__xludf.DUMMYFUNCTION("""COMPUTED_VALUE"""),1288972.0)</f>
        <v>1288972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IFERROR(__xludf.DUMMYFUNCTION("""COMPUTED_VALUE"""),105.93)</f>
        <v>105.93</v>
      </c>
      <c r="C2779" s="1">
        <f>IFERROR(__xludf.DUMMYFUNCTION("""COMPUTED_VALUE"""),107.23)</f>
        <v>107.23</v>
      </c>
      <c r="D2779" s="1">
        <f>IFERROR(__xludf.DUMMYFUNCTION("""COMPUTED_VALUE"""),105.23)</f>
        <v>105.23</v>
      </c>
      <c r="E2779" s="1">
        <f>IFERROR(__xludf.DUMMYFUNCTION("""COMPUTED_VALUE"""),106.35)</f>
        <v>106.35</v>
      </c>
      <c r="F2779" s="1">
        <f>IFERROR(__xludf.DUMMYFUNCTION("""COMPUTED_VALUE"""),973628.0)</f>
        <v>973628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IFERROR(__xludf.DUMMYFUNCTION("""COMPUTED_VALUE"""),105.38)</f>
        <v>105.38</v>
      </c>
      <c r="C2780" s="1">
        <f>IFERROR(__xludf.DUMMYFUNCTION("""COMPUTED_VALUE"""),107.0)</f>
        <v>107</v>
      </c>
      <c r="D2780" s="1">
        <f>IFERROR(__xludf.DUMMYFUNCTION("""COMPUTED_VALUE"""),104.86)</f>
        <v>104.86</v>
      </c>
      <c r="E2780" s="1">
        <f>IFERROR(__xludf.DUMMYFUNCTION("""COMPUTED_VALUE"""),106.44)</f>
        <v>106.44</v>
      </c>
      <c r="F2780" s="1">
        <f>IFERROR(__xludf.DUMMYFUNCTION("""COMPUTED_VALUE"""),1028798.0)</f>
        <v>1028798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IFERROR(__xludf.DUMMYFUNCTION("""COMPUTED_VALUE"""),108.97)</f>
        <v>108.97</v>
      </c>
      <c r="C2781" s="1">
        <f>IFERROR(__xludf.DUMMYFUNCTION("""COMPUTED_VALUE"""),116.7)</f>
        <v>116.7</v>
      </c>
      <c r="D2781" s="1">
        <f>IFERROR(__xludf.DUMMYFUNCTION("""COMPUTED_VALUE"""),107.3)</f>
        <v>107.3</v>
      </c>
      <c r="E2781" s="1">
        <f>IFERROR(__xludf.DUMMYFUNCTION("""COMPUTED_VALUE"""),116.43)</f>
        <v>116.43</v>
      </c>
      <c r="F2781" s="1">
        <f>IFERROR(__xludf.DUMMYFUNCTION("""COMPUTED_VALUE"""),2772035.0)</f>
        <v>2772035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IFERROR(__xludf.DUMMYFUNCTION("""COMPUTED_VALUE"""),117.06)</f>
        <v>117.06</v>
      </c>
      <c r="C2782" s="1">
        <f>IFERROR(__xludf.DUMMYFUNCTION("""COMPUTED_VALUE"""),124.91)</f>
        <v>124.91</v>
      </c>
      <c r="D2782" s="1">
        <f>IFERROR(__xludf.DUMMYFUNCTION("""COMPUTED_VALUE"""),116.77)</f>
        <v>116.77</v>
      </c>
      <c r="E2782" s="1">
        <f>IFERROR(__xludf.DUMMYFUNCTION("""COMPUTED_VALUE"""),122.79)</f>
        <v>122.79</v>
      </c>
      <c r="F2782" s="1">
        <f>IFERROR(__xludf.DUMMYFUNCTION("""COMPUTED_VALUE"""),4015394.0)</f>
        <v>4015394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IFERROR(__xludf.DUMMYFUNCTION("""COMPUTED_VALUE"""),122.93)</f>
        <v>122.93</v>
      </c>
      <c r="C2783" s="1">
        <f>IFERROR(__xludf.DUMMYFUNCTION("""COMPUTED_VALUE"""),123.7)</f>
        <v>123.7</v>
      </c>
      <c r="D2783" s="1">
        <f>IFERROR(__xludf.DUMMYFUNCTION("""COMPUTED_VALUE"""),119.86)</f>
        <v>119.86</v>
      </c>
      <c r="E2783" s="1">
        <f>IFERROR(__xludf.DUMMYFUNCTION("""COMPUTED_VALUE"""),120.29)</f>
        <v>120.29</v>
      </c>
      <c r="F2783" s="1">
        <f>IFERROR(__xludf.DUMMYFUNCTION("""COMPUTED_VALUE"""),1961233.0)</f>
        <v>1961233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IFERROR(__xludf.DUMMYFUNCTION("""COMPUTED_VALUE"""),119.78)</f>
        <v>119.78</v>
      </c>
      <c r="C2784" s="1">
        <f>IFERROR(__xludf.DUMMYFUNCTION("""COMPUTED_VALUE"""),120.48)</f>
        <v>120.48</v>
      </c>
      <c r="D2784" s="1">
        <f>IFERROR(__xludf.DUMMYFUNCTION("""COMPUTED_VALUE"""),117.7)</f>
        <v>117.7</v>
      </c>
      <c r="E2784" s="1">
        <f>IFERROR(__xludf.DUMMYFUNCTION("""COMPUTED_VALUE"""),118.64)</f>
        <v>118.64</v>
      </c>
      <c r="F2784" s="1">
        <f>IFERROR(__xludf.DUMMYFUNCTION("""COMPUTED_VALUE"""),1349637.0)</f>
        <v>1349637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IFERROR(__xludf.DUMMYFUNCTION("""COMPUTED_VALUE"""),119.02)</f>
        <v>119.02</v>
      </c>
      <c r="C2785" s="1">
        <f>IFERROR(__xludf.DUMMYFUNCTION("""COMPUTED_VALUE"""),122.11)</f>
        <v>122.11</v>
      </c>
      <c r="D2785" s="1">
        <f>IFERROR(__xludf.DUMMYFUNCTION("""COMPUTED_VALUE"""),118.65)</f>
        <v>118.65</v>
      </c>
      <c r="E2785" s="1">
        <f>IFERROR(__xludf.DUMMYFUNCTION("""COMPUTED_VALUE"""),120.96)</f>
        <v>120.96</v>
      </c>
      <c r="F2785" s="1">
        <f>IFERROR(__xludf.DUMMYFUNCTION("""COMPUTED_VALUE"""),1777506.0)</f>
        <v>1777506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IFERROR(__xludf.DUMMYFUNCTION("""COMPUTED_VALUE"""),121.26)</f>
        <v>121.26</v>
      </c>
      <c r="C2786" s="1">
        <f>IFERROR(__xludf.DUMMYFUNCTION("""COMPUTED_VALUE"""),128.58)</f>
        <v>128.58</v>
      </c>
      <c r="D2786" s="1">
        <f>IFERROR(__xludf.DUMMYFUNCTION("""COMPUTED_VALUE"""),121.08)</f>
        <v>121.08</v>
      </c>
      <c r="E2786" s="1">
        <f>IFERROR(__xludf.DUMMYFUNCTION("""COMPUTED_VALUE"""),127.79)</f>
        <v>127.79</v>
      </c>
      <c r="F2786" s="1">
        <f>IFERROR(__xludf.DUMMYFUNCTION("""COMPUTED_VALUE"""),2606107.0)</f>
        <v>2606107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IFERROR(__xludf.DUMMYFUNCTION("""COMPUTED_VALUE"""),125.81)</f>
        <v>125.81</v>
      </c>
      <c r="C2787" s="1">
        <f>IFERROR(__xludf.DUMMYFUNCTION("""COMPUTED_VALUE"""),126.2)</f>
        <v>126.2</v>
      </c>
      <c r="D2787" s="1">
        <f>IFERROR(__xludf.DUMMYFUNCTION("""COMPUTED_VALUE"""),120.32)</f>
        <v>120.32</v>
      </c>
      <c r="E2787" s="1">
        <f>IFERROR(__xludf.DUMMYFUNCTION("""COMPUTED_VALUE"""),121.45)</f>
        <v>121.45</v>
      </c>
      <c r="F2787" s="1">
        <f>IFERROR(__xludf.DUMMYFUNCTION("""COMPUTED_VALUE"""),2598146.0)</f>
        <v>2598146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IFERROR(__xludf.DUMMYFUNCTION("""COMPUTED_VALUE"""),121.49)</f>
        <v>121.49</v>
      </c>
      <c r="C2788" s="1">
        <f>IFERROR(__xludf.DUMMYFUNCTION("""COMPUTED_VALUE"""),123.53)</f>
        <v>123.53</v>
      </c>
      <c r="D2788" s="1">
        <f>IFERROR(__xludf.DUMMYFUNCTION("""COMPUTED_VALUE"""),120.21)</f>
        <v>120.21</v>
      </c>
      <c r="E2788" s="1">
        <f>IFERROR(__xludf.DUMMYFUNCTION("""COMPUTED_VALUE"""),121.29)</f>
        <v>121.29</v>
      </c>
      <c r="F2788" s="1">
        <f>IFERROR(__xludf.DUMMYFUNCTION("""COMPUTED_VALUE"""),1785677.0)</f>
        <v>1785677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IFERROR(__xludf.DUMMYFUNCTION("""COMPUTED_VALUE"""),120.34)</f>
        <v>120.34</v>
      </c>
      <c r="C2789" s="1">
        <f>IFERROR(__xludf.DUMMYFUNCTION("""COMPUTED_VALUE"""),120.98)</f>
        <v>120.98</v>
      </c>
      <c r="D2789" s="1">
        <f>IFERROR(__xludf.DUMMYFUNCTION("""COMPUTED_VALUE"""),116.77)</f>
        <v>116.77</v>
      </c>
      <c r="E2789" s="1">
        <f>IFERROR(__xludf.DUMMYFUNCTION("""COMPUTED_VALUE"""),117.78)</f>
        <v>117.78</v>
      </c>
      <c r="F2789" s="1">
        <f>IFERROR(__xludf.DUMMYFUNCTION("""COMPUTED_VALUE"""),1508519.0)</f>
        <v>1508519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IFERROR(__xludf.DUMMYFUNCTION("""COMPUTED_VALUE"""),119.61)</f>
        <v>119.61</v>
      </c>
      <c r="C2790" s="1">
        <f>IFERROR(__xludf.DUMMYFUNCTION("""COMPUTED_VALUE"""),120.0)</f>
        <v>120</v>
      </c>
      <c r="D2790" s="1">
        <f>IFERROR(__xludf.DUMMYFUNCTION("""COMPUTED_VALUE"""),116.74)</f>
        <v>116.74</v>
      </c>
      <c r="E2790" s="1">
        <f>IFERROR(__xludf.DUMMYFUNCTION("""COMPUTED_VALUE"""),116.91)</f>
        <v>116.91</v>
      </c>
      <c r="F2790" s="1">
        <f>IFERROR(__xludf.DUMMYFUNCTION("""COMPUTED_VALUE"""),1552950.0)</f>
        <v>1552950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IFERROR(__xludf.DUMMYFUNCTION("""COMPUTED_VALUE"""),118.16)</f>
        <v>118.16</v>
      </c>
      <c r="C2791" s="1">
        <f>IFERROR(__xludf.DUMMYFUNCTION("""COMPUTED_VALUE"""),123.56)</f>
        <v>123.56</v>
      </c>
      <c r="D2791" s="1">
        <f>IFERROR(__xludf.DUMMYFUNCTION("""COMPUTED_VALUE"""),117.56)</f>
        <v>117.56</v>
      </c>
      <c r="E2791" s="1">
        <f>IFERROR(__xludf.DUMMYFUNCTION("""COMPUTED_VALUE"""),123.04)</f>
        <v>123.04</v>
      </c>
      <c r="F2791" s="1">
        <f>IFERROR(__xludf.DUMMYFUNCTION("""COMPUTED_VALUE"""),1360158.0)</f>
        <v>1360158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IFERROR(__xludf.DUMMYFUNCTION("""COMPUTED_VALUE"""),122.82)</f>
        <v>122.82</v>
      </c>
      <c r="C2792" s="1">
        <f>IFERROR(__xludf.DUMMYFUNCTION("""COMPUTED_VALUE"""),124.09)</f>
        <v>124.09</v>
      </c>
      <c r="D2792" s="1">
        <f>IFERROR(__xludf.DUMMYFUNCTION("""COMPUTED_VALUE"""),121.29)</f>
        <v>121.29</v>
      </c>
      <c r="E2792" s="1">
        <f>IFERROR(__xludf.DUMMYFUNCTION("""COMPUTED_VALUE"""),123.31)</f>
        <v>123.31</v>
      </c>
      <c r="F2792" s="1">
        <f>IFERROR(__xludf.DUMMYFUNCTION("""COMPUTED_VALUE"""),880806.0)</f>
        <v>880806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IFERROR(__xludf.DUMMYFUNCTION("""COMPUTED_VALUE"""),123.76)</f>
        <v>123.76</v>
      </c>
      <c r="C2793" s="1">
        <f>IFERROR(__xludf.DUMMYFUNCTION("""COMPUTED_VALUE"""),126.0)</f>
        <v>126</v>
      </c>
      <c r="D2793" s="1">
        <f>IFERROR(__xludf.DUMMYFUNCTION("""COMPUTED_VALUE"""),123.47)</f>
        <v>123.47</v>
      </c>
      <c r="E2793" s="1">
        <f>IFERROR(__xludf.DUMMYFUNCTION("""COMPUTED_VALUE"""),125.66)</f>
        <v>125.66</v>
      </c>
      <c r="F2793" s="1">
        <f>IFERROR(__xludf.DUMMYFUNCTION("""COMPUTED_VALUE"""),869272.0)</f>
        <v>869272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IFERROR(__xludf.DUMMYFUNCTION("""COMPUTED_VALUE"""),126.91)</f>
        <v>126.91</v>
      </c>
      <c r="C2794" s="1">
        <f>IFERROR(__xludf.DUMMYFUNCTION("""COMPUTED_VALUE"""),127.49)</f>
        <v>127.49</v>
      </c>
      <c r="D2794" s="1">
        <f>IFERROR(__xludf.DUMMYFUNCTION("""COMPUTED_VALUE"""),125.55)</f>
        <v>125.55</v>
      </c>
      <c r="E2794" s="1">
        <f>IFERROR(__xludf.DUMMYFUNCTION("""COMPUTED_VALUE"""),126.17)</f>
        <v>126.17</v>
      </c>
      <c r="F2794" s="1">
        <f>IFERROR(__xludf.DUMMYFUNCTION("""COMPUTED_VALUE"""),1103275.0)</f>
        <v>1103275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IFERROR(__xludf.DUMMYFUNCTION("""COMPUTED_VALUE"""),126.53)</f>
        <v>126.53</v>
      </c>
      <c r="C2795" s="1">
        <f>IFERROR(__xludf.DUMMYFUNCTION("""COMPUTED_VALUE"""),128.55)</f>
        <v>128.55</v>
      </c>
      <c r="D2795" s="1">
        <f>IFERROR(__xludf.DUMMYFUNCTION("""COMPUTED_VALUE"""),126.53)</f>
        <v>126.53</v>
      </c>
      <c r="E2795" s="1">
        <f>IFERROR(__xludf.DUMMYFUNCTION("""COMPUTED_VALUE"""),126.85)</f>
        <v>126.85</v>
      </c>
      <c r="F2795" s="1">
        <f>IFERROR(__xludf.DUMMYFUNCTION("""COMPUTED_VALUE"""),724217.0)</f>
        <v>724217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IFERROR(__xludf.DUMMYFUNCTION("""COMPUTED_VALUE"""),126.44)</f>
        <v>126.44</v>
      </c>
      <c r="C2796" s="1">
        <f>IFERROR(__xludf.DUMMYFUNCTION("""COMPUTED_VALUE"""),126.44)</f>
        <v>126.44</v>
      </c>
      <c r="D2796" s="1">
        <f>IFERROR(__xludf.DUMMYFUNCTION("""COMPUTED_VALUE"""),125.03)</f>
        <v>125.03</v>
      </c>
      <c r="E2796" s="1">
        <f>IFERROR(__xludf.DUMMYFUNCTION("""COMPUTED_VALUE"""),125.42)</f>
        <v>125.42</v>
      </c>
      <c r="F2796" s="1">
        <f>IFERROR(__xludf.DUMMYFUNCTION("""COMPUTED_VALUE"""),678743.0)</f>
        <v>678743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IFERROR(__xludf.DUMMYFUNCTION("""COMPUTED_VALUE"""),125.54)</f>
        <v>125.54</v>
      </c>
      <c r="C2797" s="1">
        <f>IFERROR(__xludf.DUMMYFUNCTION("""COMPUTED_VALUE"""),127.13)</f>
        <v>127.13</v>
      </c>
      <c r="D2797" s="1">
        <f>IFERROR(__xludf.DUMMYFUNCTION("""COMPUTED_VALUE"""),125.15)</f>
        <v>125.15</v>
      </c>
      <c r="E2797" s="1">
        <f>IFERROR(__xludf.DUMMYFUNCTION("""COMPUTED_VALUE"""),125.42)</f>
        <v>125.42</v>
      </c>
      <c r="F2797" s="1">
        <f>IFERROR(__xludf.DUMMYFUNCTION("""COMPUTED_VALUE"""),906246.0)</f>
        <v>906246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IFERROR(__xludf.DUMMYFUNCTION("""COMPUTED_VALUE"""),125.55)</f>
        <v>125.55</v>
      </c>
      <c r="C2798" s="1">
        <f>IFERROR(__xludf.DUMMYFUNCTION("""COMPUTED_VALUE"""),127.8)</f>
        <v>127.8</v>
      </c>
      <c r="D2798" s="1">
        <f>IFERROR(__xludf.DUMMYFUNCTION("""COMPUTED_VALUE"""),125.05)</f>
        <v>125.05</v>
      </c>
      <c r="E2798" s="1">
        <f>IFERROR(__xludf.DUMMYFUNCTION("""COMPUTED_VALUE"""),126.84)</f>
        <v>126.84</v>
      </c>
      <c r="F2798" s="1">
        <f>IFERROR(__xludf.DUMMYFUNCTION("""COMPUTED_VALUE"""),477506.0)</f>
        <v>477506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IFERROR(__xludf.DUMMYFUNCTION("""COMPUTED_VALUE"""),125.53)</f>
        <v>125.53</v>
      </c>
      <c r="C2799" s="1">
        <f>IFERROR(__xludf.DUMMYFUNCTION("""COMPUTED_VALUE"""),126.64)</f>
        <v>126.64</v>
      </c>
      <c r="D2799" s="1">
        <f>IFERROR(__xludf.DUMMYFUNCTION("""COMPUTED_VALUE"""),124.76)</f>
        <v>124.76</v>
      </c>
      <c r="E2799" s="1">
        <f>IFERROR(__xludf.DUMMYFUNCTION("""COMPUTED_VALUE"""),125.1)</f>
        <v>125.1</v>
      </c>
      <c r="F2799" s="1">
        <f>IFERROR(__xludf.DUMMYFUNCTION("""COMPUTED_VALUE"""),659875.0)</f>
        <v>659875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IFERROR(__xludf.DUMMYFUNCTION("""COMPUTED_VALUE"""),125.87)</f>
        <v>125.87</v>
      </c>
      <c r="C2800" s="1">
        <f>IFERROR(__xludf.DUMMYFUNCTION("""COMPUTED_VALUE"""),127.03)</f>
        <v>127.03</v>
      </c>
      <c r="D2800" s="1">
        <f>IFERROR(__xludf.DUMMYFUNCTION("""COMPUTED_VALUE"""),122.27)</f>
        <v>122.27</v>
      </c>
      <c r="E2800" s="1">
        <f>IFERROR(__xludf.DUMMYFUNCTION("""COMPUTED_VALUE"""),122.36)</f>
        <v>122.36</v>
      </c>
      <c r="F2800" s="1">
        <f>IFERROR(__xludf.DUMMYFUNCTION("""COMPUTED_VALUE"""),1181576.0)</f>
        <v>1181576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IFERROR(__xludf.DUMMYFUNCTION("""COMPUTED_VALUE"""),121.75)</f>
        <v>121.75</v>
      </c>
      <c r="C2801" s="1">
        <f>IFERROR(__xludf.DUMMYFUNCTION("""COMPUTED_VALUE"""),123.16)</f>
        <v>123.16</v>
      </c>
      <c r="D2801" s="1">
        <f>IFERROR(__xludf.DUMMYFUNCTION("""COMPUTED_VALUE"""),119.53)</f>
        <v>119.53</v>
      </c>
      <c r="E2801" s="1">
        <f>IFERROR(__xludf.DUMMYFUNCTION("""COMPUTED_VALUE"""),122.51)</f>
        <v>122.51</v>
      </c>
      <c r="F2801" s="1">
        <f>IFERROR(__xludf.DUMMYFUNCTION("""COMPUTED_VALUE"""),927287.0)</f>
        <v>927287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IFERROR(__xludf.DUMMYFUNCTION("""COMPUTED_VALUE"""),121.71)</f>
        <v>121.71</v>
      </c>
      <c r="C2802" s="1">
        <f>IFERROR(__xludf.DUMMYFUNCTION("""COMPUTED_VALUE"""),122.47)</f>
        <v>122.47</v>
      </c>
      <c r="D2802" s="1">
        <f>IFERROR(__xludf.DUMMYFUNCTION("""COMPUTED_VALUE"""),119.37)</f>
        <v>119.37</v>
      </c>
      <c r="E2802" s="1">
        <f>IFERROR(__xludf.DUMMYFUNCTION("""COMPUTED_VALUE"""),120.24)</f>
        <v>120.24</v>
      </c>
      <c r="F2802" s="1">
        <f>IFERROR(__xludf.DUMMYFUNCTION("""COMPUTED_VALUE"""),982761.0)</f>
        <v>982761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IFERROR(__xludf.DUMMYFUNCTION("""COMPUTED_VALUE"""),120.8)</f>
        <v>120.8</v>
      </c>
      <c r="C2803" s="1">
        <f>IFERROR(__xludf.DUMMYFUNCTION("""COMPUTED_VALUE"""),122.77)</f>
        <v>122.77</v>
      </c>
      <c r="D2803" s="1">
        <f>IFERROR(__xludf.DUMMYFUNCTION("""COMPUTED_VALUE"""),120.69)</f>
        <v>120.69</v>
      </c>
      <c r="E2803" s="1">
        <f>IFERROR(__xludf.DUMMYFUNCTION("""COMPUTED_VALUE"""),121.32)</f>
        <v>121.32</v>
      </c>
      <c r="F2803" s="1">
        <f>IFERROR(__xludf.DUMMYFUNCTION("""COMPUTED_VALUE"""),923114.0)</f>
        <v>923114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IFERROR(__xludf.DUMMYFUNCTION("""COMPUTED_VALUE"""),120.78)</f>
        <v>120.78</v>
      </c>
      <c r="C2804" s="1">
        <f>IFERROR(__xludf.DUMMYFUNCTION("""COMPUTED_VALUE"""),121.58)</f>
        <v>121.58</v>
      </c>
      <c r="D2804" s="1">
        <f>IFERROR(__xludf.DUMMYFUNCTION("""COMPUTED_VALUE"""),119.32)</f>
        <v>119.32</v>
      </c>
      <c r="E2804" s="1">
        <f>IFERROR(__xludf.DUMMYFUNCTION("""COMPUTED_VALUE"""),119.38)</f>
        <v>119.38</v>
      </c>
      <c r="F2804" s="1">
        <f>IFERROR(__xludf.DUMMYFUNCTION("""COMPUTED_VALUE"""),751271.0)</f>
        <v>751271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IFERROR(__xludf.DUMMYFUNCTION("""COMPUTED_VALUE"""),118.81)</f>
        <v>118.81</v>
      </c>
      <c r="C2805" s="1">
        <f>IFERROR(__xludf.DUMMYFUNCTION("""COMPUTED_VALUE"""),119.54)</f>
        <v>119.54</v>
      </c>
      <c r="D2805" s="1">
        <f>IFERROR(__xludf.DUMMYFUNCTION("""COMPUTED_VALUE"""),115.57)</f>
        <v>115.57</v>
      </c>
      <c r="E2805" s="1">
        <f>IFERROR(__xludf.DUMMYFUNCTION("""COMPUTED_VALUE"""),119.26)</f>
        <v>119.26</v>
      </c>
      <c r="F2805" s="1">
        <f>IFERROR(__xludf.DUMMYFUNCTION("""COMPUTED_VALUE"""),760638.0)</f>
        <v>760638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IFERROR(__xludf.DUMMYFUNCTION("""COMPUTED_VALUE"""),119.26)</f>
        <v>119.26</v>
      </c>
      <c r="C2806" s="1">
        <f>IFERROR(__xludf.DUMMYFUNCTION("""COMPUTED_VALUE"""),121.99)</f>
        <v>121.99</v>
      </c>
      <c r="D2806" s="1">
        <f>IFERROR(__xludf.DUMMYFUNCTION("""COMPUTED_VALUE"""),119.0)</f>
        <v>119</v>
      </c>
      <c r="E2806" s="1">
        <f>IFERROR(__xludf.DUMMYFUNCTION("""COMPUTED_VALUE"""),121.84)</f>
        <v>121.84</v>
      </c>
      <c r="F2806" s="1">
        <f>IFERROR(__xludf.DUMMYFUNCTION("""COMPUTED_VALUE"""),774782.0)</f>
        <v>774782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IFERROR(__xludf.DUMMYFUNCTION("""COMPUTED_VALUE"""),121.85)</f>
        <v>121.85</v>
      </c>
      <c r="C2807" s="1">
        <f>IFERROR(__xludf.DUMMYFUNCTION("""COMPUTED_VALUE"""),124.19)</f>
        <v>124.19</v>
      </c>
      <c r="D2807" s="1">
        <f>IFERROR(__xludf.DUMMYFUNCTION("""COMPUTED_VALUE"""),118.26)</f>
        <v>118.26</v>
      </c>
      <c r="E2807" s="1">
        <f>IFERROR(__xludf.DUMMYFUNCTION("""COMPUTED_VALUE"""),118.92)</f>
        <v>118.92</v>
      </c>
      <c r="F2807" s="1">
        <f>IFERROR(__xludf.DUMMYFUNCTION("""COMPUTED_VALUE"""),982517.0)</f>
        <v>982517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IFERROR(__xludf.DUMMYFUNCTION("""COMPUTED_VALUE"""),119.29)</f>
        <v>119.29</v>
      </c>
      <c r="C2808" s="1">
        <f>IFERROR(__xludf.DUMMYFUNCTION("""COMPUTED_VALUE"""),122.02)</f>
        <v>122.02</v>
      </c>
      <c r="D2808" s="1">
        <f>IFERROR(__xludf.DUMMYFUNCTION("""COMPUTED_VALUE"""),118.48)</f>
        <v>118.48</v>
      </c>
      <c r="E2808" s="1">
        <f>IFERROR(__xludf.DUMMYFUNCTION("""COMPUTED_VALUE"""),119.51)</f>
        <v>119.51</v>
      </c>
      <c r="F2808" s="1">
        <f>IFERROR(__xludf.DUMMYFUNCTION("""COMPUTED_VALUE"""),1397896.0)</f>
        <v>1397896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IFERROR(__xludf.DUMMYFUNCTION("""COMPUTED_VALUE"""),120.81)</f>
        <v>120.81</v>
      </c>
      <c r="C2809" s="1">
        <f>IFERROR(__xludf.DUMMYFUNCTION("""COMPUTED_VALUE"""),122.61)</f>
        <v>122.61</v>
      </c>
      <c r="D2809" s="1">
        <f>IFERROR(__xludf.DUMMYFUNCTION("""COMPUTED_VALUE"""),120.5)</f>
        <v>120.5</v>
      </c>
      <c r="E2809" s="1">
        <f>IFERROR(__xludf.DUMMYFUNCTION("""COMPUTED_VALUE"""),121.39)</f>
        <v>121.39</v>
      </c>
      <c r="F2809" s="1">
        <f>IFERROR(__xludf.DUMMYFUNCTION("""COMPUTED_VALUE"""),1578499.0)</f>
        <v>1578499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IFERROR(__xludf.DUMMYFUNCTION("""COMPUTED_VALUE"""),121.59)</f>
        <v>121.59</v>
      </c>
      <c r="C2810" s="1">
        <f>IFERROR(__xludf.DUMMYFUNCTION("""COMPUTED_VALUE"""),121.91)</f>
        <v>121.91</v>
      </c>
      <c r="D2810" s="1">
        <f>IFERROR(__xludf.DUMMYFUNCTION("""COMPUTED_VALUE"""),119.62)</f>
        <v>119.62</v>
      </c>
      <c r="E2810" s="1">
        <f>IFERROR(__xludf.DUMMYFUNCTION("""COMPUTED_VALUE"""),120.98)</f>
        <v>120.98</v>
      </c>
      <c r="F2810" s="1">
        <f>IFERROR(__xludf.DUMMYFUNCTION("""COMPUTED_VALUE"""),1039371.0)</f>
        <v>1039371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IFERROR(__xludf.DUMMYFUNCTION("""COMPUTED_VALUE"""),120.09)</f>
        <v>120.09</v>
      </c>
      <c r="C2811" s="1">
        <f>IFERROR(__xludf.DUMMYFUNCTION("""COMPUTED_VALUE"""),123.09)</f>
        <v>123.09</v>
      </c>
      <c r="D2811" s="1">
        <f>IFERROR(__xludf.DUMMYFUNCTION("""COMPUTED_VALUE"""),119.54)</f>
        <v>119.54</v>
      </c>
      <c r="E2811" s="1">
        <f>IFERROR(__xludf.DUMMYFUNCTION("""COMPUTED_VALUE"""),121.8)</f>
        <v>121.8</v>
      </c>
      <c r="F2811" s="1">
        <f>IFERROR(__xludf.DUMMYFUNCTION("""COMPUTED_VALUE"""),975175.0)</f>
        <v>975175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IFERROR(__xludf.DUMMYFUNCTION("""COMPUTED_VALUE"""),121.09)</f>
        <v>121.09</v>
      </c>
      <c r="C2812" s="1">
        <f>IFERROR(__xludf.DUMMYFUNCTION("""COMPUTED_VALUE"""),122.49)</f>
        <v>122.49</v>
      </c>
      <c r="D2812" s="1">
        <f>IFERROR(__xludf.DUMMYFUNCTION("""COMPUTED_VALUE"""),117.3)</f>
        <v>117.3</v>
      </c>
      <c r="E2812" s="1">
        <f>IFERROR(__xludf.DUMMYFUNCTION("""COMPUTED_VALUE"""),120.3)</f>
        <v>120.3</v>
      </c>
      <c r="F2812" s="1">
        <f>IFERROR(__xludf.DUMMYFUNCTION("""COMPUTED_VALUE"""),843335.0)</f>
        <v>843335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IFERROR(__xludf.DUMMYFUNCTION("""COMPUTED_VALUE"""),122.14)</f>
        <v>122.14</v>
      </c>
      <c r="C2813" s="1">
        <f>IFERROR(__xludf.DUMMYFUNCTION("""COMPUTED_VALUE"""),123.63)</f>
        <v>123.63</v>
      </c>
      <c r="D2813" s="1">
        <f>IFERROR(__xludf.DUMMYFUNCTION("""COMPUTED_VALUE"""),118.62)</f>
        <v>118.62</v>
      </c>
      <c r="E2813" s="1">
        <f>IFERROR(__xludf.DUMMYFUNCTION("""COMPUTED_VALUE"""),123.2)</f>
        <v>123.2</v>
      </c>
      <c r="F2813" s="1">
        <f>IFERROR(__xludf.DUMMYFUNCTION("""COMPUTED_VALUE"""),1622377.0)</f>
        <v>1622377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IFERROR(__xludf.DUMMYFUNCTION("""COMPUTED_VALUE"""),123.66)</f>
        <v>123.66</v>
      </c>
      <c r="C2814" s="1">
        <f>IFERROR(__xludf.DUMMYFUNCTION("""COMPUTED_VALUE"""),129.96)</f>
        <v>129.96</v>
      </c>
      <c r="D2814" s="1">
        <f>IFERROR(__xludf.DUMMYFUNCTION("""COMPUTED_VALUE"""),123.38)</f>
        <v>123.38</v>
      </c>
      <c r="E2814" s="1">
        <f>IFERROR(__xludf.DUMMYFUNCTION("""COMPUTED_VALUE"""),129.17)</f>
        <v>129.17</v>
      </c>
      <c r="F2814" s="1">
        <f>IFERROR(__xludf.DUMMYFUNCTION("""COMPUTED_VALUE"""),1824361.0)</f>
        <v>1824361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IFERROR(__xludf.DUMMYFUNCTION("""COMPUTED_VALUE"""),129.84)</f>
        <v>129.84</v>
      </c>
      <c r="C2815" s="1">
        <f>IFERROR(__xludf.DUMMYFUNCTION("""COMPUTED_VALUE"""),132.54)</f>
        <v>132.54</v>
      </c>
      <c r="D2815" s="1">
        <f>IFERROR(__xludf.DUMMYFUNCTION("""COMPUTED_VALUE"""),128.53)</f>
        <v>128.53</v>
      </c>
      <c r="E2815" s="1">
        <f>IFERROR(__xludf.DUMMYFUNCTION("""COMPUTED_VALUE"""),128.67)</f>
        <v>128.67</v>
      </c>
      <c r="F2815" s="1">
        <f>IFERROR(__xludf.DUMMYFUNCTION("""COMPUTED_VALUE"""),1722776.0)</f>
        <v>1722776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IFERROR(__xludf.DUMMYFUNCTION("""COMPUTED_VALUE"""),130.13)</f>
        <v>130.13</v>
      </c>
      <c r="C2816" s="1">
        <f>IFERROR(__xludf.DUMMYFUNCTION("""COMPUTED_VALUE"""),135.12)</f>
        <v>135.12</v>
      </c>
      <c r="D2816" s="1">
        <f>IFERROR(__xludf.DUMMYFUNCTION("""COMPUTED_VALUE"""),129.64)</f>
        <v>129.64</v>
      </c>
      <c r="E2816" s="1">
        <f>IFERROR(__xludf.DUMMYFUNCTION("""COMPUTED_VALUE"""),133.55)</f>
        <v>133.55</v>
      </c>
      <c r="F2816" s="1">
        <f>IFERROR(__xludf.DUMMYFUNCTION("""COMPUTED_VALUE"""),1068321.0)</f>
        <v>1068321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IFERROR(__xludf.DUMMYFUNCTION("""COMPUTED_VALUE"""),134.04)</f>
        <v>134.04</v>
      </c>
      <c r="C2817" s="1">
        <f>IFERROR(__xludf.DUMMYFUNCTION("""COMPUTED_VALUE"""),136.34)</f>
        <v>136.34</v>
      </c>
      <c r="D2817" s="1">
        <f>IFERROR(__xludf.DUMMYFUNCTION("""COMPUTED_VALUE"""),132.77)</f>
        <v>132.77</v>
      </c>
      <c r="E2817" s="1">
        <f>IFERROR(__xludf.DUMMYFUNCTION("""COMPUTED_VALUE"""),132.97)</f>
        <v>132.97</v>
      </c>
      <c r="F2817" s="1">
        <f>IFERROR(__xludf.DUMMYFUNCTION("""COMPUTED_VALUE"""),1136021.0)</f>
        <v>1136021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IFERROR(__xludf.DUMMYFUNCTION("""COMPUTED_VALUE"""),133.22)</f>
        <v>133.22</v>
      </c>
      <c r="C2818" s="1">
        <f>IFERROR(__xludf.DUMMYFUNCTION("""COMPUTED_VALUE"""),135.07)</f>
        <v>135.07</v>
      </c>
      <c r="D2818" s="1">
        <f>IFERROR(__xludf.DUMMYFUNCTION("""COMPUTED_VALUE"""),132.24)</f>
        <v>132.24</v>
      </c>
      <c r="E2818" s="1">
        <f>IFERROR(__xludf.DUMMYFUNCTION("""COMPUTED_VALUE"""),133.76)</f>
        <v>133.76</v>
      </c>
      <c r="F2818" s="1">
        <f>IFERROR(__xludf.DUMMYFUNCTION("""COMPUTED_VALUE"""),735161.0)</f>
        <v>735161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IFERROR(__xludf.DUMMYFUNCTION("""COMPUTED_VALUE"""),133.47)</f>
        <v>133.47</v>
      </c>
      <c r="C2819" s="1">
        <f>IFERROR(__xludf.DUMMYFUNCTION("""COMPUTED_VALUE"""),134.54)</f>
        <v>134.54</v>
      </c>
      <c r="D2819" s="1">
        <f>IFERROR(__xludf.DUMMYFUNCTION("""COMPUTED_VALUE"""),132.55)</f>
        <v>132.55</v>
      </c>
      <c r="E2819" s="1">
        <f>IFERROR(__xludf.DUMMYFUNCTION("""COMPUTED_VALUE"""),134.35)</f>
        <v>134.35</v>
      </c>
      <c r="F2819" s="1">
        <f>IFERROR(__xludf.DUMMYFUNCTION("""COMPUTED_VALUE"""),1025094.0)</f>
        <v>1025094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IFERROR(__xludf.DUMMYFUNCTION("""COMPUTED_VALUE"""),133.85)</f>
        <v>133.85</v>
      </c>
      <c r="C2820" s="1">
        <f>IFERROR(__xludf.DUMMYFUNCTION("""COMPUTED_VALUE"""),133.85)</f>
        <v>133.85</v>
      </c>
      <c r="D2820" s="1">
        <f>IFERROR(__xludf.DUMMYFUNCTION("""COMPUTED_VALUE"""),130.31)</f>
        <v>130.31</v>
      </c>
      <c r="E2820" s="1">
        <f>IFERROR(__xludf.DUMMYFUNCTION("""COMPUTED_VALUE"""),131.12)</f>
        <v>131.12</v>
      </c>
      <c r="F2820" s="1">
        <f>IFERROR(__xludf.DUMMYFUNCTION("""COMPUTED_VALUE"""),1065920.0)</f>
        <v>1065920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IFERROR(__xludf.DUMMYFUNCTION("""COMPUTED_VALUE"""),131.5)</f>
        <v>131.5</v>
      </c>
      <c r="C2821" s="1">
        <f>IFERROR(__xludf.DUMMYFUNCTION("""COMPUTED_VALUE"""),132.35)</f>
        <v>132.35</v>
      </c>
      <c r="D2821" s="1">
        <f>IFERROR(__xludf.DUMMYFUNCTION("""COMPUTED_VALUE"""),130.19)</f>
        <v>130.19</v>
      </c>
      <c r="E2821" s="1">
        <f>IFERROR(__xludf.DUMMYFUNCTION("""COMPUTED_VALUE"""),132.05)</f>
        <v>132.05</v>
      </c>
      <c r="F2821" s="1">
        <f>IFERROR(__xludf.DUMMYFUNCTION("""COMPUTED_VALUE"""),823216.0)</f>
        <v>823216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IFERROR(__xludf.DUMMYFUNCTION("""COMPUTED_VALUE"""),131.89)</f>
        <v>131.89</v>
      </c>
      <c r="C2822" s="1">
        <f>IFERROR(__xludf.DUMMYFUNCTION("""COMPUTED_VALUE"""),136.43)</f>
        <v>136.43</v>
      </c>
      <c r="D2822" s="1">
        <f>IFERROR(__xludf.DUMMYFUNCTION("""COMPUTED_VALUE"""),130.91)</f>
        <v>130.91</v>
      </c>
      <c r="E2822" s="1">
        <f>IFERROR(__xludf.DUMMYFUNCTION("""COMPUTED_VALUE"""),134.56)</f>
        <v>134.56</v>
      </c>
      <c r="F2822" s="1">
        <f>IFERROR(__xludf.DUMMYFUNCTION("""COMPUTED_VALUE"""),1111365.0)</f>
        <v>1111365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IFERROR(__xludf.DUMMYFUNCTION("""COMPUTED_VALUE"""),134.41)</f>
        <v>134.41</v>
      </c>
      <c r="C2823" s="1">
        <f>IFERROR(__xludf.DUMMYFUNCTION("""COMPUTED_VALUE"""),134.41)</f>
        <v>134.41</v>
      </c>
      <c r="D2823" s="1">
        <f>IFERROR(__xludf.DUMMYFUNCTION("""COMPUTED_VALUE"""),131.24)</f>
        <v>131.24</v>
      </c>
      <c r="E2823" s="1">
        <f>IFERROR(__xludf.DUMMYFUNCTION("""COMPUTED_VALUE"""),133.24)</f>
        <v>133.24</v>
      </c>
      <c r="F2823" s="1">
        <f>IFERROR(__xludf.DUMMYFUNCTION("""COMPUTED_VALUE"""),1811038.0)</f>
        <v>1811038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IFERROR(__xludf.DUMMYFUNCTION("""COMPUTED_VALUE"""),133.49)</f>
        <v>133.49</v>
      </c>
      <c r="C2824" s="1">
        <f>IFERROR(__xludf.DUMMYFUNCTION("""COMPUTED_VALUE"""),133.99)</f>
        <v>133.99</v>
      </c>
      <c r="D2824" s="1">
        <f>IFERROR(__xludf.DUMMYFUNCTION("""COMPUTED_VALUE"""),130.41)</f>
        <v>130.41</v>
      </c>
      <c r="E2824" s="1">
        <f>IFERROR(__xludf.DUMMYFUNCTION("""COMPUTED_VALUE"""),132.3)</f>
        <v>132.3</v>
      </c>
      <c r="F2824" s="1">
        <f>IFERROR(__xludf.DUMMYFUNCTION("""COMPUTED_VALUE"""),818409.0)</f>
        <v>818409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IFERROR(__xludf.DUMMYFUNCTION("""COMPUTED_VALUE"""),131.56)</f>
        <v>131.56</v>
      </c>
      <c r="C2825" s="1">
        <f>IFERROR(__xludf.DUMMYFUNCTION("""COMPUTED_VALUE"""),132.38)</f>
        <v>132.38</v>
      </c>
      <c r="D2825" s="1">
        <f>IFERROR(__xludf.DUMMYFUNCTION("""COMPUTED_VALUE"""),130.56)</f>
        <v>130.56</v>
      </c>
      <c r="E2825" s="1">
        <f>IFERROR(__xludf.DUMMYFUNCTION("""COMPUTED_VALUE"""),131.02)</f>
        <v>131.02</v>
      </c>
      <c r="F2825" s="1">
        <f>IFERROR(__xludf.DUMMYFUNCTION("""COMPUTED_VALUE"""),685914.0)</f>
        <v>685914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IFERROR(__xludf.DUMMYFUNCTION("""COMPUTED_VALUE"""),131.02)</f>
        <v>131.02</v>
      </c>
      <c r="C2826" s="1">
        <f>IFERROR(__xludf.DUMMYFUNCTION("""COMPUTED_VALUE"""),132.7)</f>
        <v>132.7</v>
      </c>
      <c r="D2826" s="1">
        <f>IFERROR(__xludf.DUMMYFUNCTION("""COMPUTED_VALUE"""),128.16)</f>
        <v>128.16</v>
      </c>
      <c r="E2826" s="1">
        <f>IFERROR(__xludf.DUMMYFUNCTION("""COMPUTED_VALUE"""),128.35)</f>
        <v>128.35</v>
      </c>
      <c r="F2826" s="1">
        <f>IFERROR(__xludf.DUMMYFUNCTION("""COMPUTED_VALUE"""),1015341.0)</f>
        <v>1015341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IFERROR(__xludf.DUMMYFUNCTION("""COMPUTED_VALUE"""),127.39)</f>
        <v>127.39</v>
      </c>
      <c r="C2827" s="1">
        <f>IFERROR(__xludf.DUMMYFUNCTION("""COMPUTED_VALUE"""),131.44)</f>
        <v>131.44</v>
      </c>
      <c r="D2827" s="1">
        <f>IFERROR(__xludf.DUMMYFUNCTION("""COMPUTED_VALUE"""),126.37)</f>
        <v>126.37</v>
      </c>
      <c r="E2827" s="1">
        <f>IFERROR(__xludf.DUMMYFUNCTION("""COMPUTED_VALUE"""),130.6)</f>
        <v>130.6</v>
      </c>
      <c r="F2827" s="1">
        <f>IFERROR(__xludf.DUMMYFUNCTION("""COMPUTED_VALUE"""),1158262.0)</f>
        <v>1158262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IFERROR(__xludf.DUMMYFUNCTION("""COMPUTED_VALUE"""),132.3)</f>
        <v>132.3</v>
      </c>
      <c r="C2828" s="1">
        <f>IFERROR(__xludf.DUMMYFUNCTION("""COMPUTED_VALUE"""),133.94)</f>
        <v>133.94</v>
      </c>
      <c r="D2828" s="1">
        <f>IFERROR(__xludf.DUMMYFUNCTION("""COMPUTED_VALUE"""),130.98)</f>
        <v>130.98</v>
      </c>
      <c r="E2828" s="1">
        <f>IFERROR(__xludf.DUMMYFUNCTION("""COMPUTED_VALUE"""),133.81)</f>
        <v>133.81</v>
      </c>
      <c r="F2828" s="1">
        <f>IFERROR(__xludf.DUMMYFUNCTION("""COMPUTED_VALUE"""),659485.0)</f>
        <v>659485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IFERROR(__xludf.DUMMYFUNCTION("""COMPUTED_VALUE"""),135.33)</f>
        <v>135.33</v>
      </c>
      <c r="C2829" s="1">
        <f>IFERROR(__xludf.DUMMYFUNCTION("""COMPUTED_VALUE"""),136.45)</f>
        <v>136.45</v>
      </c>
      <c r="D2829" s="1">
        <f>IFERROR(__xludf.DUMMYFUNCTION("""COMPUTED_VALUE"""),133.09)</f>
        <v>133.09</v>
      </c>
      <c r="E2829" s="1">
        <f>IFERROR(__xludf.DUMMYFUNCTION("""COMPUTED_VALUE"""),134.57)</f>
        <v>134.57</v>
      </c>
      <c r="F2829" s="1">
        <f>IFERROR(__xludf.DUMMYFUNCTION("""COMPUTED_VALUE"""),1017950.0)</f>
        <v>1017950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IFERROR(__xludf.DUMMYFUNCTION("""COMPUTED_VALUE"""),135.23)</f>
        <v>135.23</v>
      </c>
      <c r="C2830" s="1">
        <f>IFERROR(__xludf.DUMMYFUNCTION("""COMPUTED_VALUE"""),136.54)</f>
        <v>136.54</v>
      </c>
      <c r="D2830" s="1">
        <f>IFERROR(__xludf.DUMMYFUNCTION("""COMPUTED_VALUE"""),134.42)</f>
        <v>134.42</v>
      </c>
      <c r="E2830" s="1">
        <f>IFERROR(__xludf.DUMMYFUNCTION("""COMPUTED_VALUE"""),135.83)</f>
        <v>135.83</v>
      </c>
      <c r="F2830" s="1">
        <f>IFERROR(__xludf.DUMMYFUNCTION("""COMPUTED_VALUE"""),1408421.0)</f>
        <v>1408421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IFERROR(__xludf.DUMMYFUNCTION("""COMPUTED_VALUE"""),133.41)</f>
        <v>133.41</v>
      </c>
      <c r="C2831" s="1">
        <f>IFERROR(__xludf.DUMMYFUNCTION("""COMPUTED_VALUE"""),135.42)</f>
        <v>135.42</v>
      </c>
      <c r="D2831" s="1">
        <f>IFERROR(__xludf.DUMMYFUNCTION("""COMPUTED_VALUE"""),132.5)</f>
        <v>132.5</v>
      </c>
      <c r="E2831" s="1">
        <f>IFERROR(__xludf.DUMMYFUNCTION("""COMPUTED_VALUE"""),132.66)</f>
        <v>132.66</v>
      </c>
      <c r="F2831" s="1">
        <f>IFERROR(__xludf.DUMMYFUNCTION("""COMPUTED_VALUE"""),1680080.0)</f>
        <v>1680080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IFERROR(__xludf.DUMMYFUNCTION("""COMPUTED_VALUE"""),126.45)</f>
        <v>126.45</v>
      </c>
      <c r="C2832" s="1">
        <f>IFERROR(__xludf.DUMMYFUNCTION("""COMPUTED_VALUE"""),129.25)</f>
        <v>129.25</v>
      </c>
      <c r="D2832" s="1">
        <f>IFERROR(__xludf.DUMMYFUNCTION("""COMPUTED_VALUE"""),122.56)</f>
        <v>122.56</v>
      </c>
      <c r="E2832" s="1">
        <f>IFERROR(__xludf.DUMMYFUNCTION("""COMPUTED_VALUE"""),123.31)</f>
        <v>123.31</v>
      </c>
      <c r="F2832" s="1">
        <f>IFERROR(__xludf.DUMMYFUNCTION("""COMPUTED_VALUE"""),4638069.0)</f>
        <v>4638069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IFERROR(__xludf.DUMMYFUNCTION("""COMPUTED_VALUE"""),125.57)</f>
        <v>125.57</v>
      </c>
      <c r="C2833" s="1">
        <f>IFERROR(__xludf.DUMMYFUNCTION("""COMPUTED_VALUE"""),128.52)</f>
        <v>128.52</v>
      </c>
      <c r="D2833" s="1">
        <f>IFERROR(__xludf.DUMMYFUNCTION("""COMPUTED_VALUE"""),122.86)</f>
        <v>122.86</v>
      </c>
      <c r="E2833" s="1">
        <f>IFERROR(__xludf.DUMMYFUNCTION("""COMPUTED_VALUE"""),128.06)</f>
        <v>128.06</v>
      </c>
      <c r="F2833" s="1">
        <f>IFERROR(__xludf.DUMMYFUNCTION("""COMPUTED_VALUE"""),2047307.0)</f>
        <v>2047307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IFERROR(__xludf.DUMMYFUNCTION("""COMPUTED_VALUE"""),127.28)</f>
        <v>127.28</v>
      </c>
      <c r="C2834" s="1">
        <f>IFERROR(__xludf.DUMMYFUNCTION("""COMPUTED_VALUE"""),127.83)</f>
        <v>127.83</v>
      </c>
      <c r="D2834" s="1">
        <f>IFERROR(__xludf.DUMMYFUNCTION("""COMPUTED_VALUE"""),124.69)</f>
        <v>124.69</v>
      </c>
      <c r="E2834" s="1">
        <f>IFERROR(__xludf.DUMMYFUNCTION("""COMPUTED_VALUE"""),126.33)</f>
        <v>126.33</v>
      </c>
      <c r="F2834" s="1">
        <f>IFERROR(__xludf.DUMMYFUNCTION("""COMPUTED_VALUE"""),1516468.0)</f>
        <v>1516468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IFERROR(__xludf.DUMMYFUNCTION("""COMPUTED_VALUE"""),126.04)</f>
        <v>126.04</v>
      </c>
      <c r="C2835" s="1">
        <f>IFERROR(__xludf.DUMMYFUNCTION("""COMPUTED_VALUE"""),127.44)</f>
        <v>127.44</v>
      </c>
      <c r="D2835" s="1">
        <f>IFERROR(__xludf.DUMMYFUNCTION("""COMPUTED_VALUE"""),124.84)</f>
        <v>124.84</v>
      </c>
      <c r="E2835" s="1">
        <f>IFERROR(__xludf.DUMMYFUNCTION("""COMPUTED_VALUE"""),126.1)</f>
        <v>126.1</v>
      </c>
      <c r="F2835" s="1">
        <f>IFERROR(__xludf.DUMMYFUNCTION("""COMPUTED_VALUE"""),865143.0)</f>
        <v>865143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IFERROR(__xludf.DUMMYFUNCTION("""COMPUTED_VALUE"""),126.08)</f>
        <v>126.08</v>
      </c>
      <c r="C2836" s="1">
        <f>IFERROR(__xludf.DUMMYFUNCTION("""COMPUTED_VALUE"""),128.24)</f>
        <v>128.24</v>
      </c>
      <c r="D2836" s="1">
        <f>IFERROR(__xludf.DUMMYFUNCTION("""COMPUTED_VALUE"""),124.69)</f>
        <v>124.69</v>
      </c>
      <c r="E2836" s="1">
        <f>IFERROR(__xludf.DUMMYFUNCTION("""COMPUTED_VALUE"""),128.15)</f>
        <v>128.15</v>
      </c>
      <c r="F2836" s="1">
        <f>IFERROR(__xludf.DUMMYFUNCTION("""COMPUTED_VALUE"""),1015705.0)</f>
        <v>1015705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IFERROR(__xludf.DUMMYFUNCTION("""COMPUTED_VALUE"""),128.9)</f>
        <v>128.9</v>
      </c>
      <c r="C2837" s="1">
        <f>IFERROR(__xludf.DUMMYFUNCTION("""COMPUTED_VALUE"""),132.12)</f>
        <v>132.12</v>
      </c>
      <c r="D2837" s="1">
        <f>IFERROR(__xludf.DUMMYFUNCTION("""COMPUTED_VALUE"""),128.15)</f>
        <v>128.15</v>
      </c>
      <c r="E2837" s="1">
        <f>IFERROR(__xludf.DUMMYFUNCTION("""COMPUTED_VALUE"""),131.63)</f>
        <v>131.63</v>
      </c>
      <c r="F2837" s="1">
        <f>IFERROR(__xludf.DUMMYFUNCTION("""COMPUTED_VALUE"""),1095860.0)</f>
        <v>1095860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IFERROR(__xludf.DUMMYFUNCTION("""COMPUTED_VALUE"""),131.25)</f>
        <v>131.25</v>
      </c>
      <c r="C2838" s="1">
        <f>IFERROR(__xludf.DUMMYFUNCTION("""COMPUTED_VALUE"""),132.35)</f>
        <v>132.35</v>
      </c>
      <c r="D2838" s="1">
        <f>IFERROR(__xludf.DUMMYFUNCTION("""COMPUTED_VALUE"""),130.48)</f>
        <v>130.48</v>
      </c>
      <c r="E2838" s="1">
        <f>IFERROR(__xludf.DUMMYFUNCTION("""COMPUTED_VALUE"""),132.1)</f>
        <v>132.1</v>
      </c>
      <c r="F2838" s="1">
        <f>IFERROR(__xludf.DUMMYFUNCTION("""COMPUTED_VALUE"""),1164067.0)</f>
        <v>1164067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IFERROR(__xludf.DUMMYFUNCTION("""COMPUTED_VALUE"""),131.5)</f>
        <v>131.5</v>
      </c>
      <c r="C2839" s="1">
        <f>IFERROR(__xludf.DUMMYFUNCTION("""COMPUTED_VALUE"""),131.5)</f>
        <v>131.5</v>
      </c>
      <c r="D2839" s="1">
        <f>IFERROR(__xludf.DUMMYFUNCTION("""COMPUTED_VALUE"""),128.84)</f>
        <v>128.84</v>
      </c>
      <c r="E2839" s="1">
        <f>IFERROR(__xludf.DUMMYFUNCTION("""COMPUTED_VALUE"""),130.15)</f>
        <v>130.15</v>
      </c>
      <c r="F2839" s="1">
        <f>IFERROR(__xludf.DUMMYFUNCTION("""COMPUTED_VALUE"""),1228302.0)</f>
        <v>1228302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IFERROR(__xludf.DUMMYFUNCTION("""COMPUTED_VALUE"""),130.68)</f>
        <v>130.68</v>
      </c>
      <c r="C2840" s="1">
        <f>IFERROR(__xludf.DUMMYFUNCTION("""COMPUTED_VALUE"""),131.89)</f>
        <v>131.89</v>
      </c>
      <c r="D2840" s="1">
        <f>IFERROR(__xludf.DUMMYFUNCTION("""COMPUTED_VALUE"""),129.44)</f>
        <v>129.44</v>
      </c>
      <c r="E2840" s="1">
        <f>IFERROR(__xludf.DUMMYFUNCTION("""COMPUTED_VALUE"""),129.62)</f>
        <v>129.62</v>
      </c>
      <c r="F2840" s="1">
        <f>IFERROR(__xludf.DUMMYFUNCTION("""COMPUTED_VALUE"""),766556.0)</f>
        <v>766556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IFERROR(__xludf.DUMMYFUNCTION("""COMPUTED_VALUE"""),129.03)</f>
        <v>129.03</v>
      </c>
      <c r="C2841" s="1">
        <f>IFERROR(__xludf.DUMMYFUNCTION("""COMPUTED_VALUE"""),129.79)</f>
        <v>129.79</v>
      </c>
      <c r="D2841" s="1">
        <f>IFERROR(__xludf.DUMMYFUNCTION("""COMPUTED_VALUE"""),127.79)</f>
        <v>127.79</v>
      </c>
      <c r="E2841" s="1">
        <f>IFERROR(__xludf.DUMMYFUNCTION("""COMPUTED_VALUE"""),129.19)</f>
        <v>129.19</v>
      </c>
      <c r="F2841" s="1">
        <f>IFERROR(__xludf.DUMMYFUNCTION("""COMPUTED_VALUE"""),722689.0)</f>
        <v>722689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IFERROR(__xludf.DUMMYFUNCTION("""COMPUTED_VALUE"""),130.31)</f>
        <v>130.31</v>
      </c>
      <c r="C2842" s="1">
        <f>IFERROR(__xludf.DUMMYFUNCTION("""COMPUTED_VALUE"""),130.6)</f>
        <v>130.6</v>
      </c>
      <c r="D2842" s="1">
        <f>IFERROR(__xludf.DUMMYFUNCTION("""COMPUTED_VALUE"""),129.19)</f>
        <v>129.19</v>
      </c>
      <c r="E2842" s="1">
        <f>IFERROR(__xludf.DUMMYFUNCTION("""COMPUTED_VALUE"""),129.97)</f>
        <v>129.97</v>
      </c>
      <c r="F2842" s="1">
        <f>IFERROR(__xludf.DUMMYFUNCTION("""COMPUTED_VALUE"""),660982.0)</f>
        <v>660982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IFERROR(__xludf.DUMMYFUNCTION("""COMPUTED_VALUE"""),130.0)</f>
        <v>130</v>
      </c>
      <c r="C2843" s="1">
        <f>IFERROR(__xludf.DUMMYFUNCTION("""COMPUTED_VALUE"""),130.38)</f>
        <v>130.38</v>
      </c>
      <c r="D2843" s="1">
        <f>IFERROR(__xludf.DUMMYFUNCTION("""COMPUTED_VALUE"""),128.82)</f>
        <v>128.82</v>
      </c>
      <c r="E2843" s="1">
        <f>IFERROR(__xludf.DUMMYFUNCTION("""COMPUTED_VALUE"""),130.1)</f>
        <v>130.1</v>
      </c>
      <c r="F2843" s="1">
        <f>IFERROR(__xludf.DUMMYFUNCTION("""COMPUTED_VALUE"""),708668.0)</f>
        <v>708668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IFERROR(__xludf.DUMMYFUNCTION("""COMPUTED_VALUE"""),130.5)</f>
        <v>130.5</v>
      </c>
      <c r="C2844" s="1">
        <f>IFERROR(__xludf.DUMMYFUNCTION("""COMPUTED_VALUE"""),130.89)</f>
        <v>130.89</v>
      </c>
      <c r="D2844" s="1">
        <f>IFERROR(__xludf.DUMMYFUNCTION("""COMPUTED_VALUE"""),126.4)</f>
        <v>126.4</v>
      </c>
      <c r="E2844" s="1">
        <f>IFERROR(__xludf.DUMMYFUNCTION("""COMPUTED_VALUE"""),127.8)</f>
        <v>127.8</v>
      </c>
      <c r="F2844" s="1">
        <f>IFERROR(__xludf.DUMMYFUNCTION("""COMPUTED_VALUE"""),680766.0)</f>
        <v>680766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IFERROR(__xludf.DUMMYFUNCTION("""COMPUTED_VALUE"""),127.53)</f>
        <v>127.53</v>
      </c>
      <c r="C2845" s="1">
        <f>IFERROR(__xludf.DUMMYFUNCTION("""COMPUTED_VALUE"""),129.53)</f>
        <v>129.53</v>
      </c>
      <c r="D2845" s="1">
        <f>IFERROR(__xludf.DUMMYFUNCTION("""COMPUTED_VALUE"""),126.86)</f>
        <v>126.86</v>
      </c>
      <c r="E2845" s="1">
        <f>IFERROR(__xludf.DUMMYFUNCTION("""COMPUTED_VALUE"""),128.93)</f>
        <v>128.93</v>
      </c>
      <c r="F2845" s="1">
        <f>IFERROR(__xludf.DUMMYFUNCTION("""COMPUTED_VALUE"""),532669.0)</f>
        <v>532669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IFERROR(__xludf.DUMMYFUNCTION("""COMPUTED_VALUE"""),129.79)</f>
        <v>129.79</v>
      </c>
      <c r="C2846" s="1">
        <f>IFERROR(__xludf.DUMMYFUNCTION("""COMPUTED_VALUE"""),130.83)</f>
        <v>130.83</v>
      </c>
      <c r="D2846" s="1">
        <f>IFERROR(__xludf.DUMMYFUNCTION("""COMPUTED_VALUE"""),128.3)</f>
        <v>128.3</v>
      </c>
      <c r="E2846" s="1">
        <f>IFERROR(__xludf.DUMMYFUNCTION("""COMPUTED_VALUE"""),129.05)</f>
        <v>129.05</v>
      </c>
      <c r="F2846" s="1">
        <f>IFERROR(__xludf.DUMMYFUNCTION("""COMPUTED_VALUE"""),683517.0)</f>
        <v>683517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IFERROR(__xludf.DUMMYFUNCTION("""COMPUTED_VALUE"""),129.69)</f>
        <v>129.69</v>
      </c>
      <c r="C2847" s="1">
        <f>IFERROR(__xludf.DUMMYFUNCTION("""COMPUTED_VALUE"""),131.6)</f>
        <v>131.6</v>
      </c>
      <c r="D2847" s="1">
        <f>IFERROR(__xludf.DUMMYFUNCTION("""COMPUTED_VALUE"""),128.36)</f>
        <v>128.36</v>
      </c>
      <c r="E2847" s="1">
        <f>IFERROR(__xludf.DUMMYFUNCTION("""COMPUTED_VALUE"""),131.08)</f>
        <v>131.08</v>
      </c>
      <c r="F2847" s="1">
        <f>IFERROR(__xludf.DUMMYFUNCTION("""COMPUTED_VALUE"""),582969.0)</f>
        <v>582969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IFERROR(__xludf.DUMMYFUNCTION("""COMPUTED_VALUE"""),131.99)</f>
        <v>131.99</v>
      </c>
      <c r="C2848" s="1">
        <f>IFERROR(__xludf.DUMMYFUNCTION("""COMPUTED_VALUE"""),132.33)</f>
        <v>132.33</v>
      </c>
      <c r="D2848" s="1">
        <f>IFERROR(__xludf.DUMMYFUNCTION("""COMPUTED_VALUE"""),130.31)</f>
        <v>130.31</v>
      </c>
      <c r="E2848" s="1">
        <f>IFERROR(__xludf.DUMMYFUNCTION("""COMPUTED_VALUE"""),131.43)</f>
        <v>131.43</v>
      </c>
      <c r="F2848" s="1">
        <f>IFERROR(__xludf.DUMMYFUNCTION("""COMPUTED_VALUE"""),1112706.0)</f>
        <v>1112706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IFERROR(__xludf.DUMMYFUNCTION("""COMPUTED_VALUE"""),131.43)</f>
        <v>131.43</v>
      </c>
      <c r="C2849" s="1">
        <f>IFERROR(__xludf.DUMMYFUNCTION("""COMPUTED_VALUE"""),134.19)</f>
        <v>134.19</v>
      </c>
      <c r="D2849" s="1">
        <f>IFERROR(__xludf.DUMMYFUNCTION("""COMPUTED_VALUE"""),131.23)</f>
        <v>131.23</v>
      </c>
      <c r="E2849" s="1">
        <f>IFERROR(__xludf.DUMMYFUNCTION("""COMPUTED_VALUE"""),133.05)</f>
        <v>133.05</v>
      </c>
      <c r="F2849" s="1">
        <f>IFERROR(__xludf.DUMMYFUNCTION("""COMPUTED_VALUE"""),638365.0)</f>
        <v>638365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IFERROR(__xludf.DUMMYFUNCTION("""COMPUTED_VALUE"""),132.81)</f>
        <v>132.81</v>
      </c>
      <c r="C2850" s="1">
        <f>IFERROR(__xludf.DUMMYFUNCTION("""COMPUTED_VALUE"""),134.8)</f>
        <v>134.8</v>
      </c>
      <c r="D2850" s="1">
        <f>IFERROR(__xludf.DUMMYFUNCTION("""COMPUTED_VALUE"""),132.22)</f>
        <v>132.22</v>
      </c>
      <c r="E2850" s="1">
        <f>IFERROR(__xludf.DUMMYFUNCTION("""COMPUTED_VALUE"""),134.09)</f>
        <v>134.09</v>
      </c>
      <c r="F2850" s="1">
        <f>IFERROR(__xludf.DUMMYFUNCTION("""COMPUTED_VALUE"""),586655.0)</f>
        <v>586655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IFERROR(__xludf.DUMMYFUNCTION("""COMPUTED_VALUE"""),134.98)</f>
        <v>134.98</v>
      </c>
      <c r="C2851" s="1">
        <f>IFERROR(__xludf.DUMMYFUNCTION("""COMPUTED_VALUE"""),136.0)</f>
        <v>136</v>
      </c>
      <c r="D2851" s="1">
        <f>IFERROR(__xludf.DUMMYFUNCTION("""COMPUTED_VALUE"""),131.87)</f>
        <v>131.87</v>
      </c>
      <c r="E2851" s="1">
        <f>IFERROR(__xludf.DUMMYFUNCTION("""COMPUTED_VALUE"""),133.19)</f>
        <v>133.19</v>
      </c>
      <c r="F2851" s="1">
        <f>IFERROR(__xludf.DUMMYFUNCTION("""COMPUTED_VALUE"""),562811.0)</f>
        <v>562811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IFERROR(__xludf.DUMMYFUNCTION("""COMPUTED_VALUE"""),132.65)</f>
        <v>132.65</v>
      </c>
      <c r="C2852" s="1">
        <f>IFERROR(__xludf.DUMMYFUNCTION("""COMPUTED_VALUE"""),133.5)</f>
        <v>133.5</v>
      </c>
      <c r="D2852" s="1">
        <f>IFERROR(__xludf.DUMMYFUNCTION("""COMPUTED_VALUE"""),131.89)</f>
        <v>131.89</v>
      </c>
      <c r="E2852" s="1">
        <f>IFERROR(__xludf.DUMMYFUNCTION("""COMPUTED_VALUE"""),133.24)</f>
        <v>133.24</v>
      </c>
      <c r="F2852" s="1">
        <f>IFERROR(__xludf.DUMMYFUNCTION("""COMPUTED_VALUE"""),768105.0)</f>
        <v>768105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IFERROR(__xludf.DUMMYFUNCTION("""COMPUTED_VALUE"""),134.25)</f>
        <v>134.25</v>
      </c>
      <c r="C2853" s="1">
        <f>IFERROR(__xludf.DUMMYFUNCTION("""COMPUTED_VALUE"""),138.0)</f>
        <v>138</v>
      </c>
      <c r="D2853" s="1">
        <f>IFERROR(__xludf.DUMMYFUNCTION("""COMPUTED_VALUE"""),134.2)</f>
        <v>134.2</v>
      </c>
      <c r="E2853" s="1">
        <f>IFERROR(__xludf.DUMMYFUNCTION("""COMPUTED_VALUE"""),136.94)</f>
        <v>136.94</v>
      </c>
      <c r="F2853" s="1">
        <f>IFERROR(__xludf.DUMMYFUNCTION("""COMPUTED_VALUE"""),1343757.0)</f>
        <v>1343757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IFERROR(__xludf.DUMMYFUNCTION("""COMPUTED_VALUE"""),136.88)</f>
        <v>136.88</v>
      </c>
      <c r="C2854" s="1">
        <f>IFERROR(__xludf.DUMMYFUNCTION("""COMPUTED_VALUE"""),137.95)</f>
        <v>137.95</v>
      </c>
      <c r="D2854" s="1">
        <f>IFERROR(__xludf.DUMMYFUNCTION("""COMPUTED_VALUE"""),134.99)</f>
        <v>134.99</v>
      </c>
      <c r="E2854" s="1">
        <f>IFERROR(__xludf.DUMMYFUNCTION("""COMPUTED_VALUE"""),137.41)</f>
        <v>137.41</v>
      </c>
      <c r="F2854" s="1">
        <f>IFERROR(__xludf.DUMMYFUNCTION("""COMPUTED_VALUE"""),895036.0)</f>
        <v>895036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IFERROR(__xludf.DUMMYFUNCTION("""COMPUTED_VALUE"""),138.0)</f>
        <v>138</v>
      </c>
      <c r="C2855" s="1">
        <f>IFERROR(__xludf.DUMMYFUNCTION("""COMPUTED_VALUE"""),138.66)</f>
        <v>138.66</v>
      </c>
      <c r="D2855" s="1">
        <f>IFERROR(__xludf.DUMMYFUNCTION("""COMPUTED_VALUE"""),137.13)</f>
        <v>137.13</v>
      </c>
      <c r="E2855" s="1">
        <f>IFERROR(__xludf.DUMMYFUNCTION("""COMPUTED_VALUE"""),137.9)</f>
        <v>137.9</v>
      </c>
      <c r="F2855" s="1">
        <f>IFERROR(__xludf.DUMMYFUNCTION("""COMPUTED_VALUE"""),768622.0)</f>
        <v>768622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IFERROR(__xludf.DUMMYFUNCTION("""COMPUTED_VALUE"""),137.98)</f>
        <v>137.98</v>
      </c>
      <c r="C2856" s="1">
        <f>IFERROR(__xludf.DUMMYFUNCTION("""COMPUTED_VALUE"""),138.02)</f>
        <v>138.02</v>
      </c>
      <c r="D2856" s="1">
        <f>IFERROR(__xludf.DUMMYFUNCTION("""COMPUTED_VALUE"""),128.25)</f>
        <v>128.25</v>
      </c>
      <c r="E2856" s="1">
        <f>IFERROR(__xludf.DUMMYFUNCTION("""COMPUTED_VALUE"""),130.29)</f>
        <v>130.29</v>
      </c>
      <c r="F2856" s="1">
        <f>IFERROR(__xludf.DUMMYFUNCTION("""COMPUTED_VALUE"""),2555467.0)</f>
        <v>2555467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IFERROR(__xludf.DUMMYFUNCTION("""COMPUTED_VALUE"""),129.77)</f>
        <v>129.77</v>
      </c>
      <c r="C2857" s="1">
        <f>IFERROR(__xludf.DUMMYFUNCTION("""COMPUTED_VALUE"""),130.67)</f>
        <v>130.67</v>
      </c>
      <c r="D2857" s="1">
        <f>IFERROR(__xludf.DUMMYFUNCTION("""COMPUTED_VALUE"""),128.52)</f>
        <v>128.52</v>
      </c>
      <c r="E2857" s="1">
        <f>IFERROR(__xludf.DUMMYFUNCTION("""COMPUTED_VALUE"""),129.99)</f>
        <v>129.99</v>
      </c>
      <c r="F2857" s="1">
        <f>IFERROR(__xludf.DUMMYFUNCTION("""COMPUTED_VALUE"""),1387394.0)</f>
        <v>1387394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IFERROR(__xludf.DUMMYFUNCTION("""COMPUTED_VALUE"""),130.64)</f>
        <v>130.64</v>
      </c>
      <c r="C2858" s="1">
        <f>IFERROR(__xludf.DUMMYFUNCTION("""COMPUTED_VALUE"""),130.76)</f>
        <v>130.76</v>
      </c>
      <c r="D2858" s="1">
        <f>IFERROR(__xludf.DUMMYFUNCTION("""COMPUTED_VALUE"""),127.72)</f>
        <v>127.72</v>
      </c>
      <c r="E2858" s="1">
        <f>IFERROR(__xludf.DUMMYFUNCTION("""COMPUTED_VALUE"""),127.91)</f>
        <v>127.91</v>
      </c>
      <c r="F2858" s="1">
        <f>IFERROR(__xludf.DUMMYFUNCTION("""COMPUTED_VALUE"""),1251473.0)</f>
        <v>1251473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IFERROR(__xludf.DUMMYFUNCTION("""COMPUTED_VALUE"""),126.69)</f>
        <v>126.69</v>
      </c>
      <c r="C2859" s="1">
        <f>IFERROR(__xludf.DUMMYFUNCTION("""COMPUTED_VALUE"""),127.26)</f>
        <v>127.26</v>
      </c>
      <c r="D2859" s="1">
        <f>IFERROR(__xludf.DUMMYFUNCTION("""COMPUTED_VALUE"""),122.74)</f>
        <v>122.74</v>
      </c>
      <c r="E2859" s="1">
        <f>IFERROR(__xludf.DUMMYFUNCTION("""COMPUTED_VALUE"""),123.42)</f>
        <v>123.42</v>
      </c>
      <c r="F2859" s="1">
        <f>IFERROR(__xludf.DUMMYFUNCTION("""COMPUTED_VALUE"""),1440368.0)</f>
        <v>1440368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IFERROR(__xludf.DUMMYFUNCTION("""COMPUTED_VALUE"""),122.5)</f>
        <v>122.5</v>
      </c>
      <c r="C2860" s="1">
        <f>IFERROR(__xludf.DUMMYFUNCTION("""COMPUTED_VALUE"""),122.8)</f>
        <v>122.8</v>
      </c>
      <c r="D2860" s="1">
        <f>IFERROR(__xludf.DUMMYFUNCTION("""COMPUTED_VALUE"""),118.02)</f>
        <v>118.02</v>
      </c>
      <c r="E2860" s="1">
        <f>IFERROR(__xludf.DUMMYFUNCTION("""COMPUTED_VALUE"""),118.07)</f>
        <v>118.07</v>
      </c>
      <c r="F2860" s="1">
        <f>IFERROR(__xludf.DUMMYFUNCTION("""COMPUTED_VALUE"""),1192453.0)</f>
        <v>1192453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IFERROR(__xludf.DUMMYFUNCTION("""COMPUTED_VALUE"""),118.4)</f>
        <v>118.4</v>
      </c>
      <c r="C2861" s="1">
        <f>IFERROR(__xludf.DUMMYFUNCTION("""COMPUTED_VALUE"""),122.08)</f>
        <v>122.08</v>
      </c>
      <c r="D2861" s="1">
        <f>IFERROR(__xludf.DUMMYFUNCTION("""COMPUTED_VALUE"""),117.33)</f>
        <v>117.33</v>
      </c>
      <c r="E2861" s="1">
        <f>IFERROR(__xludf.DUMMYFUNCTION("""COMPUTED_VALUE"""),121.11)</f>
        <v>121.11</v>
      </c>
      <c r="F2861" s="1">
        <f>IFERROR(__xludf.DUMMYFUNCTION("""COMPUTED_VALUE"""),1316461.0)</f>
        <v>1316461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IFERROR(__xludf.DUMMYFUNCTION("""COMPUTED_VALUE"""),122.42)</f>
        <v>122.42</v>
      </c>
      <c r="C2862" s="1">
        <f>IFERROR(__xludf.DUMMYFUNCTION("""COMPUTED_VALUE"""),125.43)</f>
        <v>125.43</v>
      </c>
      <c r="D2862" s="1">
        <f>IFERROR(__xludf.DUMMYFUNCTION("""COMPUTED_VALUE"""),122.11)</f>
        <v>122.11</v>
      </c>
      <c r="E2862" s="1">
        <f>IFERROR(__xludf.DUMMYFUNCTION("""COMPUTED_VALUE"""),124.83)</f>
        <v>124.83</v>
      </c>
      <c r="F2862" s="1">
        <f>IFERROR(__xludf.DUMMYFUNCTION("""COMPUTED_VALUE"""),897754.0)</f>
        <v>897754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IFERROR(__xludf.DUMMYFUNCTION("""COMPUTED_VALUE"""),124.79)</f>
        <v>124.79</v>
      </c>
      <c r="C2863" s="1">
        <f>IFERROR(__xludf.DUMMYFUNCTION("""COMPUTED_VALUE"""),125.0)</f>
        <v>125</v>
      </c>
      <c r="D2863" s="1">
        <f>IFERROR(__xludf.DUMMYFUNCTION("""COMPUTED_VALUE"""),123.04)</f>
        <v>123.04</v>
      </c>
      <c r="E2863" s="1">
        <f>IFERROR(__xludf.DUMMYFUNCTION("""COMPUTED_VALUE"""),124.44)</f>
        <v>124.44</v>
      </c>
      <c r="F2863" s="1">
        <f>IFERROR(__xludf.DUMMYFUNCTION("""COMPUTED_VALUE"""),646433.0)</f>
        <v>646433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IFERROR(__xludf.DUMMYFUNCTION("""COMPUTED_VALUE"""),123.96)</f>
        <v>123.96</v>
      </c>
      <c r="C2864" s="1">
        <f>IFERROR(__xludf.DUMMYFUNCTION("""COMPUTED_VALUE"""),124.54)</f>
        <v>124.54</v>
      </c>
      <c r="D2864" s="1">
        <f>IFERROR(__xludf.DUMMYFUNCTION("""COMPUTED_VALUE"""),119.91)</f>
        <v>119.91</v>
      </c>
      <c r="E2864" s="1">
        <f>IFERROR(__xludf.DUMMYFUNCTION("""COMPUTED_VALUE"""),120.16)</f>
        <v>120.16</v>
      </c>
      <c r="F2864" s="1">
        <f>IFERROR(__xludf.DUMMYFUNCTION("""COMPUTED_VALUE"""),1163873.0)</f>
        <v>1163873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IFERROR(__xludf.DUMMYFUNCTION("""COMPUTED_VALUE"""),116.3)</f>
        <v>116.3</v>
      </c>
      <c r="C2865" s="1">
        <f>IFERROR(__xludf.DUMMYFUNCTION("""COMPUTED_VALUE"""),117.59)</f>
        <v>117.59</v>
      </c>
      <c r="D2865" s="1">
        <f>IFERROR(__xludf.DUMMYFUNCTION("""COMPUTED_VALUE"""),113.86)</f>
        <v>113.86</v>
      </c>
      <c r="E2865" s="1">
        <f>IFERROR(__xludf.DUMMYFUNCTION("""COMPUTED_VALUE"""),115.91)</f>
        <v>115.91</v>
      </c>
      <c r="F2865" s="1">
        <f>IFERROR(__xludf.DUMMYFUNCTION("""COMPUTED_VALUE"""),1548547.0)</f>
        <v>1548547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IFERROR(__xludf.DUMMYFUNCTION("""COMPUTED_VALUE"""),115.92)</f>
        <v>115.92</v>
      </c>
      <c r="C2866" s="1">
        <f>IFERROR(__xludf.DUMMYFUNCTION("""COMPUTED_VALUE"""),117.84)</f>
        <v>117.84</v>
      </c>
      <c r="D2866" s="1">
        <f>IFERROR(__xludf.DUMMYFUNCTION("""COMPUTED_VALUE"""),114.02)</f>
        <v>114.02</v>
      </c>
      <c r="E2866" s="1">
        <f>IFERROR(__xludf.DUMMYFUNCTION("""COMPUTED_VALUE"""),117.19)</f>
        <v>117.19</v>
      </c>
      <c r="F2866" s="1">
        <f>IFERROR(__xludf.DUMMYFUNCTION("""COMPUTED_VALUE"""),1118352.0)</f>
        <v>1118352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IFERROR(__xludf.DUMMYFUNCTION("""COMPUTED_VALUE"""),118.03)</f>
        <v>118.03</v>
      </c>
      <c r="C2867" s="1">
        <f>IFERROR(__xludf.DUMMYFUNCTION("""COMPUTED_VALUE"""),119.07)</f>
        <v>119.07</v>
      </c>
      <c r="D2867" s="1">
        <f>IFERROR(__xludf.DUMMYFUNCTION("""COMPUTED_VALUE"""),116.45)</f>
        <v>116.45</v>
      </c>
      <c r="E2867" s="1">
        <f>IFERROR(__xludf.DUMMYFUNCTION("""COMPUTED_VALUE"""),116.68)</f>
        <v>116.68</v>
      </c>
      <c r="F2867" s="1">
        <f>IFERROR(__xludf.DUMMYFUNCTION("""COMPUTED_VALUE"""),1147148.0)</f>
        <v>1147148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IFERROR(__xludf.DUMMYFUNCTION("""COMPUTED_VALUE"""),116.0)</f>
        <v>116</v>
      </c>
      <c r="C2868" s="1">
        <f>IFERROR(__xludf.DUMMYFUNCTION("""COMPUTED_VALUE"""),116.27)</f>
        <v>116.27</v>
      </c>
      <c r="D2868" s="1">
        <f>IFERROR(__xludf.DUMMYFUNCTION("""COMPUTED_VALUE"""),113.06)</f>
        <v>113.06</v>
      </c>
      <c r="E2868" s="1">
        <f>IFERROR(__xludf.DUMMYFUNCTION("""COMPUTED_VALUE"""),113.88)</f>
        <v>113.88</v>
      </c>
      <c r="F2868" s="1">
        <f>IFERROR(__xludf.DUMMYFUNCTION("""COMPUTED_VALUE"""),1909515.0)</f>
        <v>1909515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IFERROR(__xludf.DUMMYFUNCTION("""COMPUTED_VALUE"""),114.62)</f>
        <v>114.62</v>
      </c>
      <c r="C2869" s="1">
        <f>IFERROR(__xludf.DUMMYFUNCTION("""COMPUTED_VALUE"""),115.31)</f>
        <v>115.31</v>
      </c>
      <c r="D2869" s="1">
        <f>IFERROR(__xludf.DUMMYFUNCTION("""COMPUTED_VALUE"""),112.85)</f>
        <v>112.85</v>
      </c>
      <c r="E2869" s="1">
        <f>IFERROR(__xludf.DUMMYFUNCTION("""COMPUTED_VALUE"""),113.37)</f>
        <v>113.37</v>
      </c>
      <c r="F2869" s="1">
        <f>IFERROR(__xludf.DUMMYFUNCTION("""COMPUTED_VALUE"""),1705040.0)</f>
        <v>1705040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IFERROR(__xludf.DUMMYFUNCTION("""COMPUTED_VALUE"""),113.39)</f>
        <v>113.39</v>
      </c>
      <c r="C2870" s="1">
        <f>IFERROR(__xludf.DUMMYFUNCTION("""COMPUTED_VALUE"""),115.34)</f>
        <v>115.34</v>
      </c>
      <c r="D2870" s="1">
        <f>IFERROR(__xludf.DUMMYFUNCTION("""COMPUTED_VALUE"""),112.97)</f>
        <v>112.97</v>
      </c>
      <c r="E2870" s="1">
        <f>IFERROR(__xludf.DUMMYFUNCTION("""COMPUTED_VALUE"""),114.79)</f>
        <v>114.79</v>
      </c>
      <c r="F2870" s="1">
        <f>IFERROR(__xludf.DUMMYFUNCTION("""COMPUTED_VALUE"""),1174513.0)</f>
        <v>1174513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IFERROR(__xludf.DUMMYFUNCTION("""COMPUTED_VALUE"""),116.07)</f>
        <v>116.07</v>
      </c>
      <c r="C2871" s="1">
        <f>IFERROR(__xludf.DUMMYFUNCTION("""COMPUTED_VALUE"""),116.64)</f>
        <v>116.64</v>
      </c>
      <c r="D2871" s="1">
        <f>IFERROR(__xludf.DUMMYFUNCTION("""COMPUTED_VALUE"""),114.75)</f>
        <v>114.75</v>
      </c>
      <c r="E2871" s="1">
        <f>IFERROR(__xludf.DUMMYFUNCTION("""COMPUTED_VALUE"""),115.79)</f>
        <v>115.79</v>
      </c>
      <c r="F2871" s="1">
        <f>IFERROR(__xludf.DUMMYFUNCTION("""COMPUTED_VALUE"""),849213.0)</f>
        <v>849213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IFERROR(__xludf.DUMMYFUNCTION("""COMPUTED_VALUE"""),116.16)</f>
        <v>116.16</v>
      </c>
      <c r="C2872" s="1">
        <f>IFERROR(__xludf.DUMMYFUNCTION("""COMPUTED_VALUE"""),116.2)</f>
        <v>116.2</v>
      </c>
      <c r="D2872" s="1">
        <f>IFERROR(__xludf.DUMMYFUNCTION("""COMPUTED_VALUE"""),115.1)</f>
        <v>115.1</v>
      </c>
      <c r="E2872" s="1">
        <f>IFERROR(__xludf.DUMMYFUNCTION("""COMPUTED_VALUE"""),115.19)</f>
        <v>115.19</v>
      </c>
      <c r="F2872" s="1">
        <f>IFERROR(__xludf.DUMMYFUNCTION("""COMPUTED_VALUE"""),535072.0)</f>
        <v>535072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IFERROR(__xludf.DUMMYFUNCTION("""COMPUTED_VALUE"""),117.4)</f>
        <v>117.4</v>
      </c>
      <c r="C2873" s="1">
        <f>IFERROR(__xludf.DUMMYFUNCTION("""COMPUTED_VALUE"""),118.11)</f>
        <v>118.11</v>
      </c>
      <c r="D2873" s="1">
        <f>IFERROR(__xludf.DUMMYFUNCTION("""COMPUTED_VALUE"""),116.08)</f>
        <v>116.08</v>
      </c>
      <c r="E2873" s="1">
        <f>IFERROR(__xludf.DUMMYFUNCTION("""COMPUTED_VALUE"""),116.7)</f>
        <v>116.7</v>
      </c>
      <c r="F2873" s="1">
        <f>IFERROR(__xludf.DUMMYFUNCTION("""COMPUTED_VALUE"""),865366.0)</f>
        <v>865366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IFERROR(__xludf.DUMMYFUNCTION("""COMPUTED_VALUE"""),116.98)</f>
        <v>116.98</v>
      </c>
      <c r="C2874" s="1">
        <f>IFERROR(__xludf.DUMMYFUNCTION("""COMPUTED_VALUE"""),117.8)</f>
        <v>117.8</v>
      </c>
      <c r="D2874" s="1">
        <f>IFERROR(__xludf.DUMMYFUNCTION("""COMPUTED_VALUE"""),114.25)</f>
        <v>114.25</v>
      </c>
      <c r="E2874" s="1">
        <f>IFERROR(__xludf.DUMMYFUNCTION("""COMPUTED_VALUE"""),114.7)</f>
        <v>114.7</v>
      </c>
      <c r="F2874" s="1">
        <f>IFERROR(__xludf.DUMMYFUNCTION("""COMPUTED_VALUE"""),1109600.0)</f>
        <v>1109600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IFERROR(__xludf.DUMMYFUNCTION("""COMPUTED_VALUE"""),114.16)</f>
        <v>114.16</v>
      </c>
      <c r="C2875" s="1">
        <f>IFERROR(__xludf.DUMMYFUNCTION("""COMPUTED_VALUE"""),114.84)</f>
        <v>114.84</v>
      </c>
      <c r="D2875" s="1">
        <f>IFERROR(__xludf.DUMMYFUNCTION("""COMPUTED_VALUE"""),113.09)</f>
        <v>113.09</v>
      </c>
      <c r="E2875" s="1">
        <f>IFERROR(__xludf.DUMMYFUNCTION("""COMPUTED_VALUE"""),113.81)</f>
        <v>113.81</v>
      </c>
      <c r="F2875" s="1">
        <f>IFERROR(__xludf.DUMMYFUNCTION("""COMPUTED_VALUE"""),828284.0)</f>
        <v>828284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IFERROR(__xludf.DUMMYFUNCTION("""COMPUTED_VALUE"""),114.81)</f>
        <v>114.81</v>
      </c>
      <c r="C2876" s="1">
        <f>IFERROR(__xludf.DUMMYFUNCTION("""COMPUTED_VALUE"""),114.81)</f>
        <v>114.81</v>
      </c>
      <c r="D2876" s="1">
        <f>IFERROR(__xludf.DUMMYFUNCTION("""COMPUTED_VALUE"""),112.63)</f>
        <v>112.63</v>
      </c>
      <c r="E2876" s="1">
        <f>IFERROR(__xludf.DUMMYFUNCTION("""COMPUTED_VALUE"""),114.05)</f>
        <v>114.05</v>
      </c>
      <c r="F2876" s="1">
        <f>IFERROR(__xludf.DUMMYFUNCTION("""COMPUTED_VALUE"""),565479.0)</f>
        <v>565479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IFERROR(__xludf.DUMMYFUNCTION("""COMPUTED_VALUE"""),114.01)</f>
        <v>114.01</v>
      </c>
      <c r="C2877" s="1">
        <f>IFERROR(__xludf.DUMMYFUNCTION("""COMPUTED_VALUE"""),115.05)</f>
        <v>115.05</v>
      </c>
      <c r="D2877" s="1">
        <f>IFERROR(__xludf.DUMMYFUNCTION("""COMPUTED_VALUE"""),112.63)</f>
        <v>112.63</v>
      </c>
      <c r="E2877" s="1">
        <f>IFERROR(__xludf.DUMMYFUNCTION("""COMPUTED_VALUE"""),114.56)</f>
        <v>114.56</v>
      </c>
      <c r="F2877" s="1">
        <f>IFERROR(__xludf.DUMMYFUNCTION("""COMPUTED_VALUE"""),874344.0)</f>
        <v>874344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IFERROR(__xludf.DUMMYFUNCTION("""COMPUTED_VALUE"""),114.52)</f>
        <v>114.52</v>
      </c>
      <c r="C2878" s="1">
        <f>IFERROR(__xludf.DUMMYFUNCTION("""COMPUTED_VALUE"""),115.87)</f>
        <v>115.87</v>
      </c>
      <c r="D2878" s="1">
        <f>IFERROR(__xludf.DUMMYFUNCTION("""COMPUTED_VALUE"""),113.11)</f>
        <v>113.11</v>
      </c>
      <c r="E2878" s="1">
        <f>IFERROR(__xludf.DUMMYFUNCTION("""COMPUTED_VALUE"""),115.03)</f>
        <v>115.03</v>
      </c>
      <c r="F2878" s="1">
        <f>IFERROR(__xludf.DUMMYFUNCTION("""COMPUTED_VALUE"""),762676.0)</f>
        <v>762676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IFERROR(__xludf.DUMMYFUNCTION("""COMPUTED_VALUE"""),114.89)</f>
        <v>114.89</v>
      </c>
      <c r="C2879" s="1">
        <f>IFERROR(__xludf.DUMMYFUNCTION("""COMPUTED_VALUE"""),115.73)</f>
        <v>115.73</v>
      </c>
      <c r="D2879" s="1">
        <f>IFERROR(__xludf.DUMMYFUNCTION("""COMPUTED_VALUE"""),114.13)</f>
        <v>114.13</v>
      </c>
      <c r="E2879" s="1">
        <f>IFERROR(__xludf.DUMMYFUNCTION("""COMPUTED_VALUE"""),115.0)</f>
        <v>115</v>
      </c>
      <c r="F2879" s="1">
        <f>IFERROR(__xludf.DUMMYFUNCTION("""COMPUTED_VALUE"""),898455.0)</f>
        <v>898455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IFERROR(__xludf.DUMMYFUNCTION("""COMPUTED_VALUE"""),115.5)</f>
        <v>115.5</v>
      </c>
      <c r="C2880" s="1">
        <f>IFERROR(__xludf.DUMMYFUNCTION("""COMPUTED_VALUE"""),116.43)</f>
        <v>116.43</v>
      </c>
      <c r="D2880" s="1">
        <f>IFERROR(__xludf.DUMMYFUNCTION("""COMPUTED_VALUE"""),114.94)</f>
        <v>114.94</v>
      </c>
      <c r="E2880" s="1">
        <f>IFERROR(__xludf.DUMMYFUNCTION("""COMPUTED_VALUE"""),115.0)</f>
        <v>115</v>
      </c>
      <c r="F2880" s="1">
        <f>IFERROR(__xludf.DUMMYFUNCTION("""COMPUTED_VALUE"""),911487.0)</f>
        <v>911487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IFERROR(__xludf.DUMMYFUNCTION("""COMPUTED_VALUE"""),115.44)</f>
        <v>115.44</v>
      </c>
      <c r="C2881" s="1">
        <f>IFERROR(__xludf.DUMMYFUNCTION("""COMPUTED_VALUE"""),118.72)</f>
        <v>118.72</v>
      </c>
      <c r="D2881" s="1">
        <f>IFERROR(__xludf.DUMMYFUNCTION("""COMPUTED_VALUE"""),115.44)</f>
        <v>115.44</v>
      </c>
      <c r="E2881" s="1">
        <f>IFERROR(__xludf.DUMMYFUNCTION("""COMPUTED_VALUE"""),116.85)</f>
        <v>116.85</v>
      </c>
      <c r="F2881" s="1">
        <f>IFERROR(__xludf.DUMMYFUNCTION("""COMPUTED_VALUE"""),951683.0)</f>
        <v>951683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IFERROR(__xludf.DUMMYFUNCTION("""COMPUTED_VALUE"""),117.19)</f>
        <v>117.19</v>
      </c>
      <c r="C2882" s="1">
        <f>IFERROR(__xludf.DUMMYFUNCTION("""COMPUTED_VALUE"""),118.39)</f>
        <v>118.39</v>
      </c>
      <c r="D2882" s="1">
        <f>IFERROR(__xludf.DUMMYFUNCTION("""COMPUTED_VALUE"""),116.97)</f>
        <v>116.97</v>
      </c>
      <c r="E2882" s="1">
        <f>IFERROR(__xludf.DUMMYFUNCTION("""COMPUTED_VALUE"""),118.1)</f>
        <v>118.1</v>
      </c>
      <c r="F2882" s="1">
        <f>IFERROR(__xludf.DUMMYFUNCTION("""COMPUTED_VALUE"""),1133724.0)</f>
        <v>1133724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IFERROR(__xludf.DUMMYFUNCTION("""COMPUTED_VALUE"""),117.95)</f>
        <v>117.95</v>
      </c>
      <c r="C2883" s="1">
        <f>IFERROR(__xludf.DUMMYFUNCTION("""COMPUTED_VALUE"""),119.2)</f>
        <v>119.2</v>
      </c>
      <c r="D2883" s="1">
        <f>IFERROR(__xludf.DUMMYFUNCTION("""COMPUTED_VALUE"""),117.54)</f>
        <v>117.54</v>
      </c>
      <c r="E2883" s="1">
        <f>IFERROR(__xludf.DUMMYFUNCTION("""COMPUTED_VALUE"""),118.83)</f>
        <v>118.83</v>
      </c>
      <c r="F2883" s="1">
        <f>IFERROR(__xludf.DUMMYFUNCTION("""COMPUTED_VALUE"""),1171167.0)</f>
        <v>1171167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IFERROR(__xludf.DUMMYFUNCTION("""COMPUTED_VALUE"""),118.58)</f>
        <v>118.58</v>
      </c>
      <c r="C2884" s="1">
        <f>IFERROR(__xludf.DUMMYFUNCTION("""COMPUTED_VALUE"""),118.87)</f>
        <v>118.87</v>
      </c>
      <c r="D2884" s="1">
        <f>IFERROR(__xludf.DUMMYFUNCTION("""COMPUTED_VALUE"""),116.27)</f>
        <v>116.27</v>
      </c>
      <c r="E2884" s="1">
        <f>IFERROR(__xludf.DUMMYFUNCTION("""COMPUTED_VALUE"""),117.47)</f>
        <v>117.47</v>
      </c>
      <c r="F2884" s="1">
        <f>IFERROR(__xludf.DUMMYFUNCTION("""COMPUTED_VALUE"""),949079.0)</f>
        <v>949079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IFERROR(__xludf.DUMMYFUNCTION("""COMPUTED_VALUE"""),117.51)</f>
        <v>117.51</v>
      </c>
      <c r="C2885" s="1">
        <f>IFERROR(__xludf.DUMMYFUNCTION("""COMPUTED_VALUE"""),118.46)</f>
        <v>118.46</v>
      </c>
      <c r="D2885" s="1">
        <f>IFERROR(__xludf.DUMMYFUNCTION("""COMPUTED_VALUE"""),114.25)</f>
        <v>114.25</v>
      </c>
      <c r="E2885" s="1">
        <f>IFERROR(__xludf.DUMMYFUNCTION("""COMPUTED_VALUE"""),115.92)</f>
        <v>115.92</v>
      </c>
      <c r="F2885" s="1">
        <f>IFERROR(__xludf.DUMMYFUNCTION("""COMPUTED_VALUE"""),1395779.0)</f>
        <v>1395779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IFERROR(__xludf.DUMMYFUNCTION("""COMPUTED_VALUE"""),113.18)</f>
        <v>113.18</v>
      </c>
      <c r="C2886" s="1">
        <f>IFERROR(__xludf.DUMMYFUNCTION("""COMPUTED_VALUE"""),114.72)</f>
        <v>114.72</v>
      </c>
      <c r="D2886" s="1">
        <f>IFERROR(__xludf.DUMMYFUNCTION("""COMPUTED_VALUE"""),113.05)</f>
        <v>113.05</v>
      </c>
      <c r="E2886" s="1">
        <f>IFERROR(__xludf.DUMMYFUNCTION("""COMPUTED_VALUE"""),113.16)</f>
        <v>113.16</v>
      </c>
      <c r="F2886" s="1">
        <f>IFERROR(__xludf.DUMMYFUNCTION("""COMPUTED_VALUE"""),1702092.0)</f>
        <v>1702092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IFERROR(__xludf.DUMMYFUNCTION("""COMPUTED_VALUE"""),114.31)</f>
        <v>114.31</v>
      </c>
      <c r="C2887" s="1">
        <f>IFERROR(__xludf.DUMMYFUNCTION("""COMPUTED_VALUE"""),116.85)</f>
        <v>116.85</v>
      </c>
      <c r="D2887" s="1">
        <f>IFERROR(__xludf.DUMMYFUNCTION("""COMPUTED_VALUE"""),114.31)</f>
        <v>114.31</v>
      </c>
      <c r="E2887" s="1">
        <f>IFERROR(__xludf.DUMMYFUNCTION("""COMPUTED_VALUE"""),116.09)</f>
        <v>116.09</v>
      </c>
      <c r="F2887" s="1">
        <f>IFERROR(__xludf.DUMMYFUNCTION("""COMPUTED_VALUE"""),1030052.0)</f>
        <v>1030052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IFERROR(__xludf.DUMMYFUNCTION("""COMPUTED_VALUE"""),116.11)</f>
        <v>116.11</v>
      </c>
      <c r="C2888" s="1">
        <f>IFERROR(__xludf.DUMMYFUNCTION("""COMPUTED_VALUE"""),117.82)</f>
        <v>117.82</v>
      </c>
      <c r="D2888" s="1">
        <f>IFERROR(__xludf.DUMMYFUNCTION("""COMPUTED_VALUE"""),115.4)</f>
        <v>115.4</v>
      </c>
      <c r="E2888" s="1">
        <f>IFERROR(__xludf.DUMMYFUNCTION("""COMPUTED_VALUE"""),117.45)</f>
        <v>117.45</v>
      </c>
      <c r="F2888" s="1">
        <f>IFERROR(__xludf.DUMMYFUNCTION("""COMPUTED_VALUE"""),1045707.0)</f>
        <v>1045707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IFERROR(__xludf.DUMMYFUNCTION("""COMPUTED_VALUE"""),117.22)</f>
        <v>117.22</v>
      </c>
      <c r="C2889" s="1">
        <f>IFERROR(__xludf.DUMMYFUNCTION("""COMPUTED_VALUE"""),118.98)</f>
        <v>118.98</v>
      </c>
      <c r="D2889" s="1">
        <f>IFERROR(__xludf.DUMMYFUNCTION("""COMPUTED_VALUE"""),116.79)</f>
        <v>116.79</v>
      </c>
      <c r="E2889" s="1">
        <f>IFERROR(__xludf.DUMMYFUNCTION("""COMPUTED_VALUE"""),118.27)</f>
        <v>118.27</v>
      </c>
      <c r="F2889" s="1">
        <f>IFERROR(__xludf.DUMMYFUNCTION("""COMPUTED_VALUE"""),1311555.0)</f>
        <v>1311555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IFERROR(__xludf.DUMMYFUNCTION("""COMPUTED_VALUE"""),119.25)</f>
        <v>119.25</v>
      </c>
      <c r="C2890" s="1">
        <f>IFERROR(__xludf.DUMMYFUNCTION("""COMPUTED_VALUE"""),120.73)</f>
        <v>120.73</v>
      </c>
      <c r="D2890" s="1">
        <f>IFERROR(__xludf.DUMMYFUNCTION("""COMPUTED_VALUE"""),119.08)</f>
        <v>119.08</v>
      </c>
      <c r="E2890" s="1">
        <f>IFERROR(__xludf.DUMMYFUNCTION("""COMPUTED_VALUE"""),119.43)</f>
        <v>119.43</v>
      </c>
      <c r="F2890" s="1">
        <f>IFERROR(__xludf.DUMMYFUNCTION("""COMPUTED_VALUE"""),1840531.0)</f>
        <v>1840531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IFERROR(__xludf.DUMMYFUNCTION("""COMPUTED_VALUE"""),125.68)</f>
        <v>125.68</v>
      </c>
      <c r="C2891" s="1">
        <f>IFERROR(__xludf.DUMMYFUNCTION("""COMPUTED_VALUE"""),128.28)</f>
        <v>128.28</v>
      </c>
      <c r="D2891" s="1">
        <f>IFERROR(__xludf.DUMMYFUNCTION("""COMPUTED_VALUE"""),122.3)</f>
        <v>122.3</v>
      </c>
      <c r="E2891" s="1">
        <f>IFERROR(__xludf.DUMMYFUNCTION("""COMPUTED_VALUE"""),127.4)</f>
        <v>127.4</v>
      </c>
      <c r="F2891" s="1">
        <f>IFERROR(__xludf.DUMMYFUNCTION("""COMPUTED_VALUE"""),4464637.0)</f>
        <v>4464637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IFERROR(__xludf.DUMMYFUNCTION("""COMPUTED_VALUE"""),127.56)</f>
        <v>127.56</v>
      </c>
      <c r="C2892" s="1">
        <f>IFERROR(__xludf.DUMMYFUNCTION("""COMPUTED_VALUE"""),129.34)</f>
        <v>129.34</v>
      </c>
      <c r="D2892" s="1">
        <f>IFERROR(__xludf.DUMMYFUNCTION("""COMPUTED_VALUE"""),124.83)</f>
        <v>124.83</v>
      </c>
      <c r="E2892" s="1">
        <f>IFERROR(__xludf.DUMMYFUNCTION("""COMPUTED_VALUE"""),129.01)</f>
        <v>129.01</v>
      </c>
      <c r="F2892" s="1">
        <f>IFERROR(__xludf.DUMMYFUNCTION("""COMPUTED_VALUE"""),1975857.0)</f>
        <v>1975857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IFERROR(__xludf.DUMMYFUNCTION("""COMPUTED_VALUE"""),129.51)</f>
        <v>129.51</v>
      </c>
      <c r="C2893" s="1">
        <f>IFERROR(__xludf.DUMMYFUNCTION("""COMPUTED_VALUE"""),131.55)</f>
        <v>131.55</v>
      </c>
      <c r="D2893" s="1">
        <f>IFERROR(__xludf.DUMMYFUNCTION("""COMPUTED_VALUE"""),128.9)</f>
        <v>128.9</v>
      </c>
      <c r="E2893" s="1">
        <f>IFERROR(__xludf.DUMMYFUNCTION("""COMPUTED_VALUE"""),130.65)</f>
        <v>130.65</v>
      </c>
      <c r="F2893" s="1">
        <f>IFERROR(__xludf.DUMMYFUNCTION("""COMPUTED_VALUE"""),1946374.0)</f>
        <v>1946374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IFERROR(__xludf.DUMMYFUNCTION("""COMPUTED_VALUE"""),130.07)</f>
        <v>130.07</v>
      </c>
      <c r="C2894" s="1">
        <f>IFERROR(__xludf.DUMMYFUNCTION("""COMPUTED_VALUE"""),131.31)</f>
        <v>131.31</v>
      </c>
      <c r="D2894" s="1">
        <f>IFERROR(__xludf.DUMMYFUNCTION("""COMPUTED_VALUE"""),129.03)</f>
        <v>129.03</v>
      </c>
      <c r="E2894" s="1">
        <f>IFERROR(__xludf.DUMMYFUNCTION("""COMPUTED_VALUE"""),129.15)</f>
        <v>129.15</v>
      </c>
      <c r="F2894" s="1">
        <f>IFERROR(__xludf.DUMMYFUNCTION("""COMPUTED_VALUE"""),1410621.0)</f>
        <v>1410621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IFERROR(__xludf.DUMMYFUNCTION("""COMPUTED_VALUE"""),129.5)</f>
        <v>129.5</v>
      </c>
      <c r="C2895" s="1">
        <f>IFERROR(__xludf.DUMMYFUNCTION("""COMPUTED_VALUE"""),131.15)</f>
        <v>131.15</v>
      </c>
      <c r="D2895" s="1">
        <f>IFERROR(__xludf.DUMMYFUNCTION("""COMPUTED_VALUE"""),128.54)</f>
        <v>128.54</v>
      </c>
      <c r="E2895" s="1">
        <f>IFERROR(__xludf.DUMMYFUNCTION("""COMPUTED_VALUE"""),130.58)</f>
        <v>130.58</v>
      </c>
      <c r="F2895" s="1">
        <f>IFERROR(__xludf.DUMMYFUNCTION("""COMPUTED_VALUE"""),1055427.0)</f>
        <v>1055427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IFERROR(__xludf.DUMMYFUNCTION("""COMPUTED_VALUE"""),130.76)</f>
        <v>130.76</v>
      </c>
      <c r="C2896" s="1">
        <f>IFERROR(__xludf.DUMMYFUNCTION("""COMPUTED_VALUE"""),134.37)</f>
        <v>134.37</v>
      </c>
      <c r="D2896" s="1">
        <f>IFERROR(__xludf.DUMMYFUNCTION("""COMPUTED_VALUE"""),130.36)</f>
        <v>130.36</v>
      </c>
      <c r="E2896" s="1">
        <f>IFERROR(__xludf.DUMMYFUNCTION("""COMPUTED_VALUE"""),133.82)</f>
        <v>133.82</v>
      </c>
      <c r="F2896" s="1">
        <f>IFERROR(__xludf.DUMMYFUNCTION("""COMPUTED_VALUE"""),1064665.0)</f>
        <v>1064665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IFERROR(__xludf.DUMMYFUNCTION("""COMPUTED_VALUE"""),133.48)</f>
        <v>133.48</v>
      </c>
      <c r="C2897" s="1">
        <f>IFERROR(__xludf.DUMMYFUNCTION("""COMPUTED_VALUE"""),133.5)</f>
        <v>133.5</v>
      </c>
      <c r="D2897" s="1">
        <f>IFERROR(__xludf.DUMMYFUNCTION("""COMPUTED_VALUE"""),131.84)</f>
        <v>131.84</v>
      </c>
      <c r="E2897" s="1">
        <f>IFERROR(__xludf.DUMMYFUNCTION("""COMPUTED_VALUE"""),132.74)</f>
        <v>132.74</v>
      </c>
      <c r="F2897" s="1">
        <f>IFERROR(__xludf.DUMMYFUNCTION("""COMPUTED_VALUE"""),1199798.0)</f>
        <v>1199798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IFERROR(__xludf.DUMMYFUNCTION("""COMPUTED_VALUE"""),132.03)</f>
        <v>132.03</v>
      </c>
      <c r="C2898" s="1">
        <f>IFERROR(__xludf.DUMMYFUNCTION("""COMPUTED_VALUE"""),137.53)</f>
        <v>137.53</v>
      </c>
      <c r="D2898" s="1">
        <f>IFERROR(__xludf.DUMMYFUNCTION("""COMPUTED_VALUE"""),132.03)</f>
        <v>132.03</v>
      </c>
      <c r="E2898" s="1">
        <f>IFERROR(__xludf.DUMMYFUNCTION("""COMPUTED_VALUE"""),136.88)</f>
        <v>136.88</v>
      </c>
      <c r="F2898" s="1">
        <f>IFERROR(__xludf.DUMMYFUNCTION("""COMPUTED_VALUE"""),1386170.0)</f>
        <v>1386170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IFERROR(__xludf.DUMMYFUNCTION("""COMPUTED_VALUE"""),132.35)</f>
        <v>132.35</v>
      </c>
      <c r="C2899" s="1">
        <f>IFERROR(__xludf.DUMMYFUNCTION("""COMPUTED_VALUE"""),135.5)</f>
        <v>135.5</v>
      </c>
      <c r="D2899" s="1">
        <f>IFERROR(__xludf.DUMMYFUNCTION("""COMPUTED_VALUE"""),130.24)</f>
        <v>130.24</v>
      </c>
      <c r="E2899" s="1">
        <f>IFERROR(__xludf.DUMMYFUNCTION("""COMPUTED_VALUE"""),133.27)</f>
        <v>133.27</v>
      </c>
      <c r="F2899" s="1">
        <f>IFERROR(__xludf.DUMMYFUNCTION("""COMPUTED_VALUE"""),1287209.0)</f>
        <v>1287209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IFERROR(__xludf.DUMMYFUNCTION("""COMPUTED_VALUE"""),135.45)</f>
        <v>135.45</v>
      </c>
      <c r="C2900" s="1">
        <f>IFERROR(__xludf.DUMMYFUNCTION("""COMPUTED_VALUE"""),135.66)</f>
        <v>135.66</v>
      </c>
      <c r="D2900" s="1">
        <f>IFERROR(__xludf.DUMMYFUNCTION("""COMPUTED_VALUE"""),133.38)</f>
        <v>133.38</v>
      </c>
      <c r="E2900" s="1">
        <f>IFERROR(__xludf.DUMMYFUNCTION("""COMPUTED_VALUE"""),134.84)</f>
        <v>134.84</v>
      </c>
      <c r="F2900" s="1">
        <f>IFERROR(__xludf.DUMMYFUNCTION("""COMPUTED_VALUE"""),743738.0)</f>
        <v>743738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IFERROR(__xludf.DUMMYFUNCTION("""COMPUTED_VALUE"""),134.47)</f>
        <v>134.47</v>
      </c>
      <c r="C2901" s="1">
        <f>IFERROR(__xludf.DUMMYFUNCTION("""COMPUTED_VALUE"""),136.45)</f>
        <v>136.45</v>
      </c>
      <c r="D2901" s="1">
        <f>IFERROR(__xludf.DUMMYFUNCTION("""COMPUTED_VALUE"""),134.0)</f>
        <v>134</v>
      </c>
      <c r="E2901" s="1">
        <f>IFERROR(__xludf.DUMMYFUNCTION("""COMPUTED_VALUE"""),135.42)</f>
        <v>135.42</v>
      </c>
      <c r="F2901" s="1">
        <f>IFERROR(__xludf.DUMMYFUNCTION("""COMPUTED_VALUE"""),682804.0)</f>
        <v>682804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IFERROR(__xludf.DUMMYFUNCTION("""COMPUTED_VALUE"""),134.32)</f>
        <v>134.32</v>
      </c>
      <c r="C2902" s="1">
        <f>IFERROR(__xludf.DUMMYFUNCTION("""COMPUTED_VALUE"""),135.06)</f>
        <v>135.06</v>
      </c>
      <c r="D2902" s="1">
        <f>IFERROR(__xludf.DUMMYFUNCTION("""COMPUTED_VALUE"""),131.52)</f>
        <v>131.52</v>
      </c>
      <c r="E2902" s="1">
        <f>IFERROR(__xludf.DUMMYFUNCTION("""COMPUTED_VALUE"""),131.74)</f>
        <v>131.74</v>
      </c>
      <c r="F2902" s="1">
        <f>IFERROR(__xludf.DUMMYFUNCTION("""COMPUTED_VALUE"""),1408083.0)</f>
        <v>1408083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IFERROR(__xludf.DUMMYFUNCTION("""COMPUTED_VALUE"""),132.26)</f>
        <v>132.26</v>
      </c>
      <c r="C2903" s="1">
        <f>IFERROR(__xludf.DUMMYFUNCTION("""COMPUTED_VALUE"""),134.47)</f>
        <v>134.47</v>
      </c>
      <c r="D2903" s="1">
        <f>IFERROR(__xludf.DUMMYFUNCTION("""COMPUTED_VALUE"""),131.91)</f>
        <v>131.91</v>
      </c>
      <c r="E2903" s="1">
        <f>IFERROR(__xludf.DUMMYFUNCTION("""COMPUTED_VALUE"""),134.19)</f>
        <v>134.19</v>
      </c>
      <c r="F2903" s="1">
        <f>IFERROR(__xludf.DUMMYFUNCTION("""COMPUTED_VALUE"""),780123.0)</f>
        <v>780123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IFERROR(__xludf.DUMMYFUNCTION("""COMPUTED_VALUE"""),132.8)</f>
        <v>132.8</v>
      </c>
      <c r="C2904" s="1">
        <f>IFERROR(__xludf.DUMMYFUNCTION("""COMPUTED_VALUE"""),134.43)</f>
        <v>134.43</v>
      </c>
      <c r="D2904" s="1">
        <f>IFERROR(__xludf.DUMMYFUNCTION("""COMPUTED_VALUE"""),129.86)</f>
        <v>129.86</v>
      </c>
      <c r="E2904" s="1">
        <f>IFERROR(__xludf.DUMMYFUNCTION("""COMPUTED_VALUE"""),131.26)</f>
        <v>131.26</v>
      </c>
      <c r="F2904" s="1">
        <f>IFERROR(__xludf.DUMMYFUNCTION("""COMPUTED_VALUE"""),980734.0)</f>
        <v>980734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IFERROR(__xludf.DUMMYFUNCTION("""COMPUTED_VALUE"""),132.06)</f>
        <v>132.06</v>
      </c>
      <c r="C2905" s="1">
        <f>IFERROR(__xludf.DUMMYFUNCTION("""COMPUTED_VALUE"""),132.95)</f>
        <v>132.95</v>
      </c>
      <c r="D2905" s="1">
        <f>IFERROR(__xludf.DUMMYFUNCTION("""COMPUTED_VALUE"""),130.81)</f>
        <v>130.81</v>
      </c>
      <c r="E2905" s="1">
        <f>IFERROR(__xludf.DUMMYFUNCTION("""COMPUTED_VALUE"""),130.95)</f>
        <v>130.95</v>
      </c>
      <c r="F2905" s="1">
        <f>IFERROR(__xludf.DUMMYFUNCTION("""COMPUTED_VALUE"""),577677.0)</f>
        <v>577677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IFERROR(__xludf.DUMMYFUNCTION("""COMPUTED_VALUE"""),128.86)</f>
        <v>128.86</v>
      </c>
      <c r="C2906" s="1">
        <f>IFERROR(__xludf.DUMMYFUNCTION("""COMPUTED_VALUE"""),129.08)</f>
        <v>129.08</v>
      </c>
      <c r="D2906" s="1">
        <f>IFERROR(__xludf.DUMMYFUNCTION("""COMPUTED_VALUE"""),126.41)</f>
        <v>126.41</v>
      </c>
      <c r="E2906" s="1">
        <f>IFERROR(__xludf.DUMMYFUNCTION("""COMPUTED_VALUE"""),128.55)</f>
        <v>128.55</v>
      </c>
      <c r="F2906" s="1">
        <f>IFERROR(__xludf.DUMMYFUNCTION("""COMPUTED_VALUE"""),843585.0)</f>
        <v>843585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IFERROR(__xludf.DUMMYFUNCTION("""COMPUTED_VALUE"""),129.12)</f>
        <v>129.12</v>
      </c>
      <c r="C2907" s="1">
        <f>IFERROR(__xludf.DUMMYFUNCTION("""COMPUTED_VALUE"""),134.8)</f>
        <v>134.8</v>
      </c>
      <c r="D2907" s="1">
        <f>IFERROR(__xludf.DUMMYFUNCTION("""COMPUTED_VALUE"""),129.12)</f>
        <v>129.12</v>
      </c>
      <c r="E2907" s="1">
        <f>IFERROR(__xludf.DUMMYFUNCTION("""COMPUTED_VALUE"""),134.38)</f>
        <v>134.38</v>
      </c>
      <c r="F2907" s="1">
        <f>IFERROR(__xludf.DUMMYFUNCTION("""COMPUTED_VALUE"""),860725.0)</f>
        <v>860725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IFERROR(__xludf.DUMMYFUNCTION("""COMPUTED_VALUE"""),134.85)</f>
        <v>134.85</v>
      </c>
      <c r="C2908" s="1">
        <f>IFERROR(__xludf.DUMMYFUNCTION("""COMPUTED_VALUE"""),138.0)</f>
        <v>138</v>
      </c>
      <c r="D2908" s="1">
        <f>IFERROR(__xludf.DUMMYFUNCTION("""COMPUTED_VALUE"""),134.72)</f>
        <v>134.72</v>
      </c>
      <c r="E2908" s="1">
        <f>IFERROR(__xludf.DUMMYFUNCTION("""COMPUTED_VALUE"""),135.93)</f>
        <v>135.93</v>
      </c>
      <c r="F2908" s="1">
        <f>IFERROR(__xludf.DUMMYFUNCTION("""COMPUTED_VALUE"""),988231.0)</f>
        <v>988231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IFERROR(__xludf.DUMMYFUNCTION("""COMPUTED_VALUE"""),135.89)</f>
        <v>135.89</v>
      </c>
      <c r="C2909" s="1">
        <f>IFERROR(__xludf.DUMMYFUNCTION("""COMPUTED_VALUE"""),135.89)</f>
        <v>135.89</v>
      </c>
      <c r="D2909" s="1">
        <f>IFERROR(__xludf.DUMMYFUNCTION("""COMPUTED_VALUE"""),133.72)</f>
        <v>133.72</v>
      </c>
      <c r="E2909" s="1">
        <f>IFERROR(__xludf.DUMMYFUNCTION("""COMPUTED_VALUE"""),134.41)</f>
        <v>134.41</v>
      </c>
      <c r="F2909" s="1">
        <f>IFERROR(__xludf.DUMMYFUNCTION("""COMPUTED_VALUE"""),615842.0)</f>
        <v>615842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IFERROR(__xludf.DUMMYFUNCTION("""COMPUTED_VALUE"""),135.29)</f>
        <v>135.29</v>
      </c>
      <c r="C2910" s="1">
        <f>IFERROR(__xludf.DUMMYFUNCTION("""COMPUTED_VALUE"""),135.68)</f>
        <v>135.68</v>
      </c>
      <c r="D2910" s="1">
        <f>IFERROR(__xludf.DUMMYFUNCTION("""COMPUTED_VALUE"""),133.8)</f>
        <v>133.8</v>
      </c>
      <c r="E2910" s="1">
        <f>IFERROR(__xludf.DUMMYFUNCTION("""COMPUTED_VALUE"""),134.84)</f>
        <v>134.84</v>
      </c>
      <c r="F2910" s="1">
        <f>IFERROR(__xludf.DUMMYFUNCTION("""COMPUTED_VALUE"""),1060891.0)</f>
        <v>1060891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IFERROR(__xludf.DUMMYFUNCTION("""COMPUTED_VALUE"""),134.34)</f>
        <v>134.34</v>
      </c>
      <c r="C2911" s="1">
        <f>IFERROR(__xludf.DUMMYFUNCTION("""COMPUTED_VALUE"""),135.28)</f>
        <v>135.28</v>
      </c>
      <c r="D2911" s="1">
        <f>IFERROR(__xludf.DUMMYFUNCTION("""COMPUTED_VALUE"""),133.45)</f>
        <v>133.45</v>
      </c>
      <c r="E2911" s="1">
        <f>IFERROR(__xludf.DUMMYFUNCTION("""COMPUTED_VALUE"""),135.09)</f>
        <v>135.09</v>
      </c>
      <c r="F2911" s="1">
        <f>IFERROR(__xludf.DUMMYFUNCTION("""COMPUTED_VALUE"""),635797.0)</f>
        <v>635797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IFERROR(__xludf.DUMMYFUNCTION("""COMPUTED_VALUE"""),133.88)</f>
        <v>133.88</v>
      </c>
      <c r="C2912" s="1">
        <f>IFERROR(__xludf.DUMMYFUNCTION("""COMPUTED_VALUE"""),135.59)</f>
        <v>135.59</v>
      </c>
      <c r="D2912" s="1">
        <f>IFERROR(__xludf.DUMMYFUNCTION("""COMPUTED_VALUE"""),133.39)</f>
        <v>133.39</v>
      </c>
      <c r="E2912" s="1">
        <f>IFERROR(__xludf.DUMMYFUNCTION("""COMPUTED_VALUE"""),134.97)</f>
        <v>134.97</v>
      </c>
      <c r="F2912" s="1">
        <f>IFERROR(__xludf.DUMMYFUNCTION("""COMPUTED_VALUE"""),747706.0)</f>
        <v>747706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IFERROR(__xludf.DUMMYFUNCTION("""COMPUTED_VALUE"""),135.4)</f>
        <v>135.4</v>
      </c>
      <c r="C2913" s="1">
        <f>IFERROR(__xludf.DUMMYFUNCTION("""COMPUTED_VALUE"""),136.61)</f>
        <v>136.61</v>
      </c>
      <c r="D2913" s="1">
        <f>IFERROR(__xludf.DUMMYFUNCTION("""COMPUTED_VALUE"""),133.01)</f>
        <v>133.01</v>
      </c>
      <c r="E2913" s="1">
        <f>IFERROR(__xludf.DUMMYFUNCTION("""COMPUTED_VALUE"""),133.3)</f>
        <v>133.3</v>
      </c>
      <c r="F2913" s="1">
        <f>IFERROR(__xludf.DUMMYFUNCTION("""COMPUTED_VALUE"""),518767.0)</f>
        <v>518767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IFERROR(__xludf.DUMMYFUNCTION("""COMPUTED_VALUE"""),134.02)</f>
        <v>134.02</v>
      </c>
      <c r="C2914" s="1">
        <f>IFERROR(__xludf.DUMMYFUNCTION("""COMPUTED_VALUE"""),135.61)</f>
        <v>135.61</v>
      </c>
      <c r="D2914" s="1">
        <f>IFERROR(__xludf.DUMMYFUNCTION("""COMPUTED_VALUE"""),133.08)</f>
        <v>133.08</v>
      </c>
      <c r="E2914" s="1">
        <f>IFERROR(__xludf.DUMMYFUNCTION("""COMPUTED_VALUE"""),134.97)</f>
        <v>134.97</v>
      </c>
      <c r="F2914" s="1">
        <f>IFERROR(__xludf.DUMMYFUNCTION("""COMPUTED_VALUE"""),724966.0)</f>
        <v>724966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IFERROR(__xludf.DUMMYFUNCTION("""COMPUTED_VALUE"""),133.73)</f>
        <v>133.73</v>
      </c>
      <c r="C2915" s="1">
        <f>IFERROR(__xludf.DUMMYFUNCTION("""COMPUTED_VALUE"""),136.45)</f>
        <v>136.45</v>
      </c>
      <c r="D2915" s="1">
        <f>IFERROR(__xludf.DUMMYFUNCTION("""COMPUTED_VALUE"""),133.27)</f>
        <v>133.27</v>
      </c>
      <c r="E2915" s="1">
        <f>IFERROR(__xludf.DUMMYFUNCTION("""COMPUTED_VALUE"""),133.95)</f>
        <v>133.95</v>
      </c>
      <c r="F2915" s="1">
        <f>IFERROR(__xludf.DUMMYFUNCTION("""COMPUTED_VALUE"""),616797.0)</f>
        <v>616797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IFERROR(__xludf.DUMMYFUNCTION("""COMPUTED_VALUE"""),135.7)</f>
        <v>135.7</v>
      </c>
      <c r="C2916" s="1">
        <f>IFERROR(__xludf.DUMMYFUNCTION("""COMPUTED_VALUE"""),137.16)</f>
        <v>137.16</v>
      </c>
      <c r="D2916" s="1">
        <f>IFERROR(__xludf.DUMMYFUNCTION("""COMPUTED_VALUE"""),134.9)</f>
        <v>134.9</v>
      </c>
      <c r="E2916" s="1">
        <f>IFERROR(__xludf.DUMMYFUNCTION("""COMPUTED_VALUE"""),136.5)</f>
        <v>136.5</v>
      </c>
      <c r="F2916" s="1">
        <f>IFERROR(__xludf.DUMMYFUNCTION("""COMPUTED_VALUE"""),1028258.0)</f>
        <v>1028258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IFERROR(__xludf.DUMMYFUNCTION("""COMPUTED_VALUE"""),136.51)</f>
        <v>136.51</v>
      </c>
      <c r="C2917" s="1">
        <f>IFERROR(__xludf.DUMMYFUNCTION("""COMPUTED_VALUE"""),139.95)</f>
        <v>139.95</v>
      </c>
      <c r="D2917" s="1">
        <f>IFERROR(__xludf.DUMMYFUNCTION("""COMPUTED_VALUE"""),136.26)</f>
        <v>136.26</v>
      </c>
      <c r="E2917" s="1">
        <f>IFERROR(__xludf.DUMMYFUNCTION("""COMPUTED_VALUE"""),139.7)</f>
        <v>139.7</v>
      </c>
      <c r="F2917" s="1">
        <f>IFERROR(__xludf.DUMMYFUNCTION("""COMPUTED_VALUE"""),1439058.0)</f>
        <v>1439058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IFERROR(__xludf.DUMMYFUNCTION("""COMPUTED_VALUE"""),138.91)</f>
        <v>138.91</v>
      </c>
      <c r="C2918" s="1">
        <f>IFERROR(__xludf.DUMMYFUNCTION("""COMPUTED_VALUE"""),139.9)</f>
        <v>139.9</v>
      </c>
      <c r="D2918" s="1">
        <f>IFERROR(__xludf.DUMMYFUNCTION("""COMPUTED_VALUE"""),135.91)</f>
        <v>135.91</v>
      </c>
      <c r="E2918" s="1">
        <f>IFERROR(__xludf.DUMMYFUNCTION("""COMPUTED_VALUE"""),136.62)</f>
        <v>136.62</v>
      </c>
      <c r="F2918" s="1">
        <f>IFERROR(__xludf.DUMMYFUNCTION("""COMPUTED_VALUE"""),1043656.0)</f>
        <v>1043656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IFERROR(__xludf.DUMMYFUNCTION("""COMPUTED_VALUE"""),137.47)</f>
        <v>137.47</v>
      </c>
      <c r="C2919" s="1">
        <f>IFERROR(__xludf.DUMMYFUNCTION("""COMPUTED_VALUE"""),138.42)</f>
        <v>138.42</v>
      </c>
      <c r="D2919" s="1">
        <f>IFERROR(__xludf.DUMMYFUNCTION("""COMPUTED_VALUE"""),135.82)</f>
        <v>135.82</v>
      </c>
      <c r="E2919" s="1">
        <f>IFERROR(__xludf.DUMMYFUNCTION("""COMPUTED_VALUE"""),136.0)</f>
        <v>136</v>
      </c>
      <c r="F2919" s="1">
        <f>IFERROR(__xludf.DUMMYFUNCTION("""COMPUTED_VALUE"""),542839.0)</f>
        <v>542839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IFERROR(__xludf.DUMMYFUNCTION("""COMPUTED_VALUE"""),137.37)</f>
        <v>137.37</v>
      </c>
      <c r="C2920" s="1">
        <f>IFERROR(__xludf.DUMMYFUNCTION("""COMPUTED_VALUE"""),137.83)</f>
        <v>137.83</v>
      </c>
      <c r="D2920" s="1">
        <f>IFERROR(__xludf.DUMMYFUNCTION("""COMPUTED_VALUE"""),133.9)</f>
        <v>133.9</v>
      </c>
      <c r="E2920" s="1">
        <f>IFERROR(__xludf.DUMMYFUNCTION("""COMPUTED_VALUE"""),134.02)</f>
        <v>134.02</v>
      </c>
      <c r="F2920" s="1">
        <f>IFERROR(__xludf.DUMMYFUNCTION("""COMPUTED_VALUE"""),739189.0)</f>
        <v>739189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IFERROR(__xludf.DUMMYFUNCTION("""COMPUTED_VALUE"""),133.44)</f>
        <v>133.44</v>
      </c>
      <c r="C2921" s="1">
        <f>IFERROR(__xludf.DUMMYFUNCTION("""COMPUTED_VALUE"""),133.89)</f>
        <v>133.89</v>
      </c>
      <c r="D2921" s="1">
        <f>IFERROR(__xludf.DUMMYFUNCTION("""COMPUTED_VALUE"""),130.52)</f>
        <v>130.52</v>
      </c>
      <c r="E2921" s="1">
        <f>IFERROR(__xludf.DUMMYFUNCTION("""COMPUTED_VALUE"""),132.85)</f>
        <v>132.85</v>
      </c>
      <c r="F2921" s="1">
        <f>IFERROR(__xludf.DUMMYFUNCTION("""COMPUTED_VALUE"""),877143.0)</f>
        <v>877143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IFERROR(__xludf.DUMMYFUNCTION("""COMPUTED_VALUE"""),132.57)</f>
        <v>132.57</v>
      </c>
      <c r="C2922" s="1">
        <f>IFERROR(__xludf.DUMMYFUNCTION("""COMPUTED_VALUE"""),136.01)</f>
        <v>136.01</v>
      </c>
      <c r="D2922" s="1">
        <f>IFERROR(__xludf.DUMMYFUNCTION("""COMPUTED_VALUE"""),132.38)</f>
        <v>132.38</v>
      </c>
      <c r="E2922" s="1">
        <f>IFERROR(__xludf.DUMMYFUNCTION("""COMPUTED_VALUE"""),135.31)</f>
        <v>135.31</v>
      </c>
      <c r="F2922" s="1">
        <f>IFERROR(__xludf.DUMMYFUNCTION("""COMPUTED_VALUE"""),522834.0)</f>
        <v>522834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IFERROR(__xludf.DUMMYFUNCTION("""COMPUTED_VALUE"""),132.98)</f>
        <v>132.98</v>
      </c>
      <c r="C2923" s="1">
        <f>IFERROR(__xludf.DUMMYFUNCTION("""COMPUTED_VALUE"""),133.79)</f>
        <v>133.79</v>
      </c>
      <c r="D2923" s="1">
        <f>IFERROR(__xludf.DUMMYFUNCTION("""COMPUTED_VALUE"""),130.88)</f>
        <v>130.88</v>
      </c>
      <c r="E2923" s="1">
        <f>IFERROR(__xludf.DUMMYFUNCTION("""COMPUTED_VALUE"""),131.9)</f>
        <v>131.9</v>
      </c>
      <c r="F2923" s="1">
        <f>IFERROR(__xludf.DUMMYFUNCTION("""COMPUTED_VALUE"""),1346160.0)</f>
        <v>1346160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IFERROR(__xludf.DUMMYFUNCTION("""COMPUTED_VALUE"""),132.2)</f>
        <v>132.2</v>
      </c>
      <c r="C2924" s="1">
        <f>IFERROR(__xludf.DUMMYFUNCTION("""COMPUTED_VALUE"""),132.89)</f>
        <v>132.89</v>
      </c>
      <c r="D2924" s="1">
        <f>IFERROR(__xludf.DUMMYFUNCTION("""COMPUTED_VALUE"""),128.74)</f>
        <v>128.74</v>
      </c>
      <c r="E2924" s="1">
        <f>IFERROR(__xludf.DUMMYFUNCTION("""COMPUTED_VALUE"""),129.34)</f>
        <v>129.34</v>
      </c>
      <c r="F2924" s="1">
        <f>IFERROR(__xludf.DUMMYFUNCTION("""COMPUTED_VALUE"""),880539.0)</f>
        <v>880539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IFERROR(__xludf.DUMMYFUNCTION("""COMPUTED_VALUE"""),128.86)</f>
        <v>128.86</v>
      </c>
      <c r="C2925" s="1">
        <f>IFERROR(__xludf.DUMMYFUNCTION("""COMPUTED_VALUE"""),129.75)</f>
        <v>129.75</v>
      </c>
      <c r="D2925" s="1">
        <f>IFERROR(__xludf.DUMMYFUNCTION("""COMPUTED_VALUE"""),127.77)</f>
        <v>127.77</v>
      </c>
      <c r="E2925" s="1">
        <f>IFERROR(__xludf.DUMMYFUNCTION("""COMPUTED_VALUE"""),128.09)</f>
        <v>128.09</v>
      </c>
      <c r="F2925" s="1">
        <f>IFERROR(__xludf.DUMMYFUNCTION("""COMPUTED_VALUE"""),714930.0)</f>
        <v>714930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IFERROR(__xludf.DUMMYFUNCTION("""COMPUTED_VALUE"""),127.15)</f>
        <v>127.15</v>
      </c>
      <c r="C2926" s="1">
        <f>IFERROR(__xludf.DUMMYFUNCTION("""COMPUTED_VALUE"""),129.26)</f>
        <v>129.26</v>
      </c>
      <c r="D2926" s="1">
        <f>IFERROR(__xludf.DUMMYFUNCTION("""COMPUTED_VALUE"""),124.67)</f>
        <v>124.67</v>
      </c>
      <c r="E2926" s="1">
        <f>IFERROR(__xludf.DUMMYFUNCTION("""COMPUTED_VALUE"""),129.07)</f>
        <v>129.07</v>
      </c>
      <c r="F2926" s="1">
        <f>IFERROR(__xludf.DUMMYFUNCTION("""COMPUTED_VALUE"""),1140776.0)</f>
        <v>1140776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IFERROR(__xludf.DUMMYFUNCTION("""COMPUTED_VALUE"""),128.0)</f>
        <v>128</v>
      </c>
      <c r="C2927" s="1">
        <f>IFERROR(__xludf.DUMMYFUNCTION("""COMPUTED_VALUE"""),128.37)</f>
        <v>128.37</v>
      </c>
      <c r="D2927" s="1">
        <f>IFERROR(__xludf.DUMMYFUNCTION("""COMPUTED_VALUE"""),125.88)</f>
        <v>125.88</v>
      </c>
      <c r="E2927" s="1">
        <f>IFERROR(__xludf.DUMMYFUNCTION("""COMPUTED_VALUE"""),127.47)</f>
        <v>127.47</v>
      </c>
      <c r="F2927" s="1">
        <f>IFERROR(__xludf.DUMMYFUNCTION("""COMPUTED_VALUE"""),1162414.0)</f>
        <v>1162414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IFERROR(__xludf.DUMMYFUNCTION("""COMPUTED_VALUE"""),126.98)</f>
        <v>126.98</v>
      </c>
      <c r="C2928" s="1">
        <f>IFERROR(__xludf.DUMMYFUNCTION("""COMPUTED_VALUE"""),127.97)</f>
        <v>127.97</v>
      </c>
      <c r="D2928" s="1">
        <f>IFERROR(__xludf.DUMMYFUNCTION("""COMPUTED_VALUE"""),124.53)</f>
        <v>124.53</v>
      </c>
      <c r="E2928" s="1">
        <f>IFERROR(__xludf.DUMMYFUNCTION("""COMPUTED_VALUE"""),124.62)</f>
        <v>124.62</v>
      </c>
      <c r="F2928" s="1">
        <f>IFERROR(__xludf.DUMMYFUNCTION("""COMPUTED_VALUE"""),810477.0)</f>
        <v>810477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IFERROR(__xludf.DUMMYFUNCTION("""COMPUTED_VALUE"""),123.35)</f>
        <v>123.35</v>
      </c>
      <c r="C2929" s="1">
        <f>IFERROR(__xludf.DUMMYFUNCTION("""COMPUTED_VALUE"""),124.64)</f>
        <v>124.64</v>
      </c>
      <c r="D2929" s="1">
        <f>IFERROR(__xludf.DUMMYFUNCTION("""COMPUTED_VALUE"""),122.51)</f>
        <v>122.51</v>
      </c>
      <c r="E2929" s="1">
        <f>IFERROR(__xludf.DUMMYFUNCTION("""COMPUTED_VALUE"""),124.24)</f>
        <v>124.24</v>
      </c>
      <c r="F2929" s="1">
        <f>IFERROR(__xludf.DUMMYFUNCTION("""COMPUTED_VALUE"""),600924.0)</f>
        <v>600924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IFERROR(__xludf.DUMMYFUNCTION("""COMPUTED_VALUE"""),124.0)</f>
        <v>124</v>
      </c>
      <c r="C2930" s="1">
        <f>IFERROR(__xludf.DUMMYFUNCTION("""COMPUTED_VALUE"""),124.9)</f>
        <v>124.9</v>
      </c>
      <c r="D2930" s="1">
        <f>IFERROR(__xludf.DUMMYFUNCTION("""COMPUTED_VALUE"""),123.12)</f>
        <v>123.12</v>
      </c>
      <c r="E2930" s="1">
        <f>IFERROR(__xludf.DUMMYFUNCTION("""COMPUTED_VALUE"""),124.76)</f>
        <v>124.76</v>
      </c>
      <c r="F2930" s="1">
        <f>IFERROR(__xludf.DUMMYFUNCTION("""COMPUTED_VALUE"""),514671.0)</f>
        <v>514671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IFERROR(__xludf.DUMMYFUNCTION("""COMPUTED_VALUE"""),125.78)</f>
        <v>125.78</v>
      </c>
      <c r="C2931" s="1">
        <f>IFERROR(__xludf.DUMMYFUNCTION("""COMPUTED_VALUE"""),125.84)</f>
        <v>125.84</v>
      </c>
      <c r="D2931" s="1">
        <f>IFERROR(__xludf.DUMMYFUNCTION("""COMPUTED_VALUE"""),124.09)</f>
        <v>124.09</v>
      </c>
      <c r="E2931" s="1">
        <f>IFERROR(__xludf.DUMMYFUNCTION("""COMPUTED_VALUE"""),124.92)</f>
        <v>124.92</v>
      </c>
      <c r="F2931" s="1">
        <f>IFERROR(__xludf.DUMMYFUNCTION("""COMPUTED_VALUE"""),607964.0)</f>
        <v>607964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IFERROR(__xludf.DUMMYFUNCTION("""COMPUTED_VALUE"""),125.05)</f>
        <v>125.05</v>
      </c>
      <c r="C2932" s="1">
        <f>IFERROR(__xludf.DUMMYFUNCTION("""COMPUTED_VALUE"""),126.48)</f>
        <v>126.48</v>
      </c>
      <c r="D2932" s="1">
        <f>IFERROR(__xludf.DUMMYFUNCTION("""COMPUTED_VALUE"""),125.05)</f>
        <v>125.05</v>
      </c>
      <c r="E2932" s="1">
        <f>IFERROR(__xludf.DUMMYFUNCTION("""COMPUTED_VALUE"""),125.54)</f>
        <v>125.54</v>
      </c>
      <c r="F2932" s="1">
        <f>IFERROR(__xludf.DUMMYFUNCTION("""COMPUTED_VALUE"""),508353.0)</f>
        <v>508353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IFERROR(__xludf.DUMMYFUNCTION("""COMPUTED_VALUE"""),125.86)</f>
        <v>125.86</v>
      </c>
      <c r="C2933" s="1">
        <f>IFERROR(__xludf.DUMMYFUNCTION("""COMPUTED_VALUE"""),128.08)</f>
        <v>128.08</v>
      </c>
      <c r="D2933" s="1">
        <f>IFERROR(__xludf.DUMMYFUNCTION("""COMPUTED_VALUE"""),125.4)</f>
        <v>125.4</v>
      </c>
      <c r="E2933" s="1">
        <f>IFERROR(__xludf.DUMMYFUNCTION("""COMPUTED_VALUE"""),127.48)</f>
        <v>127.48</v>
      </c>
      <c r="F2933" s="1">
        <f>IFERROR(__xludf.DUMMYFUNCTION("""COMPUTED_VALUE"""),592038.0)</f>
        <v>592038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IFERROR(__xludf.DUMMYFUNCTION("""COMPUTED_VALUE"""),127.26)</f>
        <v>127.26</v>
      </c>
      <c r="C2934" s="1">
        <f>IFERROR(__xludf.DUMMYFUNCTION("""COMPUTED_VALUE"""),127.82)</f>
        <v>127.82</v>
      </c>
      <c r="D2934" s="1">
        <f>IFERROR(__xludf.DUMMYFUNCTION("""COMPUTED_VALUE"""),125.75)</f>
        <v>125.75</v>
      </c>
      <c r="E2934" s="1">
        <f>IFERROR(__xludf.DUMMYFUNCTION("""COMPUTED_VALUE"""),126.26)</f>
        <v>126.26</v>
      </c>
      <c r="F2934" s="1">
        <f>IFERROR(__xludf.DUMMYFUNCTION("""COMPUTED_VALUE"""),559106.0)</f>
        <v>559106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IFERROR(__xludf.DUMMYFUNCTION("""COMPUTED_VALUE"""),126.63)</f>
        <v>126.63</v>
      </c>
      <c r="C2935" s="1">
        <f>IFERROR(__xludf.DUMMYFUNCTION("""COMPUTED_VALUE"""),127.35)</f>
        <v>127.35</v>
      </c>
      <c r="D2935" s="1">
        <f>IFERROR(__xludf.DUMMYFUNCTION("""COMPUTED_VALUE"""),125.54)</f>
        <v>125.54</v>
      </c>
      <c r="E2935" s="1">
        <f>IFERROR(__xludf.DUMMYFUNCTION("""COMPUTED_VALUE"""),126.59)</f>
        <v>126.59</v>
      </c>
      <c r="F2935" s="1">
        <f>IFERROR(__xludf.DUMMYFUNCTION("""COMPUTED_VALUE"""),428016.0)</f>
        <v>428016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IFERROR(__xludf.DUMMYFUNCTION("""COMPUTED_VALUE"""),127.0)</f>
        <v>127</v>
      </c>
      <c r="C2936" s="1">
        <f>IFERROR(__xludf.DUMMYFUNCTION("""COMPUTED_VALUE"""),128.2)</f>
        <v>128.2</v>
      </c>
      <c r="D2936" s="1">
        <f>IFERROR(__xludf.DUMMYFUNCTION("""COMPUTED_VALUE"""),125.5)</f>
        <v>125.5</v>
      </c>
      <c r="E2936" s="1">
        <f>IFERROR(__xludf.DUMMYFUNCTION("""COMPUTED_VALUE"""),126.49)</f>
        <v>126.49</v>
      </c>
      <c r="F2936" s="1">
        <f>IFERROR(__xludf.DUMMYFUNCTION("""COMPUTED_VALUE"""),516855.0)</f>
        <v>516855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IFERROR(__xludf.DUMMYFUNCTION("""COMPUTED_VALUE"""),126.84)</f>
        <v>126.84</v>
      </c>
      <c r="C2937" s="1">
        <f>IFERROR(__xludf.DUMMYFUNCTION("""COMPUTED_VALUE"""),126.84)</f>
        <v>126.84</v>
      </c>
      <c r="D2937" s="1">
        <f>IFERROR(__xludf.DUMMYFUNCTION("""COMPUTED_VALUE"""),124.27)</f>
        <v>124.27</v>
      </c>
      <c r="E2937" s="1">
        <f>IFERROR(__xludf.DUMMYFUNCTION("""COMPUTED_VALUE"""),125.21)</f>
        <v>125.21</v>
      </c>
      <c r="F2937" s="1">
        <f>IFERROR(__xludf.DUMMYFUNCTION("""COMPUTED_VALUE"""),1088390.0)</f>
        <v>1088390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IFERROR(__xludf.DUMMYFUNCTION("""COMPUTED_VALUE"""),126.02)</f>
        <v>126.02</v>
      </c>
      <c r="C2938" s="1">
        <f>IFERROR(__xludf.DUMMYFUNCTION("""COMPUTED_VALUE"""),127.55)</f>
        <v>127.55</v>
      </c>
      <c r="D2938" s="1">
        <f>IFERROR(__xludf.DUMMYFUNCTION("""COMPUTED_VALUE"""),125.85)</f>
        <v>125.85</v>
      </c>
      <c r="E2938" s="1">
        <f>IFERROR(__xludf.DUMMYFUNCTION("""COMPUTED_VALUE"""),127.34)</f>
        <v>127.34</v>
      </c>
      <c r="F2938" s="1">
        <f>IFERROR(__xludf.DUMMYFUNCTION("""COMPUTED_VALUE"""),835258.0)</f>
        <v>835258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IFERROR(__xludf.DUMMYFUNCTION("""COMPUTED_VALUE"""),127.25)</f>
        <v>127.25</v>
      </c>
      <c r="C2939" s="1">
        <f>IFERROR(__xludf.DUMMYFUNCTION("""COMPUTED_VALUE"""),127.75)</f>
        <v>127.75</v>
      </c>
      <c r="D2939" s="1">
        <f>IFERROR(__xludf.DUMMYFUNCTION("""COMPUTED_VALUE"""),125.86)</f>
        <v>125.86</v>
      </c>
      <c r="E2939" s="1">
        <f>IFERROR(__xludf.DUMMYFUNCTION("""COMPUTED_VALUE"""),126.44)</f>
        <v>126.44</v>
      </c>
      <c r="F2939" s="1">
        <f>IFERROR(__xludf.DUMMYFUNCTION("""COMPUTED_VALUE"""),690863.0)</f>
        <v>690863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IFERROR(__xludf.DUMMYFUNCTION("""COMPUTED_VALUE"""),125.74)</f>
        <v>125.74</v>
      </c>
      <c r="C2940" s="1">
        <f>IFERROR(__xludf.DUMMYFUNCTION("""COMPUTED_VALUE"""),127.63)</f>
        <v>127.63</v>
      </c>
      <c r="D2940" s="1">
        <f>IFERROR(__xludf.DUMMYFUNCTION("""COMPUTED_VALUE"""),125.29)</f>
        <v>125.29</v>
      </c>
      <c r="E2940" s="1">
        <f>IFERROR(__xludf.DUMMYFUNCTION("""COMPUTED_VALUE"""),127.15)</f>
        <v>127.15</v>
      </c>
      <c r="F2940" s="1">
        <f>IFERROR(__xludf.DUMMYFUNCTION("""COMPUTED_VALUE"""),607376.0)</f>
        <v>607376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IFERROR(__xludf.DUMMYFUNCTION("""COMPUTED_VALUE"""),126.77)</f>
        <v>126.77</v>
      </c>
      <c r="C2941" s="1">
        <f>IFERROR(__xludf.DUMMYFUNCTION("""COMPUTED_VALUE"""),128.58)</f>
        <v>128.58</v>
      </c>
      <c r="D2941" s="1">
        <f>IFERROR(__xludf.DUMMYFUNCTION("""COMPUTED_VALUE"""),126.32)</f>
        <v>126.32</v>
      </c>
      <c r="E2941" s="1">
        <f>IFERROR(__xludf.DUMMYFUNCTION("""COMPUTED_VALUE"""),126.92)</f>
        <v>126.92</v>
      </c>
      <c r="F2941" s="1">
        <f>IFERROR(__xludf.DUMMYFUNCTION("""COMPUTED_VALUE"""),927848.0)</f>
        <v>927848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IFERROR(__xludf.DUMMYFUNCTION("""COMPUTED_VALUE"""),127.26)</f>
        <v>127.26</v>
      </c>
      <c r="C2942" s="1">
        <f>IFERROR(__xludf.DUMMYFUNCTION("""COMPUTED_VALUE"""),131.42)</f>
        <v>131.42</v>
      </c>
      <c r="D2942" s="1">
        <f>IFERROR(__xludf.DUMMYFUNCTION("""COMPUTED_VALUE"""),126.5)</f>
        <v>126.5</v>
      </c>
      <c r="E2942" s="1">
        <f>IFERROR(__xludf.DUMMYFUNCTION("""COMPUTED_VALUE"""),131.39)</f>
        <v>131.39</v>
      </c>
      <c r="F2942" s="1">
        <f>IFERROR(__xludf.DUMMYFUNCTION("""COMPUTED_VALUE"""),1138876.0)</f>
        <v>1138876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IFERROR(__xludf.DUMMYFUNCTION("""COMPUTED_VALUE"""),131.5)</f>
        <v>131.5</v>
      </c>
      <c r="C2943" s="1">
        <f>IFERROR(__xludf.DUMMYFUNCTION("""COMPUTED_VALUE"""),134.66)</f>
        <v>134.66</v>
      </c>
      <c r="D2943" s="1">
        <f>IFERROR(__xludf.DUMMYFUNCTION("""COMPUTED_VALUE"""),131.19)</f>
        <v>131.19</v>
      </c>
      <c r="E2943" s="1">
        <f>IFERROR(__xludf.DUMMYFUNCTION("""COMPUTED_VALUE"""),133.23)</f>
        <v>133.23</v>
      </c>
      <c r="F2943" s="1">
        <f>IFERROR(__xludf.DUMMYFUNCTION("""COMPUTED_VALUE"""),1100517.0)</f>
        <v>1100517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IFERROR(__xludf.DUMMYFUNCTION("""COMPUTED_VALUE"""),133.97)</f>
        <v>133.97</v>
      </c>
      <c r="C2944" s="1">
        <f>IFERROR(__xludf.DUMMYFUNCTION("""COMPUTED_VALUE"""),135.64)</f>
        <v>135.64</v>
      </c>
      <c r="D2944" s="1">
        <f>IFERROR(__xludf.DUMMYFUNCTION("""COMPUTED_VALUE"""),132.7)</f>
        <v>132.7</v>
      </c>
      <c r="E2944" s="1">
        <f>IFERROR(__xludf.DUMMYFUNCTION("""COMPUTED_VALUE"""),134.53)</f>
        <v>134.53</v>
      </c>
      <c r="F2944" s="1">
        <f>IFERROR(__xludf.DUMMYFUNCTION("""COMPUTED_VALUE"""),938318.0)</f>
        <v>938318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IFERROR(__xludf.DUMMYFUNCTION("""COMPUTED_VALUE"""),135.64)</f>
        <v>135.64</v>
      </c>
      <c r="C2945" s="1">
        <f>IFERROR(__xludf.DUMMYFUNCTION("""COMPUTED_VALUE"""),135.64)</f>
        <v>135.64</v>
      </c>
      <c r="D2945" s="1">
        <f>IFERROR(__xludf.DUMMYFUNCTION("""COMPUTED_VALUE"""),131.99)</f>
        <v>131.99</v>
      </c>
      <c r="E2945" s="1">
        <f>IFERROR(__xludf.DUMMYFUNCTION("""COMPUTED_VALUE"""),134.39)</f>
        <v>134.39</v>
      </c>
      <c r="F2945" s="1">
        <f>IFERROR(__xludf.DUMMYFUNCTION("""COMPUTED_VALUE"""),648792.0)</f>
        <v>648792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IFERROR(__xludf.DUMMYFUNCTION("""COMPUTED_VALUE"""),135.0)</f>
        <v>135</v>
      </c>
      <c r="C2946" s="1">
        <f>IFERROR(__xludf.DUMMYFUNCTION("""COMPUTED_VALUE"""),135.81)</f>
        <v>135.81</v>
      </c>
      <c r="D2946" s="1">
        <f>IFERROR(__xludf.DUMMYFUNCTION("""COMPUTED_VALUE"""),133.76)</f>
        <v>133.76</v>
      </c>
      <c r="E2946" s="1">
        <f>IFERROR(__xludf.DUMMYFUNCTION("""COMPUTED_VALUE"""),135.0)</f>
        <v>135</v>
      </c>
      <c r="F2946" s="1">
        <f>IFERROR(__xludf.DUMMYFUNCTION("""COMPUTED_VALUE"""),743763.0)</f>
        <v>743763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IFERROR(__xludf.DUMMYFUNCTION("""COMPUTED_VALUE"""),135.0)</f>
        <v>135</v>
      </c>
      <c r="C2947" s="1">
        <f>IFERROR(__xludf.DUMMYFUNCTION("""COMPUTED_VALUE"""),137.11)</f>
        <v>137.11</v>
      </c>
      <c r="D2947" s="1">
        <f>IFERROR(__xludf.DUMMYFUNCTION("""COMPUTED_VALUE"""),132.85)</f>
        <v>132.85</v>
      </c>
      <c r="E2947" s="1">
        <f>IFERROR(__xludf.DUMMYFUNCTION("""COMPUTED_VALUE"""),136.81)</f>
        <v>136.81</v>
      </c>
      <c r="F2947" s="1">
        <f>IFERROR(__xludf.DUMMYFUNCTION("""COMPUTED_VALUE"""),722545.0)</f>
        <v>722545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IFERROR(__xludf.DUMMYFUNCTION("""COMPUTED_VALUE"""),136.76)</f>
        <v>136.76</v>
      </c>
      <c r="C2948" s="1">
        <f>IFERROR(__xludf.DUMMYFUNCTION("""COMPUTED_VALUE"""),140.24)</f>
        <v>140.24</v>
      </c>
      <c r="D2948" s="1">
        <f>IFERROR(__xludf.DUMMYFUNCTION("""COMPUTED_VALUE"""),136.34)</f>
        <v>136.34</v>
      </c>
      <c r="E2948" s="1">
        <f>IFERROR(__xludf.DUMMYFUNCTION("""COMPUTED_VALUE"""),139.69)</f>
        <v>139.69</v>
      </c>
      <c r="F2948" s="1">
        <f>IFERROR(__xludf.DUMMYFUNCTION("""COMPUTED_VALUE"""),1215443.0)</f>
        <v>1215443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IFERROR(__xludf.DUMMYFUNCTION("""COMPUTED_VALUE"""),139.03)</f>
        <v>139.03</v>
      </c>
      <c r="C2949" s="1">
        <f>IFERROR(__xludf.DUMMYFUNCTION("""COMPUTED_VALUE"""),142.08)</f>
        <v>142.08</v>
      </c>
      <c r="D2949" s="1">
        <f>IFERROR(__xludf.DUMMYFUNCTION("""COMPUTED_VALUE"""),138.9)</f>
        <v>138.9</v>
      </c>
      <c r="E2949" s="1">
        <f>IFERROR(__xludf.DUMMYFUNCTION("""COMPUTED_VALUE"""),140.29)</f>
        <v>140.29</v>
      </c>
      <c r="F2949" s="1">
        <f>IFERROR(__xludf.DUMMYFUNCTION("""COMPUTED_VALUE"""),1599664.0)</f>
        <v>1599664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IFERROR(__xludf.DUMMYFUNCTION("""COMPUTED_VALUE"""),138.1)</f>
        <v>138.1</v>
      </c>
      <c r="C2950" s="1">
        <f>IFERROR(__xludf.DUMMYFUNCTION("""COMPUTED_VALUE"""),139.87)</f>
        <v>139.87</v>
      </c>
      <c r="D2950" s="1">
        <f>IFERROR(__xludf.DUMMYFUNCTION("""COMPUTED_VALUE"""),136.54)</f>
        <v>136.54</v>
      </c>
      <c r="E2950" s="1">
        <f>IFERROR(__xludf.DUMMYFUNCTION("""COMPUTED_VALUE"""),138.21)</f>
        <v>138.21</v>
      </c>
      <c r="F2950" s="1">
        <f>IFERROR(__xludf.DUMMYFUNCTION("""COMPUTED_VALUE"""),1091098.0)</f>
        <v>1091098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IFERROR(__xludf.DUMMYFUNCTION("""COMPUTED_VALUE"""),139.1)</f>
        <v>139.1</v>
      </c>
      <c r="C2951" s="1">
        <f>IFERROR(__xludf.DUMMYFUNCTION("""COMPUTED_VALUE"""),140.84)</f>
        <v>140.84</v>
      </c>
      <c r="D2951" s="1">
        <f>IFERROR(__xludf.DUMMYFUNCTION("""COMPUTED_VALUE"""),136.68)</f>
        <v>136.68</v>
      </c>
      <c r="E2951" s="1">
        <f>IFERROR(__xludf.DUMMYFUNCTION("""COMPUTED_VALUE"""),136.98)</f>
        <v>136.98</v>
      </c>
      <c r="F2951" s="1">
        <f>IFERROR(__xludf.DUMMYFUNCTION("""COMPUTED_VALUE"""),918672.0)</f>
        <v>918672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IFERROR(__xludf.DUMMYFUNCTION("""COMPUTED_VALUE"""),138.33)</f>
        <v>138.33</v>
      </c>
      <c r="C2952" s="1">
        <f>IFERROR(__xludf.DUMMYFUNCTION("""COMPUTED_VALUE"""),141.66)</f>
        <v>141.66</v>
      </c>
      <c r="D2952" s="1">
        <f>IFERROR(__xludf.DUMMYFUNCTION("""COMPUTED_VALUE"""),137.51)</f>
        <v>137.51</v>
      </c>
      <c r="E2952" s="1">
        <f>IFERROR(__xludf.DUMMYFUNCTION("""COMPUTED_VALUE"""),140.51)</f>
        <v>140.51</v>
      </c>
      <c r="F2952" s="1">
        <f>IFERROR(__xludf.DUMMYFUNCTION("""COMPUTED_VALUE"""),1117867.0)</f>
        <v>1117867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IFERROR(__xludf.DUMMYFUNCTION("""COMPUTED_VALUE"""),142.0)</f>
        <v>142</v>
      </c>
      <c r="C2953" s="1">
        <f>IFERROR(__xludf.DUMMYFUNCTION("""COMPUTED_VALUE"""),144.84)</f>
        <v>144.84</v>
      </c>
      <c r="D2953" s="1">
        <f>IFERROR(__xludf.DUMMYFUNCTION("""COMPUTED_VALUE"""),141.62)</f>
        <v>141.62</v>
      </c>
      <c r="E2953" s="1">
        <f>IFERROR(__xludf.DUMMYFUNCTION("""COMPUTED_VALUE"""),142.16)</f>
        <v>142.16</v>
      </c>
      <c r="F2953" s="1">
        <f>IFERROR(__xludf.DUMMYFUNCTION("""COMPUTED_VALUE"""),1134675.0)</f>
        <v>1134675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IFERROR(__xludf.DUMMYFUNCTION("""COMPUTED_VALUE"""),142.18)</f>
        <v>142.18</v>
      </c>
      <c r="C2954" s="1">
        <f>IFERROR(__xludf.DUMMYFUNCTION("""COMPUTED_VALUE"""),144.51)</f>
        <v>144.51</v>
      </c>
      <c r="D2954" s="1">
        <f>IFERROR(__xludf.DUMMYFUNCTION("""COMPUTED_VALUE"""),141.76)</f>
        <v>141.76</v>
      </c>
      <c r="E2954" s="1">
        <f>IFERROR(__xludf.DUMMYFUNCTION("""COMPUTED_VALUE"""),144.42)</f>
        <v>144.42</v>
      </c>
      <c r="F2954" s="1">
        <f>IFERROR(__xludf.DUMMYFUNCTION("""COMPUTED_VALUE"""),851293.0)</f>
        <v>851293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IFERROR(__xludf.DUMMYFUNCTION("""COMPUTED_VALUE"""),145.52)</f>
        <v>145.52</v>
      </c>
      <c r="C2955" s="1">
        <f>IFERROR(__xludf.DUMMYFUNCTION("""COMPUTED_VALUE"""),146.98)</f>
        <v>146.98</v>
      </c>
      <c r="D2955" s="1">
        <f>IFERROR(__xludf.DUMMYFUNCTION("""COMPUTED_VALUE"""),144.86)</f>
        <v>144.86</v>
      </c>
      <c r="E2955" s="1">
        <f>IFERROR(__xludf.DUMMYFUNCTION("""COMPUTED_VALUE"""),145.24)</f>
        <v>145.24</v>
      </c>
      <c r="F2955" s="1">
        <f>IFERROR(__xludf.DUMMYFUNCTION("""COMPUTED_VALUE"""),1047157.0)</f>
        <v>1047157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IFERROR(__xludf.DUMMYFUNCTION("""COMPUTED_VALUE"""),144.26)</f>
        <v>144.26</v>
      </c>
      <c r="C2956" s="1">
        <f>IFERROR(__xludf.DUMMYFUNCTION("""COMPUTED_VALUE"""),146.56)</f>
        <v>146.56</v>
      </c>
      <c r="D2956" s="1">
        <f>IFERROR(__xludf.DUMMYFUNCTION("""COMPUTED_VALUE"""),142.51)</f>
        <v>142.51</v>
      </c>
      <c r="E2956" s="1">
        <f>IFERROR(__xludf.DUMMYFUNCTION("""COMPUTED_VALUE"""),143.03)</f>
        <v>143.03</v>
      </c>
      <c r="F2956" s="1">
        <f>IFERROR(__xludf.DUMMYFUNCTION("""COMPUTED_VALUE"""),1080117.0)</f>
        <v>1080117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IFERROR(__xludf.DUMMYFUNCTION("""COMPUTED_VALUE"""),143.82)</f>
        <v>143.82</v>
      </c>
      <c r="C2957" s="1">
        <f>IFERROR(__xludf.DUMMYFUNCTION("""COMPUTED_VALUE"""),147.73)</f>
        <v>147.73</v>
      </c>
      <c r="D2957" s="1">
        <f>IFERROR(__xludf.DUMMYFUNCTION("""COMPUTED_VALUE"""),143.82)</f>
        <v>143.82</v>
      </c>
      <c r="E2957" s="1">
        <f>IFERROR(__xludf.DUMMYFUNCTION("""COMPUTED_VALUE"""),146.45)</f>
        <v>146.45</v>
      </c>
      <c r="F2957" s="1">
        <f>IFERROR(__xludf.DUMMYFUNCTION("""COMPUTED_VALUE"""),1565998.0)</f>
        <v>1565998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IFERROR(__xludf.DUMMYFUNCTION("""COMPUTED_VALUE"""),133.21)</f>
        <v>133.21</v>
      </c>
      <c r="C2958" s="1">
        <f>IFERROR(__xludf.DUMMYFUNCTION("""COMPUTED_VALUE"""),135.98)</f>
        <v>135.98</v>
      </c>
      <c r="D2958" s="1">
        <f>IFERROR(__xludf.DUMMYFUNCTION("""COMPUTED_VALUE"""),127.95)</f>
        <v>127.95</v>
      </c>
      <c r="E2958" s="1">
        <f>IFERROR(__xludf.DUMMYFUNCTION("""COMPUTED_VALUE"""),127.96)</f>
        <v>127.96</v>
      </c>
      <c r="F2958" s="1">
        <f>IFERROR(__xludf.DUMMYFUNCTION("""COMPUTED_VALUE"""),5755653.0)</f>
        <v>5755653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IFERROR(__xludf.DUMMYFUNCTION("""COMPUTED_VALUE"""),129.0)</f>
        <v>129</v>
      </c>
      <c r="C2959" s="1">
        <f>IFERROR(__xludf.DUMMYFUNCTION("""COMPUTED_VALUE"""),129.1)</f>
        <v>129.1</v>
      </c>
      <c r="D2959" s="1">
        <f>IFERROR(__xludf.DUMMYFUNCTION("""COMPUTED_VALUE"""),122.97)</f>
        <v>122.97</v>
      </c>
      <c r="E2959" s="1">
        <f>IFERROR(__xludf.DUMMYFUNCTION("""COMPUTED_VALUE"""),127.18)</f>
        <v>127.18</v>
      </c>
      <c r="F2959" s="1">
        <f>IFERROR(__xludf.DUMMYFUNCTION("""COMPUTED_VALUE"""),2837917.0)</f>
        <v>2837917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IFERROR(__xludf.DUMMYFUNCTION("""COMPUTED_VALUE"""),125.76)</f>
        <v>125.76</v>
      </c>
      <c r="C2960" s="1">
        <f>IFERROR(__xludf.DUMMYFUNCTION("""COMPUTED_VALUE"""),126.86)</f>
        <v>126.86</v>
      </c>
      <c r="D2960" s="1">
        <f>IFERROR(__xludf.DUMMYFUNCTION("""COMPUTED_VALUE"""),122.39)</f>
        <v>122.39</v>
      </c>
      <c r="E2960" s="1">
        <f>IFERROR(__xludf.DUMMYFUNCTION("""COMPUTED_VALUE"""),122.54)</f>
        <v>122.54</v>
      </c>
      <c r="F2960" s="1">
        <f>IFERROR(__xludf.DUMMYFUNCTION("""COMPUTED_VALUE"""),1923935.0)</f>
        <v>1923935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IFERROR(__xludf.DUMMYFUNCTION("""COMPUTED_VALUE"""),122.43)</f>
        <v>122.43</v>
      </c>
      <c r="C2961" s="1">
        <f>IFERROR(__xludf.DUMMYFUNCTION("""COMPUTED_VALUE"""),127.68)</f>
        <v>127.68</v>
      </c>
      <c r="D2961" s="1">
        <f>IFERROR(__xludf.DUMMYFUNCTION("""COMPUTED_VALUE"""),121.65)</f>
        <v>121.65</v>
      </c>
      <c r="E2961" s="1">
        <f>IFERROR(__xludf.DUMMYFUNCTION("""COMPUTED_VALUE"""),126.23)</f>
        <v>126.23</v>
      </c>
      <c r="F2961" s="1">
        <f>IFERROR(__xludf.DUMMYFUNCTION("""COMPUTED_VALUE"""),1769457.0)</f>
        <v>1769457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IFERROR(__xludf.DUMMYFUNCTION("""COMPUTED_VALUE"""),125.19)</f>
        <v>125.19</v>
      </c>
      <c r="C2962" s="1">
        <f>IFERROR(__xludf.DUMMYFUNCTION("""COMPUTED_VALUE"""),129.34)</f>
        <v>129.34</v>
      </c>
      <c r="D2962" s="1">
        <f>IFERROR(__xludf.DUMMYFUNCTION("""COMPUTED_VALUE"""),125.0)</f>
        <v>125</v>
      </c>
      <c r="E2962" s="1">
        <f>IFERROR(__xludf.DUMMYFUNCTION("""COMPUTED_VALUE"""),129.27)</f>
        <v>129.27</v>
      </c>
      <c r="F2962" s="1">
        <f>IFERROR(__xludf.DUMMYFUNCTION("""COMPUTED_VALUE"""),1432682.0)</f>
        <v>1432682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IFERROR(__xludf.DUMMYFUNCTION("""COMPUTED_VALUE"""),130.26)</f>
        <v>130.26</v>
      </c>
      <c r="C2963" s="1">
        <f>IFERROR(__xludf.DUMMYFUNCTION("""COMPUTED_VALUE"""),132.8)</f>
        <v>132.8</v>
      </c>
      <c r="D2963" s="1">
        <f>IFERROR(__xludf.DUMMYFUNCTION("""COMPUTED_VALUE"""),129.34)</f>
        <v>129.34</v>
      </c>
      <c r="E2963" s="1">
        <f>IFERROR(__xludf.DUMMYFUNCTION("""COMPUTED_VALUE"""),131.35)</f>
        <v>131.35</v>
      </c>
      <c r="F2963" s="1">
        <f>IFERROR(__xludf.DUMMYFUNCTION("""COMPUTED_VALUE"""),917042.0)</f>
        <v>917042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IFERROR(__xludf.DUMMYFUNCTION("""COMPUTED_VALUE"""),131.38)</f>
        <v>131.38</v>
      </c>
      <c r="C2964" s="1">
        <f>IFERROR(__xludf.DUMMYFUNCTION("""COMPUTED_VALUE"""),132.4)</f>
        <v>132.4</v>
      </c>
      <c r="D2964" s="1">
        <f>IFERROR(__xludf.DUMMYFUNCTION("""COMPUTED_VALUE"""),129.78)</f>
        <v>129.78</v>
      </c>
      <c r="E2964" s="1">
        <f>IFERROR(__xludf.DUMMYFUNCTION("""COMPUTED_VALUE"""),130.54)</f>
        <v>130.54</v>
      </c>
      <c r="F2964" s="1">
        <f>IFERROR(__xludf.DUMMYFUNCTION("""COMPUTED_VALUE"""),821566.0)</f>
        <v>821566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IFERROR(__xludf.DUMMYFUNCTION("""COMPUTED_VALUE"""),130.08)</f>
        <v>130.08</v>
      </c>
      <c r="C2965" s="1">
        <f>IFERROR(__xludf.DUMMYFUNCTION("""COMPUTED_VALUE"""),130.74)</f>
        <v>130.74</v>
      </c>
      <c r="D2965" s="1">
        <f>IFERROR(__xludf.DUMMYFUNCTION("""COMPUTED_VALUE"""),129.14)</f>
        <v>129.14</v>
      </c>
      <c r="E2965" s="1">
        <f>IFERROR(__xludf.DUMMYFUNCTION("""COMPUTED_VALUE"""),129.28)</f>
        <v>129.28</v>
      </c>
      <c r="F2965" s="1">
        <f>IFERROR(__xludf.DUMMYFUNCTION("""COMPUTED_VALUE"""),682787.0)</f>
        <v>682787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IFERROR(__xludf.DUMMYFUNCTION("""COMPUTED_VALUE"""),129.67)</f>
        <v>129.67</v>
      </c>
      <c r="C2966" s="1">
        <f>IFERROR(__xludf.DUMMYFUNCTION("""COMPUTED_VALUE"""),132.67)</f>
        <v>132.67</v>
      </c>
      <c r="D2966" s="1">
        <f>IFERROR(__xludf.DUMMYFUNCTION("""COMPUTED_VALUE"""),129.62)</f>
        <v>129.62</v>
      </c>
      <c r="E2966" s="1">
        <f>IFERROR(__xludf.DUMMYFUNCTION("""COMPUTED_VALUE"""),131.56)</f>
        <v>131.56</v>
      </c>
      <c r="F2966" s="1">
        <f>IFERROR(__xludf.DUMMYFUNCTION("""COMPUTED_VALUE"""),783498.0)</f>
        <v>783498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IFERROR(__xludf.DUMMYFUNCTION("""COMPUTED_VALUE"""),132.18)</f>
        <v>132.18</v>
      </c>
      <c r="C2967" s="1">
        <f>IFERROR(__xludf.DUMMYFUNCTION("""COMPUTED_VALUE"""),133.69)</f>
        <v>133.69</v>
      </c>
      <c r="D2967" s="1">
        <f>IFERROR(__xludf.DUMMYFUNCTION("""COMPUTED_VALUE"""),131.26)</f>
        <v>131.26</v>
      </c>
      <c r="E2967" s="1">
        <f>IFERROR(__xludf.DUMMYFUNCTION("""COMPUTED_VALUE"""),133.35)</f>
        <v>133.35</v>
      </c>
      <c r="F2967" s="1">
        <f>IFERROR(__xludf.DUMMYFUNCTION("""COMPUTED_VALUE"""),721697.0)</f>
        <v>721697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IFERROR(__xludf.DUMMYFUNCTION("""COMPUTED_VALUE"""),134.58)</f>
        <v>134.58</v>
      </c>
      <c r="C2968" s="1">
        <f>IFERROR(__xludf.DUMMYFUNCTION("""COMPUTED_VALUE"""),136.59)</f>
        <v>136.59</v>
      </c>
      <c r="D2968" s="1">
        <f>IFERROR(__xludf.DUMMYFUNCTION("""COMPUTED_VALUE"""),134.11)</f>
        <v>134.11</v>
      </c>
      <c r="E2968" s="1">
        <f>IFERROR(__xludf.DUMMYFUNCTION("""COMPUTED_VALUE"""),135.64)</f>
        <v>135.64</v>
      </c>
      <c r="F2968" s="1">
        <f>IFERROR(__xludf.DUMMYFUNCTION("""COMPUTED_VALUE"""),603040.0)</f>
        <v>603040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IFERROR(__xludf.DUMMYFUNCTION("""COMPUTED_VALUE"""),137.0)</f>
        <v>137</v>
      </c>
      <c r="C2969" s="1">
        <f>IFERROR(__xludf.DUMMYFUNCTION("""COMPUTED_VALUE"""),137.82)</f>
        <v>137.82</v>
      </c>
      <c r="D2969" s="1">
        <f>IFERROR(__xludf.DUMMYFUNCTION("""COMPUTED_VALUE"""),135.83)</f>
        <v>135.83</v>
      </c>
      <c r="E2969" s="1">
        <f>IFERROR(__xludf.DUMMYFUNCTION("""COMPUTED_VALUE"""),136.79)</f>
        <v>136.79</v>
      </c>
      <c r="F2969" s="1">
        <f>IFERROR(__xludf.DUMMYFUNCTION("""COMPUTED_VALUE"""),535414.0)</f>
        <v>535414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IFERROR(__xludf.DUMMYFUNCTION("""COMPUTED_VALUE"""),135.91)</f>
        <v>135.91</v>
      </c>
      <c r="C2970" s="1">
        <f>IFERROR(__xludf.DUMMYFUNCTION("""COMPUTED_VALUE"""),138.07)</f>
        <v>138.07</v>
      </c>
      <c r="D2970" s="1">
        <f>IFERROR(__xludf.DUMMYFUNCTION("""COMPUTED_VALUE"""),135.91)</f>
        <v>135.91</v>
      </c>
      <c r="E2970" s="1">
        <f>IFERROR(__xludf.DUMMYFUNCTION("""COMPUTED_VALUE"""),137.52)</f>
        <v>137.52</v>
      </c>
      <c r="F2970" s="1">
        <f>IFERROR(__xludf.DUMMYFUNCTION("""COMPUTED_VALUE"""),509180.0)</f>
        <v>509180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IFERROR(__xludf.DUMMYFUNCTION("""COMPUTED_VALUE"""),138.63)</f>
        <v>138.63</v>
      </c>
      <c r="C2971" s="1">
        <f>IFERROR(__xludf.DUMMYFUNCTION("""COMPUTED_VALUE"""),138.9)</f>
        <v>138.9</v>
      </c>
      <c r="D2971" s="1">
        <f>IFERROR(__xludf.DUMMYFUNCTION("""COMPUTED_VALUE"""),135.93)</f>
        <v>135.93</v>
      </c>
      <c r="E2971" s="1">
        <f>IFERROR(__xludf.DUMMYFUNCTION("""COMPUTED_VALUE"""),138.5)</f>
        <v>138.5</v>
      </c>
      <c r="F2971" s="1">
        <f>IFERROR(__xludf.DUMMYFUNCTION("""COMPUTED_VALUE"""),727695.0)</f>
        <v>727695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IFERROR(__xludf.DUMMYFUNCTION("""COMPUTED_VALUE"""),139.08)</f>
        <v>139.08</v>
      </c>
      <c r="C2972" s="1">
        <f>IFERROR(__xludf.DUMMYFUNCTION("""COMPUTED_VALUE"""),141.01)</f>
        <v>141.01</v>
      </c>
      <c r="D2972" s="1">
        <f>IFERROR(__xludf.DUMMYFUNCTION("""COMPUTED_VALUE"""),138.1)</f>
        <v>138.1</v>
      </c>
      <c r="E2972" s="1">
        <f>IFERROR(__xludf.DUMMYFUNCTION("""COMPUTED_VALUE"""),138.56)</f>
        <v>138.56</v>
      </c>
      <c r="F2972" s="1">
        <f>IFERROR(__xludf.DUMMYFUNCTION("""COMPUTED_VALUE"""),727092.0)</f>
        <v>727092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IFERROR(__xludf.DUMMYFUNCTION("""COMPUTED_VALUE"""),139.08)</f>
        <v>139.08</v>
      </c>
      <c r="C2973" s="1">
        <f>IFERROR(__xludf.DUMMYFUNCTION("""COMPUTED_VALUE"""),142.56)</f>
        <v>142.56</v>
      </c>
      <c r="D2973" s="1">
        <f>IFERROR(__xludf.DUMMYFUNCTION("""COMPUTED_VALUE"""),138.5)</f>
        <v>138.5</v>
      </c>
      <c r="E2973" s="1">
        <f>IFERROR(__xludf.DUMMYFUNCTION("""COMPUTED_VALUE"""),141.9)</f>
        <v>141.9</v>
      </c>
      <c r="F2973" s="1">
        <f>IFERROR(__xludf.DUMMYFUNCTION("""COMPUTED_VALUE"""),664766.0)</f>
        <v>664766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IFERROR(__xludf.DUMMYFUNCTION("""COMPUTED_VALUE"""),142.32)</f>
        <v>142.32</v>
      </c>
      <c r="C2974" s="1">
        <f>IFERROR(__xludf.DUMMYFUNCTION("""COMPUTED_VALUE"""),144.41)</f>
        <v>144.41</v>
      </c>
      <c r="D2974" s="1">
        <f>IFERROR(__xludf.DUMMYFUNCTION("""COMPUTED_VALUE"""),141.78)</f>
        <v>141.78</v>
      </c>
      <c r="E2974" s="1">
        <f>IFERROR(__xludf.DUMMYFUNCTION("""COMPUTED_VALUE"""),143.43)</f>
        <v>143.43</v>
      </c>
      <c r="F2974" s="1">
        <f>IFERROR(__xludf.DUMMYFUNCTION("""COMPUTED_VALUE"""),619943.0)</f>
        <v>619943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IFERROR(__xludf.DUMMYFUNCTION("""COMPUTED_VALUE"""),143.44)</f>
        <v>143.44</v>
      </c>
      <c r="C2975" s="1">
        <f>IFERROR(__xludf.DUMMYFUNCTION("""COMPUTED_VALUE"""),144.11)</f>
        <v>144.11</v>
      </c>
      <c r="D2975" s="1">
        <f>IFERROR(__xludf.DUMMYFUNCTION("""COMPUTED_VALUE"""),139.92)</f>
        <v>139.92</v>
      </c>
      <c r="E2975" s="1">
        <f>IFERROR(__xludf.DUMMYFUNCTION("""COMPUTED_VALUE"""),139.97)</f>
        <v>139.97</v>
      </c>
      <c r="F2975" s="1">
        <f>IFERROR(__xludf.DUMMYFUNCTION("""COMPUTED_VALUE"""),921410.0)</f>
        <v>921410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IFERROR(__xludf.DUMMYFUNCTION("""COMPUTED_VALUE"""),140.39)</f>
        <v>140.39</v>
      </c>
      <c r="C2976" s="1">
        <f>IFERROR(__xludf.DUMMYFUNCTION("""COMPUTED_VALUE"""),140.39)</f>
        <v>140.39</v>
      </c>
      <c r="D2976" s="1">
        <f>IFERROR(__xludf.DUMMYFUNCTION("""COMPUTED_VALUE"""),135.64)</f>
        <v>135.64</v>
      </c>
      <c r="E2976" s="1">
        <f>IFERROR(__xludf.DUMMYFUNCTION("""COMPUTED_VALUE"""),137.44)</f>
        <v>137.44</v>
      </c>
      <c r="F2976" s="1">
        <f>IFERROR(__xludf.DUMMYFUNCTION("""COMPUTED_VALUE"""),1188696.0)</f>
        <v>1188696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IFERROR(__xludf.DUMMYFUNCTION("""COMPUTED_VALUE"""),137.59)</f>
        <v>137.59</v>
      </c>
      <c r="C2977" s="1">
        <f>IFERROR(__xludf.DUMMYFUNCTION("""COMPUTED_VALUE"""),138.58)</f>
        <v>138.58</v>
      </c>
      <c r="D2977" s="1">
        <f>IFERROR(__xludf.DUMMYFUNCTION("""COMPUTED_VALUE"""),136.65)</f>
        <v>136.65</v>
      </c>
      <c r="E2977" s="1">
        <f>IFERROR(__xludf.DUMMYFUNCTION("""COMPUTED_VALUE"""),137.15)</f>
        <v>137.15</v>
      </c>
      <c r="F2977" s="1">
        <f>IFERROR(__xludf.DUMMYFUNCTION("""COMPUTED_VALUE"""),659890.0)</f>
        <v>659890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IFERROR(__xludf.DUMMYFUNCTION("""COMPUTED_VALUE"""),137.43)</f>
        <v>137.43</v>
      </c>
      <c r="C2978" s="1">
        <f>IFERROR(__xludf.DUMMYFUNCTION("""COMPUTED_VALUE"""),137.73)</f>
        <v>137.73</v>
      </c>
      <c r="D2978" s="1">
        <f>IFERROR(__xludf.DUMMYFUNCTION("""COMPUTED_VALUE"""),134.63)</f>
        <v>134.63</v>
      </c>
      <c r="E2978" s="1">
        <f>IFERROR(__xludf.DUMMYFUNCTION("""COMPUTED_VALUE"""),136.12)</f>
        <v>136.12</v>
      </c>
      <c r="F2978" s="1">
        <f>IFERROR(__xludf.DUMMYFUNCTION("""COMPUTED_VALUE"""),983761.0)</f>
        <v>983761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IFERROR(__xludf.DUMMYFUNCTION("""COMPUTED_VALUE"""),135.39)</f>
        <v>135.39</v>
      </c>
      <c r="C2979" s="1">
        <f>IFERROR(__xludf.DUMMYFUNCTION("""COMPUTED_VALUE"""),137.77)</f>
        <v>137.77</v>
      </c>
      <c r="D2979" s="1">
        <f>IFERROR(__xludf.DUMMYFUNCTION("""COMPUTED_VALUE"""),135.0)</f>
        <v>135</v>
      </c>
      <c r="E2979" s="1">
        <f>IFERROR(__xludf.DUMMYFUNCTION("""COMPUTED_VALUE"""),136.92)</f>
        <v>136.92</v>
      </c>
      <c r="F2979" s="1">
        <f>IFERROR(__xludf.DUMMYFUNCTION("""COMPUTED_VALUE"""),1079749.0)</f>
        <v>1079749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IFERROR(__xludf.DUMMYFUNCTION("""COMPUTED_VALUE"""),138.06)</f>
        <v>138.06</v>
      </c>
      <c r="C2980" s="1">
        <f>IFERROR(__xludf.DUMMYFUNCTION("""COMPUTED_VALUE"""),139.35)</f>
        <v>139.35</v>
      </c>
      <c r="D2980" s="1">
        <f>IFERROR(__xludf.DUMMYFUNCTION("""COMPUTED_VALUE"""),136.58)</f>
        <v>136.58</v>
      </c>
      <c r="E2980" s="1">
        <f>IFERROR(__xludf.DUMMYFUNCTION("""COMPUTED_VALUE"""),138.95)</f>
        <v>138.95</v>
      </c>
      <c r="F2980" s="1">
        <f>IFERROR(__xludf.DUMMYFUNCTION("""COMPUTED_VALUE"""),1463940.0)</f>
        <v>1463940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IFERROR(__xludf.DUMMYFUNCTION("""COMPUTED_VALUE"""),139.02)</f>
        <v>139.02</v>
      </c>
      <c r="C2981" s="1">
        <f>IFERROR(__xludf.DUMMYFUNCTION("""COMPUTED_VALUE"""),145.05)</f>
        <v>145.05</v>
      </c>
      <c r="D2981" s="1">
        <f>IFERROR(__xludf.DUMMYFUNCTION("""COMPUTED_VALUE"""),137.79)</f>
        <v>137.79</v>
      </c>
      <c r="E2981" s="1">
        <f>IFERROR(__xludf.DUMMYFUNCTION("""COMPUTED_VALUE"""),144.39)</f>
        <v>144.39</v>
      </c>
      <c r="F2981" s="1">
        <f>IFERROR(__xludf.DUMMYFUNCTION("""COMPUTED_VALUE"""),1911738.0)</f>
        <v>1911738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IFERROR(__xludf.DUMMYFUNCTION("""COMPUTED_VALUE"""),144.91)</f>
        <v>144.91</v>
      </c>
      <c r="C2982" s="1">
        <f>IFERROR(__xludf.DUMMYFUNCTION("""COMPUTED_VALUE"""),147.57)</f>
        <v>147.57</v>
      </c>
      <c r="D2982" s="1">
        <f>IFERROR(__xludf.DUMMYFUNCTION("""COMPUTED_VALUE"""),144.53)</f>
        <v>144.53</v>
      </c>
      <c r="E2982" s="1">
        <f>IFERROR(__xludf.DUMMYFUNCTION("""COMPUTED_VALUE"""),147.51)</f>
        <v>147.51</v>
      </c>
      <c r="F2982" s="1">
        <f>IFERROR(__xludf.DUMMYFUNCTION("""COMPUTED_VALUE"""),1253840.0)</f>
        <v>1253840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IFERROR(__xludf.DUMMYFUNCTION("""COMPUTED_VALUE"""),147.64)</f>
        <v>147.64</v>
      </c>
      <c r="C2983" s="1">
        <f>IFERROR(__xludf.DUMMYFUNCTION("""COMPUTED_VALUE"""),151.76)</f>
        <v>151.76</v>
      </c>
      <c r="D2983" s="1">
        <f>IFERROR(__xludf.DUMMYFUNCTION("""COMPUTED_VALUE"""),147.32)</f>
        <v>147.32</v>
      </c>
      <c r="E2983" s="1">
        <f>IFERROR(__xludf.DUMMYFUNCTION("""COMPUTED_VALUE"""),151.01)</f>
        <v>151.01</v>
      </c>
      <c r="F2983" s="1">
        <f>IFERROR(__xludf.DUMMYFUNCTION("""COMPUTED_VALUE"""),1213473.0)</f>
        <v>1213473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IFERROR(__xludf.DUMMYFUNCTION("""COMPUTED_VALUE"""),152.77)</f>
        <v>152.77</v>
      </c>
      <c r="C2984" s="1">
        <f>IFERROR(__xludf.DUMMYFUNCTION("""COMPUTED_VALUE"""),154.74)</f>
        <v>154.74</v>
      </c>
      <c r="D2984" s="1">
        <f>IFERROR(__xludf.DUMMYFUNCTION("""COMPUTED_VALUE"""),152.76)</f>
        <v>152.76</v>
      </c>
      <c r="E2984" s="1">
        <f>IFERROR(__xludf.DUMMYFUNCTION("""COMPUTED_VALUE"""),154.69)</f>
        <v>154.69</v>
      </c>
      <c r="F2984" s="1">
        <f>IFERROR(__xludf.DUMMYFUNCTION("""COMPUTED_VALUE"""),1318442.0)</f>
        <v>1318442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IFERROR(__xludf.DUMMYFUNCTION("""COMPUTED_VALUE"""),154.85)</f>
        <v>154.85</v>
      </c>
      <c r="C2985" s="1">
        <f>IFERROR(__xludf.DUMMYFUNCTION("""COMPUTED_VALUE"""),155.98)</f>
        <v>155.98</v>
      </c>
      <c r="D2985" s="1">
        <f>IFERROR(__xludf.DUMMYFUNCTION("""COMPUTED_VALUE"""),153.21)</f>
        <v>153.21</v>
      </c>
      <c r="E2985" s="1">
        <f>IFERROR(__xludf.DUMMYFUNCTION("""COMPUTED_VALUE"""),153.95)</f>
        <v>153.95</v>
      </c>
      <c r="F2985" s="1">
        <f>IFERROR(__xludf.DUMMYFUNCTION("""COMPUTED_VALUE"""),1547440.0)</f>
        <v>1547440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IFERROR(__xludf.DUMMYFUNCTION("""COMPUTED_VALUE"""),153.27)</f>
        <v>153.27</v>
      </c>
      <c r="C2986" s="1">
        <f>IFERROR(__xludf.DUMMYFUNCTION("""COMPUTED_VALUE"""),155.21)</f>
        <v>155.21</v>
      </c>
      <c r="D2986" s="1">
        <f>IFERROR(__xludf.DUMMYFUNCTION("""COMPUTED_VALUE"""),153.05)</f>
        <v>153.05</v>
      </c>
      <c r="E2986" s="1">
        <f>IFERROR(__xludf.DUMMYFUNCTION("""COMPUTED_VALUE"""),154.85)</f>
        <v>154.85</v>
      </c>
      <c r="F2986" s="1">
        <f>IFERROR(__xludf.DUMMYFUNCTION("""COMPUTED_VALUE"""),1000575.0)</f>
        <v>1000575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IFERROR(__xludf.DUMMYFUNCTION("""COMPUTED_VALUE"""),153.39)</f>
        <v>153.39</v>
      </c>
      <c r="C2987" s="1">
        <f>IFERROR(__xludf.DUMMYFUNCTION("""COMPUTED_VALUE"""),154.95)</f>
        <v>154.95</v>
      </c>
      <c r="D2987" s="1">
        <f>IFERROR(__xludf.DUMMYFUNCTION("""COMPUTED_VALUE"""),151.46)</f>
        <v>151.46</v>
      </c>
      <c r="E2987" s="1">
        <f>IFERROR(__xludf.DUMMYFUNCTION("""COMPUTED_VALUE"""),151.95)</f>
        <v>151.95</v>
      </c>
      <c r="F2987" s="1">
        <f>IFERROR(__xludf.DUMMYFUNCTION("""COMPUTED_VALUE"""),883159.0)</f>
        <v>883159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IFERROR(__xludf.DUMMYFUNCTION("""COMPUTED_VALUE"""),151.59)</f>
        <v>151.59</v>
      </c>
      <c r="C2988" s="1">
        <f>IFERROR(__xludf.DUMMYFUNCTION("""COMPUTED_VALUE"""),152.07)</f>
        <v>152.07</v>
      </c>
      <c r="D2988" s="1">
        <f>IFERROR(__xludf.DUMMYFUNCTION("""COMPUTED_VALUE"""),150.12)</f>
        <v>150.12</v>
      </c>
      <c r="E2988" s="1">
        <f>IFERROR(__xludf.DUMMYFUNCTION("""COMPUTED_VALUE"""),150.15)</f>
        <v>150.15</v>
      </c>
      <c r="F2988" s="1">
        <f>IFERROR(__xludf.DUMMYFUNCTION("""COMPUTED_VALUE"""),737204.0)</f>
        <v>737204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IFERROR(__xludf.DUMMYFUNCTION("""COMPUTED_VALUE"""),150.15)</f>
        <v>150.15</v>
      </c>
      <c r="C2989" s="1">
        <f>IFERROR(__xludf.DUMMYFUNCTION("""COMPUTED_VALUE"""),150.61)</f>
        <v>150.61</v>
      </c>
      <c r="D2989" s="1">
        <f>IFERROR(__xludf.DUMMYFUNCTION("""COMPUTED_VALUE"""),148.28)</f>
        <v>148.28</v>
      </c>
      <c r="E2989" s="1">
        <f>IFERROR(__xludf.DUMMYFUNCTION("""COMPUTED_VALUE"""),148.81)</f>
        <v>148.81</v>
      </c>
      <c r="F2989" s="1">
        <f>IFERROR(__xludf.DUMMYFUNCTION("""COMPUTED_VALUE"""),645514.0)</f>
        <v>645514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IFERROR(__xludf.DUMMYFUNCTION("""COMPUTED_VALUE"""),150.19)</f>
        <v>150.19</v>
      </c>
      <c r="C2990" s="1">
        <f>IFERROR(__xludf.DUMMYFUNCTION("""COMPUTED_VALUE"""),150.9)</f>
        <v>150.9</v>
      </c>
      <c r="D2990" s="1">
        <f>IFERROR(__xludf.DUMMYFUNCTION("""COMPUTED_VALUE"""),148.48)</f>
        <v>148.48</v>
      </c>
      <c r="E2990" s="1">
        <f>IFERROR(__xludf.DUMMYFUNCTION("""COMPUTED_VALUE"""),149.62)</f>
        <v>149.62</v>
      </c>
      <c r="F2990" s="1">
        <f>IFERROR(__xludf.DUMMYFUNCTION("""COMPUTED_VALUE"""),526655.0)</f>
        <v>526655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IFERROR(__xludf.DUMMYFUNCTION("""COMPUTED_VALUE"""),148.87)</f>
        <v>148.87</v>
      </c>
      <c r="C2991" s="1">
        <f>IFERROR(__xludf.DUMMYFUNCTION("""COMPUTED_VALUE"""),150.0)</f>
        <v>150</v>
      </c>
      <c r="D2991" s="1">
        <f>IFERROR(__xludf.DUMMYFUNCTION("""COMPUTED_VALUE"""),146.33)</f>
        <v>146.33</v>
      </c>
      <c r="E2991" s="1">
        <f>IFERROR(__xludf.DUMMYFUNCTION("""COMPUTED_VALUE"""),148.01)</f>
        <v>148.01</v>
      </c>
      <c r="F2991" s="1">
        <f>IFERROR(__xludf.DUMMYFUNCTION("""COMPUTED_VALUE"""),1292348.0)</f>
        <v>1292348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IFERROR(__xludf.DUMMYFUNCTION("""COMPUTED_VALUE"""),147.95)</f>
        <v>147.95</v>
      </c>
      <c r="C2992" s="1">
        <f>IFERROR(__xludf.DUMMYFUNCTION("""COMPUTED_VALUE"""),148.11)</f>
        <v>148.11</v>
      </c>
      <c r="D2992" s="1">
        <f>IFERROR(__xludf.DUMMYFUNCTION("""COMPUTED_VALUE"""),145.41)</f>
        <v>145.41</v>
      </c>
      <c r="E2992" s="1">
        <f>IFERROR(__xludf.DUMMYFUNCTION("""COMPUTED_VALUE"""),147.3)</f>
        <v>147.3</v>
      </c>
      <c r="F2992" s="1">
        <f>IFERROR(__xludf.DUMMYFUNCTION("""COMPUTED_VALUE"""),1042037.0)</f>
        <v>1042037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IFERROR(__xludf.DUMMYFUNCTION("""COMPUTED_VALUE"""),148.5)</f>
        <v>148.5</v>
      </c>
      <c r="C2993" s="1">
        <f>IFERROR(__xludf.DUMMYFUNCTION("""COMPUTED_VALUE"""),148.5)</f>
        <v>148.5</v>
      </c>
      <c r="D2993" s="1">
        <f>IFERROR(__xludf.DUMMYFUNCTION("""COMPUTED_VALUE"""),145.13)</f>
        <v>145.13</v>
      </c>
      <c r="E2993" s="1">
        <f>IFERROR(__xludf.DUMMYFUNCTION("""COMPUTED_VALUE"""),146.04)</f>
        <v>146.04</v>
      </c>
      <c r="F2993" s="1">
        <f>IFERROR(__xludf.DUMMYFUNCTION("""COMPUTED_VALUE"""),891542.0)</f>
        <v>891542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IFERROR(__xludf.DUMMYFUNCTION("""COMPUTED_VALUE"""),146.23)</f>
        <v>146.23</v>
      </c>
      <c r="C2994" s="1">
        <f>IFERROR(__xludf.DUMMYFUNCTION("""COMPUTED_VALUE"""),147.71)</f>
        <v>147.71</v>
      </c>
      <c r="D2994" s="1">
        <f>IFERROR(__xludf.DUMMYFUNCTION("""COMPUTED_VALUE"""),144.53)</f>
        <v>144.53</v>
      </c>
      <c r="E2994" s="1">
        <f>IFERROR(__xludf.DUMMYFUNCTION("""COMPUTED_VALUE"""),146.99)</f>
        <v>146.99</v>
      </c>
      <c r="F2994" s="1">
        <f>IFERROR(__xludf.DUMMYFUNCTION("""COMPUTED_VALUE"""),905003.0)</f>
        <v>905003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IFERROR(__xludf.DUMMYFUNCTION("""COMPUTED_VALUE"""),147.99)</f>
        <v>147.99</v>
      </c>
      <c r="C2995" s="1">
        <f>IFERROR(__xludf.DUMMYFUNCTION("""COMPUTED_VALUE"""),149.96)</f>
        <v>149.96</v>
      </c>
      <c r="D2995" s="1">
        <f>IFERROR(__xludf.DUMMYFUNCTION("""COMPUTED_VALUE"""),147.02)</f>
        <v>147.02</v>
      </c>
      <c r="E2995" s="1">
        <f>IFERROR(__xludf.DUMMYFUNCTION("""COMPUTED_VALUE"""),147.09)</f>
        <v>147.09</v>
      </c>
      <c r="F2995" s="1">
        <f>IFERROR(__xludf.DUMMYFUNCTION("""COMPUTED_VALUE"""),706018.0)</f>
        <v>706018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IFERROR(__xludf.DUMMYFUNCTION("""COMPUTED_VALUE"""),147.0)</f>
        <v>147</v>
      </c>
      <c r="C2996" s="1">
        <f>IFERROR(__xludf.DUMMYFUNCTION("""COMPUTED_VALUE"""),147.92)</f>
        <v>147.92</v>
      </c>
      <c r="D2996" s="1">
        <f>IFERROR(__xludf.DUMMYFUNCTION("""COMPUTED_VALUE"""),143.49)</f>
        <v>143.49</v>
      </c>
      <c r="E2996" s="1">
        <f>IFERROR(__xludf.DUMMYFUNCTION("""COMPUTED_VALUE"""),146.32)</f>
        <v>146.32</v>
      </c>
      <c r="F2996" s="1">
        <f>IFERROR(__xludf.DUMMYFUNCTION("""COMPUTED_VALUE"""),724773.0)</f>
        <v>724773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IFERROR(__xludf.DUMMYFUNCTION("""COMPUTED_VALUE"""),144.49)</f>
        <v>144.49</v>
      </c>
      <c r="C2997" s="1">
        <f>IFERROR(__xludf.DUMMYFUNCTION("""COMPUTED_VALUE"""),147.72)</f>
        <v>147.72</v>
      </c>
      <c r="D2997" s="1">
        <f>IFERROR(__xludf.DUMMYFUNCTION("""COMPUTED_VALUE"""),143.12)</f>
        <v>143.12</v>
      </c>
      <c r="E2997" s="1">
        <f>IFERROR(__xludf.DUMMYFUNCTION("""COMPUTED_VALUE"""),147.36)</f>
        <v>147.36</v>
      </c>
      <c r="F2997" s="1">
        <f>IFERROR(__xludf.DUMMYFUNCTION("""COMPUTED_VALUE"""),496582.0)</f>
        <v>496582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IFERROR(__xludf.DUMMYFUNCTION("""COMPUTED_VALUE"""),144.12)</f>
        <v>144.12</v>
      </c>
      <c r="C2998" s="1">
        <f>IFERROR(__xludf.DUMMYFUNCTION("""COMPUTED_VALUE"""),146.99)</f>
        <v>146.99</v>
      </c>
      <c r="D2998" s="1">
        <f>IFERROR(__xludf.DUMMYFUNCTION("""COMPUTED_VALUE"""),143.47)</f>
        <v>143.47</v>
      </c>
      <c r="E2998" s="1">
        <f>IFERROR(__xludf.DUMMYFUNCTION("""COMPUTED_VALUE"""),145.75)</f>
        <v>145.75</v>
      </c>
      <c r="F2998" s="1">
        <f>IFERROR(__xludf.DUMMYFUNCTION("""COMPUTED_VALUE"""),543392.0)</f>
        <v>543392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IFERROR(__xludf.DUMMYFUNCTION("""COMPUTED_VALUE"""),147.59)</f>
        <v>147.59</v>
      </c>
      <c r="C2999" s="1">
        <f>IFERROR(__xludf.DUMMYFUNCTION("""COMPUTED_VALUE"""),148.84)</f>
        <v>148.84</v>
      </c>
      <c r="D2999" s="1">
        <f>IFERROR(__xludf.DUMMYFUNCTION("""COMPUTED_VALUE"""),145.66)</f>
        <v>145.66</v>
      </c>
      <c r="E2999" s="1">
        <f>IFERROR(__xludf.DUMMYFUNCTION("""COMPUTED_VALUE"""),146.48)</f>
        <v>146.48</v>
      </c>
      <c r="F2999" s="1">
        <f>IFERROR(__xludf.DUMMYFUNCTION("""COMPUTED_VALUE"""),718256.0)</f>
        <v>718256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IFERROR(__xludf.DUMMYFUNCTION("""COMPUTED_VALUE"""),145.62)</f>
        <v>145.62</v>
      </c>
      <c r="C3000" s="1">
        <f>IFERROR(__xludf.DUMMYFUNCTION("""COMPUTED_VALUE"""),146.93)</f>
        <v>146.93</v>
      </c>
      <c r="D3000" s="1">
        <f>IFERROR(__xludf.DUMMYFUNCTION("""COMPUTED_VALUE"""),141.04)</f>
        <v>141.04</v>
      </c>
      <c r="E3000" s="1">
        <f>IFERROR(__xludf.DUMMYFUNCTION("""COMPUTED_VALUE"""),141.25)</f>
        <v>141.25</v>
      </c>
      <c r="F3000" s="1">
        <f>IFERROR(__xludf.DUMMYFUNCTION("""COMPUTED_VALUE"""),1285012.0)</f>
        <v>1285012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IFERROR(__xludf.DUMMYFUNCTION("""COMPUTED_VALUE"""),143.32)</f>
        <v>143.32</v>
      </c>
      <c r="C3001" s="1">
        <f>IFERROR(__xludf.DUMMYFUNCTION("""COMPUTED_VALUE"""),147.37)</f>
        <v>147.37</v>
      </c>
      <c r="D3001" s="1">
        <f>IFERROR(__xludf.DUMMYFUNCTION("""COMPUTED_VALUE"""),140.25)</f>
        <v>140.25</v>
      </c>
      <c r="E3001" s="1">
        <f>IFERROR(__xludf.DUMMYFUNCTION("""COMPUTED_VALUE"""),140.31)</f>
        <v>140.31</v>
      </c>
      <c r="F3001" s="1">
        <f>IFERROR(__xludf.DUMMYFUNCTION("""COMPUTED_VALUE"""),936993.0)</f>
        <v>936993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IFERROR(__xludf.DUMMYFUNCTION("""COMPUTED_VALUE"""),140.54)</f>
        <v>140.54</v>
      </c>
      <c r="C3002" s="1">
        <f>IFERROR(__xludf.DUMMYFUNCTION("""COMPUTED_VALUE"""),144.93)</f>
        <v>144.93</v>
      </c>
      <c r="D3002" s="1">
        <f>IFERROR(__xludf.DUMMYFUNCTION("""COMPUTED_VALUE"""),140.22)</f>
        <v>140.22</v>
      </c>
      <c r="E3002" s="1">
        <f>IFERROR(__xludf.DUMMYFUNCTION("""COMPUTED_VALUE"""),144.09)</f>
        <v>144.09</v>
      </c>
      <c r="F3002" s="1">
        <f>IFERROR(__xludf.DUMMYFUNCTION("""COMPUTED_VALUE"""),953904.0)</f>
        <v>953904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IFERROR(__xludf.DUMMYFUNCTION("""COMPUTED_VALUE"""),144.75)</f>
        <v>144.75</v>
      </c>
      <c r="C3003" s="1">
        <f>IFERROR(__xludf.DUMMYFUNCTION("""COMPUTED_VALUE"""),145.63)</f>
        <v>145.63</v>
      </c>
      <c r="D3003" s="1">
        <f>IFERROR(__xludf.DUMMYFUNCTION("""COMPUTED_VALUE"""),141.24)</f>
        <v>141.24</v>
      </c>
      <c r="E3003" s="1">
        <f>IFERROR(__xludf.DUMMYFUNCTION("""COMPUTED_VALUE"""),142.68)</f>
        <v>142.68</v>
      </c>
      <c r="F3003" s="1">
        <f>IFERROR(__xludf.DUMMYFUNCTION("""COMPUTED_VALUE"""),776891.0)</f>
        <v>776891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IFERROR(__xludf.DUMMYFUNCTION("""COMPUTED_VALUE"""),143.93)</f>
        <v>143.93</v>
      </c>
      <c r="C3004" s="1">
        <f>IFERROR(__xludf.DUMMYFUNCTION("""COMPUTED_VALUE"""),147.99)</f>
        <v>147.99</v>
      </c>
      <c r="D3004" s="1">
        <f>IFERROR(__xludf.DUMMYFUNCTION("""COMPUTED_VALUE"""),142.8)</f>
        <v>142.8</v>
      </c>
      <c r="E3004" s="1">
        <f>IFERROR(__xludf.DUMMYFUNCTION("""COMPUTED_VALUE"""),144.5)</f>
        <v>144.5</v>
      </c>
      <c r="F3004" s="1">
        <f>IFERROR(__xludf.DUMMYFUNCTION("""COMPUTED_VALUE"""),911629.0)</f>
        <v>911629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IFERROR(__xludf.DUMMYFUNCTION("""COMPUTED_VALUE"""),149.4)</f>
        <v>149.4</v>
      </c>
      <c r="C3005" s="1">
        <f>IFERROR(__xludf.DUMMYFUNCTION("""COMPUTED_VALUE"""),152.28)</f>
        <v>152.28</v>
      </c>
      <c r="D3005" s="1">
        <f>IFERROR(__xludf.DUMMYFUNCTION("""COMPUTED_VALUE"""),149.4)</f>
        <v>149.4</v>
      </c>
      <c r="E3005" s="1">
        <f>IFERROR(__xludf.DUMMYFUNCTION("""COMPUTED_VALUE"""),149.91)</f>
        <v>149.91</v>
      </c>
      <c r="F3005" s="1">
        <f>IFERROR(__xludf.DUMMYFUNCTION("""COMPUTED_VALUE"""),1342288.0)</f>
        <v>1342288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IFERROR(__xludf.DUMMYFUNCTION("""COMPUTED_VALUE"""),149.66)</f>
        <v>149.66</v>
      </c>
      <c r="C3006" s="1">
        <f>IFERROR(__xludf.DUMMYFUNCTION("""COMPUTED_VALUE"""),151.18)</f>
        <v>151.18</v>
      </c>
      <c r="D3006" s="1">
        <f>IFERROR(__xludf.DUMMYFUNCTION("""COMPUTED_VALUE"""),148.03)</f>
        <v>148.03</v>
      </c>
      <c r="E3006" s="1">
        <f>IFERROR(__xludf.DUMMYFUNCTION("""COMPUTED_VALUE"""),148.84)</f>
        <v>148.84</v>
      </c>
      <c r="F3006" s="1">
        <f>IFERROR(__xludf.DUMMYFUNCTION("""COMPUTED_VALUE"""),649880.0)</f>
        <v>649880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IFERROR(__xludf.DUMMYFUNCTION("""COMPUTED_VALUE"""),148.34)</f>
        <v>148.34</v>
      </c>
      <c r="C3007" s="1">
        <f>IFERROR(__xludf.DUMMYFUNCTION("""COMPUTED_VALUE"""),149.45)</f>
        <v>149.45</v>
      </c>
      <c r="D3007" s="1">
        <f>IFERROR(__xludf.DUMMYFUNCTION("""COMPUTED_VALUE"""),146.45)</f>
        <v>146.45</v>
      </c>
      <c r="E3007" s="1">
        <f>IFERROR(__xludf.DUMMYFUNCTION("""COMPUTED_VALUE"""),146.6)</f>
        <v>146.6</v>
      </c>
      <c r="F3007" s="1">
        <f>IFERROR(__xludf.DUMMYFUNCTION("""COMPUTED_VALUE"""),669854.0)</f>
        <v>669854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IFERROR(__xludf.DUMMYFUNCTION("""COMPUTED_VALUE"""),147.54)</f>
        <v>147.54</v>
      </c>
      <c r="C3008" s="1">
        <f>IFERROR(__xludf.DUMMYFUNCTION("""COMPUTED_VALUE"""),149.77)</f>
        <v>149.77</v>
      </c>
      <c r="D3008" s="1">
        <f>IFERROR(__xludf.DUMMYFUNCTION("""COMPUTED_VALUE"""),146.46)</f>
        <v>146.46</v>
      </c>
      <c r="E3008" s="1">
        <f>IFERROR(__xludf.DUMMYFUNCTION("""COMPUTED_VALUE"""),149.48)</f>
        <v>149.48</v>
      </c>
      <c r="F3008" s="1">
        <f>IFERROR(__xludf.DUMMYFUNCTION("""COMPUTED_VALUE"""),618867.0)</f>
        <v>618867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IFERROR(__xludf.DUMMYFUNCTION("""COMPUTED_VALUE"""),149.83)</f>
        <v>149.83</v>
      </c>
      <c r="C3009" s="1">
        <f>IFERROR(__xludf.DUMMYFUNCTION("""COMPUTED_VALUE"""),150.32)</f>
        <v>150.32</v>
      </c>
      <c r="D3009" s="1">
        <f>IFERROR(__xludf.DUMMYFUNCTION("""COMPUTED_VALUE"""),142.96)</f>
        <v>142.96</v>
      </c>
      <c r="E3009" s="1">
        <f>IFERROR(__xludf.DUMMYFUNCTION("""COMPUTED_VALUE"""),143.25)</f>
        <v>143.25</v>
      </c>
      <c r="F3009" s="1">
        <f>IFERROR(__xludf.DUMMYFUNCTION("""COMPUTED_VALUE"""),864706.0)</f>
        <v>864706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IFERROR(__xludf.DUMMYFUNCTION("""COMPUTED_VALUE"""),141.09)</f>
        <v>141.09</v>
      </c>
      <c r="C3010" s="1">
        <f>IFERROR(__xludf.DUMMYFUNCTION("""COMPUTED_VALUE"""),144.91)</f>
        <v>144.91</v>
      </c>
      <c r="D3010" s="1">
        <f>IFERROR(__xludf.DUMMYFUNCTION("""COMPUTED_VALUE"""),140.22)</f>
        <v>140.22</v>
      </c>
      <c r="E3010" s="1">
        <f>IFERROR(__xludf.DUMMYFUNCTION("""COMPUTED_VALUE"""),141.31)</f>
        <v>141.31</v>
      </c>
      <c r="F3010" s="1">
        <f>IFERROR(__xludf.DUMMYFUNCTION("""COMPUTED_VALUE"""),814272.0)</f>
        <v>814272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IFERROR(__xludf.DUMMYFUNCTION("""COMPUTED_VALUE"""),141.29)</f>
        <v>141.29</v>
      </c>
      <c r="C3011" s="1">
        <f>IFERROR(__xludf.DUMMYFUNCTION("""COMPUTED_VALUE"""),142.65)</f>
        <v>142.65</v>
      </c>
      <c r="D3011" s="1">
        <f>IFERROR(__xludf.DUMMYFUNCTION("""COMPUTED_VALUE"""),139.48)</f>
        <v>139.48</v>
      </c>
      <c r="E3011" s="1">
        <f>IFERROR(__xludf.DUMMYFUNCTION("""COMPUTED_VALUE"""),141.99)</f>
        <v>141.99</v>
      </c>
      <c r="F3011" s="1">
        <f>IFERROR(__xludf.DUMMYFUNCTION("""COMPUTED_VALUE"""),932523.0)</f>
        <v>932523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IFERROR(__xludf.DUMMYFUNCTION("""COMPUTED_VALUE"""),144.68)</f>
        <v>144.68</v>
      </c>
      <c r="C3012" s="1">
        <f>IFERROR(__xludf.DUMMYFUNCTION("""COMPUTED_VALUE"""),145.17)</f>
        <v>145.17</v>
      </c>
      <c r="D3012" s="1">
        <f>IFERROR(__xludf.DUMMYFUNCTION("""COMPUTED_VALUE"""),136.78)</f>
        <v>136.78</v>
      </c>
      <c r="E3012" s="1">
        <f>IFERROR(__xludf.DUMMYFUNCTION("""COMPUTED_VALUE"""),137.4)</f>
        <v>137.4</v>
      </c>
      <c r="F3012" s="1">
        <f>IFERROR(__xludf.DUMMYFUNCTION("""COMPUTED_VALUE"""),1040308.0)</f>
        <v>1040308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IFERROR(__xludf.DUMMYFUNCTION("""COMPUTED_VALUE"""),137.05)</f>
        <v>137.05</v>
      </c>
      <c r="C3013" s="1">
        <f>IFERROR(__xludf.DUMMYFUNCTION("""COMPUTED_VALUE"""),138.82)</f>
        <v>138.82</v>
      </c>
      <c r="D3013" s="1">
        <f>IFERROR(__xludf.DUMMYFUNCTION("""COMPUTED_VALUE"""),134.81)</f>
        <v>134.81</v>
      </c>
      <c r="E3013" s="1">
        <f>IFERROR(__xludf.DUMMYFUNCTION("""COMPUTED_VALUE"""),137.54)</f>
        <v>137.54</v>
      </c>
      <c r="F3013" s="1">
        <f>IFERROR(__xludf.DUMMYFUNCTION("""COMPUTED_VALUE"""),2080397.0)</f>
        <v>2080397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IFERROR(__xludf.DUMMYFUNCTION("""COMPUTED_VALUE"""),135.07)</f>
        <v>135.07</v>
      </c>
      <c r="C3014" s="1">
        <f>IFERROR(__xludf.DUMMYFUNCTION("""COMPUTED_VALUE"""),135.3)</f>
        <v>135.3</v>
      </c>
      <c r="D3014" s="1">
        <f>IFERROR(__xludf.DUMMYFUNCTION("""COMPUTED_VALUE"""),130.44)</f>
        <v>130.44</v>
      </c>
      <c r="E3014" s="1">
        <f>IFERROR(__xludf.DUMMYFUNCTION("""COMPUTED_VALUE"""),131.75)</f>
        <v>131.75</v>
      </c>
      <c r="F3014" s="1">
        <f>IFERROR(__xludf.DUMMYFUNCTION("""COMPUTED_VALUE"""),1272396.0)</f>
        <v>1272396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IFERROR(__xludf.DUMMYFUNCTION("""COMPUTED_VALUE"""),133.5)</f>
        <v>133.5</v>
      </c>
      <c r="C3015" s="1">
        <f>IFERROR(__xludf.DUMMYFUNCTION("""COMPUTED_VALUE"""),137.18)</f>
        <v>137.18</v>
      </c>
      <c r="D3015" s="1">
        <f>IFERROR(__xludf.DUMMYFUNCTION("""COMPUTED_VALUE"""),132.73)</f>
        <v>132.73</v>
      </c>
      <c r="E3015" s="1">
        <f>IFERROR(__xludf.DUMMYFUNCTION("""COMPUTED_VALUE"""),136.99)</f>
        <v>136.99</v>
      </c>
      <c r="F3015" s="1">
        <f>IFERROR(__xludf.DUMMYFUNCTION("""COMPUTED_VALUE"""),1694397.0)</f>
        <v>1694397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IFERROR(__xludf.DUMMYFUNCTION("""COMPUTED_VALUE"""),139.7)</f>
        <v>139.7</v>
      </c>
      <c r="C3016" s="1">
        <f>IFERROR(__xludf.DUMMYFUNCTION("""COMPUTED_VALUE"""),139.8)</f>
        <v>139.8</v>
      </c>
      <c r="D3016" s="1">
        <f>IFERROR(__xludf.DUMMYFUNCTION("""COMPUTED_VALUE"""),127.52)</f>
        <v>127.52</v>
      </c>
      <c r="E3016" s="1">
        <f>IFERROR(__xludf.DUMMYFUNCTION("""COMPUTED_VALUE"""),127.87)</f>
        <v>127.87</v>
      </c>
      <c r="F3016" s="1">
        <f>IFERROR(__xludf.DUMMYFUNCTION("""COMPUTED_VALUE"""),4585245.0)</f>
        <v>4585245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IFERROR(__xludf.DUMMYFUNCTION("""COMPUTED_VALUE"""),128.2)</f>
        <v>128.2</v>
      </c>
      <c r="C3017" s="1">
        <f>IFERROR(__xludf.DUMMYFUNCTION("""COMPUTED_VALUE"""),131.2)</f>
        <v>131.2</v>
      </c>
      <c r="D3017" s="1">
        <f>IFERROR(__xludf.DUMMYFUNCTION("""COMPUTED_VALUE"""),126.03)</f>
        <v>126.03</v>
      </c>
      <c r="E3017" s="1">
        <f>IFERROR(__xludf.DUMMYFUNCTION("""COMPUTED_VALUE"""),126.31)</f>
        <v>126.31</v>
      </c>
      <c r="F3017" s="1">
        <f>IFERROR(__xludf.DUMMYFUNCTION("""COMPUTED_VALUE"""),1909908.0)</f>
        <v>1909908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IFERROR(__xludf.DUMMYFUNCTION("""COMPUTED_VALUE"""),126.99)</f>
        <v>126.99</v>
      </c>
      <c r="C3018" s="1">
        <f>IFERROR(__xludf.DUMMYFUNCTION("""COMPUTED_VALUE"""),127.88)</f>
        <v>127.88</v>
      </c>
      <c r="D3018" s="1">
        <f>IFERROR(__xludf.DUMMYFUNCTION("""COMPUTED_VALUE"""),124.87)</f>
        <v>124.87</v>
      </c>
      <c r="E3018" s="1">
        <f>IFERROR(__xludf.DUMMYFUNCTION("""COMPUTED_VALUE"""),127.49)</f>
        <v>127.49</v>
      </c>
      <c r="F3018" s="1">
        <f>IFERROR(__xludf.DUMMYFUNCTION("""COMPUTED_VALUE"""),1447976.0)</f>
        <v>1447976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IFERROR(__xludf.DUMMYFUNCTION("""COMPUTED_VALUE"""),126.95)</f>
        <v>126.95</v>
      </c>
      <c r="C3019" s="1">
        <f>IFERROR(__xludf.DUMMYFUNCTION("""COMPUTED_VALUE"""),128.62)</f>
        <v>128.62</v>
      </c>
      <c r="D3019" s="1">
        <f>IFERROR(__xludf.DUMMYFUNCTION("""COMPUTED_VALUE"""),126.0)</f>
        <v>126</v>
      </c>
      <c r="E3019" s="1">
        <f>IFERROR(__xludf.DUMMYFUNCTION("""COMPUTED_VALUE"""),127.91)</f>
        <v>127.91</v>
      </c>
      <c r="F3019" s="1">
        <f>IFERROR(__xludf.DUMMYFUNCTION("""COMPUTED_VALUE"""),1246892.0)</f>
        <v>1246892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IFERROR(__xludf.DUMMYFUNCTION("""COMPUTED_VALUE"""),128.29)</f>
        <v>128.29</v>
      </c>
      <c r="C3020" s="1">
        <f>IFERROR(__xludf.DUMMYFUNCTION("""COMPUTED_VALUE"""),128.67)</f>
        <v>128.67</v>
      </c>
      <c r="D3020" s="1">
        <f>IFERROR(__xludf.DUMMYFUNCTION("""COMPUTED_VALUE"""),127.28)</f>
        <v>127.28</v>
      </c>
      <c r="E3020" s="1">
        <f>IFERROR(__xludf.DUMMYFUNCTION("""COMPUTED_VALUE"""),127.54)</f>
        <v>127.54</v>
      </c>
      <c r="F3020" s="1">
        <f>IFERROR(__xludf.DUMMYFUNCTION("""COMPUTED_VALUE"""),952132.0)</f>
        <v>952132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IFERROR(__xludf.DUMMYFUNCTION("""COMPUTED_VALUE"""),127.74)</f>
        <v>127.74</v>
      </c>
      <c r="C3021" s="1">
        <f>IFERROR(__xludf.DUMMYFUNCTION("""COMPUTED_VALUE"""),128.88)</f>
        <v>128.88</v>
      </c>
      <c r="D3021" s="1">
        <f>IFERROR(__xludf.DUMMYFUNCTION("""COMPUTED_VALUE"""),127.37)</f>
        <v>127.37</v>
      </c>
      <c r="E3021" s="1">
        <f>IFERROR(__xludf.DUMMYFUNCTION("""COMPUTED_VALUE"""),128.19)</f>
        <v>128.19</v>
      </c>
      <c r="F3021" s="1">
        <f>IFERROR(__xludf.DUMMYFUNCTION("""COMPUTED_VALUE"""),1161158.0)</f>
        <v>1161158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IFERROR(__xludf.DUMMYFUNCTION("""COMPUTED_VALUE"""),127.4)</f>
        <v>127.4</v>
      </c>
      <c r="C3022" s="1">
        <f>IFERROR(__xludf.DUMMYFUNCTION("""COMPUTED_VALUE"""),130.74)</f>
        <v>130.74</v>
      </c>
      <c r="D3022" s="1">
        <f>IFERROR(__xludf.DUMMYFUNCTION("""COMPUTED_VALUE"""),127.4)</f>
        <v>127.4</v>
      </c>
      <c r="E3022" s="1">
        <f>IFERROR(__xludf.DUMMYFUNCTION("""COMPUTED_VALUE"""),130.23)</f>
        <v>130.23</v>
      </c>
      <c r="F3022" s="1">
        <f>IFERROR(__xludf.DUMMYFUNCTION("""COMPUTED_VALUE"""),1298530.0)</f>
        <v>1298530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IFERROR(__xludf.DUMMYFUNCTION("""COMPUTED_VALUE"""),130.01)</f>
        <v>130.01</v>
      </c>
      <c r="C3023" s="1">
        <f>IFERROR(__xludf.DUMMYFUNCTION("""COMPUTED_VALUE"""),130.57)</f>
        <v>130.57</v>
      </c>
      <c r="D3023" s="1">
        <f>IFERROR(__xludf.DUMMYFUNCTION("""COMPUTED_VALUE"""),126.92)</f>
        <v>126.92</v>
      </c>
      <c r="E3023" s="1">
        <f>IFERROR(__xludf.DUMMYFUNCTION("""COMPUTED_VALUE"""),127.01)</f>
        <v>127.01</v>
      </c>
      <c r="F3023" s="1">
        <f>IFERROR(__xludf.DUMMYFUNCTION("""COMPUTED_VALUE"""),1031462.0)</f>
        <v>1031462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IFERROR(__xludf.DUMMYFUNCTION("""COMPUTED_VALUE"""),127.9)</f>
        <v>127.9</v>
      </c>
      <c r="C3024" s="1">
        <f>IFERROR(__xludf.DUMMYFUNCTION("""COMPUTED_VALUE"""),129.05)</f>
        <v>129.05</v>
      </c>
      <c r="D3024" s="1">
        <f>IFERROR(__xludf.DUMMYFUNCTION("""COMPUTED_VALUE"""),123.03)</f>
        <v>123.03</v>
      </c>
      <c r="E3024" s="1">
        <f>IFERROR(__xludf.DUMMYFUNCTION("""COMPUTED_VALUE"""),123.86)</f>
        <v>123.86</v>
      </c>
      <c r="F3024" s="1">
        <f>IFERROR(__xludf.DUMMYFUNCTION("""COMPUTED_VALUE"""),1568346.0)</f>
        <v>1568346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IFERROR(__xludf.DUMMYFUNCTION("""COMPUTED_VALUE"""),123.87)</f>
        <v>123.87</v>
      </c>
      <c r="C3025" s="1">
        <f>IFERROR(__xludf.DUMMYFUNCTION("""COMPUTED_VALUE"""),124.47)</f>
        <v>124.47</v>
      </c>
      <c r="D3025" s="1">
        <f>IFERROR(__xludf.DUMMYFUNCTION("""COMPUTED_VALUE"""),119.31)</f>
        <v>119.31</v>
      </c>
      <c r="E3025" s="1">
        <f>IFERROR(__xludf.DUMMYFUNCTION("""COMPUTED_VALUE"""),119.35)</f>
        <v>119.35</v>
      </c>
      <c r="F3025" s="1">
        <f>IFERROR(__xludf.DUMMYFUNCTION("""COMPUTED_VALUE"""),1198914.0)</f>
        <v>1198914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IFERROR(__xludf.DUMMYFUNCTION("""COMPUTED_VALUE"""),121.36)</f>
        <v>121.36</v>
      </c>
      <c r="C3026" s="1">
        <f>IFERROR(__xludf.DUMMYFUNCTION("""COMPUTED_VALUE"""),121.36)</f>
        <v>121.36</v>
      </c>
      <c r="D3026" s="1">
        <f>IFERROR(__xludf.DUMMYFUNCTION("""COMPUTED_VALUE"""),118.31)</f>
        <v>118.31</v>
      </c>
      <c r="E3026" s="1">
        <f>IFERROR(__xludf.DUMMYFUNCTION("""COMPUTED_VALUE"""),119.1)</f>
        <v>119.1</v>
      </c>
      <c r="F3026" s="1">
        <f>IFERROR(__xludf.DUMMYFUNCTION("""COMPUTED_VALUE"""),1159200.0)</f>
        <v>1159200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IFERROR(__xludf.DUMMYFUNCTION("""COMPUTED_VALUE"""),118.99)</f>
        <v>118.99</v>
      </c>
      <c r="C3027" s="1">
        <f>IFERROR(__xludf.DUMMYFUNCTION("""COMPUTED_VALUE"""),123.18)</f>
        <v>123.18</v>
      </c>
      <c r="D3027" s="1">
        <f>IFERROR(__xludf.DUMMYFUNCTION("""COMPUTED_VALUE"""),118.43)</f>
        <v>118.43</v>
      </c>
      <c r="E3027" s="1">
        <f>IFERROR(__xludf.DUMMYFUNCTION("""COMPUTED_VALUE"""),121.08)</f>
        <v>121.08</v>
      </c>
      <c r="F3027" s="1">
        <f>IFERROR(__xludf.DUMMYFUNCTION("""COMPUTED_VALUE"""),2329426.0)</f>
        <v>2329426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IFERROR(__xludf.DUMMYFUNCTION("""COMPUTED_VALUE"""),119.58)</f>
        <v>119.58</v>
      </c>
      <c r="C3028" s="1">
        <f>IFERROR(__xludf.DUMMYFUNCTION("""COMPUTED_VALUE"""),119.71)</f>
        <v>119.71</v>
      </c>
      <c r="D3028" s="1">
        <f>IFERROR(__xludf.DUMMYFUNCTION("""COMPUTED_VALUE"""),115.37)</f>
        <v>115.37</v>
      </c>
      <c r="E3028" s="1">
        <f>IFERROR(__xludf.DUMMYFUNCTION("""COMPUTED_VALUE"""),118.67)</f>
        <v>118.67</v>
      </c>
      <c r="F3028" s="1">
        <f>IFERROR(__xludf.DUMMYFUNCTION("""COMPUTED_VALUE"""),1405479.0)</f>
        <v>1405479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IFERROR(__xludf.DUMMYFUNCTION("""COMPUTED_VALUE"""),118.3)</f>
        <v>118.3</v>
      </c>
      <c r="C3029" s="1">
        <f>IFERROR(__xludf.DUMMYFUNCTION("""COMPUTED_VALUE"""),119.42)</f>
        <v>119.42</v>
      </c>
      <c r="D3029" s="1">
        <f>IFERROR(__xludf.DUMMYFUNCTION("""COMPUTED_VALUE"""),114.57)</f>
        <v>114.57</v>
      </c>
      <c r="E3029" s="1">
        <f>IFERROR(__xludf.DUMMYFUNCTION("""COMPUTED_VALUE"""),119.15)</f>
        <v>119.15</v>
      </c>
      <c r="F3029" s="1">
        <f>IFERROR(__xludf.DUMMYFUNCTION("""COMPUTED_VALUE"""),1519231.0)</f>
        <v>1519231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IFERROR(__xludf.DUMMYFUNCTION("""COMPUTED_VALUE"""),118.84)</f>
        <v>118.84</v>
      </c>
      <c r="C3030" s="1">
        <f>IFERROR(__xludf.DUMMYFUNCTION("""COMPUTED_VALUE"""),120.25)</f>
        <v>120.25</v>
      </c>
      <c r="D3030" s="1">
        <f>IFERROR(__xludf.DUMMYFUNCTION("""COMPUTED_VALUE"""),115.36)</f>
        <v>115.36</v>
      </c>
      <c r="E3030" s="1">
        <f>IFERROR(__xludf.DUMMYFUNCTION("""COMPUTED_VALUE"""),119.26)</f>
        <v>119.26</v>
      </c>
      <c r="F3030" s="1">
        <f>IFERROR(__xludf.DUMMYFUNCTION("""COMPUTED_VALUE"""),1613985.0)</f>
        <v>1613985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IFERROR(__xludf.DUMMYFUNCTION("""COMPUTED_VALUE"""),120.19)</f>
        <v>120.19</v>
      </c>
      <c r="C3031" s="1">
        <f>IFERROR(__xludf.DUMMYFUNCTION("""COMPUTED_VALUE"""),120.58)</f>
        <v>120.58</v>
      </c>
      <c r="D3031" s="1">
        <f>IFERROR(__xludf.DUMMYFUNCTION("""COMPUTED_VALUE"""),117.19)</f>
        <v>117.19</v>
      </c>
      <c r="E3031" s="1">
        <f>IFERROR(__xludf.DUMMYFUNCTION("""COMPUTED_VALUE"""),117.47)</f>
        <v>117.47</v>
      </c>
      <c r="F3031" s="1">
        <f>IFERROR(__xludf.DUMMYFUNCTION("""COMPUTED_VALUE"""),1362728.0)</f>
        <v>1362728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IFERROR(__xludf.DUMMYFUNCTION("""COMPUTED_VALUE"""),116.05)</f>
        <v>116.05</v>
      </c>
      <c r="C3032" s="1">
        <f>IFERROR(__xludf.DUMMYFUNCTION("""COMPUTED_VALUE"""),116.75)</f>
        <v>116.75</v>
      </c>
      <c r="D3032" s="1">
        <f>IFERROR(__xludf.DUMMYFUNCTION("""COMPUTED_VALUE"""),111.64)</f>
        <v>111.64</v>
      </c>
      <c r="E3032" s="1">
        <f>IFERROR(__xludf.DUMMYFUNCTION("""COMPUTED_VALUE"""),113.4)</f>
        <v>113.4</v>
      </c>
      <c r="F3032" s="1">
        <f>IFERROR(__xludf.DUMMYFUNCTION("""COMPUTED_VALUE"""),1290478.0)</f>
        <v>1290478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IFERROR(__xludf.DUMMYFUNCTION("""COMPUTED_VALUE"""),111.79)</f>
        <v>111.79</v>
      </c>
      <c r="C3033" s="1">
        <f>IFERROR(__xludf.DUMMYFUNCTION("""COMPUTED_VALUE"""),112.09)</f>
        <v>112.09</v>
      </c>
      <c r="D3033" s="1">
        <f>IFERROR(__xludf.DUMMYFUNCTION("""COMPUTED_VALUE"""),108.86)</f>
        <v>108.86</v>
      </c>
      <c r="E3033" s="1">
        <f>IFERROR(__xludf.DUMMYFUNCTION("""COMPUTED_VALUE"""),110.4)</f>
        <v>110.4</v>
      </c>
      <c r="F3033" s="1">
        <f>IFERROR(__xludf.DUMMYFUNCTION("""COMPUTED_VALUE"""),1854641.0)</f>
        <v>1854641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IFERROR(__xludf.DUMMYFUNCTION("""COMPUTED_VALUE"""),110.97)</f>
        <v>110.97</v>
      </c>
      <c r="C3034" s="1">
        <f>IFERROR(__xludf.DUMMYFUNCTION("""COMPUTED_VALUE"""),112.68)</f>
        <v>112.68</v>
      </c>
      <c r="D3034" s="1">
        <f>IFERROR(__xludf.DUMMYFUNCTION("""COMPUTED_VALUE"""),107.58)</f>
        <v>107.58</v>
      </c>
      <c r="E3034" s="1">
        <f>IFERROR(__xludf.DUMMYFUNCTION("""COMPUTED_VALUE"""),107.63)</f>
        <v>107.63</v>
      </c>
      <c r="F3034" s="1">
        <f>IFERROR(__xludf.DUMMYFUNCTION("""COMPUTED_VALUE"""),1409047.0)</f>
        <v>1409047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IFERROR(__xludf.DUMMYFUNCTION("""COMPUTED_VALUE"""),108.49)</f>
        <v>108.49</v>
      </c>
      <c r="C3035" s="1">
        <f>IFERROR(__xludf.DUMMYFUNCTION("""COMPUTED_VALUE"""),111.95)</f>
        <v>111.95</v>
      </c>
      <c r="D3035" s="1">
        <f>IFERROR(__xludf.DUMMYFUNCTION("""COMPUTED_VALUE"""),105.87)</f>
        <v>105.87</v>
      </c>
      <c r="E3035" s="1">
        <f>IFERROR(__xludf.DUMMYFUNCTION("""COMPUTED_VALUE"""),106.06)</f>
        <v>106.06</v>
      </c>
      <c r="F3035" s="1">
        <f>IFERROR(__xludf.DUMMYFUNCTION("""COMPUTED_VALUE"""),2158714.0)</f>
        <v>2158714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IFERROR(__xludf.DUMMYFUNCTION("""COMPUTED_VALUE"""),105.0)</f>
        <v>105</v>
      </c>
      <c r="C3036" s="1">
        <f>IFERROR(__xludf.DUMMYFUNCTION("""COMPUTED_VALUE"""),109.57)</f>
        <v>109.57</v>
      </c>
      <c r="D3036" s="1">
        <f>IFERROR(__xludf.DUMMYFUNCTION("""COMPUTED_VALUE"""),102.47)</f>
        <v>102.47</v>
      </c>
      <c r="E3036" s="1">
        <f>IFERROR(__xludf.DUMMYFUNCTION("""COMPUTED_VALUE"""),108.1)</f>
        <v>108.1</v>
      </c>
      <c r="F3036" s="1">
        <f>IFERROR(__xludf.DUMMYFUNCTION("""COMPUTED_VALUE"""),2664460.0)</f>
        <v>2664460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IFERROR(__xludf.DUMMYFUNCTION("""COMPUTED_VALUE"""),105.57)</f>
        <v>105.57</v>
      </c>
      <c r="C3037" s="1">
        <f>IFERROR(__xludf.DUMMYFUNCTION("""COMPUTED_VALUE"""),112.32)</f>
        <v>112.32</v>
      </c>
      <c r="D3037" s="1">
        <f>IFERROR(__xludf.DUMMYFUNCTION("""COMPUTED_VALUE"""),103.48)</f>
        <v>103.48</v>
      </c>
      <c r="E3037" s="1">
        <f>IFERROR(__xludf.DUMMYFUNCTION("""COMPUTED_VALUE"""),111.92)</f>
        <v>111.92</v>
      </c>
      <c r="F3037" s="1">
        <f>IFERROR(__xludf.DUMMYFUNCTION("""COMPUTED_VALUE"""),2378518.0)</f>
        <v>2378518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IFERROR(__xludf.DUMMYFUNCTION("""COMPUTED_VALUE"""),109.48)</f>
        <v>109.48</v>
      </c>
      <c r="C3038" s="1">
        <f>IFERROR(__xludf.DUMMYFUNCTION("""COMPUTED_VALUE"""),111.64)</f>
        <v>111.64</v>
      </c>
      <c r="D3038" s="1">
        <f>IFERROR(__xludf.DUMMYFUNCTION("""COMPUTED_VALUE"""),106.78)</f>
        <v>106.78</v>
      </c>
      <c r="E3038" s="1">
        <f>IFERROR(__xludf.DUMMYFUNCTION("""COMPUTED_VALUE"""),109.94)</f>
        <v>109.94</v>
      </c>
      <c r="F3038" s="1">
        <f>IFERROR(__xludf.DUMMYFUNCTION("""COMPUTED_VALUE"""),2016462.0)</f>
        <v>2016462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IFERROR(__xludf.DUMMYFUNCTION("""COMPUTED_VALUE"""),110.99)</f>
        <v>110.99</v>
      </c>
      <c r="C3039" s="1">
        <f>IFERROR(__xludf.DUMMYFUNCTION("""COMPUTED_VALUE"""),111.59)</f>
        <v>111.59</v>
      </c>
      <c r="D3039" s="1">
        <f>IFERROR(__xludf.DUMMYFUNCTION("""COMPUTED_VALUE"""),106.56)</f>
        <v>106.56</v>
      </c>
      <c r="E3039" s="1">
        <f>IFERROR(__xludf.DUMMYFUNCTION("""COMPUTED_VALUE"""),107.75)</f>
        <v>107.75</v>
      </c>
      <c r="F3039" s="1">
        <f>IFERROR(__xludf.DUMMYFUNCTION("""COMPUTED_VALUE"""),2433536.0)</f>
        <v>2433536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IFERROR(__xludf.DUMMYFUNCTION("""COMPUTED_VALUE"""),110.4)</f>
        <v>110.4</v>
      </c>
      <c r="C3040" s="1">
        <f>IFERROR(__xludf.DUMMYFUNCTION("""COMPUTED_VALUE"""),110.52)</f>
        <v>110.52</v>
      </c>
      <c r="D3040" s="1">
        <f>IFERROR(__xludf.DUMMYFUNCTION("""COMPUTED_VALUE"""),104.54)</f>
        <v>104.54</v>
      </c>
      <c r="E3040" s="1">
        <f>IFERROR(__xludf.DUMMYFUNCTION("""COMPUTED_VALUE"""),105.54)</f>
        <v>105.54</v>
      </c>
      <c r="F3040" s="1">
        <f>IFERROR(__xludf.DUMMYFUNCTION("""COMPUTED_VALUE"""),2049754.0)</f>
        <v>2049754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IFERROR(__xludf.DUMMYFUNCTION("""COMPUTED_VALUE"""),106.24)</f>
        <v>106.24</v>
      </c>
      <c r="C3041" s="1">
        <f>IFERROR(__xludf.DUMMYFUNCTION("""COMPUTED_VALUE"""),110.05)</f>
        <v>110.05</v>
      </c>
      <c r="D3041" s="1">
        <f>IFERROR(__xludf.DUMMYFUNCTION("""COMPUTED_VALUE"""),105.03)</f>
        <v>105.03</v>
      </c>
      <c r="E3041" s="1">
        <f>IFERROR(__xludf.DUMMYFUNCTION("""COMPUTED_VALUE"""),110.0)</f>
        <v>110</v>
      </c>
      <c r="F3041" s="1">
        <f>IFERROR(__xludf.DUMMYFUNCTION("""COMPUTED_VALUE"""),1595027.0)</f>
        <v>1595027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IFERROR(__xludf.DUMMYFUNCTION("""COMPUTED_VALUE"""),109.4)</f>
        <v>109.4</v>
      </c>
      <c r="C3042" s="1">
        <f>IFERROR(__xludf.DUMMYFUNCTION("""COMPUTED_VALUE"""),111.61)</f>
        <v>111.61</v>
      </c>
      <c r="D3042" s="1">
        <f>IFERROR(__xludf.DUMMYFUNCTION("""COMPUTED_VALUE"""),108.42)</f>
        <v>108.42</v>
      </c>
      <c r="E3042" s="1">
        <f>IFERROR(__xludf.DUMMYFUNCTION("""COMPUTED_VALUE"""),111.17)</f>
        <v>111.17</v>
      </c>
      <c r="F3042" s="1">
        <f>IFERROR(__xludf.DUMMYFUNCTION("""COMPUTED_VALUE"""),1359727.0)</f>
        <v>1359727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IFERROR(__xludf.DUMMYFUNCTION("""COMPUTED_VALUE"""),110.95)</f>
        <v>110.95</v>
      </c>
      <c r="C3043" s="1">
        <f>IFERROR(__xludf.DUMMYFUNCTION("""COMPUTED_VALUE"""),112.11)</f>
        <v>112.11</v>
      </c>
      <c r="D3043" s="1">
        <f>IFERROR(__xludf.DUMMYFUNCTION("""COMPUTED_VALUE"""),108.68)</f>
        <v>108.68</v>
      </c>
      <c r="E3043" s="1">
        <f>IFERROR(__xludf.DUMMYFUNCTION("""COMPUTED_VALUE"""),110.96)</f>
        <v>110.96</v>
      </c>
      <c r="F3043" s="1">
        <f>IFERROR(__xludf.DUMMYFUNCTION("""COMPUTED_VALUE"""),1102319.0)</f>
        <v>1102319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IFERROR(__xludf.DUMMYFUNCTION("""COMPUTED_VALUE"""),110.94)</f>
        <v>110.94</v>
      </c>
      <c r="C3044" s="1">
        <f>IFERROR(__xludf.DUMMYFUNCTION("""COMPUTED_VALUE"""),111.11)</f>
        <v>111.11</v>
      </c>
      <c r="D3044" s="1">
        <f>IFERROR(__xludf.DUMMYFUNCTION("""COMPUTED_VALUE"""),107.96)</f>
        <v>107.96</v>
      </c>
      <c r="E3044" s="1">
        <f>IFERROR(__xludf.DUMMYFUNCTION("""COMPUTED_VALUE"""),109.8)</f>
        <v>109.8</v>
      </c>
      <c r="F3044" s="1">
        <f>IFERROR(__xludf.DUMMYFUNCTION("""COMPUTED_VALUE"""),1521705.0)</f>
        <v>1521705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IFERROR(__xludf.DUMMYFUNCTION("""COMPUTED_VALUE"""),108.31)</f>
        <v>108.31</v>
      </c>
      <c r="C3045" s="1">
        <f>IFERROR(__xludf.DUMMYFUNCTION("""COMPUTED_VALUE"""),109.8)</f>
        <v>109.8</v>
      </c>
      <c r="D3045" s="1">
        <f>IFERROR(__xludf.DUMMYFUNCTION("""COMPUTED_VALUE"""),106.59)</f>
        <v>106.59</v>
      </c>
      <c r="E3045" s="1">
        <f>IFERROR(__xludf.DUMMYFUNCTION("""COMPUTED_VALUE"""),106.72)</f>
        <v>106.72</v>
      </c>
      <c r="F3045" s="1">
        <f>IFERROR(__xludf.DUMMYFUNCTION("""COMPUTED_VALUE"""),1514089.0)</f>
        <v>1514089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IFERROR(__xludf.DUMMYFUNCTION("""COMPUTED_VALUE"""),106.11)</f>
        <v>106.11</v>
      </c>
      <c r="C3046" s="1">
        <f>IFERROR(__xludf.DUMMYFUNCTION("""COMPUTED_VALUE"""),107.77)</f>
        <v>107.77</v>
      </c>
      <c r="D3046" s="1">
        <f>IFERROR(__xludf.DUMMYFUNCTION("""COMPUTED_VALUE"""),103.43)</f>
        <v>103.43</v>
      </c>
      <c r="E3046" s="1">
        <f>IFERROR(__xludf.DUMMYFUNCTION("""COMPUTED_VALUE"""),106.25)</f>
        <v>106.25</v>
      </c>
      <c r="F3046" s="1">
        <f>IFERROR(__xludf.DUMMYFUNCTION("""COMPUTED_VALUE"""),1540710.0)</f>
        <v>1540710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IFERROR(__xludf.DUMMYFUNCTION("""COMPUTED_VALUE"""),106.5)</f>
        <v>106.5</v>
      </c>
      <c r="C3047" s="1">
        <f>IFERROR(__xludf.DUMMYFUNCTION("""COMPUTED_VALUE"""),107.93)</f>
        <v>107.93</v>
      </c>
      <c r="D3047" s="1">
        <f>IFERROR(__xludf.DUMMYFUNCTION("""COMPUTED_VALUE"""),104.39)</f>
        <v>104.39</v>
      </c>
      <c r="E3047" s="1">
        <f>IFERROR(__xludf.DUMMYFUNCTION("""COMPUTED_VALUE"""),105.59)</f>
        <v>105.59</v>
      </c>
      <c r="F3047" s="1">
        <f>IFERROR(__xludf.DUMMYFUNCTION("""COMPUTED_VALUE"""),835242.0)</f>
        <v>835242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IFERROR(__xludf.DUMMYFUNCTION("""COMPUTED_VALUE"""),105.26)</f>
        <v>105.26</v>
      </c>
      <c r="C3048" s="1">
        <f>IFERROR(__xludf.DUMMYFUNCTION("""COMPUTED_VALUE"""),109.07)</f>
        <v>109.07</v>
      </c>
      <c r="D3048" s="1">
        <f>IFERROR(__xludf.DUMMYFUNCTION("""COMPUTED_VALUE"""),105.16)</f>
        <v>105.16</v>
      </c>
      <c r="E3048" s="1">
        <f>IFERROR(__xludf.DUMMYFUNCTION("""COMPUTED_VALUE"""),109.04)</f>
        <v>109.04</v>
      </c>
      <c r="F3048" s="1">
        <f>IFERROR(__xludf.DUMMYFUNCTION("""COMPUTED_VALUE"""),1476559.0)</f>
        <v>1476559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IFERROR(__xludf.DUMMYFUNCTION("""COMPUTED_VALUE"""),110.8)</f>
        <v>110.8</v>
      </c>
      <c r="C3049" s="1">
        <f>IFERROR(__xludf.DUMMYFUNCTION("""COMPUTED_VALUE"""),114.43)</f>
        <v>114.43</v>
      </c>
      <c r="D3049" s="1">
        <f>IFERROR(__xludf.DUMMYFUNCTION("""COMPUTED_VALUE"""),110.8)</f>
        <v>110.8</v>
      </c>
      <c r="E3049" s="1">
        <f>IFERROR(__xludf.DUMMYFUNCTION("""COMPUTED_VALUE"""),112.69)</f>
        <v>112.69</v>
      </c>
      <c r="F3049" s="1">
        <f>IFERROR(__xludf.DUMMYFUNCTION("""COMPUTED_VALUE"""),2229228.0)</f>
        <v>2229228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IFERROR(__xludf.DUMMYFUNCTION("""COMPUTED_VALUE"""),110.01)</f>
        <v>110.01</v>
      </c>
      <c r="C3050" s="1">
        <f>IFERROR(__xludf.DUMMYFUNCTION("""COMPUTED_VALUE"""),113.09)</f>
        <v>113.09</v>
      </c>
      <c r="D3050" s="1">
        <f>IFERROR(__xludf.DUMMYFUNCTION("""COMPUTED_VALUE"""),109.47)</f>
        <v>109.47</v>
      </c>
      <c r="E3050" s="1">
        <f>IFERROR(__xludf.DUMMYFUNCTION("""COMPUTED_VALUE"""),110.59)</f>
        <v>110.59</v>
      </c>
      <c r="F3050" s="1">
        <f>IFERROR(__xludf.DUMMYFUNCTION("""COMPUTED_VALUE"""),1200274.0)</f>
        <v>1200274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IFERROR(__xludf.DUMMYFUNCTION("""COMPUTED_VALUE"""),110.44)</f>
        <v>110.44</v>
      </c>
      <c r="C3051" s="1">
        <f>IFERROR(__xludf.DUMMYFUNCTION("""COMPUTED_VALUE"""),111.43)</f>
        <v>111.43</v>
      </c>
      <c r="D3051" s="1">
        <f>IFERROR(__xludf.DUMMYFUNCTION("""COMPUTED_VALUE"""),107.6)</f>
        <v>107.6</v>
      </c>
      <c r="E3051" s="1">
        <f>IFERROR(__xludf.DUMMYFUNCTION("""COMPUTED_VALUE"""),108.48)</f>
        <v>108.48</v>
      </c>
      <c r="F3051" s="1">
        <f>IFERROR(__xludf.DUMMYFUNCTION("""COMPUTED_VALUE"""),1108414.0)</f>
        <v>1108414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IFERROR(__xludf.DUMMYFUNCTION("""COMPUTED_VALUE"""),108.9)</f>
        <v>108.9</v>
      </c>
      <c r="C3052" s="1">
        <f>IFERROR(__xludf.DUMMYFUNCTION("""COMPUTED_VALUE"""),112.26)</f>
        <v>112.26</v>
      </c>
      <c r="D3052" s="1">
        <f>IFERROR(__xludf.DUMMYFUNCTION("""COMPUTED_VALUE"""),108.39)</f>
        <v>108.39</v>
      </c>
      <c r="E3052" s="1">
        <f>IFERROR(__xludf.DUMMYFUNCTION("""COMPUTED_VALUE"""),110.96)</f>
        <v>110.96</v>
      </c>
      <c r="F3052" s="1">
        <f>IFERROR(__xludf.DUMMYFUNCTION("""COMPUTED_VALUE"""),1058349.0)</f>
        <v>1058349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IFERROR(__xludf.DUMMYFUNCTION("""COMPUTED_VALUE"""),112.46)</f>
        <v>112.46</v>
      </c>
      <c r="C3053" s="1">
        <f>IFERROR(__xludf.DUMMYFUNCTION("""COMPUTED_VALUE"""),113.54)</f>
        <v>113.54</v>
      </c>
      <c r="D3053" s="1">
        <f>IFERROR(__xludf.DUMMYFUNCTION("""COMPUTED_VALUE"""),110.7)</f>
        <v>110.7</v>
      </c>
      <c r="E3053" s="1">
        <f>IFERROR(__xludf.DUMMYFUNCTION("""COMPUTED_VALUE"""),113.32)</f>
        <v>113.32</v>
      </c>
      <c r="F3053" s="1">
        <f>IFERROR(__xludf.DUMMYFUNCTION("""COMPUTED_VALUE"""),1151969.0)</f>
        <v>1151969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IFERROR(__xludf.DUMMYFUNCTION("""COMPUTED_VALUE"""),109.8)</f>
        <v>109.8</v>
      </c>
      <c r="C3054" s="1">
        <f>IFERROR(__xludf.DUMMYFUNCTION("""COMPUTED_VALUE"""),110.86)</f>
        <v>110.86</v>
      </c>
      <c r="D3054" s="1">
        <f>IFERROR(__xludf.DUMMYFUNCTION("""COMPUTED_VALUE"""),107.32)</f>
        <v>107.32</v>
      </c>
      <c r="E3054" s="1">
        <f>IFERROR(__xludf.DUMMYFUNCTION("""COMPUTED_VALUE"""),109.58)</f>
        <v>109.58</v>
      </c>
      <c r="F3054" s="1">
        <f>IFERROR(__xludf.DUMMYFUNCTION("""COMPUTED_VALUE"""),1553819.0)</f>
        <v>1553819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IFERROR(__xludf.DUMMYFUNCTION("""COMPUTED_VALUE"""),109.73)</f>
        <v>109.73</v>
      </c>
      <c r="C3055" s="1">
        <f>IFERROR(__xludf.DUMMYFUNCTION("""COMPUTED_VALUE"""),110.13)</f>
        <v>110.13</v>
      </c>
      <c r="D3055" s="1">
        <f>IFERROR(__xludf.DUMMYFUNCTION("""COMPUTED_VALUE"""),106.54)</f>
        <v>106.54</v>
      </c>
      <c r="E3055" s="1">
        <f>IFERROR(__xludf.DUMMYFUNCTION("""COMPUTED_VALUE"""),107.48)</f>
        <v>107.48</v>
      </c>
      <c r="F3055" s="1">
        <f>IFERROR(__xludf.DUMMYFUNCTION("""COMPUTED_VALUE"""),1340654.0)</f>
        <v>1340654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IFERROR(__xludf.DUMMYFUNCTION("""COMPUTED_VALUE"""),107.14)</f>
        <v>107.14</v>
      </c>
      <c r="C3056" s="1">
        <f>IFERROR(__xludf.DUMMYFUNCTION("""COMPUTED_VALUE"""),108.34)</f>
        <v>108.34</v>
      </c>
      <c r="D3056" s="1">
        <f>IFERROR(__xludf.DUMMYFUNCTION("""COMPUTED_VALUE"""),105.48)</f>
        <v>105.48</v>
      </c>
      <c r="E3056" s="1">
        <f>IFERROR(__xludf.DUMMYFUNCTION("""COMPUTED_VALUE"""),105.64)</f>
        <v>105.64</v>
      </c>
      <c r="F3056" s="1">
        <f>IFERROR(__xludf.DUMMYFUNCTION("""COMPUTED_VALUE"""),1533015.0)</f>
        <v>1533015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IFERROR(__xludf.DUMMYFUNCTION("""COMPUTED_VALUE"""),104.73)</f>
        <v>104.73</v>
      </c>
      <c r="C3057" s="1">
        <f>IFERROR(__xludf.DUMMYFUNCTION("""COMPUTED_VALUE"""),105.47)</f>
        <v>105.47</v>
      </c>
      <c r="D3057" s="1">
        <f>IFERROR(__xludf.DUMMYFUNCTION("""COMPUTED_VALUE"""),99.9)</f>
        <v>99.9</v>
      </c>
      <c r="E3057" s="1">
        <f>IFERROR(__xludf.DUMMYFUNCTION("""COMPUTED_VALUE"""),101.17)</f>
        <v>101.17</v>
      </c>
      <c r="F3057" s="1">
        <f>IFERROR(__xludf.DUMMYFUNCTION("""COMPUTED_VALUE"""),1773761.0)</f>
        <v>1773761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IFERROR(__xludf.DUMMYFUNCTION("""COMPUTED_VALUE"""),102.12)</f>
        <v>102.12</v>
      </c>
      <c r="C3058" s="1">
        <f>IFERROR(__xludf.DUMMYFUNCTION("""COMPUTED_VALUE"""),103.81)</f>
        <v>103.81</v>
      </c>
      <c r="D3058" s="1">
        <f>IFERROR(__xludf.DUMMYFUNCTION("""COMPUTED_VALUE"""),99.51)</f>
        <v>99.51</v>
      </c>
      <c r="E3058" s="1">
        <f>IFERROR(__xludf.DUMMYFUNCTION("""COMPUTED_VALUE"""),100.35)</f>
        <v>100.35</v>
      </c>
      <c r="F3058" s="1">
        <f>IFERROR(__xludf.DUMMYFUNCTION("""COMPUTED_VALUE"""),1620323.0)</f>
        <v>1620323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IFERROR(__xludf.DUMMYFUNCTION("""COMPUTED_VALUE"""),97.59)</f>
        <v>97.59</v>
      </c>
      <c r="C3059" s="1">
        <f>IFERROR(__xludf.DUMMYFUNCTION("""COMPUTED_VALUE"""),105.42)</f>
        <v>105.42</v>
      </c>
      <c r="D3059" s="1">
        <f>IFERROR(__xludf.DUMMYFUNCTION("""COMPUTED_VALUE"""),96.39)</f>
        <v>96.39</v>
      </c>
      <c r="E3059" s="1">
        <f>IFERROR(__xludf.DUMMYFUNCTION("""COMPUTED_VALUE"""),105.15)</f>
        <v>105.15</v>
      </c>
      <c r="F3059" s="1">
        <f>IFERROR(__xludf.DUMMYFUNCTION("""COMPUTED_VALUE"""),1530630.0)</f>
        <v>1530630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IFERROR(__xludf.DUMMYFUNCTION("""COMPUTED_VALUE"""),105.41)</f>
        <v>105.41</v>
      </c>
      <c r="C3060" s="1">
        <f>IFERROR(__xludf.DUMMYFUNCTION("""COMPUTED_VALUE"""),108.39)</f>
        <v>108.39</v>
      </c>
      <c r="D3060" s="1">
        <f>IFERROR(__xludf.DUMMYFUNCTION("""COMPUTED_VALUE"""),103.27)</f>
        <v>103.27</v>
      </c>
      <c r="E3060" s="1">
        <f>IFERROR(__xludf.DUMMYFUNCTION("""COMPUTED_VALUE"""),107.35)</f>
        <v>107.35</v>
      </c>
      <c r="F3060" s="1">
        <f>IFERROR(__xludf.DUMMYFUNCTION("""COMPUTED_VALUE"""),1252859.0)</f>
        <v>1252859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IFERROR(__xludf.DUMMYFUNCTION("""COMPUTED_VALUE"""),107.1)</f>
        <v>107.1</v>
      </c>
      <c r="C3061" s="1">
        <f>IFERROR(__xludf.DUMMYFUNCTION("""COMPUTED_VALUE"""),109.54)</f>
        <v>109.54</v>
      </c>
      <c r="D3061" s="1">
        <f>IFERROR(__xludf.DUMMYFUNCTION("""COMPUTED_VALUE"""),106.64)</f>
        <v>106.64</v>
      </c>
      <c r="E3061" s="1">
        <f>IFERROR(__xludf.DUMMYFUNCTION("""COMPUTED_VALUE"""),109.33)</f>
        <v>109.33</v>
      </c>
      <c r="F3061" s="1">
        <f>IFERROR(__xludf.DUMMYFUNCTION("""COMPUTED_VALUE"""),1463446.0)</f>
        <v>1463446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IFERROR(__xludf.DUMMYFUNCTION("""COMPUTED_VALUE"""),108.69)</f>
        <v>108.69</v>
      </c>
      <c r="C3062" s="1">
        <f>IFERROR(__xludf.DUMMYFUNCTION("""COMPUTED_VALUE"""),108.7)</f>
        <v>108.7</v>
      </c>
      <c r="D3062" s="1">
        <f>IFERROR(__xludf.DUMMYFUNCTION("""COMPUTED_VALUE"""),104.14)</f>
        <v>104.14</v>
      </c>
      <c r="E3062" s="1">
        <f>IFERROR(__xludf.DUMMYFUNCTION("""COMPUTED_VALUE"""),105.24)</f>
        <v>105.24</v>
      </c>
      <c r="F3062" s="1">
        <f>IFERROR(__xludf.DUMMYFUNCTION("""COMPUTED_VALUE"""),1659442.0)</f>
        <v>1659442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IFERROR(__xludf.DUMMYFUNCTION("""COMPUTED_VALUE"""),105.34)</f>
        <v>105.34</v>
      </c>
      <c r="C3063" s="1">
        <f>IFERROR(__xludf.DUMMYFUNCTION("""COMPUTED_VALUE"""),107.27)</f>
        <v>107.27</v>
      </c>
      <c r="D3063" s="1">
        <f>IFERROR(__xludf.DUMMYFUNCTION("""COMPUTED_VALUE"""),104.0)</f>
        <v>104</v>
      </c>
      <c r="E3063" s="1">
        <f>IFERROR(__xludf.DUMMYFUNCTION("""COMPUTED_VALUE"""),105.8)</f>
        <v>105.8</v>
      </c>
      <c r="F3063" s="1">
        <f>IFERROR(__xludf.DUMMYFUNCTION("""COMPUTED_VALUE"""),1559868.0)</f>
        <v>1559868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IFERROR(__xludf.DUMMYFUNCTION("""COMPUTED_VALUE"""),107.04)</f>
        <v>107.04</v>
      </c>
      <c r="C3064" s="1">
        <f>IFERROR(__xludf.DUMMYFUNCTION("""COMPUTED_VALUE"""),107.13)</f>
        <v>107.13</v>
      </c>
      <c r="D3064" s="1">
        <f>IFERROR(__xludf.DUMMYFUNCTION("""COMPUTED_VALUE"""),103.15)</f>
        <v>103.15</v>
      </c>
      <c r="E3064" s="1">
        <f>IFERROR(__xludf.DUMMYFUNCTION("""COMPUTED_VALUE"""),104.49)</f>
        <v>104.49</v>
      </c>
      <c r="F3064" s="1">
        <f>IFERROR(__xludf.DUMMYFUNCTION("""COMPUTED_VALUE"""),1048830.0)</f>
        <v>1048830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IFERROR(__xludf.DUMMYFUNCTION("""COMPUTED_VALUE"""),103.48)</f>
        <v>103.48</v>
      </c>
      <c r="C3065" s="1">
        <f>IFERROR(__xludf.DUMMYFUNCTION("""COMPUTED_VALUE"""),104.73)</f>
        <v>104.73</v>
      </c>
      <c r="D3065" s="1">
        <f>IFERROR(__xludf.DUMMYFUNCTION("""COMPUTED_VALUE"""),101.81)</f>
        <v>101.81</v>
      </c>
      <c r="E3065" s="1">
        <f>IFERROR(__xludf.DUMMYFUNCTION("""COMPUTED_VALUE"""),103.07)</f>
        <v>103.07</v>
      </c>
      <c r="F3065" s="1">
        <f>IFERROR(__xludf.DUMMYFUNCTION("""COMPUTED_VALUE"""),1403286.0)</f>
        <v>1403286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IFERROR(__xludf.DUMMYFUNCTION("""COMPUTED_VALUE"""),102.1)</f>
        <v>102.1</v>
      </c>
      <c r="C3066" s="1">
        <f>IFERROR(__xludf.DUMMYFUNCTION("""COMPUTED_VALUE"""),103.34)</f>
        <v>103.34</v>
      </c>
      <c r="D3066" s="1">
        <f>IFERROR(__xludf.DUMMYFUNCTION("""COMPUTED_VALUE"""),99.43)</f>
        <v>99.43</v>
      </c>
      <c r="E3066" s="1">
        <f>IFERROR(__xludf.DUMMYFUNCTION("""COMPUTED_VALUE"""),100.01)</f>
        <v>100.01</v>
      </c>
      <c r="F3066" s="1">
        <f>IFERROR(__xludf.DUMMYFUNCTION("""COMPUTED_VALUE"""),2641999.0)</f>
        <v>2641999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IFERROR(__xludf.DUMMYFUNCTION("""COMPUTED_VALUE"""),100.01)</f>
        <v>100.01</v>
      </c>
      <c r="C3067" s="1">
        <f>IFERROR(__xludf.DUMMYFUNCTION("""COMPUTED_VALUE"""),104.85)</f>
        <v>104.85</v>
      </c>
      <c r="D3067" s="1">
        <f>IFERROR(__xludf.DUMMYFUNCTION("""COMPUTED_VALUE"""),98.66)</f>
        <v>98.66</v>
      </c>
      <c r="E3067" s="1">
        <f>IFERROR(__xludf.DUMMYFUNCTION("""COMPUTED_VALUE"""),99.95)</f>
        <v>99.95</v>
      </c>
      <c r="F3067" s="1">
        <f>IFERROR(__xludf.DUMMYFUNCTION("""COMPUTED_VALUE"""),1374172.0)</f>
        <v>1374172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IFERROR(__xludf.DUMMYFUNCTION("""COMPUTED_VALUE"""),101.98)</f>
        <v>101.98</v>
      </c>
      <c r="C3068" s="1">
        <f>IFERROR(__xludf.DUMMYFUNCTION("""COMPUTED_VALUE"""),103.49)</f>
        <v>103.49</v>
      </c>
      <c r="D3068" s="1">
        <f>IFERROR(__xludf.DUMMYFUNCTION("""COMPUTED_VALUE"""),101.25)</f>
        <v>101.25</v>
      </c>
      <c r="E3068" s="1">
        <f>IFERROR(__xludf.DUMMYFUNCTION("""COMPUTED_VALUE"""),101.89)</f>
        <v>101.89</v>
      </c>
      <c r="F3068" s="1">
        <f>IFERROR(__xludf.DUMMYFUNCTION("""COMPUTED_VALUE"""),1336370.0)</f>
        <v>1336370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IFERROR(__xludf.DUMMYFUNCTION("""COMPUTED_VALUE"""),99.95)</f>
        <v>99.95</v>
      </c>
      <c r="C3069" s="1">
        <f>IFERROR(__xludf.DUMMYFUNCTION("""COMPUTED_VALUE"""),101.49)</f>
        <v>101.49</v>
      </c>
      <c r="D3069" s="1">
        <f>IFERROR(__xludf.DUMMYFUNCTION("""COMPUTED_VALUE"""),98.53)</f>
        <v>98.53</v>
      </c>
      <c r="E3069" s="1">
        <f>IFERROR(__xludf.DUMMYFUNCTION("""COMPUTED_VALUE"""),100.75)</f>
        <v>100.75</v>
      </c>
      <c r="F3069" s="1">
        <f>IFERROR(__xludf.DUMMYFUNCTION("""COMPUTED_VALUE"""),1001245.0)</f>
        <v>1001245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IFERROR(__xludf.DUMMYFUNCTION("""COMPUTED_VALUE"""),100.5)</f>
        <v>100.5</v>
      </c>
      <c r="C3070" s="1">
        <f>IFERROR(__xludf.DUMMYFUNCTION("""COMPUTED_VALUE"""),101.28)</f>
        <v>101.28</v>
      </c>
      <c r="D3070" s="1">
        <f>IFERROR(__xludf.DUMMYFUNCTION("""COMPUTED_VALUE"""),98.8)</f>
        <v>98.8</v>
      </c>
      <c r="E3070" s="1">
        <f>IFERROR(__xludf.DUMMYFUNCTION("""COMPUTED_VALUE"""),99.21)</f>
        <v>99.21</v>
      </c>
      <c r="F3070" s="1">
        <f>IFERROR(__xludf.DUMMYFUNCTION("""COMPUTED_VALUE"""),892499.0)</f>
        <v>892499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IFERROR(__xludf.DUMMYFUNCTION("""COMPUTED_VALUE"""),99.09)</f>
        <v>99.09</v>
      </c>
      <c r="C3071" s="1">
        <f>IFERROR(__xludf.DUMMYFUNCTION("""COMPUTED_VALUE"""),101.7)</f>
        <v>101.7</v>
      </c>
      <c r="D3071" s="1">
        <f>IFERROR(__xludf.DUMMYFUNCTION("""COMPUTED_VALUE"""),98.2)</f>
        <v>98.2</v>
      </c>
      <c r="E3071" s="1">
        <f>IFERROR(__xludf.DUMMYFUNCTION("""COMPUTED_VALUE"""),98.55)</f>
        <v>98.55</v>
      </c>
      <c r="F3071" s="1">
        <f>IFERROR(__xludf.DUMMYFUNCTION("""COMPUTED_VALUE"""),1248896.0)</f>
        <v>1248896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IFERROR(__xludf.DUMMYFUNCTION("""COMPUTED_VALUE"""),98.96)</f>
        <v>98.96</v>
      </c>
      <c r="C3072" s="1">
        <f>IFERROR(__xludf.DUMMYFUNCTION("""COMPUTED_VALUE"""),102.29)</f>
        <v>102.29</v>
      </c>
      <c r="D3072" s="1">
        <f>IFERROR(__xludf.DUMMYFUNCTION("""COMPUTED_VALUE"""),98.61)</f>
        <v>98.61</v>
      </c>
      <c r="E3072" s="1">
        <f>IFERROR(__xludf.DUMMYFUNCTION("""COMPUTED_VALUE"""),100.92)</f>
        <v>100.92</v>
      </c>
      <c r="F3072" s="1">
        <f>IFERROR(__xludf.DUMMYFUNCTION("""COMPUTED_VALUE"""),1029002.0)</f>
        <v>1029002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IFERROR(__xludf.DUMMYFUNCTION("""COMPUTED_VALUE"""),100.89)</f>
        <v>100.89</v>
      </c>
      <c r="C3073" s="1">
        <f>IFERROR(__xludf.DUMMYFUNCTION("""COMPUTED_VALUE"""),103.07)</f>
        <v>103.07</v>
      </c>
      <c r="D3073" s="1">
        <f>IFERROR(__xludf.DUMMYFUNCTION("""COMPUTED_VALUE"""),98.43)</f>
        <v>98.43</v>
      </c>
      <c r="E3073" s="1">
        <f>IFERROR(__xludf.DUMMYFUNCTION("""COMPUTED_VALUE"""),102.02)</f>
        <v>102.02</v>
      </c>
      <c r="F3073" s="1">
        <f>IFERROR(__xludf.DUMMYFUNCTION("""COMPUTED_VALUE"""),2006473.0)</f>
        <v>2006473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IFERROR(__xludf.DUMMYFUNCTION("""COMPUTED_VALUE"""),100.74)</f>
        <v>100.74</v>
      </c>
      <c r="C3074" s="1">
        <f>IFERROR(__xludf.DUMMYFUNCTION("""COMPUTED_VALUE"""),103.96)</f>
        <v>103.96</v>
      </c>
      <c r="D3074" s="1">
        <f>IFERROR(__xludf.DUMMYFUNCTION("""COMPUTED_VALUE"""),99.7)</f>
        <v>99.7</v>
      </c>
      <c r="E3074" s="1">
        <f>IFERROR(__xludf.DUMMYFUNCTION("""COMPUTED_VALUE"""),103.92)</f>
        <v>103.92</v>
      </c>
      <c r="F3074" s="1">
        <f>IFERROR(__xludf.DUMMYFUNCTION("""COMPUTED_VALUE"""),1118223.0)</f>
        <v>1118223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IFERROR(__xludf.DUMMYFUNCTION("""COMPUTED_VALUE"""),103.99)</f>
        <v>103.99</v>
      </c>
      <c r="C3075" s="1">
        <f>IFERROR(__xludf.DUMMYFUNCTION("""COMPUTED_VALUE"""),105.9)</f>
        <v>105.9</v>
      </c>
      <c r="D3075" s="1">
        <f>IFERROR(__xludf.DUMMYFUNCTION("""COMPUTED_VALUE"""),103.29)</f>
        <v>103.29</v>
      </c>
      <c r="E3075" s="1">
        <f>IFERROR(__xludf.DUMMYFUNCTION("""COMPUTED_VALUE"""),104.47)</f>
        <v>104.47</v>
      </c>
      <c r="F3075" s="1">
        <f>IFERROR(__xludf.DUMMYFUNCTION("""COMPUTED_VALUE"""),2572564.0)</f>
        <v>2572564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IFERROR(__xludf.DUMMYFUNCTION("""COMPUTED_VALUE"""),104.47)</f>
        <v>104.47</v>
      </c>
      <c r="C3076" s="1">
        <f>IFERROR(__xludf.DUMMYFUNCTION("""COMPUTED_VALUE"""),105.68)</f>
        <v>105.68</v>
      </c>
      <c r="D3076" s="1">
        <f>IFERROR(__xludf.DUMMYFUNCTION("""COMPUTED_VALUE"""),101.38)</f>
        <v>101.38</v>
      </c>
      <c r="E3076" s="1">
        <f>IFERROR(__xludf.DUMMYFUNCTION("""COMPUTED_VALUE"""),102.59)</f>
        <v>102.59</v>
      </c>
      <c r="F3076" s="1">
        <f>IFERROR(__xludf.DUMMYFUNCTION("""COMPUTED_VALUE"""),1328689.0)</f>
        <v>1328689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IFERROR(__xludf.DUMMYFUNCTION("""COMPUTED_VALUE"""),102.99)</f>
        <v>102.99</v>
      </c>
      <c r="C3077" s="1">
        <f>IFERROR(__xludf.DUMMYFUNCTION("""COMPUTED_VALUE"""),104.92)</f>
        <v>104.92</v>
      </c>
      <c r="D3077" s="1">
        <f>IFERROR(__xludf.DUMMYFUNCTION("""COMPUTED_VALUE"""),101.8)</f>
        <v>101.8</v>
      </c>
      <c r="E3077" s="1">
        <f>IFERROR(__xludf.DUMMYFUNCTION("""COMPUTED_VALUE"""),103.05)</f>
        <v>103.05</v>
      </c>
      <c r="F3077" s="1">
        <f>IFERROR(__xludf.DUMMYFUNCTION("""COMPUTED_VALUE"""),1655091.0)</f>
        <v>1655091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IFERROR(__xludf.DUMMYFUNCTION("""COMPUTED_VALUE"""),102.13)</f>
        <v>102.13</v>
      </c>
      <c r="C3078" s="1">
        <f>IFERROR(__xludf.DUMMYFUNCTION("""COMPUTED_VALUE"""),102.71)</f>
        <v>102.71</v>
      </c>
      <c r="D3078" s="1">
        <f>IFERROR(__xludf.DUMMYFUNCTION("""COMPUTED_VALUE"""),98.54)</f>
        <v>98.54</v>
      </c>
      <c r="E3078" s="1">
        <f>IFERROR(__xludf.DUMMYFUNCTION("""COMPUTED_VALUE"""),98.92)</f>
        <v>98.92</v>
      </c>
      <c r="F3078" s="1">
        <f>IFERROR(__xludf.DUMMYFUNCTION("""COMPUTED_VALUE"""),1439306.0)</f>
        <v>1439306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IFERROR(__xludf.DUMMYFUNCTION("""COMPUTED_VALUE"""),99.07)</f>
        <v>99.07</v>
      </c>
      <c r="C3079" s="1">
        <f>IFERROR(__xludf.DUMMYFUNCTION("""COMPUTED_VALUE"""),100.58)</f>
        <v>100.58</v>
      </c>
      <c r="D3079" s="1">
        <f>IFERROR(__xludf.DUMMYFUNCTION("""COMPUTED_VALUE"""),98.7)</f>
        <v>98.7</v>
      </c>
      <c r="E3079" s="1">
        <f>IFERROR(__xludf.DUMMYFUNCTION("""COMPUTED_VALUE"""),99.28)</f>
        <v>99.28</v>
      </c>
      <c r="F3079" s="1">
        <f>IFERROR(__xludf.DUMMYFUNCTION("""COMPUTED_VALUE"""),1436844.0)</f>
        <v>1436844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IFERROR(__xludf.DUMMYFUNCTION("""COMPUTED_VALUE"""),99.87)</f>
        <v>99.87</v>
      </c>
      <c r="C3080" s="1">
        <f>IFERROR(__xludf.DUMMYFUNCTION("""COMPUTED_VALUE"""),99.87)</f>
        <v>99.87</v>
      </c>
      <c r="D3080" s="1">
        <f>IFERROR(__xludf.DUMMYFUNCTION("""COMPUTED_VALUE"""),95.89)</f>
        <v>95.89</v>
      </c>
      <c r="E3080" s="1">
        <f>IFERROR(__xludf.DUMMYFUNCTION("""COMPUTED_VALUE"""),97.27)</f>
        <v>97.27</v>
      </c>
      <c r="F3080" s="1">
        <f>IFERROR(__xludf.DUMMYFUNCTION("""COMPUTED_VALUE"""),1645397.0)</f>
        <v>1645397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IFERROR(__xludf.DUMMYFUNCTION("""COMPUTED_VALUE"""),97.86)</f>
        <v>97.86</v>
      </c>
      <c r="C3081" s="1">
        <f>IFERROR(__xludf.DUMMYFUNCTION("""COMPUTED_VALUE"""),98.73)</f>
        <v>98.73</v>
      </c>
      <c r="D3081" s="1">
        <f>IFERROR(__xludf.DUMMYFUNCTION("""COMPUTED_VALUE"""),95.04)</f>
        <v>95.04</v>
      </c>
      <c r="E3081" s="1">
        <f>IFERROR(__xludf.DUMMYFUNCTION("""COMPUTED_VALUE"""),98.63)</f>
        <v>98.63</v>
      </c>
      <c r="F3081" s="1">
        <f>IFERROR(__xludf.DUMMYFUNCTION("""COMPUTED_VALUE"""),2218178.0)</f>
        <v>2218178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IFERROR(__xludf.DUMMYFUNCTION("""COMPUTED_VALUE"""),101.25)</f>
        <v>101.25</v>
      </c>
      <c r="C3082" s="1">
        <f>IFERROR(__xludf.DUMMYFUNCTION("""COMPUTED_VALUE"""),104.61)</f>
        <v>104.61</v>
      </c>
      <c r="D3082" s="1">
        <f>IFERROR(__xludf.DUMMYFUNCTION("""COMPUTED_VALUE"""),100.63)</f>
        <v>100.63</v>
      </c>
      <c r="E3082" s="1">
        <f>IFERROR(__xludf.DUMMYFUNCTION("""COMPUTED_VALUE"""),103.82)</f>
        <v>103.82</v>
      </c>
      <c r="F3082" s="1">
        <f>IFERROR(__xludf.DUMMYFUNCTION("""COMPUTED_VALUE"""),2282893.0)</f>
        <v>2282893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IFERROR(__xludf.DUMMYFUNCTION("""COMPUTED_VALUE"""),102.7)</f>
        <v>102.7</v>
      </c>
      <c r="C3083" s="1">
        <f>IFERROR(__xludf.DUMMYFUNCTION("""COMPUTED_VALUE"""),103.73)</f>
        <v>103.73</v>
      </c>
      <c r="D3083" s="1">
        <f>IFERROR(__xludf.DUMMYFUNCTION("""COMPUTED_VALUE"""),101.22)</f>
        <v>101.22</v>
      </c>
      <c r="E3083" s="1">
        <f>IFERROR(__xludf.DUMMYFUNCTION("""COMPUTED_VALUE"""),101.53)</f>
        <v>101.53</v>
      </c>
      <c r="F3083" s="1">
        <f>IFERROR(__xludf.DUMMYFUNCTION("""COMPUTED_VALUE"""),1304086.0)</f>
        <v>1304086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IFERROR(__xludf.DUMMYFUNCTION("""COMPUTED_VALUE"""),101.16)</f>
        <v>101.16</v>
      </c>
      <c r="C3084" s="1">
        <f>IFERROR(__xludf.DUMMYFUNCTION("""COMPUTED_VALUE"""),101.22)</f>
        <v>101.22</v>
      </c>
      <c r="D3084" s="1">
        <f>IFERROR(__xludf.DUMMYFUNCTION("""COMPUTED_VALUE"""),96.48)</f>
        <v>96.48</v>
      </c>
      <c r="E3084" s="1">
        <f>IFERROR(__xludf.DUMMYFUNCTION("""COMPUTED_VALUE"""),96.48)</f>
        <v>96.48</v>
      </c>
      <c r="F3084" s="1">
        <f>IFERROR(__xludf.DUMMYFUNCTION("""COMPUTED_VALUE"""),1931149.0)</f>
        <v>1931149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IFERROR(__xludf.DUMMYFUNCTION("""COMPUTED_VALUE"""),97.29)</f>
        <v>97.29</v>
      </c>
      <c r="C3085" s="1">
        <f>IFERROR(__xludf.DUMMYFUNCTION("""COMPUTED_VALUE"""),98.52)</f>
        <v>98.52</v>
      </c>
      <c r="D3085" s="1">
        <f>IFERROR(__xludf.DUMMYFUNCTION("""COMPUTED_VALUE"""),95.66)</f>
        <v>95.66</v>
      </c>
      <c r="E3085" s="1">
        <f>IFERROR(__xludf.DUMMYFUNCTION("""COMPUTED_VALUE"""),98.49)</f>
        <v>98.49</v>
      </c>
      <c r="F3085" s="1">
        <f>IFERROR(__xludf.DUMMYFUNCTION("""COMPUTED_VALUE"""),1527095.0)</f>
        <v>1527095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IFERROR(__xludf.DUMMYFUNCTION("""COMPUTED_VALUE"""),98.56)</f>
        <v>98.56</v>
      </c>
      <c r="C3086" s="1">
        <f>IFERROR(__xludf.DUMMYFUNCTION("""COMPUTED_VALUE"""),102.57)</f>
        <v>102.57</v>
      </c>
      <c r="D3086" s="1">
        <f>IFERROR(__xludf.DUMMYFUNCTION("""COMPUTED_VALUE"""),98.23)</f>
        <v>98.23</v>
      </c>
      <c r="E3086" s="1">
        <f>IFERROR(__xludf.DUMMYFUNCTION("""COMPUTED_VALUE"""),101.37)</f>
        <v>101.37</v>
      </c>
      <c r="F3086" s="1">
        <f>IFERROR(__xludf.DUMMYFUNCTION("""COMPUTED_VALUE"""),1679408.0)</f>
        <v>1679408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IFERROR(__xludf.DUMMYFUNCTION("""COMPUTED_VALUE"""),100.0)</f>
        <v>100</v>
      </c>
      <c r="C3087" s="1">
        <f>IFERROR(__xludf.DUMMYFUNCTION("""COMPUTED_VALUE"""),102.64)</f>
        <v>102.64</v>
      </c>
      <c r="D3087" s="1">
        <f>IFERROR(__xludf.DUMMYFUNCTION("""COMPUTED_VALUE"""),98.87)</f>
        <v>98.87</v>
      </c>
      <c r="E3087" s="1">
        <f>IFERROR(__xludf.DUMMYFUNCTION("""COMPUTED_VALUE"""),99.82)</f>
        <v>99.82</v>
      </c>
      <c r="F3087" s="1">
        <f>IFERROR(__xludf.DUMMYFUNCTION("""COMPUTED_VALUE"""),1489246.0)</f>
        <v>1489246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IFERROR(__xludf.DUMMYFUNCTION("""COMPUTED_VALUE"""),96.07)</f>
        <v>96.07</v>
      </c>
      <c r="C3088" s="1">
        <f>IFERROR(__xludf.DUMMYFUNCTION("""COMPUTED_VALUE"""),98.4)</f>
        <v>98.4</v>
      </c>
      <c r="D3088" s="1">
        <f>IFERROR(__xludf.DUMMYFUNCTION("""COMPUTED_VALUE"""),95.22)</f>
        <v>95.22</v>
      </c>
      <c r="E3088" s="1">
        <f>IFERROR(__xludf.DUMMYFUNCTION("""COMPUTED_VALUE"""),97.76)</f>
        <v>97.76</v>
      </c>
      <c r="F3088" s="1">
        <f>IFERROR(__xludf.DUMMYFUNCTION("""COMPUTED_VALUE"""),2499019.0)</f>
        <v>2499019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IFERROR(__xludf.DUMMYFUNCTION("""COMPUTED_VALUE"""),97.12)</f>
        <v>97.12</v>
      </c>
      <c r="C3089" s="1">
        <f>IFERROR(__xludf.DUMMYFUNCTION("""COMPUTED_VALUE"""),99.7)</f>
        <v>99.7</v>
      </c>
      <c r="D3089" s="1">
        <f>IFERROR(__xludf.DUMMYFUNCTION("""COMPUTED_VALUE"""),94.35)</f>
        <v>94.35</v>
      </c>
      <c r="E3089" s="1">
        <f>IFERROR(__xludf.DUMMYFUNCTION("""COMPUTED_VALUE"""),99.12)</f>
        <v>99.12</v>
      </c>
      <c r="F3089" s="1">
        <f>IFERROR(__xludf.DUMMYFUNCTION("""COMPUTED_VALUE"""),2007313.0)</f>
        <v>2007313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IFERROR(__xludf.DUMMYFUNCTION("""COMPUTED_VALUE"""),98.64)</f>
        <v>98.64</v>
      </c>
      <c r="C3090" s="1">
        <f>IFERROR(__xludf.DUMMYFUNCTION("""COMPUTED_VALUE"""),103.23)</f>
        <v>103.23</v>
      </c>
      <c r="D3090" s="1">
        <f>IFERROR(__xludf.DUMMYFUNCTION("""COMPUTED_VALUE"""),97.86)</f>
        <v>97.86</v>
      </c>
      <c r="E3090" s="1">
        <f>IFERROR(__xludf.DUMMYFUNCTION("""COMPUTED_VALUE"""),102.22)</f>
        <v>102.22</v>
      </c>
      <c r="F3090" s="1">
        <f>IFERROR(__xludf.DUMMYFUNCTION("""COMPUTED_VALUE"""),2191750.0)</f>
        <v>2191750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IFERROR(__xludf.DUMMYFUNCTION("""COMPUTED_VALUE"""),101.04)</f>
        <v>101.04</v>
      </c>
      <c r="C3091" s="1">
        <f>IFERROR(__xludf.DUMMYFUNCTION("""COMPUTED_VALUE"""),105.9)</f>
        <v>105.9</v>
      </c>
      <c r="D3091" s="1">
        <f>IFERROR(__xludf.DUMMYFUNCTION("""COMPUTED_VALUE"""),101.04)</f>
        <v>101.04</v>
      </c>
      <c r="E3091" s="1">
        <f>IFERROR(__xludf.DUMMYFUNCTION("""COMPUTED_VALUE"""),103.17)</f>
        <v>103.17</v>
      </c>
      <c r="F3091" s="1">
        <f>IFERROR(__xludf.DUMMYFUNCTION("""COMPUTED_VALUE"""),2923017.0)</f>
        <v>2923017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IFERROR(__xludf.DUMMYFUNCTION("""COMPUTED_VALUE"""),99.63)</f>
        <v>99.63</v>
      </c>
      <c r="C3092" s="1">
        <f>IFERROR(__xludf.DUMMYFUNCTION("""COMPUTED_VALUE"""),101.5)</f>
        <v>101.5</v>
      </c>
      <c r="D3092" s="1">
        <f>IFERROR(__xludf.DUMMYFUNCTION("""COMPUTED_VALUE"""),93.23)</f>
        <v>93.23</v>
      </c>
      <c r="E3092" s="1">
        <f>IFERROR(__xludf.DUMMYFUNCTION("""COMPUTED_VALUE"""),93.33)</f>
        <v>93.33</v>
      </c>
      <c r="F3092" s="1">
        <f>IFERROR(__xludf.DUMMYFUNCTION("""COMPUTED_VALUE"""),8382652.0)</f>
        <v>8382652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IFERROR(__xludf.DUMMYFUNCTION("""COMPUTED_VALUE"""),91.51)</f>
        <v>91.51</v>
      </c>
      <c r="C3093" s="1">
        <f>IFERROR(__xludf.DUMMYFUNCTION("""COMPUTED_VALUE"""),94.32)</f>
        <v>94.32</v>
      </c>
      <c r="D3093" s="1">
        <f>IFERROR(__xludf.DUMMYFUNCTION("""COMPUTED_VALUE"""),90.55)</f>
        <v>90.55</v>
      </c>
      <c r="E3093" s="1">
        <f>IFERROR(__xludf.DUMMYFUNCTION("""COMPUTED_VALUE"""),92.99)</f>
        <v>92.99</v>
      </c>
      <c r="F3093" s="1">
        <f>IFERROR(__xludf.DUMMYFUNCTION("""COMPUTED_VALUE"""),3595586.0)</f>
        <v>3595586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IFERROR(__xludf.DUMMYFUNCTION("""COMPUTED_VALUE"""),93.7)</f>
        <v>93.7</v>
      </c>
      <c r="C3094" s="1">
        <f>IFERROR(__xludf.DUMMYFUNCTION("""COMPUTED_VALUE"""),94.61)</f>
        <v>94.61</v>
      </c>
      <c r="D3094" s="1">
        <f>IFERROR(__xludf.DUMMYFUNCTION("""COMPUTED_VALUE"""),91.52)</f>
        <v>91.52</v>
      </c>
      <c r="E3094" s="1">
        <f>IFERROR(__xludf.DUMMYFUNCTION("""COMPUTED_VALUE"""),91.79)</f>
        <v>91.79</v>
      </c>
      <c r="F3094" s="1">
        <f>IFERROR(__xludf.DUMMYFUNCTION("""COMPUTED_VALUE"""),2099946.0)</f>
        <v>2099946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IFERROR(__xludf.DUMMYFUNCTION("""COMPUTED_VALUE"""),91.3)</f>
        <v>91.3</v>
      </c>
      <c r="C3095" s="1">
        <f>IFERROR(__xludf.DUMMYFUNCTION("""COMPUTED_VALUE"""),92.35)</f>
        <v>92.35</v>
      </c>
      <c r="D3095" s="1">
        <f>IFERROR(__xludf.DUMMYFUNCTION("""COMPUTED_VALUE"""),90.44)</f>
        <v>90.44</v>
      </c>
      <c r="E3095" s="1">
        <f>IFERROR(__xludf.DUMMYFUNCTION("""COMPUTED_VALUE"""),91.11)</f>
        <v>91.11</v>
      </c>
      <c r="F3095" s="1">
        <f>IFERROR(__xludf.DUMMYFUNCTION("""COMPUTED_VALUE"""),1601771.0)</f>
        <v>1601771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IFERROR(__xludf.DUMMYFUNCTION("""COMPUTED_VALUE"""),91.43)</f>
        <v>91.43</v>
      </c>
      <c r="C3096" s="1">
        <f>IFERROR(__xludf.DUMMYFUNCTION("""COMPUTED_VALUE"""),96.77)</f>
        <v>96.77</v>
      </c>
      <c r="D3096" s="1">
        <f>IFERROR(__xludf.DUMMYFUNCTION("""COMPUTED_VALUE"""),91.29)</f>
        <v>91.29</v>
      </c>
      <c r="E3096" s="1">
        <f>IFERROR(__xludf.DUMMYFUNCTION("""COMPUTED_VALUE"""),96.29)</f>
        <v>96.29</v>
      </c>
      <c r="F3096" s="1">
        <f>IFERROR(__xludf.DUMMYFUNCTION("""COMPUTED_VALUE"""),1775475.0)</f>
        <v>1775475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IFERROR(__xludf.DUMMYFUNCTION("""COMPUTED_VALUE"""),96.87)</f>
        <v>96.87</v>
      </c>
      <c r="C3097" s="1">
        <f>IFERROR(__xludf.DUMMYFUNCTION("""COMPUTED_VALUE"""),97.86)</f>
        <v>97.86</v>
      </c>
      <c r="D3097" s="1">
        <f>IFERROR(__xludf.DUMMYFUNCTION("""COMPUTED_VALUE"""),92.98)</f>
        <v>92.98</v>
      </c>
      <c r="E3097" s="1">
        <f>IFERROR(__xludf.DUMMYFUNCTION("""COMPUTED_VALUE"""),93.07)</f>
        <v>93.07</v>
      </c>
      <c r="F3097" s="1">
        <f>IFERROR(__xludf.DUMMYFUNCTION("""COMPUTED_VALUE"""),1746263.0)</f>
        <v>1746263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IFERROR(__xludf.DUMMYFUNCTION("""COMPUTED_VALUE"""),93.5)</f>
        <v>93.5</v>
      </c>
      <c r="C3098" s="1">
        <f>IFERROR(__xludf.DUMMYFUNCTION("""COMPUTED_VALUE"""),93.86)</f>
        <v>93.86</v>
      </c>
      <c r="D3098" s="1">
        <f>IFERROR(__xludf.DUMMYFUNCTION("""COMPUTED_VALUE"""),90.02)</f>
        <v>90.02</v>
      </c>
      <c r="E3098" s="1">
        <f>IFERROR(__xludf.DUMMYFUNCTION("""COMPUTED_VALUE"""),90.67)</f>
        <v>90.67</v>
      </c>
      <c r="F3098" s="1">
        <f>IFERROR(__xludf.DUMMYFUNCTION("""COMPUTED_VALUE"""),2176300.0)</f>
        <v>2176300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IFERROR(__xludf.DUMMYFUNCTION("""COMPUTED_VALUE"""),90.26)</f>
        <v>90.26</v>
      </c>
      <c r="C3099" s="1">
        <f>IFERROR(__xludf.DUMMYFUNCTION("""COMPUTED_VALUE"""),91.85)</f>
        <v>91.85</v>
      </c>
      <c r="D3099" s="1">
        <f>IFERROR(__xludf.DUMMYFUNCTION("""COMPUTED_VALUE"""),89.53)</f>
        <v>89.53</v>
      </c>
      <c r="E3099" s="1">
        <f>IFERROR(__xludf.DUMMYFUNCTION("""COMPUTED_VALUE"""),90.38)</f>
        <v>90.38</v>
      </c>
      <c r="F3099" s="1">
        <f>IFERROR(__xludf.DUMMYFUNCTION("""COMPUTED_VALUE"""),1811473.0)</f>
        <v>1811473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IFERROR(__xludf.DUMMYFUNCTION("""COMPUTED_VALUE"""),89.61)</f>
        <v>89.61</v>
      </c>
      <c r="C3100" s="1">
        <f>IFERROR(__xludf.DUMMYFUNCTION("""COMPUTED_VALUE"""),90.65)</f>
        <v>90.65</v>
      </c>
      <c r="D3100" s="1">
        <f>IFERROR(__xludf.DUMMYFUNCTION("""COMPUTED_VALUE"""),87.49)</f>
        <v>87.49</v>
      </c>
      <c r="E3100" s="1">
        <f>IFERROR(__xludf.DUMMYFUNCTION("""COMPUTED_VALUE"""),90.45)</f>
        <v>90.45</v>
      </c>
      <c r="F3100" s="1">
        <f>IFERROR(__xludf.DUMMYFUNCTION("""COMPUTED_VALUE"""),2463591.0)</f>
        <v>2463591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IFERROR(__xludf.DUMMYFUNCTION("""COMPUTED_VALUE"""),89.62)</f>
        <v>89.62</v>
      </c>
      <c r="C3101" s="1">
        <f>IFERROR(__xludf.DUMMYFUNCTION("""COMPUTED_VALUE"""),90.28)</f>
        <v>90.28</v>
      </c>
      <c r="D3101" s="1">
        <f>IFERROR(__xludf.DUMMYFUNCTION("""COMPUTED_VALUE"""),88.42)</f>
        <v>88.42</v>
      </c>
      <c r="E3101" s="1">
        <f>IFERROR(__xludf.DUMMYFUNCTION("""COMPUTED_VALUE"""),88.43)</f>
        <v>88.43</v>
      </c>
      <c r="F3101" s="1">
        <f>IFERROR(__xludf.DUMMYFUNCTION("""COMPUTED_VALUE"""),1476314.0)</f>
        <v>1476314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IFERROR(__xludf.DUMMYFUNCTION("""COMPUTED_VALUE"""),88.05)</f>
        <v>88.05</v>
      </c>
      <c r="C3102" s="1">
        <f>IFERROR(__xludf.DUMMYFUNCTION("""COMPUTED_VALUE"""),90.82)</f>
        <v>90.82</v>
      </c>
      <c r="D3102" s="1">
        <f>IFERROR(__xludf.DUMMYFUNCTION("""COMPUTED_VALUE"""),87.15)</f>
        <v>87.15</v>
      </c>
      <c r="E3102" s="1">
        <f>IFERROR(__xludf.DUMMYFUNCTION("""COMPUTED_VALUE"""),88.87)</f>
        <v>88.87</v>
      </c>
      <c r="F3102" s="1">
        <f>IFERROR(__xludf.DUMMYFUNCTION("""COMPUTED_VALUE"""),1715760.0)</f>
        <v>1715760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IFERROR(__xludf.DUMMYFUNCTION("""COMPUTED_VALUE"""),89.94)</f>
        <v>89.94</v>
      </c>
      <c r="C3103" s="1">
        <f>IFERROR(__xludf.DUMMYFUNCTION("""COMPUTED_VALUE"""),90.66)</f>
        <v>90.66</v>
      </c>
      <c r="D3103" s="1">
        <f>IFERROR(__xludf.DUMMYFUNCTION("""COMPUTED_VALUE"""),87.14)</f>
        <v>87.14</v>
      </c>
      <c r="E3103" s="1">
        <f>IFERROR(__xludf.DUMMYFUNCTION("""COMPUTED_VALUE"""),89.1)</f>
        <v>89.1</v>
      </c>
      <c r="F3103" s="1">
        <f>IFERROR(__xludf.DUMMYFUNCTION("""COMPUTED_VALUE"""),1414625.0)</f>
        <v>1414625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IFERROR(__xludf.DUMMYFUNCTION("""COMPUTED_VALUE"""),88.78)</f>
        <v>88.78</v>
      </c>
      <c r="C3104" s="1">
        <f>IFERROR(__xludf.DUMMYFUNCTION("""COMPUTED_VALUE"""),89.85)</f>
        <v>89.85</v>
      </c>
      <c r="D3104" s="1">
        <f>IFERROR(__xludf.DUMMYFUNCTION("""COMPUTED_VALUE"""),85.65)</f>
        <v>85.65</v>
      </c>
      <c r="E3104" s="1">
        <f>IFERROR(__xludf.DUMMYFUNCTION("""COMPUTED_VALUE"""),85.78)</f>
        <v>85.78</v>
      </c>
      <c r="F3104" s="1">
        <f>IFERROR(__xludf.DUMMYFUNCTION("""COMPUTED_VALUE"""),1515571.0)</f>
        <v>1515571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IFERROR(__xludf.DUMMYFUNCTION("""COMPUTED_VALUE"""),85.85)</f>
        <v>85.85</v>
      </c>
      <c r="C3105" s="1">
        <f>IFERROR(__xludf.DUMMYFUNCTION("""COMPUTED_VALUE"""),91.26)</f>
        <v>91.26</v>
      </c>
      <c r="D3105" s="1">
        <f>IFERROR(__xludf.DUMMYFUNCTION("""COMPUTED_VALUE"""),85.36)</f>
        <v>85.36</v>
      </c>
      <c r="E3105" s="1">
        <f>IFERROR(__xludf.DUMMYFUNCTION("""COMPUTED_VALUE"""),91.14)</f>
        <v>91.14</v>
      </c>
      <c r="F3105" s="1">
        <f>IFERROR(__xludf.DUMMYFUNCTION("""COMPUTED_VALUE"""),1953073.0)</f>
        <v>1953073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IFERROR(__xludf.DUMMYFUNCTION("""COMPUTED_VALUE"""),90.87)</f>
        <v>90.87</v>
      </c>
      <c r="C3106" s="1">
        <f>IFERROR(__xludf.DUMMYFUNCTION("""COMPUTED_VALUE"""),95.67)</f>
        <v>95.67</v>
      </c>
      <c r="D3106" s="1">
        <f>IFERROR(__xludf.DUMMYFUNCTION("""COMPUTED_VALUE"""),90.35)</f>
        <v>90.35</v>
      </c>
      <c r="E3106" s="1">
        <f>IFERROR(__xludf.DUMMYFUNCTION("""COMPUTED_VALUE"""),95.07)</f>
        <v>95.07</v>
      </c>
      <c r="F3106" s="1">
        <f>IFERROR(__xludf.DUMMYFUNCTION("""COMPUTED_VALUE"""),2642937.0)</f>
        <v>2642937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IFERROR(__xludf.DUMMYFUNCTION("""COMPUTED_VALUE"""),94.41)</f>
        <v>94.41</v>
      </c>
      <c r="C3107" s="1">
        <f>IFERROR(__xludf.DUMMYFUNCTION("""COMPUTED_VALUE"""),100.35)</f>
        <v>100.35</v>
      </c>
      <c r="D3107" s="1">
        <f>IFERROR(__xludf.DUMMYFUNCTION("""COMPUTED_VALUE"""),93.94)</f>
        <v>93.94</v>
      </c>
      <c r="E3107" s="1">
        <f>IFERROR(__xludf.DUMMYFUNCTION("""COMPUTED_VALUE"""),100.18)</f>
        <v>100.18</v>
      </c>
      <c r="F3107" s="1">
        <f>IFERROR(__xludf.DUMMYFUNCTION("""COMPUTED_VALUE"""),2433527.0)</f>
        <v>2433527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IFERROR(__xludf.DUMMYFUNCTION("""COMPUTED_VALUE"""),98.34)</f>
        <v>98.34</v>
      </c>
      <c r="C3108" s="1">
        <f>IFERROR(__xludf.DUMMYFUNCTION("""COMPUTED_VALUE"""),98.56)</f>
        <v>98.56</v>
      </c>
      <c r="D3108" s="1">
        <f>IFERROR(__xludf.DUMMYFUNCTION("""COMPUTED_VALUE"""),90.77)</f>
        <v>90.77</v>
      </c>
      <c r="E3108" s="1">
        <f>IFERROR(__xludf.DUMMYFUNCTION("""COMPUTED_VALUE"""),92.38)</f>
        <v>92.38</v>
      </c>
      <c r="F3108" s="1">
        <f>IFERROR(__xludf.DUMMYFUNCTION("""COMPUTED_VALUE"""),2123663.0)</f>
        <v>2123663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IFERROR(__xludf.DUMMYFUNCTION("""COMPUTED_VALUE"""),92.17)</f>
        <v>92.17</v>
      </c>
      <c r="C3109" s="1">
        <f>IFERROR(__xludf.DUMMYFUNCTION("""COMPUTED_VALUE"""),96.18)</f>
        <v>96.18</v>
      </c>
      <c r="D3109" s="1">
        <f>IFERROR(__xludf.DUMMYFUNCTION("""COMPUTED_VALUE"""),90.49)</f>
        <v>90.49</v>
      </c>
      <c r="E3109" s="1">
        <f>IFERROR(__xludf.DUMMYFUNCTION("""COMPUTED_VALUE"""),94.7)</f>
        <v>94.7</v>
      </c>
      <c r="F3109" s="1">
        <f>IFERROR(__xludf.DUMMYFUNCTION("""COMPUTED_VALUE"""),2218293.0)</f>
        <v>2218293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IFERROR(__xludf.DUMMYFUNCTION("""COMPUTED_VALUE"""),92.95)</f>
        <v>92.95</v>
      </c>
      <c r="C3110" s="1">
        <f>IFERROR(__xludf.DUMMYFUNCTION("""COMPUTED_VALUE"""),96.02)</f>
        <v>96.02</v>
      </c>
      <c r="D3110" s="1">
        <f>IFERROR(__xludf.DUMMYFUNCTION("""COMPUTED_VALUE"""),92.19)</f>
        <v>92.19</v>
      </c>
      <c r="E3110" s="1">
        <f>IFERROR(__xludf.DUMMYFUNCTION("""COMPUTED_VALUE"""),92.81)</f>
        <v>92.81</v>
      </c>
      <c r="F3110" s="1">
        <f>IFERROR(__xludf.DUMMYFUNCTION("""COMPUTED_VALUE"""),2102387.0)</f>
        <v>2102387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IFERROR(__xludf.DUMMYFUNCTION("""COMPUTED_VALUE"""),94.21)</f>
        <v>94.21</v>
      </c>
      <c r="C3111" s="1">
        <f>IFERROR(__xludf.DUMMYFUNCTION("""COMPUTED_VALUE"""),96.33)</f>
        <v>96.33</v>
      </c>
      <c r="D3111" s="1">
        <f>IFERROR(__xludf.DUMMYFUNCTION("""COMPUTED_VALUE"""),89.28)</f>
        <v>89.28</v>
      </c>
      <c r="E3111" s="1">
        <f>IFERROR(__xludf.DUMMYFUNCTION("""COMPUTED_VALUE"""),92.22)</f>
        <v>92.22</v>
      </c>
      <c r="F3111" s="1">
        <f>IFERROR(__xludf.DUMMYFUNCTION("""COMPUTED_VALUE"""),2486130.0)</f>
        <v>2486130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IFERROR(__xludf.DUMMYFUNCTION("""COMPUTED_VALUE"""),91.87)</f>
        <v>91.87</v>
      </c>
      <c r="C3112" s="1">
        <f>IFERROR(__xludf.DUMMYFUNCTION("""COMPUTED_VALUE"""),93.9)</f>
        <v>93.9</v>
      </c>
      <c r="D3112" s="1">
        <f>IFERROR(__xludf.DUMMYFUNCTION("""COMPUTED_VALUE"""),89.48)</f>
        <v>89.48</v>
      </c>
      <c r="E3112" s="1">
        <f>IFERROR(__xludf.DUMMYFUNCTION("""COMPUTED_VALUE"""),89.79)</f>
        <v>89.79</v>
      </c>
      <c r="F3112" s="1">
        <f>IFERROR(__xludf.DUMMYFUNCTION("""COMPUTED_VALUE"""),1695953.0)</f>
        <v>1695953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IFERROR(__xludf.DUMMYFUNCTION("""COMPUTED_VALUE"""),89.16)</f>
        <v>89.16</v>
      </c>
      <c r="C3113" s="1">
        <f>IFERROR(__xludf.DUMMYFUNCTION("""COMPUTED_VALUE"""),93.83)</f>
        <v>93.83</v>
      </c>
      <c r="D3113" s="1">
        <f>IFERROR(__xludf.DUMMYFUNCTION("""COMPUTED_VALUE"""),88.75)</f>
        <v>88.75</v>
      </c>
      <c r="E3113" s="1">
        <f>IFERROR(__xludf.DUMMYFUNCTION("""COMPUTED_VALUE"""),91.26)</f>
        <v>91.26</v>
      </c>
      <c r="F3113" s="1">
        <f>IFERROR(__xludf.DUMMYFUNCTION("""COMPUTED_VALUE"""),2663597.0)</f>
        <v>2663597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IFERROR(__xludf.DUMMYFUNCTION("""COMPUTED_VALUE"""),92.17)</f>
        <v>92.17</v>
      </c>
      <c r="C3114" s="1">
        <f>IFERROR(__xludf.DUMMYFUNCTION("""COMPUTED_VALUE"""),95.56)</f>
        <v>95.56</v>
      </c>
      <c r="D3114" s="1">
        <f>IFERROR(__xludf.DUMMYFUNCTION("""COMPUTED_VALUE"""),91.26)</f>
        <v>91.26</v>
      </c>
      <c r="E3114" s="1">
        <f>IFERROR(__xludf.DUMMYFUNCTION("""COMPUTED_VALUE"""),91.66)</f>
        <v>91.66</v>
      </c>
      <c r="F3114" s="1">
        <f>IFERROR(__xludf.DUMMYFUNCTION("""COMPUTED_VALUE"""),2184603.0)</f>
        <v>2184603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IFERROR(__xludf.DUMMYFUNCTION("""COMPUTED_VALUE"""),91.91)</f>
        <v>91.91</v>
      </c>
      <c r="C3115" s="1">
        <f>IFERROR(__xludf.DUMMYFUNCTION("""COMPUTED_VALUE"""),93.9)</f>
        <v>93.9</v>
      </c>
      <c r="D3115" s="1">
        <f>IFERROR(__xludf.DUMMYFUNCTION("""COMPUTED_VALUE"""),90.04)</f>
        <v>90.04</v>
      </c>
      <c r="E3115" s="1">
        <f>IFERROR(__xludf.DUMMYFUNCTION("""COMPUTED_VALUE"""),92.66)</f>
        <v>92.66</v>
      </c>
      <c r="F3115" s="1">
        <f>IFERROR(__xludf.DUMMYFUNCTION("""COMPUTED_VALUE"""),2800558.0)</f>
        <v>2800558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IFERROR(__xludf.DUMMYFUNCTION("""COMPUTED_VALUE"""),94.61)</f>
        <v>94.61</v>
      </c>
      <c r="C3116" s="1">
        <f>IFERROR(__xludf.DUMMYFUNCTION("""COMPUTED_VALUE"""),97.54)</f>
        <v>97.54</v>
      </c>
      <c r="D3116" s="1">
        <f>IFERROR(__xludf.DUMMYFUNCTION("""COMPUTED_VALUE"""),94.38)</f>
        <v>94.38</v>
      </c>
      <c r="E3116" s="1">
        <f>IFERROR(__xludf.DUMMYFUNCTION("""COMPUTED_VALUE"""),97.47)</f>
        <v>97.47</v>
      </c>
      <c r="F3116" s="1">
        <f>IFERROR(__xludf.DUMMYFUNCTION("""COMPUTED_VALUE"""),1711452.0)</f>
        <v>1711452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IFERROR(__xludf.DUMMYFUNCTION("""COMPUTED_VALUE"""),95.08)</f>
        <v>95.08</v>
      </c>
      <c r="C3117" s="1">
        <f>IFERROR(__xludf.DUMMYFUNCTION("""COMPUTED_VALUE"""),95.24)</f>
        <v>95.24</v>
      </c>
      <c r="D3117" s="1">
        <f>IFERROR(__xludf.DUMMYFUNCTION("""COMPUTED_VALUE"""),88.17)</f>
        <v>88.17</v>
      </c>
      <c r="E3117" s="1">
        <f>IFERROR(__xludf.DUMMYFUNCTION("""COMPUTED_VALUE"""),89.8)</f>
        <v>89.8</v>
      </c>
      <c r="F3117" s="1">
        <f>IFERROR(__xludf.DUMMYFUNCTION("""COMPUTED_VALUE"""),2236296.0)</f>
        <v>2236296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IFERROR(__xludf.DUMMYFUNCTION("""COMPUTED_VALUE"""),89.8)</f>
        <v>89.8</v>
      </c>
      <c r="C3118" s="1">
        <f>IFERROR(__xludf.DUMMYFUNCTION("""COMPUTED_VALUE"""),92.2)</f>
        <v>92.2</v>
      </c>
      <c r="D3118" s="1">
        <f>IFERROR(__xludf.DUMMYFUNCTION("""COMPUTED_VALUE"""),88.03)</f>
        <v>88.03</v>
      </c>
      <c r="E3118" s="1">
        <f>IFERROR(__xludf.DUMMYFUNCTION("""COMPUTED_VALUE"""),90.8)</f>
        <v>90.8</v>
      </c>
      <c r="F3118" s="1">
        <f>IFERROR(__xludf.DUMMYFUNCTION("""COMPUTED_VALUE"""),2245586.0)</f>
        <v>2245586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IFERROR(__xludf.DUMMYFUNCTION("""COMPUTED_VALUE"""),92.22)</f>
        <v>92.22</v>
      </c>
      <c r="C3119" s="1">
        <f>IFERROR(__xludf.DUMMYFUNCTION("""COMPUTED_VALUE"""),93.63)</f>
        <v>93.63</v>
      </c>
      <c r="D3119" s="1">
        <f>IFERROR(__xludf.DUMMYFUNCTION("""COMPUTED_VALUE"""),89.21)</f>
        <v>89.21</v>
      </c>
      <c r="E3119" s="1">
        <f>IFERROR(__xludf.DUMMYFUNCTION("""COMPUTED_VALUE"""),92.46)</f>
        <v>92.46</v>
      </c>
      <c r="F3119" s="1">
        <f>IFERROR(__xludf.DUMMYFUNCTION("""COMPUTED_VALUE"""),2106668.0)</f>
        <v>2106668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IFERROR(__xludf.DUMMYFUNCTION("""COMPUTED_VALUE"""),93.18)</f>
        <v>93.18</v>
      </c>
      <c r="C3120" s="1">
        <f>IFERROR(__xludf.DUMMYFUNCTION("""COMPUTED_VALUE"""),93.29)</f>
        <v>93.29</v>
      </c>
      <c r="D3120" s="1">
        <f>IFERROR(__xludf.DUMMYFUNCTION("""COMPUTED_VALUE"""),89.51)</f>
        <v>89.51</v>
      </c>
      <c r="E3120" s="1">
        <f>IFERROR(__xludf.DUMMYFUNCTION("""COMPUTED_VALUE"""),90.89)</f>
        <v>90.89</v>
      </c>
      <c r="F3120" s="1">
        <f>IFERROR(__xludf.DUMMYFUNCTION("""COMPUTED_VALUE"""),1817079.0)</f>
        <v>1817079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IFERROR(__xludf.DUMMYFUNCTION("""COMPUTED_VALUE"""),89.95)</f>
        <v>89.95</v>
      </c>
      <c r="C3121" s="1">
        <f>IFERROR(__xludf.DUMMYFUNCTION("""COMPUTED_VALUE"""),91.22)</f>
        <v>91.22</v>
      </c>
      <c r="D3121" s="1">
        <f>IFERROR(__xludf.DUMMYFUNCTION("""COMPUTED_VALUE"""),88.93)</f>
        <v>88.93</v>
      </c>
      <c r="E3121" s="1">
        <f>IFERROR(__xludf.DUMMYFUNCTION("""COMPUTED_VALUE"""),90.79)</f>
        <v>90.79</v>
      </c>
      <c r="F3121" s="1">
        <f>IFERROR(__xludf.DUMMYFUNCTION("""COMPUTED_VALUE"""),1504556.0)</f>
        <v>1504556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IFERROR(__xludf.DUMMYFUNCTION("""COMPUTED_VALUE"""),89.75)</f>
        <v>89.75</v>
      </c>
      <c r="C3122" s="1">
        <f>IFERROR(__xludf.DUMMYFUNCTION("""COMPUTED_VALUE"""),96.34)</f>
        <v>96.34</v>
      </c>
      <c r="D3122" s="1">
        <f>IFERROR(__xludf.DUMMYFUNCTION("""COMPUTED_VALUE"""),89.47)</f>
        <v>89.47</v>
      </c>
      <c r="E3122" s="1">
        <f>IFERROR(__xludf.DUMMYFUNCTION("""COMPUTED_VALUE"""),95.94)</f>
        <v>95.94</v>
      </c>
      <c r="F3122" s="1">
        <f>IFERROR(__xludf.DUMMYFUNCTION("""COMPUTED_VALUE"""),1578678.0)</f>
        <v>1578678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IFERROR(__xludf.DUMMYFUNCTION("""COMPUTED_VALUE"""),97.49)</f>
        <v>97.49</v>
      </c>
      <c r="C3123" s="1">
        <f>IFERROR(__xludf.DUMMYFUNCTION("""COMPUTED_VALUE"""),99.73)</f>
        <v>99.73</v>
      </c>
      <c r="D3123" s="1">
        <f>IFERROR(__xludf.DUMMYFUNCTION("""COMPUTED_VALUE"""),97.37)</f>
        <v>97.37</v>
      </c>
      <c r="E3123" s="1">
        <f>IFERROR(__xludf.DUMMYFUNCTION("""COMPUTED_VALUE"""),99.16)</f>
        <v>99.16</v>
      </c>
      <c r="F3123" s="1">
        <f>IFERROR(__xludf.DUMMYFUNCTION("""COMPUTED_VALUE"""),1475255.0)</f>
        <v>1475255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IFERROR(__xludf.DUMMYFUNCTION("""COMPUTED_VALUE"""),99.32)</f>
        <v>99.32</v>
      </c>
      <c r="C3124" s="1">
        <f>IFERROR(__xludf.DUMMYFUNCTION("""COMPUTED_VALUE"""),100.31)</f>
        <v>100.31</v>
      </c>
      <c r="D3124" s="1">
        <f>IFERROR(__xludf.DUMMYFUNCTION("""COMPUTED_VALUE"""),97.79)</f>
        <v>97.79</v>
      </c>
      <c r="E3124" s="1">
        <f>IFERROR(__xludf.DUMMYFUNCTION("""COMPUTED_VALUE"""),100.29)</f>
        <v>100.29</v>
      </c>
      <c r="F3124" s="1">
        <f>IFERROR(__xludf.DUMMYFUNCTION("""COMPUTED_VALUE"""),1264085.0)</f>
        <v>1264085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IFERROR(__xludf.DUMMYFUNCTION("""COMPUTED_VALUE"""),99.02)</f>
        <v>99.02</v>
      </c>
      <c r="C3125" s="1">
        <f>IFERROR(__xludf.DUMMYFUNCTION("""COMPUTED_VALUE"""),99.85)</f>
        <v>99.85</v>
      </c>
      <c r="D3125" s="1">
        <f>IFERROR(__xludf.DUMMYFUNCTION("""COMPUTED_VALUE"""),96.78)</f>
        <v>96.78</v>
      </c>
      <c r="E3125" s="1">
        <f>IFERROR(__xludf.DUMMYFUNCTION("""COMPUTED_VALUE"""),99.27)</f>
        <v>99.27</v>
      </c>
      <c r="F3125" s="1">
        <f>IFERROR(__xludf.DUMMYFUNCTION("""COMPUTED_VALUE"""),1716327.0)</f>
        <v>1716327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IFERROR(__xludf.DUMMYFUNCTION("""COMPUTED_VALUE"""),100.01)</f>
        <v>100.01</v>
      </c>
      <c r="C3126" s="1">
        <f>IFERROR(__xludf.DUMMYFUNCTION("""COMPUTED_VALUE"""),100.82)</f>
        <v>100.82</v>
      </c>
      <c r="D3126" s="1">
        <f>IFERROR(__xludf.DUMMYFUNCTION("""COMPUTED_VALUE"""),97.65)</f>
        <v>97.65</v>
      </c>
      <c r="E3126" s="1">
        <f>IFERROR(__xludf.DUMMYFUNCTION("""COMPUTED_VALUE"""),98.46)</f>
        <v>98.46</v>
      </c>
      <c r="F3126" s="1">
        <f>IFERROR(__xludf.DUMMYFUNCTION("""COMPUTED_VALUE"""),1805254.0)</f>
        <v>1805254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IFERROR(__xludf.DUMMYFUNCTION("""COMPUTED_VALUE"""),98.62)</f>
        <v>98.62</v>
      </c>
      <c r="C3127" s="1">
        <f>IFERROR(__xludf.DUMMYFUNCTION("""COMPUTED_VALUE"""),99.66)</f>
        <v>99.66</v>
      </c>
      <c r="D3127" s="1">
        <f>IFERROR(__xludf.DUMMYFUNCTION("""COMPUTED_VALUE"""),98.21)</f>
        <v>98.21</v>
      </c>
      <c r="E3127" s="1">
        <f>IFERROR(__xludf.DUMMYFUNCTION("""COMPUTED_VALUE"""),99.19)</f>
        <v>99.19</v>
      </c>
      <c r="F3127" s="1">
        <f>IFERROR(__xludf.DUMMYFUNCTION("""COMPUTED_VALUE"""),1159023.0)</f>
        <v>1159023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IFERROR(__xludf.DUMMYFUNCTION("""COMPUTED_VALUE"""),97.62)</f>
        <v>97.62</v>
      </c>
      <c r="C3128" s="1">
        <f>IFERROR(__xludf.DUMMYFUNCTION("""COMPUTED_VALUE"""),98.31)</f>
        <v>98.31</v>
      </c>
      <c r="D3128" s="1">
        <f>IFERROR(__xludf.DUMMYFUNCTION("""COMPUTED_VALUE"""),94.86)</f>
        <v>94.86</v>
      </c>
      <c r="E3128" s="1">
        <f>IFERROR(__xludf.DUMMYFUNCTION("""COMPUTED_VALUE"""),96.35)</f>
        <v>96.35</v>
      </c>
      <c r="F3128" s="1">
        <f>IFERROR(__xludf.DUMMYFUNCTION("""COMPUTED_VALUE"""),1257990.0)</f>
        <v>1257990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IFERROR(__xludf.DUMMYFUNCTION("""COMPUTED_VALUE"""),97.33)</f>
        <v>97.33</v>
      </c>
      <c r="C3129" s="1">
        <f>IFERROR(__xludf.DUMMYFUNCTION("""COMPUTED_VALUE"""),98.13)</f>
        <v>98.13</v>
      </c>
      <c r="D3129" s="1">
        <f>IFERROR(__xludf.DUMMYFUNCTION("""COMPUTED_VALUE"""),95.65)</f>
        <v>95.65</v>
      </c>
      <c r="E3129" s="1">
        <f>IFERROR(__xludf.DUMMYFUNCTION("""COMPUTED_VALUE"""),97.51)</f>
        <v>97.51</v>
      </c>
      <c r="F3129" s="1">
        <f>IFERROR(__xludf.DUMMYFUNCTION("""COMPUTED_VALUE"""),854748.0)</f>
        <v>854748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IFERROR(__xludf.DUMMYFUNCTION("""COMPUTED_VALUE"""),94.43)</f>
        <v>94.43</v>
      </c>
      <c r="C3130" s="1">
        <f>IFERROR(__xludf.DUMMYFUNCTION("""COMPUTED_VALUE"""),98.61)</f>
        <v>98.61</v>
      </c>
      <c r="D3130" s="1">
        <f>IFERROR(__xludf.DUMMYFUNCTION("""COMPUTED_VALUE"""),93.87)</f>
        <v>93.87</v>
      </c>
      <c r="E3130" s="1">
        <f>IFERROR(__xludf.DUMMYFUNCTION("""COMPUTED_VALUE"""),98.23)</f>
        <v>98.23</v>
      </c>
      <c r="F3130" s="1">
        <f>IFERROR(__xludf.DUMMYFUNCTION("""COMPUTED_VALUE"""),1336013.0)</f>
        <v>1336013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IFERROR(__xludf.DUMMYFUNCTION("""COMPUTED_VALUE"""),98.57)</f>
        <v>98.57</v>
      </c>
      <c r="C3131" s="1">
        <f>IFERROR(__xludf.DUMMYFUNCTION("""COMPUTED_VALUE"""),103.01)</f>
        <v>103.01</v>
      </c>
      <c r="D3131" s="1">
        <f>IFERROR(__xludf.DUMMYFUNCTION("""COMPUTED_VALUE"""),98.57)</f>
        <v>98.57</v>
      </c>
      <c r="E3131" s="1">
        <f>IFERROR(__xludf.DUMMYFUNCTION("""COMPUTED_VALUE"""),102.24)</f>
        <v>102.24</v>
      </c>
      <c r="F3131" s="1">
        <f>IFERROR(__xludf.DUMMYFUNCTION("""COMPUTED_VALUE"""),1840374.0)</f>
        <v>1840374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IFERROR(__xludf.DUMMYFUNCTION("""COMPUTED_VALUE"""),102.0)</f>
        <v>102</v>
      </c>
      <c r="C3132" s="1">
        <f>IFERROR(__xludf.DUMMYFUNCTION("""COMPUTED_VALUE"""),103.22)</f>
        <v>103.22</v>
      </c>
      <c r="D3132" s="1">
        <f>IFERROR(__xludf.DUMMYFUNCTION("""COMPUTED_VALUE"""),99.89)</f>
        <v>99.89</v>
      </c>
      <c r="E3132" s="1">
        <f>IFERROR(__xludf.DUMMYFUNCTION("""COMPUTED_VALUE"""),99.93)</f>
        <v>99.93</v>
      </c>
      <c r="F3132" s="1">
        <f>IFERROR(__xludf.DUMMYFUNCTION("""COMPUTED_VALUE"""),1102909.0)</f>
        <v>1102909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IFERROR(__xludf.DUMMYFUNCTION("""COMPUTED_VALUE"""),97.61)</f>
        <v>97.61</v>
      </c>
      <c r="C3133" s="1">
        <f>IFERROR(__xludf.DUMMYFUNCTION("""COMPUTED_VALUE"""),99.35)</f>
        <v>99.35</v>
      </c>
      <c r="D3133" s="1">
        <f>IFERROR(__xludf.DUMMYFUNCTION("""COMPUTED_VALUE"""),95.32)</f>
        <v>95.32</v>
      </c>
      <c r="E3133" s="1">
        <f>IFERROR(__xludf.DUMMYFUNCTION("""COMPUTED_VALUE"""),96.03)</f>
        <v>96.03</v>
      </c>
      <c r="F3133" s="1">
        <f>IFERROR(__xludf.DUMMYFUNCTION("""COMPUTED_VALUE"""),1163851.0)</f>
        <v>1163851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IFERROR(__xludf.DUMMYFUNCTION("""COMPUTED_VALUE"""),92.81)</f>
        <v>92.81</v>
      </c>
      <c r="C3134" s="1">
        <f>IFERROR(__xludf.DUMMYFUNCTION("""COMPUTED_VALUE"""),93.62)</f>
        <v>93.62</v>
      </c>
      <c r="D3134" s="1">
        <f>IFERROR(__xludf.DUMMYFUNCTION("""COMPUTED_VALUE"""),88.06)</f>
        <v>88.06</v>
      </c>
      <c r="E3134" s="1">
        <f>IFERROR(__xludf.DUMMYFUNCTION("""COMPUTED_VALUE"""),88.81)</f>
        <v>88.81</v>
      </c>
      <c r="F3134" s="1">
        <f>IFERROR(__xludf.DUMMYFUNCTION("""COMPUTED_VALUE"""),2047125.0)</f>
        <v>2047125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IFERROR(__xludf.DUMMYFUNCTION("""COMPUTED_VALUE"""),89.08)</f>
        <v>89.08</v>
      </c>
      <c r="C3135" s="1">
        <f>IFERROR(__xludf.DUMMYFUNCTION("""COMPUTED_VALUE"""),91.78)</f>
        <v>91.78</v>
      </c>
      <c r="D3135" s="1">
        <f>IFERROR(__xludf.DUMMYFUNCTION("""COMPUTED_VALUE"""),89.08)</f>
        <v>89.08</v>
      </c>
      <c r="E3135" s="1">
        <f>IFERROR(__xludf.DUMMYFUNCTION("""COMPUTED_VALUE"""),89.79)</f>
        <v>89.79</v>
      </c>
      <c r="F3135" s="1">
        <f>IFERROR(__xludf.DUMMYFUNCTION("""COMPUTED_VALUE"""),1367658.0)</f>
        <v>1367658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IFERROR(__xludf.DUMMYFUNCTION("""COMPUTED_VALUE"""),90.88)</f>
        <v>90.88</v>
      </c>
      <c r="C3136" s="1">
        <f>IFERROR(__xludf.DUMMYFUNCTION("""COMPUTED_VALUE"""),93.4)</f>
        <v>93.4</v>
      </c>
      <c r="D3136" s="1">
        <f>IFERROR(__xludf.DUMMYFUNCTION("""COMPUTED_VALUE"""),90.07)</f>
        <v>90.07</v>
      </c>
      <c r="E3136" s="1">
        <f>IFERROR(__xludf.DUMMYFUNCTION("""COMPUTED_VALUE"""),91.54)</f>
        <v>91.54</v>
      </c>
      <c r="F3136" s="1">
        <f>IFERROR(__xludf.DUMMYFUNCTION("""COMPUTED_VALUE"""),1115012.0)</f>
        <v>1115012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IFERROR(__xludf.DUMMYFUNCTION("""COMPUTED_VALUE"""),89.03)</f>
        <v>89.03</v>
      </c>
      <c r="C3137" s="1">
        <f>IFERROR(__xludf.DUMMYFUNCTION("""COMPUTED_VALUE"""),89.55)</f>
        <v>89.55</v>
      </c>
      <c r="D3137" s="1">
        <f>IFERROR(__xludf.DUMMYFUNCTION("""COMPUTED_VALUE"""),84.37)</f>
        <v>84.37</v>
      </c>
      <c r="E3137" s="1">
        <f>IFERROR(__xludf.DUMMYFUNCTION("""COMPUTED_VALUE"""),85.76)</f>
        <v>85.76</v>
      </c>
      <c r="F3137" s="1">
        <f>IFERROR(__xludf.DUMMYFUNCTION("""COMPUTED_VALUE"""),2538791.0)</f>
        <v>2538791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IFERROR(__xludf.DUMMYFUNCTION("""COMPUTED_VALUE"""),85.39)</f>
        <v>85.39</v>
      </c>
      <c r="C3138" s="1">
        <f>IFERROR(__xludf.DUMMYFUNCTION("""COMPUTED_VALUE"""),88.57)</f>
        <v>88.57</v>
      </c>
      <c r="D3138" s="1">
        <f>IFERROR(__xludf.DUMMYFUNCTION("""COMPUTED_VALUE"""),85.04)</f>
        <v>85.04</v>
      </c>
      <c r="E3138" s="1">
        <f>IFERROR(__xludf.DUMMYFUNCTION("""COMPUTED_VALUE"""),86.99)</f>
        <v>86.99</v>
      </c>
      <c r="F3138" s="1">
        <f>IFERROR(__xludf.DUMMYFUNCTION("""COMPUTED_VALUE"""),2731532.0)</f>
        <v>2731532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IFERROR(__xludf.DUMMYFUNCTION("""COMPUTED_VALUE"""),88.36)</f>
        <v>88.36</v>
      </c>
      <c r="C3139" s="1">
        <f>IFERROR(__xludf.DUMMYFUNCTION("""COMPUTED_VALUE"""),89.63)</f>
        <v>89.63</v>
      </c>
      <c r="D3139" s="1">
        <f>IFERROR(__xludf.DUMMYFUNCTION("""COMPUTED_VALUE"""),87.5)</f>
        <v>87.5</v>
      </c>
      <c r="E3139" s="1">
        <f>IFERROR(__xludf.DUMMYFUNCTION("""COMPUTED_VALUE"""),87.68)</f>
        <v>87.68</v>
      </c>
      <c r="F3139" s="1">
        <f>IFERROR(__xludf.DUMMYFUNCTION("""COMPUTED_VALUE"""),1626835.0)</f>
        <v>1626835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IFERROR(__xludf.DUMMYFUNCTION("""COMPUTED_VALUE"""),86.84)</f>
        <v>86.84</v>
      </c>
      <c r="C3140" s="1">
        <f>IFERROR(__xludf.DUMMYFUNCTION("""COMPUTED_VALUE"""),90.1)</f>
        <v>90.1</v>
      </c>
      <c r="D3140" s="1">
        <f>IFERROR(__xludf.DUMMYFUNCTION("""COMPUTED_VALUE"""),86.7)</f>
        <v>86.7</v>
      </c>
      <c r="E3140" s="1">
        <f>IFERROR(__xludf.DUMMYFUNCTION("""COMPUTED_VALUE"""),89.75)</f>
        <v>89.75</v>
      </c>
      <c r="F3140" s="1">
        <f>IFERROR(__xludf.DUMMYFUNCTION("""COMPUTED_VALUE"""),1828193.0)</f>
        <v>1828193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IFERROR(__xludf.DUMMYFUNCTION("""COMPUTED_VALUE"""),90.97)</f>
        <v>90.97</v>
      </c>
      <c r="C3141" s="1">
        <f>IFERROR(__xludf.DUMMYFUNCTION("""COMPUTED_VALUE"""),92.0)</f>
        <v>92</v>
      </c>
      <c r="D3141" s="1">
        <f>IFERROR(__xludf.DUMMYFUNCTION("""COMPUTED_VALUE"""),88.61)</f>
        <v>88.61</v>
      </c>
      <c r="E3141" s="1">
        <f>IFERROR(__xludf.DUMMYFUNCTION("""COMPUTED_VALUE"""),91.76)</f>
        <v>91.76</v>
      </c>
      <c r="F3141" s="1">
        <f>IFERROR(__xludf.DUMMYFUNCTION("""COMPUTED_VALUE"""),2470769.0)</f>
        <v>2470769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IFERROR(__xludf.DUMMYFUNCTION("""COMPUTED_VALUE"""),91.79)</f>
        <v>91.79</v>
      </c>
      <c r="C3142" s="1">
        <f>IFERROR(__xludf.DUMMYFUNCTION("""COMPUTED_VALUE"""),99.22)</f>
        <v>99.22</v>
      </c>
      <c r="D3142" s="1">
        <f>IFERROR(__xludf.DUMMYFUNCTION("""COMPUTED_VALUE"""),90.25)</f>
        <v>90.25</v>
      </c>
      <c r="E3142" s="1">
        <f>IFERROR(__xludf.DUMMYFUNCTION("""COMPUTED_VALUE"""),98.36)</f>
        <v>98.36</v>
      </c>
      <c r="F3142" s="1">
        <f>IFERROR(__xludf.DUMMYFUNCTION("""COMPUTED_VALUE"""),4320374.0)</f>
        <v>4320374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IFERROR(__xludf.DUMMYFUNCTION("""COMPUTED_VALUE"""),99.49)</f>
        <v>99.49</v>
      </c>
      <c r="C3143" s="1">
        <f>IFERROR(__xludf.DUMMYFUNCTION("""COMPUTED_VALUE"""),101.05)</f>
        <v>101.05</v>
      </c>
      <c r="D3143" s="1">
        <f>IFERROR(__xludf.DUMMYFUNCTION("""COMPUTED_VALUE"""),96.31)</f>
        <v>96.31</v>
      </c>
      <c r="E3143" s="1">
        <f>IFERROR(__xludf.DUMMYFUNCTION("""COMPUTED_VALUE"""),98.62)</f>
        <v>98.62</v>
      </c>
      <c r="F3143" s="1">
        <f>IFERROR(__xludf.DUMMYFUNCTION("""COMPUTED_VALUE"""),2068842.0)</f>
        <v>2068842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IFERROR(__xludf.DUMMYFUNCTION("""COMPUTED_VALUE"""),98.16)</f>
        <v>98.16</v>
      </c>
      <c r="C3144" s="1">
        <f>IFERROR(__xludf.DUMMYFUNCTION("""COMPUTED_VALUE"""),99.64)</f>
        <v>99.64</v>
      </c>
      <c r="D3144" s="1">
        <f>IFERROR(__xludf.DUMMYFUNCTION("""COMPUTED_VALUE"""),94.35)</f>
        <v>94.35</v>
      </c>
      <c r="E3144" s="1">
        <f>IFERROR(__xludf.DUMMYFUNCTION("""COMPUTED_VALUE"""),94.4)</f>
        <v>94.4</v>
      </c>
      <c r="F3144" s="1">
        <f>IFERROR(__xludf.DUMMYFUNCTION("""COMPUTED_VALUE"""),1935002.0)</f>
        <v>1935002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IFERROR(__xludf.DUMMYFUNCTION("""COMPUTED_VALUE"""),94.35)</f>
        <v>94.35</v>
      </c>
      <c r="C3145" s="1">
        <f>IFERROR(__xludf.DUMMYFUNCTION("""COMPUTED_VALUE"""),94.35)</f>
        <v>94.35</v>
      </c>
      <c r="D3145" s="1">
        <f>IFERROR(__xludf.DUMMYFUNCTION("""COMPUTED_VALUE"""),91.69)</f>
        <v>91.69</v>
      </c>
      <c r="E3145" s="1">
        <f>IFERROR(__xludf.DUMMYFUNCTION("""COMPUTED_VALUE"""),93.57)</f>
        <v>93.57</v>
      </c>
      <c r="F3145" s="1">
        <f>IFERROR(__xludf.DUMMYFUNCTION("""COMPUTED_VALUE"""),1418262.0)</f>
        <v>1418262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IFERROR(__xludf.DUMMYFUNCTION("""COMPUTED_VALUE"""),92.43)</f>
        <v>92.43</v>
      </c>
      <c r="C3146" s="1">
        <f>IFERROR(__xludf.DUMMYFUNCTION("""COMPUTED_VALUE"""),92.43)</f>
        <v>92.43</v>
      </c>
      <c r="D3146" s="1">
        <f>IFERROR(__xludf.DUMMYFUNCTION("""COMPUTED_VALUE"""),87.59)</f>
        <v>87.59</v>
      </c>
      <c r="E3146" s="1">
        <f>IFERROR(__xludf.DUMMYFUNCTION("""COMPUTED_VALUE"""),90.48)</f>
        <v>90.48</v>
      </c>
      <c r="F3146" s="1">
        <f>IFERROR(__xludf.DUMMYFUNCTION("""COMPUTED_VALUE"""),1985251.0)</f>
        <v>1985251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IFERROR(__xludf.DUMMYFUNCTION("""COMPUTED_VALUE"""),90.79)</f>
        <v>90.79</v>
      </c>
      <c r="C3147" s="1">
        <f>IFERROR(__xludf.DUMMYFUNCTION("""COMPUTED_VALUE"""),93.98)</f>
        <v>93.98</v>
      </c>
      <c r="D3147" s="1">
        <f>IFERROR(__xludf.DUMMYFUNCTION("""COMPUTED_VALUE"""),90.34)</f>
        <v>90.34</v>
      </c>
      <c r="E3147" s="1">
        <f>IFERROR(__xludf.DUMMYFUNCTION("""COMPUTED_VALUE"""),92.67)</f>
        <v>92.67</v>
      </c>
      <c r="F3147" s="1">
        <f>IFERROR(__xludf.DUMMYFUNCTION("""COMPUTED_VALUE"""),1593011.0)</f>
        <v>1593011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IFERROR(__xludf.DUMMYFUNCTION("""COMPUTED_VALUE"""),90.4)</f>
        <v>90.4</v>
      </c>
      <c r="C3148" s="1">
        <f>IFERROR(__xludf.DUMMYFUNCTION("""COMPUTED_VALUE"""),95.91)</f>
        <v>95.91</v>
      </c>
      <c r="D3148" s="1">
        <f>IFERROR(__xludf.DUMMYFUNCTION("""COMPUTED_VALUE"""),90.23)</f>
        <v>90.23</v>
      </c>
      <c r="E3148" s="1">
        <f>IFERROR(__xludf.DUMMYFUNCTION("""COMPUTED_VALUE"""),95.82)</f>
        <v>95.82</v>
      </c>
      <c r="F3148" s="1">
        <f>IFERROR(__xludf.DUMMYFUNCTION("""COMPUTED_VALUE"""),1568214.0)</f>
        <v>1568214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IFERROR(__xludf.DUMMYFUNCTION("""COMPUTED_VALUE"""),95.85)</f>
        <v>95.85</v>
      </c>
      <c r="C3149" s="1">
        <f>IFERROR(__xludf.DUMMYFUNCTION("""COMPUTED_VALUE"""),96.18)</f>
        <v>96.18</v>
      </c>
      <c r="D3149" s="1">
        <f>IFERROR(__xludf.DUMMYFUNCTION("""COMPUTED_VALUE"""),92.27)</f>
        <v>92.27</v>
      </c>
      <c r="E3149" s="1">
        <f>IFERROR(__xludf.DUMMYFUNCTION("""COMPUTED_VALUE"""),92.98)</f>
        <v>92.98</v>
      </c>
      <c r="F3149" s="1">
        <f>IFERROR(__xludf.DUMMYFUNCTION("""COMPUTED_VALUE"""),1248642.0)</f>
        <v>1248642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IFERROR(__xludf.DUMMYFUNCTION("""COMPUTED_VALUE"""),93.03)</f>
        <v>93.03</v>
      </c>
      <c r="C3150" s="1">
        <f>IFERROR(__xludf.DUMMYFUNCTION("""COMPUTED_VALUE"""),95.43)</f>
        <v>95.43</v>
      </c>
      <c r="D3150" s="1">
        <f>IFERROR(__xludf.DUMMYFUNCTION("""COMPUTED_VALUE"""),92.75)</f>
        <v>92.75</v>
      </c>
      <c r="E3150" s="1">
        <f>IFERROR(__xludf.DUMMYFUNCTION("""COMPUTED_VALUE"""),94.87)</f>
        <v>94.87</v>
      </c>
      <c r="F3150" s="1">
        <f>IFERROR(__xludf.DUMMYFUNCTION("""COMPUTED_VALUE"""),1173571.0)</f>
        <v>1173571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IFERROR(__xludf.DUMMYFUNCTION("""COMPUTED_VALUE"""),94.41)</f>
        <v>94.41</v>
      </c>
      <c r="C3151" s="1">
        <f>IFERROR(__xludf.DUMMYFUNCTION("""COMPUTED_VALUE"""),94.85)</f>
        <v>94.85</v>
      </c>
      <c r="D3151" s="1">
        <f>IFERROR(__xludf.DUMMYFUNCTION("""COMPUTED_VALUE"""),92.47)</f>
        <v>92.47</v>
      </c>
      <c r="E3151" s="1">
        <f>IFERROR(__xludf.DUMMYFUNCTION("""COMPUTED_VALUE"""),92.66)</f>
        <v>92.66</v>
      </c>
      <c r="F3151" s="1">
        <f>IFERROR(__xludf.DUMMYFUNCTION("""COMPUTED_VALUE"""),1041709.0)</f>
        <v>1041709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IFERROR(__xludf.DUMMYFUNCTION("""COMPUTED_VALUE"""),91.85)</f>
        <v>91.85</v>
      </c>
      <c r="C3152" s="1">
        <f>IFERROR(__xludf.DUMMYFUNCTION("""COMPUTED_VALUE"""),93.03)</f>
        <v>93.03</v>
      </c>
      <c r="D3152" s="1">
        <f>IFERROR(__xludf.DUMMYFUNCTION("""COMPUTED_VALUE"""),88.71)</f>
        <v>88.71</v>
      </c>
      <c r="E3152" s="1">
        <f>IFERROR(__xludf.DUMMYFUNCTION("""COMPUTED_VALUE"""),88.84)</f>
        <v>88.84</v>
      </c>
      <c r="F3152" s="1">
        <f>IFERROR(__xludf.DUMMYFUNCTION("""COMPUTED_VALUE"""),1104620.0)</f>
        <v>1104620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IFERROR(__xludf.DUMMYFUNCTION("""COMPUTED_VALUE"""),88.92)</f>
        <v>88.92</v>
      </c>
      <c r="C3153" s="1">
        <f>IFERROR(__xludf.DUMMYFUNCTION("""COMPUTED_VALUE"""),92.18)</f>
        <v>92.18</v>
      </c>
      <c r="D3153" s="1">
        <f>IFERROR(__xludf.DUMMYFUNCTION("""COMPUTED_VALUE"""),88.92)</f>
        <v>88.92</v>
      </c>
      <c r="E3153" s="1">
        <f>IFERROR(__xludf.DUMMYFUNCTION("""COMPUTED_VALUE"""),91.24)</f>
        <v>91.24</v>
      </c>
      <c r="F3153" s="1">
        <f>IFERROR(__xludf.DUMMYFUNCTION("""COMPUTED_VALUE"""),1487912.0)</f>
        <v>1487912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IFERROR(__xludf.DUMMYFUNCTION("""COMPUTED_VALUE"""),89.84)</f>
        <v>89.84</v>
      </c>
      <c r="C3154" s="1">
        <f>IFERROR(__xludf.DUMMYFUNCTION("""COMPUTED_VALUE"""),91.37)</f>
        <v>91.37</v>
      </c>
      <c r="D3154" s="1">
        <f>IFERROR(__xludf.DUMMYFUNCTION("""COMPUTED_VALUE"""),88.72)</f>
        <v>88.72</v>
      </c>
      <c r="E3154" s="1">
        <f>IFERROR(__xludf.DUMMYFUNCTION("""COMPUTED_VALUE"""),90.6)</f>
        <v>90.6</v>
      </c>
      <c r="F3154" s="1">
        <f>IFERROR(__xludf.DUMMYFUNCTION("""COMPUTED_VALUE"""),992739.0)</f>
        <v>992739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IFERROR(__xludf.DUMMYFUNCTION("""COMPUTED_VALUE"""),88.72)</f>
        <v>88.72</v>
      </c>
      <c r="C3155" s="1">
        <f>IFERROR(__xludf.DUMMYFUNCTION("""COMPUTED_VALUE"""),89.37)</f>
        <v>89.37</v>
      </c>
      <c r="D3155" s="1">
        <f>IFERROR(__xludf.DUMMYFUNCTION("""COMPUTED_VALUE"""),86.6)</f>
        <v>86.6</v>
      </c>
      <c r="E3155" s="1">
        <f>IFERROR(__xludf.DUMMYFUNCTION("""COMPUTED_VALUE"""),89.11)</f>
        <v>89.11</v>
      </c>
      <c r="F3155" s="1">
        <f>IFERROR(__xludf.DUMMYFUNCTION("""COMPUTED_VALUE"""),1252867.0)</f>
        <v>1252867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IFERROR(__xludf.DUMMYFUNCTION("""COMPUTED_VALUE"""),90.0)</f>
        <v>90</v>
      </c>
      <c r="C3156" s="1">
        <f>IFERROR(__xludf.DUMMYFUNCTION("""COMPUTED_VALUE"""),92.6)</f>
        <v>92.6</v>
      </c>
      <c r="D3156" s="1">
        <f>IFERROR(__xludf.DUMMYFUNCTION("""COMPUTED_VALUE"""),89.75)</f>
        <v>89.75</v>
      </c>
      <c r="E3156" s="1">
        <f>IFERROR(__xludf.DUMMYFUNCTION("""COMPUTED_VALUE"""),91.55)</f>
        <v>91.55</v>
      </c>
      <c r="F3156" s="1">
        <f>IFERROR(__xludf.DUMMYFUNCTION("""COMPUTED_VALUE"""),1070038.0)</f>
        <v>1070038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IFERROR(__xludf.DUMMYFUNCTION("""COMPUTED_VALUE"""),92.6)</f>
        <v>92.6</v>
      </c>
      <c r="C3157" s="1">
        <f>IFERROR(__xludf.DUMMYFUNCTION("""COMPUTED_VALUE"""),94.84)</f>
        <v>94.84</v>
      </c>
      <c r="D3157" s="1">
        <f>IFERROR(__xludf.DUMMYFUNCTION("""COMPUTED_VALUE"""),92.15)</f>
        <v>92.15</v>
      </c>
      <c r="E3157" s="1">
        <f>IFERROR(__xludf.DUMMYFUNCTION("""COMPUTED_VALUE"""),92.82)</f>
        <v>92.82</v>
      </c>
      <c r="F3157" s="1">
        <f>IFERROR(__xludf.DUMMYFUNCTION("""COMPUTED_VALUE"""),976851.0)</f>
        <v>976851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IFERROR(__xludf.DUMMYFUNCTION("""COMPUTED_VALUE"""),94.26)</f>
        <v>94.26</v>
      </c>
      <c r="C3158" s="1">
        <f>IFERROR(__xludf.DUMMYFUNCTION("""COMPUTED_VALUE"""),96.27)</f>
        <v>96.27</v>
      </c>
      <c r="D3158" s="1">
        <f>IFERROR(__xludf.DUMMYFUNCTION("""COMPUTED_VALUE"""),93.3)</f>
        <v>93.3</v>
      </c>
      <c r="E3158" s="1">
        <f>IFERROR(__xludf.DUMMYFUNCTION("""COMPUTED_VALUE"""),96.16)</f>
        <v>96.16</v>
      </c>
      <c r="F3158" s="1">
        <f>IFERROR(__xludf.DUMMYFUNCTION("""COMPUTED_VALUE"""),1323913.0)</f>
        <v>1323913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IFERROR(__xludf.DUMMYFUNCTION("""COMPUTED_VALUE"""),95.93)</f>
        <v>95.93</v>
      </c>
      <c r="C3159" s="1">
        <f>IFERROR(__xludf.DUMMYFUNCTION("""COMPUTED_VALUE"""),96.8)</f>
        <v>96.8</v>
      </c>
      <c r="D3159" s="1">
        <f>IFERROR(__xludf.DUMMYFUNCTION("""COMPUTED_VALUE"""),94.4)</f>
        <v>94.4</v>
      </c>
      <c r="E3159" s="1">
        <f>IFERROR(__xludf.DUMMYFUNCTION("""COMPUTED_VALUE"""),96.61)</f>
        <v>96.61</v>
      </c>
      <c r="F3159" s="1">
        <f>IFERROR(__xludf.DUMMYFUNCTION("""COMPUTED_VALUE"""),1267285.0)</f>
        <v>1267285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IFERROR(__xludf.DUMMYFUNCTION("""COMPUTED_VALUE"""),96.3)</f>
        <v>96.3</v>
      </c>
      <c r="C3160" s="1">
        <f>IFERROR(__xludf.DUMMYFUNCTION("""COMPUTED_VALUE"""),96.7)</f>
        <v>96.7</v>
      </c>
      <c r="D3160" s="1">
        <f>IFERROR(__xludf.DUMMYFUNCTION("""COMPUTED_VALUE"""),93.89)</f>
        <v>93.89</v>
      </c>
      <c r="E3160" s="1">
        <f>IFERROR(__xludf.DUMMYFUNCTION("""COMPUTED_VALUE"""),96.01)</f>
        <v>96.01</v>
      </c>
      <c r="F3160" s="1">
        <f>IFERROR(__xludf.DUMMYFUNCTION("""COMPUTED_VALUE"""),1077161.0)</f>
        <v>1077161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IFERROR(__xludf.DUMMYFUNCTION("""COMPUTED_VALUE"""),96.49)</f>
        <v>96.49</v>
      </c>
      <c r="C3161" s="1">
        <f>IFERROR(__xludf.DUMMYFUNCTION("""COMPUTED_VALUE"""),98.49)</f>
        <v>98.49</v>
      </c>
      <c r="D3161" s="1">
        <f>IFERROR(__xludf.DUMMYFUNCTION("""COMPUTED_VALUE"""),93.7)</f>
        <v>93.7</v>
      </c>
      <c r="E3161" s="1">
        <f>IFERROR(__xludf.DUMMYFUNCTION("""COMPUTED_VALUE"""),94.35)</f>
        <v>94.35</v>
      </c>
      <c r="F3161" s="1">
        <f>IFERROR(__xludf.DUMMYFUNCTION("""COMPUTED_VALUE"""),854750.0)</f>
        <v>854750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IFERROR(__xludf.DUMMYFUNCTION("""COMPUTED_VALUE"""),94.38)</f>
        <v>94.38</v>
      </c>
      <c r="C3162" s="1">
        <f>IFERROR(__xludf.DUMMYFUNCTION("""COMPUTED_VALUE"""),95.62)</f>
        <v>95.62</v>
      </c>
      <c r="D3162" s="1">
        <f>IFERROR(__xludf.DUMMYFUNCTION("""COMPUTED_VALUE"""),92.84)</f>
        <v>92.84</v>
      </c>
      <c r="E3162" s="1">
        <f>IFERROR(__xludf.DUMMYFUNCTION("""COMPUTED_VALUE"""),94.63)</f>
        <v>94.63</v>
      </c>
      <c r="F3162" s="1">
        <f>IFERROR(__xludf.DUMMYFUNCTION("""COMPUTED_VALUE"""),1195610.0)</f>
        <v>1195610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IFERROR(__xludf.DUMMYFUNCTION("""COMPUTED_VALUE"""),93.22)</f>
        <v>93.22</v>
      </c>
      <c r="C3163" s="1">
        <f>IFERROR(__xludf.DUMMYFUNCTION("""COMPUTED_VALUE"""),93.52)</f>
        <v>93.52</v>
      </c>
      <c r="D3163" s="1">
        <f>IFERROR(__xludf.DUMMYFUNCTION("""COMPUTED_VALUE"""),91.3)</f>
        <v>91.3</v>
      </c>
      <c r="E3163" s="1">
        <f>IFERROR(__xludf.DUMMYFUNCTION("""COMPUTED_VALUE"""),92.21)</f>
        <v>92.21</v>
      </c>
      <c r="F3163" s="1">
        <f>IFERROR(__xludf.DUMMYFUNCTION("""COMPUTED_VALUE"""),825399.0)</f>
        <v>825399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IFERROR(__xludf.DUMMYFUNCTION("""COMPUTED_VALUE"""),93.3)</f>
        <v>93.3</v>
      </c>
      <c r="C3164" s="1">
        <f>IFERROR(__xludf.DUMMYFUNCTION("""COMPUTED_VALUE"""),94.92)</f>
        <v>94.92</v>
      </c>
      <c r="D3164" s="1">
        <f>IFERROR(__xludf.DUMMYFUNCTION("""COMPUTED_VALUE"""),91.8)</f>
        <v>91.8</v>
      </c>
      <c r="E3164" s="1">
        <f>IFERROR(__xludf.DUMMYFUNCTION("""COMPUTED_VALUE"""),94.37)</f>
        <v>94.37</v>
      </c>
      <c r="F3164" s="1">
        <f>IFERROR(__xludf.DUMMYFUNCTION("""COMPUTED_VALUE"""),1093956.0)</f>
        <v>1093956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IFERROR(__xludf.DUMMYFUNCTION("""COMPUTED_VALUE"""),94.26)</f>
        <v>94.26</v>
      </c>
      <c r="C3165" s="1">
        <f>IFERROR(__xludf.DUMMYFUNCTION("""COMPUTED_VALUE"""),98.26)</f>
        <v>98.26</v>
      </c>
      <c r="D3165" s="1">
        <f>IFERROR(__xludf.DUMMYFUNCTION("""COMPUTED_VALUE"""),93.59)</f>
        <v>93.59</v>
      </c>
      <c r="E3165" s="1">
        <f>IFERROR(__xludf.DUMMYFUNCTION("""COMPUTED_VALUE"""),97.98)</f>
        <v>97.98</v>
      </c>
      <c r="F3165" s="1">
        <f>IFERROR(__xludf.DUMMYFUNCTION("""COMPUTED_VALUE"""),1433443.0)</f>
        <v>1433443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IFERROR(__xludf.DUMMYFUNCTION("""COMPUTED_VALUE"""),98.11)</f>
        <v>98.11</v>
      </c>
      <c r="C3166" s="1">
        <f>IFERROR(__xludf.DUMMYFUNCTION("""COMPUTED_VALUE"""),100.02)</f>
        <v>100.02</v>
      </c>
      <c r="D3166" s="1">
        <f>IFERROR(__xludf.DUMMYFUNCTION("""COMPUTED_VALUE"""),97.5)</f>
        <v>97.5</v>
      </c>
      <c r="E3166" s="1">
        <f>IFERROR(__xludf.DUMMYFUNCTION("""COMPUTED_VALUE"""),99.54)</f>
        <v>99.54</v>
      </c>
      <c r="F3166" s="1">
        <f>IFERROR(__xludf.DUMMYFUNCTION("""COMPUTED_VALUE"""),1209157.0)</f>
        <v>1209157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IFERROR(__xludf.DUMMYFUNCTION("""COMPUTED_VALUE"""),98.77)</f>
        <v>98.77</v>
      </c>
      <c r="C3167" s="1">
        <f>IFERROR(__xludf.DUMMYFUNCTION("""COMPUTED_VALUE"""),102.59)</f>
        <v>102.59</v>
      </c>
      <c r="D3167" s="1">
        <f>IFERROR(__xludf.DUMMYFUNCTION("""COMPUTED_VALUE"""),98.77)</f>
        <v>98.77</v>
      </c>
      <c r="E3167" s="1">
        <f>IFERROR(__xludf.DUMMYFUNCTION("""COMPUTED_VALUE"""),101.96)</f>
        <v>101.96</v>
      </c>
      <c r="F3167" s="1">
        <f>IFERROR(__xludf.DUMMYFUNCTION("""COMPUTED_VALUE"""),1392353.0)</f>
        <v>1392353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IFERROR(__xludf.DUMMYFUNCTION("""COMPUTED_VALUE"""),100.71)</f>
        <v>100.71</v>
      </c>
      <c r="C3168" s="1">
        <f>IFERROR(__xludf.DUMMYFUNCTION("""COMPUTED_VALUE"""),101.33)</f>
        <v>101.33</v>
      </c>
      <c r="D3168" s="1">
        <f>IFERROR(__xludf.DUMMYFUNCTION("""COMPUTED_VALUE"""),98.66)</f>
        <v>98.66</v>
      </c>
      <c r="E3168" s="1">
        <f>IFERROR(__xludf.DUMMYFUNCTION("""COMPUTED_VALUE"""),99.02)</f>
        <v>99.02</v>
      </c>
      <c r="F3168" s="1">
        <f>IFERROR(__xludf.DUMMYFUNCTION("""COMPUTED_VALUE"""),1274973.0)</f>
        <v>1274973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IFERROR(__xludf.DUMMYFUNCTION("""COMPUTED_VALUE"""),100.53)</f>
        <v>100.53</v>
      </c>
      <c r="C3169" s="1">
        <f>IFERROR(__xludf.DUMMYFUNCTION("""COMPUTED_VALUE"""),100.9)</f>
        <v>100.9</v>
      </c>
      <c r="D3169" s="1">
        <f>IFERROR(__xludf.DUMMYFUNCTION("""COMPUTED_VALUE"""),98.48)</f>
        <v>98.48</v>
      </c>
      <c r="E3169" s="1">
        <f>IFERROR(__xludf.DUMMYFUNCTION("""COMPUTED_VALUE"""),99.8)</f>
        <v>99.8</v>
      </c>
      <c r="F3169" s="1">
        <f>IFERROR(__xludf.DUMMYFUNCTION("""COMPUTED_VALUE"""),1022784.0)</f>
        <v>1022784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IFERROR(__xludf.DUMMYFUNCTION("""COMPUTED_VALUE"""),99.93)</f>
        <v>99.93</v>
      </c>
      <c r="C3170" s="1">
        <f>IFERROR(__xludf.DUMMYFUNCTION("""COMPUTED_VALUE"""),101.86)</f>
        <v>101.86</v>
      </c>
      <c r="D3170" s="1">
        <f>IFERROR(__xludf.DUMMYFUNCTION("""COMPUTED_VALUE"""),99.15)</f>
        <v>99.15</v>
      </c>
      <c r="E3170" s="1">
        <f>IFERROR(__xludf.DUMMYFUNCTION("""COMPUTED_VALUE"""),99.47)</f>
        <v>99.47</v>
      </c>
      <c r="F3170" s="1">
        <f>IFERROR(__xludf.DUMMYFUNCTION("""COMPUTED_VALUE"""),737244.0)</f>
        <v>737244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IFERROR(__xludf.DUMMYFUNCTION("""COMPUTED_VALUE"""),98.6)</f>
        <v>98.6</v>
      </c>
      <c r="C3171" s="1">
        <f>IFERROR(__xludf.DUMMYFUNCTION("""COMPUTED_VALUE"""),100.7)</f>
        <v>100.7</v>
      </c>
      <c r="D3171" s="1">
        <f>IFERROR(__xludf.DUMMYFUNCTION("""COMPUTED_VALUE"""),98.32)</f>
        <v>98.32</v>
      </c>
      <c r="E3171" s="1">
        <f>IFERROR(__xludf.DUMMYFUNCTION("""COMPUTED_VALUE"""),99.17)</f>
        <v>99.17</v>
      </c>
      <c r="F3171" s="1">
        <f>IFERROR(__xludf.DUMMYFUNCTION("""COMPUTED_VALUE"""),710800.0)</f>
        <v>710800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IFERROR(__xludf.DUMMYFUNCTION("""COMPUTED_VALUE"""),99.92)</f>
        <v>99.92</v>
      </c>
      <c r="C3172" s="1">
        <f>IFERROR(__xludf.DUMMYFUNCTION("""COMPUTED_VALUE"""),102.12)</f>
        <v>102.12</v>
      </c>
      <c r="D3172" s="1">
        <f>IFERROR(__xludf.DUMMYFUNCTION("""COMPUTED_VALUE"""),99.67)</f>
        <v>99.67</v>
      </c>
      <c r="E3172" s="1">
        <f>IFERROR(__xludf.DUMMYFUNCTION("""COMPUTED_VALUE"""),99.77)</f>
        <v>99.77</v>
      </c>
      <c r="F3172" s="1">
        <f>IFERROR(__xludf.DUMMYFUNCTION("""COMPUTED_VALUE"""),903851.0)</f>
        <v>903851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IFERROR(__xludf.DUMMYFUNCTION("""COMPUTED_VALUE"""),99.14)</f>
        <v>99.14</v>
      </c>
      <c r="C3173" s="1">
        <f>IFERROR(__xludf.DUMMYFUNCTION("""COMPUTED_VALUE"""),99.25)</f>
        <v>99.25</v>
      </c>
      <c r="D3173" s="1">
        <f>IFERROR(__xludf.DUMMYFUNCTION("""COMPUTED_VALUE"""),95.63)</f>
        <v>95.63</v>
      </c>
      <c r="E3173" s="1">
        <f>IFERROR(__xludf.DUMMYFUNCTION("""COMPUTED_VALUE"""),96.97)</f>
        <v>96.97</v>
      </c>
      <c r="F3173" s="1">
        <f>IFERROR(__xludf.DUMMYFUNCTION("""COMPUTED_VALUE"""),709818.0)</f>
        <v>709818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IFERROR(__xludf.DUMMYFUNCTION("""COMPUTED_VALUE"""),99.88)</f>
        <v>99.88</v>
      </c>
      <c r="C3174" s="1">
        <f>IFERROR(__xludf.DUMMYFUNCTION("""COMPUTED_VALUE"""),101.19)</f>
        <v>101.19</v>
      </c>
      <c r="D3174" s="1">
        <f>IFERROR(__xludf.DUMMYFUNCTION("""COMPUTED_VALUE"""),99.24)</f>
        <v>99.24</v>
      </c>
      <c r="E3174" s="1">
        <f>IFERROR(__xludf.DUMMYFUNCTION("""COMPUTED_VALUE"""),100.02)</f>
        <v>100.02</v>
      </c>
      <c r="F3174" s="1">
        <f>IFERROR(__xludf.DUMMYFUNCTION("""COMPUTED_VALUE"""),968377.0)</f>
        <v>968377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IFERROR(__xludf.DUMMYFUNCTION("""COMPUTED_VALUE"""),101.34)</f>
        <v>101.34</v>
      </c>
      <c r="C3175" s="1">
        <f>IFERROR(__xludf.DUMMYFUNCTION("""COMPUTED_VALUE"""),103.26)</f>
        <v>103.26</v>
      </c>
      <c r="D3175" s="1">
        <f>IFERROR(__xludf.DUMMYFUNCTION("""COMPUTED_VALUE"""),101.26)</f>
        <v>101.26</v>
      </c>
      <c r="E3175" s="1">
        <f>IFERROR(__xludf.DUMMYFUNCTION("""COMPUTED_VALUE"""),101.7)</f>
        <v>101.7</v>
      </c>
      <c r="F3175" s="1">
        <f>IFERROR(__xludf.DUMMYFUNCTION("""COMPUTED_VALUE"""),936834.0)</f>
        <v>936834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IFERROR(__xludf.DUMMYFUNCTION("""COMPUTED_VALUE"""),102.11)</f>
        <v>102.11</v>
      </c>
      <c r="C3176" s="1">
        <f>IFERROR(__xludf.DUMMYFUNCTION("""COMPUTED_VALUE"""),102.3)</f>
        <v>102.3</v>
      </c>
      <c r="D3176" s="1">
        <f>IFERROR(__xludf.DUMMYFUNCTION("""COMPUTED_VALUE"""),100.58)</f>
        <v>100.58</v>
      </c>
      <c r="E3176" s="1">
        <f>IFERROR(__xludf.DUMMYFUNCTION("""COMPUTED_VALUE"""),101.59)</f>
        <v>101.59</v>
      </c>
      <c r="F3176" s="1">
        <f>IFERROR(__xludf.DUMMYFUNCTION("""COMPUTED_VALUE"""),658190.0)</f>
        <v>658190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IFERROR(__xludf.DUMMYFUNCTION("""COMPUTED_VALUE"""),101.22)</f>
        <v>101.22</v>
      </c>
      <c r="C3177" s="1">
        <f>IFERROR(__xludf.DUMMYFUNCTION("""COMPUTED_VALUE"""),102.2)</f>
        <v>102.2</v>
      </c>
      <c r="D3177" s="1">
        <f>IFERROR(__xludf.DUMMYFUNCTION("""COMPUTED_VALUE"""),100.48)</f>
        <v>100.48</v>
      </c>
      <c r="E3177" s="1">
        <f>IFERROR(__xludf.DUMMYFUNCTION("""COMPUTED_VALUE"""),101.42)</f>
        <v>101.42</v>
      </c>
      <c r="F3177" s="1">
        <f>IFERROR(__xludf.DUMMYFUNCTION("""COMPUTED_VALUE"""),788750.0)</f>
        <v>788750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IFERROR(__xludf.DUMMYFUNCTION("""COMPUTED_VALUE"""),101.07)</f>
        <v>101.07</v>
      </c>
      <c r="C3178" s="1">
        <f>IFERROR(__xludf.DUMMYFUNCTION("""COMPUTED_VALUE"""),106.24)</f>
        <v>106.24</v>
      </c>
      <c r="D3178" s="1">
        <f>IFERROR(__xludf.DUMMYFUNCTION("""COMPUTED_VALUE"""),101.07)</f>
        <v>101.07</v>
      </c>
      <c r="E3178" s="1">
        <f>IFERROR(__xludf.DUMMYFUNCTION("""COMPUTED_VALUE"""),104.22)</f>
        <v>104.22</v>
      </c>
      <c r="F3178" s="1">
        <f>IFERROR(__xludf.DUMMYFUNCTION("""COMPUTED_VALUE"""),1336314.0)</f>
        <v>1336314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IFERROR(__xludf.DUMMYFUNCTION("""COMPUTED_VALUE"""),103.06)</f>
        <v>103.06</v>
      </c>
      <c r="C3179" s="1">
        <f>IFERROR(__xludf.DUMMYFUNCTION("""COMPUTED_VALUE"""),103.06)</f>
        <v>103.06</v>
      </c>
      <c r="D3179" s="1">
        <f>IFERROR(__xludf.DUMMYFUNCTION("""COMPUTED_VALUE"""),98.97)</f>
        <v>98.97</v>
      </c>
      <c r="E3179" s="1">
        <f>IFERROR(__xludf.DUMMYFUNCTION("""COMPUTED_VALUE"""),100.01)</f>
        <v>100.01</v>
      </c>
      <c r="F3179" s="1">
        <f>IFERROR(__xludf.DUMMYFUNCTION("""COMPUTED_VALUE"""),1472602.0)</f>
        <v>1472602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IFERROR(__xludf.DUMMYFUNCTION("""COMPUTED_VALUE"""),99.99)</f>
        <v>99.99</v>
      </c>
      <c r="C3180" s="1">
        <f>IFERROR(__xludf.DUMMYFUNCTION("""COMPUTED_VALUE"""),99.99)</f>
        <v>99.99</v>
      </c>
      <c r="D3180" s="1">
        <f>IFERROR(__xludf.DUMMYFUNCTION("""COMPUTED_VALUE"""),97.93)</f>
        <v>97.93</v>
      </c>
      <c r="E3180" s="1">
        <f>IFERROR(__xludf.DUMMYFUNCTION("""COMPUTED_VALUE"""),98.74)</f>
        <v>98.74</v>
      </c>
      <c r="F3180" s="1">
        <f>IFERROR(__xludf.DUMMYFUNCTION("""COMPUTED_VALUE"""),809093.0)</f>
        <v>809093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IFERROR(__xludf.DUMMYFUNCTION("""COMPUTED_VALUE"""),97.56)</f>
        <v>97.56</v>
      </c>
      <c r="C3181" s="1">
        <f>IFERROR(__xludf.DUMMYFUNCTION("""COMPUTED_VALUE"""),98.15)</f>
        <v>98.15</v>
      </c>
      <c r="D3181" s="1">
        <f>IFERROR(__xludf.DUMMYFUNCTION("""COMPUTED_VALUE"""),95.56)</f>
        <v>95.56</v>
      </c>
      <c r="E3181" s="1">
        <f>IFERROR(__xludf.DUMMYFUNCTION("""COMPUTED_VALUE"""),96.27)</f>
        <v>96.27</v>
      </c>
      <c r="F3181" s="1">
        <f>IFERROR(__xludf.DUMMYFUNCTION("""COMPUTED_VALUE"""),1016489.0)</f>
        <v>1016489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IFERROR(__xludf.DUMMYFUNCTION("""COMPUTED_VALUE"""),93.97)</f>
        <v>93.97</v>
      </c>
      <c r="C3182" s="1">
        <f>IFERROR(__xludf.DUMMYFUNCTION("""COMPUTED_VALUE"""),94.43)</f>
        <v>94.43</v>
      </c>
      <c r="D3182" s="1">
        <f>IFERROR(__xludf.DUMMYFUNCTION("""COMPUTED_VALUE"""),89.69)</f>
        <v>89.69</v>
      </c>
      <c r="E3182" s="1">
        <f>IFERROR(__xludf.DUMMYFUNCTION("""COMPUTED_VALUE"""),89.86)</f>
        <v>89.86</v>
      </c>
      <c r="F3182" s="1">
        <f>IFERROR(__xludf.DUMMYFUNCTION("""COMPUTED_VALUE"""),1387362.0)</f>
        <v>1387362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IFERROR(__xludf.DUMMYFUNCTION("""COMPUTED_VALUE"""),90.11)</f>
        <v>90.11</v>
      </c>
      <c r="C3183" s="1">
        <f>IFERROR(__xludf.DUMMYFUNCTION("""COMPUTED_VALUE"""),91.28)</f>
        <v>91.28</v>
      </c>
      <c r="D3183" s="1">
        <f>IFERROR(__xludf.DUMMYFUNCTION("""COMPUTED_VALUE"""),89.07)</f>
        <v>89.07</v>
      </c>
      <c r="E3183" s="1">
        <f>IFERROR(__xludf.DUMMYFUNCTION("""COMPUTED_VALUE"""),90.34)</f>
        <v>90.34</v>
      </c>
      <c r="F3183" s="1">
        <f>IFERROR(__xludf.DUMMYFUNCTION("""COMPUTED_VALUE"""),1125633.0)</f>
        <v>1125633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IFERROR(__xludf.DUMMYFUNCTION("""COMPUTED_VALUE"""),90.64)</f>
        <v>90.64</v>
      </c>
      <c r="C3184" s="1">
        <f>IFERROR(__xludf.DUMMYFUNCTION("""COMPUTED_VALUE"""),92.05)</f>
        <v>92.05</v>
      </c>
      <c r="D3184" s="1">
        <f>IFERROR(__xludf.DUMMYFUNCTION("""COMPUTED_VALUE"""),90.05)</f>
        <v>90.05</v>
      </c>
      <c r="E3184" s="1">
        <f>IFERROR(__xludf.DUMMYFUNCTION("""COMPUTED_VALUE"""),90.92)</f>
        <v>90.92</v>
      </c>
      <c r="F3184" s="1">
        <f>IFERROR(__xludf.DUMMYFUNCTION("""COMPUTED_VALUE"""),842619.0)</f>
        <v>842619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IFERROR(__xludf.DUMMYFUNCTION("""COMPUTED_VALUE"""),91.71)</f>
        <v>91.71</v>
      </c>
      <c r="C3185" s="1">
        <f>IFERROR(__xludf.DUMMYFUNCTION("""COMPUTED_VALUE"""),93.47)</f>
        <v>93.47</v>
      </c>
      <c r="D3185" s="1">
        <f>IFERROR(__xludf.DUMMYFUNCTION("""COMPUTED_VALUE"""),90.84)</f>
        <v>90.84</v>
      </c>
      <c r="E3185" s="1">
        <f>IFERROR(__xludf.DUMMYFUNCTION("""COMPUTED_VALUE"""),93.24)</f>
        <v>93.24</v>
      </c>
      <c r="F3185" s="1">
        <f>IFERROR(__xludf.DUMMYFUNCTION("""COMPUTED_VALUE"""),858773.0)</f>
        <v>858773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IFERROR(__xludf.DUMMYFUNCTION("""COMPUTED_VALUE"""),94.0)</f>
        <v>94</v>
      </c>
      <c r="C3186" s="1">
        <f>IFERROR(__xludf.DUMMYFUNCTION("""COMPUTED_VALUE"""),94.42)</f>
        <v>94.42</v>
      </c>
      <c r="D3186" s="1">
        <f>IFERROR(__xludf.DUMMYFUNCTION("""COMPUTED_VALUE"""),89.61)</f>
        <v>89.61</v>
      </c>
      <c r="E3186" s="1">
        <f>IFERROR(__xludf.DUMMYFUNCTION("""COMPUTED_VALUE"""),90.0)</f>
        <v>90</v>
      </c>
      <c r="F3186" s="1">
        <f>IFERROR(__xludf.DUMMYFUNCTION("""COMPUTED_VALUE"""),935058.0)</f>
        <v>935058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IFERROR(__xludf.DUMMYFUNCTION("""COMPUTED_VALUE"""),89.0)</f>
        <v>89</v>
      </c>
      <c r="C3187" s="1">
        <f>IFERROR(__xludf.DUMMYFUNCTION("""COMPUTED_VALUE"""),91.0)</f>
        <v>91</v>
      </c>
      <c r="D3187" s="1">
        <f>IFERROR(__xludf.DUMMYFUNCTION("""COMPUTED_VALUE"""),88.46)</f>
        <v>88.46</v>
      </c>
      <c r="E3187" s="1">
        <f>IFERROR(__xludf.DUMMYFUNCTION("""COMPUTED_VALUE"""),90.7)</f>
        <v>90.7</v>
      </c>
      <c r="F3187" s="1">
        <f>IFERROR(__xludf.DUMMYFUNCTION("""COMPUTED_VALUE"""),1021553.0)</f>
        <v>1021553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IFERROR(__xludf.DUMMYFUNCTION("""COMPUTED_VALUE"""),91.89)</f>
        <v>91.89</v>
      </c>
      <c r="C3188" s="1">
        <f>IFERROR(__xludf.DUMMYFUNCTION("""COMPUTED_VALUE"""),92.1)</f>
        <v>92.1</v>
      </c>
      <c r="D3188" s="1">
        <f>IFERROR(__xludf.DUMMYFUNCTION("""COMPUTED_VALUE"""),89.39)</f>
        <v>89.39</v>
      </c>
      <c r="E3188" s="1">
        <f>IFERROR(__xludf.DUMMYFUNCTION("""COMPUTED_VALUE"""),90.33)</f>
        <v>90.33</v>
      </c>
      <c r="F3188" s="1">
        <f>IFERROR(__xludf.DUMMYFUNCTION("""COMPUTED_VALUE"""),1140743.0)</f>
        <v>1140743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IFERROR(__xludf.DUMMYFUNCTION("""COMPUTED_VALUE"""),90.34)</f>
        <v>90.34</v>
      </c>
      <c r="C3189" s="1">
        <f>IFERROR(__xludf.DUMMYFUNCTION("""COMPUTED_VALUE"""),90.73)</f>
        <v>90.73</v>
      </c>
      <c r="D3189" s="1">
        <f>IFERROR(__xludf.DUMMYFUNCTION("""COMPUTED_VALUE"""),88.34)</f>
        <v>88.34</v>
      </c>
      <c r="E3189" s="1">
        <f>IFERROR(__xludf.DUMMYFUNCTION("""COMPUTED_VALUE"""),88.44)</f>
        <v>88.44</v>
      </c>
      <c r="F3189" s="1">
        <f>IFERROR(__xludf.DUMMYFUNCTION("""COMPUTED_VALUE"""),1535445.0)</f>
        <v>1535445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IFERROR(__xludf.DUMMYFUNCTION("""COMPUTED_VALUE"""),88.21)</f>
        <v>88.21</v>
      </c>
      <c r="C3190" s="1">
        <f>IFERROR(__xludf.DUMMYFUNCTION("""COMPUTED_VALUE"""),89.22)</f>
        <v>89.22</v>
      </c>
      <c r="D3190" s="1">
        <f>IFERROR(__xludf.DUMMYFUNCTION("""COMPUTED_VALUE"""),86.93)</f>
        <v>86.93</v>
      </c>
      <c r="E3190" s="1">
        <f>IFERROR(__xludf.DUMMYFUNCTION("""COMPUTED_VALUE"""),89.12)</f>
        <v>89.12</v>
      </c>
      <c r="F3190" s="1">
        <f>IFERROR(__xludf.DUMMYFUNCTION("""COMPUTED_VALUE"""),1113643.0)</f>
        <v>1113643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IFERROR(__xludf.DUMMYFUNCTION("""COMPUTED_VALUE"""),90.34)</f>
        <v>90.34</v>
      </c>
      <c r="C3191" s="1">
        <f>IFERROR(__xludf.DUMMYFUNCTION("""COMPUTED_VALUE"""),90.56)</f>
        <v>90.56</v>
      </c>
      <c r="D3191" s="1">
        <f>IFERROR(__xludf.DUMMYFUNCTION("""COMPUTED_VALUE"""),87.05)</f>
        <v>87.05</v>
      </c>
      <c r="E3191" s="1">
        <f>IFERROR(__xludf.DUMMYFUNCTION("""COMPUTED_VALUE"""),87.56)</f>
        <v>87.56</v>
      </c>
      <c r="F3191" s="1">
        <f>IFERROR(__xludf.DUMMYFUNCTION("""COMPUTED_VALUE"""),1048933.0)</f>
        <v>1048933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IFERROR(__xludf.DUMMYFUNCTION("""COMPUTED_VALUE"""),88.12)</f>
        <v>88.12</v>
      </c>
      <c r="C3192" s="1">
        <f>IFERROR(__xludf.DUMMYFUNCTION("""COMPUTED_VALUE"""),88.12)</f>
        <v>88.12</v>
      </c>
      <c r="D3192" s="1">
        <f>IFERROR(__xludf.DUMMYFUNCTION("""COMPUTED_VALUE"""),84.4)</f>
        <v>84.4</v>
      </c>
      <c r="E3192" s="1">
        <f>IFERROR(__xludf.DUMMYFUNCTION("""COMPUTED_VALUE"""),85.13)</f>
        <v>85.13</v>
      </c>
      <c r="F3192" s="1">
        <f>IFERROR(__xludf.DUMMYFUNCTION("""COMPUTED_VALUE"""),1698320.0)</f>
        <v>1698320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IFERROR(__xludf.DUMMYFUNCTION("""COMPUTED_VALUE"""),84.96)</f>
        <v>84.96</v>
      </c>
      <c r="C3193" s="1">
        <f>IFERROR(__xludf.DUMMYFUNCTION("""COMPUTED_VALUE"""),88.69)</f>
        <v>88.69</v>
      </c>
      <c r="D3193" s="1">
        <f>IFERROR(__xludf.DUMMYFUNCTION("""COMPUTED_VALUE"""),84.8)</f>
        <v>84.8</v>
      </c>
      <c r="E3193" s="1">
        <f>IFERROR(__xludf.DUMMYFUNCTION("""COMPUTED_VALUE"""),88.52)</f>
        <v>88.52</v>
      </c>
      <c r="F3193" s="1">
        <f>IFERROR(__xludf.DUMMYFUNCTION("""COMPUTED_VALUE"""),1385423.0)</f>
        <v>1385423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IFERROR(__xludf.DUMMYFUNCTION("""COMPUTED_VALUE"""),87.48)</f>
        <v>87.48</v>
      </c>
      <c r="C3194" s="1">
        <f>IFERROR(__xludf.DUMMYFUNCTION("""COMPUTED_VALUE"""),88.96)</f>
        <v>88.96</v>
      </c>
      <c r="D3194" s="1">
        <f>IFERROR(__xludf.DUMMYFUNCTION("""COMPUTED_VALUE"""),86.49)</f>
        <v>86.49</v>
      </c>
      <c r="E3194" s="1">
        <f>IFERROR(__xludf.DUMMYFUNCTION("""COMPUTED_VALUE"""),88.88)</f>
        <v>88.88</v>
      </c>
      <c r="F3194" s="1">
        <f>IFERROR(__xludf.DUMMYFUNCTION("""COMPUTED_VALUE"""),858069.0)</f>
        <v>858069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IFERROR(__xludf.DUMMYFUNCTION("""COMPUTED_VALUE"""),86.62)</f>
        <v>86.62</v>
      </c>
      <c r="C3195" s="1">
        <f>IFERROR(__xludf.DUMMYFUNCTION("""COMPUTED_VALUE"""),91.42)</f>
        <v>91.42</v>
      </c>
      <c r="D3195" s="1">
        <f>IFERROR(__xludf.DUMMYFUNCTION("""COMPUTED_VALUE"""),86.5)</f>
        <v>86.5</v>
      </c>
      <c r="E3195" s="1">
        <f>IFERROR(__xludf.DUMMYFUNCTION("""COMPUTED_VALUE"""),91.0)</f>
        <v>91</v>
      </c>
      <c r="F3195" s="1">
        <f>IFERROR(__xludf.DUMMYFUNCTION("""COMPUTED_VALUE"""),1961247.0)</f>
        <v>1961247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IFERROR(__xludf.DUMMYFUNCTION("""COMPUTED_VALUE"""),92.43)</f>
        <v>92.43</v>
      </c>
      <c r="C3196" s="1">
        <f>IFERROR(__xludf.DUMMYFUNCTION("""COMPUTED_VALUE"""),93.34)</f>
        <v>93.34</v>
      </c>
      <c r="D3196" s="1">
        <f>IFERROR(__xludf.DUMMYFUNCTION("""COMPUTED_VALUE"""),90.6)</f>
        <v>90.6</v>
      </c>
      <c r="E3196" s="1">
        <f>IFERROR(__xludf.DUMMYFUNCTION("""COMPUTED_VALUE"""),91.08)</f>
        <v>91.08</v>
      </c>
      <c r="F3196" s="1">
        <f>IFERROR(__xludf.DUMMYFUNCTION("""COMPUTED_VALUE"""),1007557.0)</f>
        <v>1007557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IFERROR(__xludf.DUMMYFUNCTION("""COMPUTED_VALUE"""),87.5)</f>
        <v>87.5</v>
      </c>
      <c r="C3197" s="1">
        <f>IFERROR(__xludf.DUMMYFUNCTION("""COMPUTED_VALUE"""),88.28)</f>
        <v>88.28</v>
      </c>
      <c r="D3197" s="1">
        <f>IFERROR(__xludf.DUMMYFUNCTION("""COMPUTED_VALUE"""),85.13)</f>
        <v>85.13</v>
      </c>
      <c r="E3197" s="1">
        <f>IFERROR(__xludf.DUMMYFUNCTION("""COMPUTED_VALUE"""),85.57)</f>
        <v>85.57</v>
      </c>
      <c r="F3197" s="1">
        <f>IFERROR(__xludf.DUMMYFUNCTION("""COMPUTED_VALUE"""),1240949.0)</f>
        <v>1240949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IFERROR(__xludf.DUMMYFUNCTION("""COMPUTED_VALUE"""),85.93)</f>
        <v>85.93</v>
      </c>
      <c r="C3198" s="1">
        <f>IFERROR(__xludf.DUMMYFUNCTION("""COMPUTED_VALUE"""),86.51)</f>
        <v>86.51</v>
      </c>
      <c r="D3198" s="1">
        <f>IFERROR(__xludf.DUMMYFUNCTION("""COMPUTED_VALUE"""),83.3)</f>
        <v>83.3</v>
      </c>
      <c r="E3198" s="1">
        <f>IFERROR(__xludf.DUMMYFUNCTION("""COMPUTED_VALUE"""),85.4)</f>
        <v>85.4</v>
      </c>
      <c r="F3198" s="1">
        <f>IFERROR(__xludf.DUMMYFUNCTION("""COMPUTED_VALUE"""),1044434.0)</f>
        <v>1044434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IFERROR(__xludf.DUMMYFUNCTION("""COMPUTED_VALUE"""),86.07)</f>
        <v>86.07</v>
      </c>
      <c r="C3199" s="1">
        <f>IFERROR(__xludf.DUMMYFUNCTION("""COMPUTED_VALUE"""),86.9)</f>
        <v>86.9</v>
      </c>
      <c r="D3199" s="1">
        <f>IFERROR(__xludf.DUMMYFUNCTION("""COMPUTED_VALUE"""),84.49)</f>
        <v>84.49</v>
      </c>
      <c r="E3199" s="1">
        <f>IFERROR(__xludf.DUMMYFUNCTION("""COMPUTED_VALUE"""),84.98)</f>
        <v>84.98</v>
      </c>
      <c r="F3199" s="1">
        <f>IFERROR(__xludf.DUMMYFUNCTION("""COMPUTED_VALUE"""),1090160.0)</f>
        <v>1090160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IFERROR(__xludf.DUMMYFUNCTION("""COMPUTED_VALUE"""),84.25)</f>
        <v>84.25</v>
      </c>
      <c r="C3200" s="1">
        <f>IFERROR(__xludf.DUMMYFUNCTION("""COMPUTED_VALUE"""),85.54)</f>
        <v>85.54</v>
      </c>
      <c r="D3200" s="1">
        <f>IFERROR(__xludf.DUMMYFUNCTION("""COMPUTED_VALUE"""),83.08)</f>
        <v>83.08</v>
      </c>
      <c r="E3200" s="1">
        <f>IFERROR(__xludf.DUMMYFUNCTION("""COMPUTED_VALUE"""),84.73)</f>
        <v>84.73</v>
      </c>
      <c r="F3200" s="1">
        <f>IFERROR(__xludf.DUMMYFUNCTION("""COMPUTED_VALUE"""),1987593.0)</f>
        <v>1987593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IFERROR(__xludf.DUMMYFUNCTION("""COMPUTED_VALUE"""),84.24)</f>
        <v>84.24</v>
      </c>
      <c r="C3201" s="1">
        <f>IFERROR(__xludf.DUMMYFUNCTION("""COMPUTED_VALUE"""),86.33)</f>
        <v>86.33</v>
      </c>
      <c r="D3201" s="1">
        <f>IFERROR(__xludf.DUMMYFUNCTION("""COMPUTED_VALUE"""),83.7)</f>
        <v>83.7</v>
      </c>
      <c r="E3201" s="1">
        <f>IFERROR(__xludf.DUMMYFUNCTION("""COMPUTED_VALUE"""),86.18)</f>
        <v>86.18</v>
      </c>
      <c r="F3201" s="1">
        <f>IFERROR(__xludf.DUMMYFUNCTION("""COMPUTED_VALUE"""),1089449.0)</f>
        <v>1089449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IFERROR(__xludf.DUMMYFUNCTION("""COMPUTED_VALUE"""),84.76)</f>
        <v>84.76</v>
      </c>
      <c r="C3202" s="1">
        <f>IFERROR(__xludf.DUMMYFUNCTION("""COMPUTED_VALUE"""),85.08)</f>
        <v>85.08</v>
      </c>
      <c r="D3202" s="1">
        <f>IFERROR(__xludf.DUMMYFUNCTION("""COMPUTED_VALUE"""),80.5)</f>
        <v>80.5</v>
      </c>
      <c r="E3202" s="1">
        <f>IFERROR(__xludf.DUMMYFUNCTION("""COMPUTED_VALUE"""),82.19)</f>
        <v>82.19</v>
      </c>
      <c r="F3202" s="1">
        <f>IFERROR(__xludf.DUMMYFUNCTION("""COMPUTED_VALUE"""),1693134.0)</f>
        <v>1693134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IFERROR(__xludf.DUMMYFUNCTION("""COMPUTED_VALUE"""),82.65)</f>
        <v>82.65</v>
      </c>
      <c r="C3203" s="1">
        <f>IFERROR(__xludf.DUMMYFUNCTION("""COMPUTED_VALUE"""),84.44)</f>
        <v>84.44</v>
      </c>
      <c r="D3203" s="1">
        <f>IFERROR(__xludf.DUMMYFUNCTION("""COMPUTED_VALUE"""),80.97)</f>
        <v>80.97</v>
      </c>
      <c r="E3203" s="1">
        <f>IFERROR(__xludf.DUMMYFUNCTION("""COMPUTED_VALUE"""),81.06)</f>
        <v>81.06</v>
      </c>
      <c r="F3203" s="1">
        <f>IFERROR(__xludf.DUMMYFUNCTION("""COMPUTED_VALUE"""),1272959.0)</f>
        <v>1272959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IFERROR(__xludf.DUMMYFUNCTION("""COMPUTED_VALUE"""),80.56)</f>
        <v>80.56</v>
      </c>
      <c r="C3204" s="1">
        <f>IFERROR(__xludf.DUMMYFUNCTION("""COMPUTED_VALUE"""),81.56)</f>
        <v>81.56</v>
      </c>
      <c r="D3204" s="1">
        <f>IFERROR(__xludf.DUMMYFUNCTION("""COMPUTED_VALUE"""),79.57)</f>
        <v>79.57</v>
      </c>
      <c r="E3204" s="1">
        <f>IFERROR(__xludf.DUMMYFUNCTION("""COMPUTED_VALUE"""),79.77)</f>
        <v>79.77</v>
      </c>
      <c r="F3204" s="1">
        <f>IFERROR(__xludf.DUMMYFUNCTION("""COMPUTED_VALUE"""),1412590.0)</f>
        <v>1412590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IFERROR(__xludf.DUMMYFUNCTION("""COMPUTED_VALUE"""),78.33)</f>
        <v>78.33</v>
      </c>
      <c r="C3205" s="1">
        <f>IFERROR(__xludf.DUMMYFUNCTION("""COMPUTED_VALUE"""),79.56)</f>
        <v>79.56</v>
      </c>
      <c r="D3205" s="1">
        <f>IFERROR(__xludf.DUMMYFUNCTION("""COMPUTED_VALUE"""),76.0)</f>
        <v>76</v>
      </c>
      <c r="E3205" s="1">
        <f>IFERROR(__xludf.DUMMYFUNCTION("""COMPUTED_VALUE"""),79.49)</f>
        <v>79.49</v>
      </c>
      <c r="F3205" s="1">
        <f>IFERROR(__xludf.DUMMYFUNCTION("""COMPUTED_VALUE"""),2517278.0)</f>
        <v>2517278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IFERROR(__xludf.DUMMYFUNCTION("""COMPUTED_VALUE"""),79.49)</f>
        <v>79.49</v>
      </c>
      <c r="C3206" s="1">
        <f>IFERROR(__xludf.DUMMYFUNCTION("""COMPUTED_VALUE"""),81.38)</f>
        <v>81.38</v>
      </c>
      <c r="D3206" s="1">
        <f>IFERROR(__xludf.DUMMYFUNCTION("""COMPUTED_VALUE"""),79.08)</f>
        <v>79.08</v>
      </c>
      <c r="E3206" s="1">
        <f>IFERROR(__xludf.DUMMYFUNCTION("""COMPUTED_VALUE"""),79.97)</f>
        <v>79.97</v>
      </c>
      <c r="F3206" s="1">
        <f>IFERROR(__xludf.DUMMYFUNCTION("""COMPUTED_VALUE"""),1756039.0)</f>
        <v>1756039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IFERROR(__xludf.DUMMYFUNCTION("""COMPUTED_VALUE"""),81.34)</f>
        <v>81.34</v>
      </c>
      <c r="C3207" s="1">
        <f>IFERROR(__xludf.DUMMYFUNCTION("""COMPUTED_VALUE"""),82.37)</f>
        <v>82.37</v>
      </c>
      <c r="D3207" s="1">
        <f>IFERROR(__xludf.DUMMYFUNCTION("""COMPUTED_VALUE"""),79.84)</f>
        <v>79.84</v>
      </c>
      <c r="E3207" s="1">
        <f>IFERROR(__xludf.DUMMYFUNCTION("""COMPUTED_VALUE"""),81.15)</f>
        <v>81.15</v>
      </c>
      <c r="F3207" s="1">
        <f>IFERROR(__xludf.DUMMYFUNCTION("""COMPUTED_VALUE"""),1532278.0)</f>
        <v>1532278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IFERROR(__xludf.DUMMYFUNCTION("""COMPUTED_VALUE"""),82.35)</f>
        <v>82.35</v>
      </c>
      <c r="C3208" s="1">
        <f>IFERROR(__xludf.DUMMYFUNCTION("""COMPUTED_VALUE"""),86.85)</f>
        <v>86.85</v>
      </c>
      <c r="D3208" s="1">
        <f>IFERROR(__xludf.DUMMYFUNCTION("""COMPUTED_VALUE"""),82.12)</f>
        <v>82.12</v>
      </c>
      <c r="E3208" s="1">
        <f>IFERROR(__xludf.DUMMYFUNCTION("""COMPUTED_VALUE"""),86.42)</f>
        <v>86.42</v>
      </c>
      <c r="F3208" s="1">
        <f>IFERROR(__xludf.DUMMYFUNCTION("""COMPUTED_VALUE"""),3076853.0)</f>
        <v>3076853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IFERROR(__xludf.DUMMYFUNCTION("""COMPUTED_VALUE"""),73.75)</f>
        <v>73.75</v>
      </c>
      <c r="C3209" s="1">
        <f>IFERROR(__xludf.DUMMYFUNCTION("""COMPUTED_VALUE"""),75.99)</f>
        <v>75.99</v>
      </c>
      <c r="D3209" s="1">
        <f>IFERROR(__xludf.DUMMYFUNCTION("""COMPUTED_VALUE"""),64.44)</f>
        <v>64.44</v>
      </c>
      <c r="E3209" s="1">
        <f>IFERROR(__xludf.DUMMYFUNCTION("""COMPUTED_VALUE"""),65.16)</f>
        <v>65.16</v>
      </c>
      <c r="F3209" s="1">
        <f>IFERROR(__xludf.DUMMYFUNCTION("""COMPUTED_VALUE"""),1.7197907E7)</f>
        <v>17197907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IFERROR(__xludf.DUMMYFUNCTION("""COMPUTED_VALUE"""),65.0)</f>
        <v>65</v>
      </c>
      <c r="C3210" s="1">
        <f>IFERROR(__xludf.DUMMYFUNCTION("""COMPUTED_VALUE"""),67.66)</f>
        <v>67.66</v>
      </c>
      <c r="D3210" s="1">
        <f>IFERROR(__xludf.DUMMYFUNCTION("""COMPUTED_VALUE"""),63.61)</f>
        <v>63.61</v>
      </c>
      <c r="E3210" s="1">
        <f>IFERROR(__xludf.DUMMYFUNCTION("""COMPUTED_VALUE"""),66.02)</f>
        <v>66.02</v>
      </c>
      <c r="F3210" s="1">
        <f>IFERROR(__xludf.DUMMYFUNCTION("""COMPUTED_VALUE"""),5557297.0)</f>
        <v>5557297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IFERROR(__xludf.DUMMYFUNCTION("""COMPUTED_VALUE"""),65.39)</f>
        <v>65.39</v>
      </c>
      <c r="C3211" s="1">
        <f>IFERROR(__xludf.DUMMYFUNCTION("""COMPUTED_VALUE"""),69.28)</f>
        <v>69.28</v>
      </c>
      <c r="D3211" s="1">
        <f>IFERROR(__xludf.DUMMYFUNCTION("""COMPUTED_VALUE"""),64.3)</f>
        <v>64.3</v>
      </c>
      <c r="E3211" s="1">
        <f>IFERROR(__xludf.DUMMYFUNCTION("""COMPUTED_VALUE"""),67.74)</f>
        <v>67.74</v>
      </c>
      <c r="F3211" s="1">
        <f>IFERROR(__xludf.DUMMYFUNCTION("""COMPUTED_VALUE"""),3580096.0)</f>
        <v>3580096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IFERROR(__xludf.DUMMYFUNCTION("""COMPUTED_VALUE"""),69.16)</f>
        <v>69.16</v>
      </c>
      <c r="C3212" s="1">
        <f>IFERROR(__xludf.DUMMYFUNCTION("""COMPUTED_VALUE"""),70.17)</f>
        <v>70.17</v>
      </c>
      <c r="D3212" s="1">
        <f>IFERROR(__xludf.DUMMYFUNCTION("""COMPUTED_VALUE"""),67.19)</f>
        <v>67.19</v>
      </c>
      <c r="E3212" s="1">
        <f>IFERROR(__xludf.DUMMYFUNCTION("""COMPUTED_VALUE"""),68.45)</f>
        <v>68.45</v>
      </c>
      <c r="F3212" s="1">
        <f>IFERROR(__xludf.DUMMYFUNCTION("""COMPUTED_VALUE"""),2480681.0)</f>
        <v>2480681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IFERROR(__xludf.DUMMYFUNCTION("""COMPUTED_VALUE"""),67.26)</f>
        <v>67.26</v>
      </c>
      <c r="C3213" s="1">
        <f>IFERROR(__xludf.DUMMYFUNCTION("""COMPUTED_VALUE"""),67.74)</f>
        <v>67.74</v>
      </c>
      <c r="D3213" s="1">
        <f>IFERROR(__xludf.DUMMYFUNCTION("""COMPUTED_VALUE"""),64.71)</f>
        <v>64.71</v>
      </c>
      <c r="E3213" s="1">
        <f>IFERROR(__xludf.DUMMYFUNCTION("""COMPUTED_VALUE"""),66.71)</f>
        <v>66.71</v>
      </c>
      <c r="F3213" s="1">
        <f>IFERROR(__xludf.DUMMYFUNCTION("""COMPUTED_VALUE"""),3143761.0)</f>
        <v>3143761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IFERROR(__xludf.DUMMYFUNCTION("""COMPUTED_VALUE"""),66.89)</f>
        <v>66.89</v>
      </c>
      <c r="C3214" s="1">
        <f>IFERROR(__xludf.DUMMYFUNCTION("""COMPUTED_VALUE"""),67.83)</f>
        <v>67.83</v>
      </c>
      <c r="D3214" s="1">
        <f>IFERROR(__xludf.DUMMYFUNCTION("""COMPUTED_VALUE"""),64.48)</f>
        <v>64.48</v>
      </c>
      <c r="E3214" s="1">
        <f>IFERROR(__xludf.DUMMYFUNCTION("""COMPUTED_VALUE"""),65.39)</f>
        <v>65.39</v>
      </c>
      <c r="F3214" s="1">
        <f>IFERROR(__xludf.DUMMYFUNCTION("""COMPUTED_VALUE"""),2104469.0)</f>
        <v>2104469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IFERROR(__xludf.DUMMYFUNCTION("""COMPUTED_VALUE"""),64.18)</f>
        <v>64.18</v>
      </c>
      <c r="C3215" s="1">
        <f>IFERROR(__xludf.DUMMYFUNCTION("""COMPUTED_VALUE"""),64.69)</f>
        <v>64.69</v>
      </c>
      <c r="D3215" s="1">
        <f>IFERROR(__xludf.DUMMYFUNCTION("""COMPUTED_VALUE"""),61.65)</f>
        <v>61.65</v>
      </c>
      <c r="E3215" s="1">
        <f>IFERROR(__xludf.DUMMYFUNCTION("""COMPUTED_VALUE"""),62.31)</f>
        <v>62.31</v>
      </c>
      <c r="F3215" s="1">
        <f>IFERROR(__xludf.DUMMYFUNCTION("""COMPUTED_VALUE"""),2247189.0)</f>
        <v>2247189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IFERROR(__xludf.DUMMYFUNCTION("""COMPUTED_VALUE"""),62.4)</f>
        <v>62.4</v>
      </c>
      <c r="C3216" s="1">
        <f>IFERROR(__xludf.DUMMYFUNCTION("""COMPUTED_VALUE"""),65.04)</f>
        <v>65.04</v>
      </c>
      <c r="D3216" s="1">
        <f>IFERROR(__xludf.DUMMYFUNCTION("""COMPUTED_VALUE"""),61.87)</f>
        <v>61.87</v>
      </c>
      <c r="E3216" s="1">
        <f>IFERROR(__xludf.DUMMYFUNCTION("""COMPUTED_VALUE"""),63.6)</f>
        <v>63.6</v>
      </c>
      <c r="F3216" s="1">
        <f>IFERROR(__xludf.DUMMYFUNCTION("""COMPUTED_VALUE"""),2605056.0)</f>
        <v>2605056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IFERROR(__xludf.DUMMYFUNCTION("""COMPUTED_VALUE"""),63.6)</f>
        <v>63.6</v>
      </c>
      <c r="C3217" s="1">
        <f>IFERROR(__xludf.DUMMYFUNCTION("""COMPUTED_VALUE"""),64.64)</f>
        <v>64.64</v>
      </c>
      <c r="D3217" s="1">
        <f>IFERROR(__xludf.DUMMYFUNCTION("""COMPUTED_VALUE"""),61.99)</f>
        <v>61.99</v>
      </c>
      <c r="E3217" s="1">
        <f>IFERROR(__xludf.DUMMYFUNCTION("""COMPUTED_VALUE"""),63.04)</f>
        <v>63.04</v>
      </c>
      <c r="F3217" s="1">
        <f>IFERROR(__xludf.DUMMYFUNCTION("""COMPUTED_VALUE"""),2310766.0)</f>
        <v>2310766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IFERROR(__xludf.DUMMYFUNCTION("""COMPUTED_VALUE"""),63.18)</f>
        <v>63.18</v>
      </c>
      <c r="C3218" s="1">
        <f>IFERROR(__xludf.DUMMYFUNCTION("""COMPUTED_VALUE"""),63.29)</f>
        <v>63.29</v>
      </c>
      <c r="D3218" s="1">
        <f>IFERROR(__xludf.DUMMYFUNCTION("""COMPUTED_VALUE"""),61.73)</f>
        <v>61.73</v>
      </c>
      <c r="E3218" s="1">
        <f>IFERROR(__xludf.DUMMYFUNCTION("""COMPUTED_VALUE"""),62.11)</f>
        <v>62.11</v>
      </c>
      <c r="F3218" s="1">
        <f>IFERROR(__xludf.DUMMYFUNCTION("""COMPUTED_VALUE"""),1712549.0)</f>
        <v>1712549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IFERROR(__xludf.DUMMYFUNCTION("""COMPUTED_VALUE"""),60.62)</f>
        <v>60.62</v>
      </c>
      <c r="C3219" s="1">
        <f>IFERROR(__xludf.DUMMYFUNCTION("""COMPUTED_VALUE"""),63.6)</f>
        <v>63.6</v>
      </c>
      <c r="D3219" s="1">
        <f>IFERROR(__xludf.DUMMYFUNCTION("""COMPUTED_VALUE"""),59.23)</f>
        <v>59.23</v>
      </c>
      <c r="E3219" s="1">
        <f>IFERROR(__xludf.DUMMYFUNCTION("""COMPUTED_VALUE"""),62.39)</f>
        <v>62.39</v>
      </c>
      <c r="F3219" s="1">
        <f>IFERROR(__xludf.DUMMYFUNCTION("""COMPUTED_VALUE"""),1978566.0)</f>
        <v>1978566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IFERROR(__xludf.DUMMYFUNCTION("""COMPUTED_VALUE"""),63.0)</f>
        <v>63</v>
      </c>
      <c r="C3220" s="1">
        <f>IFERROR(__xludf.DUMMYFUNCTION("""COMPUTED_VALUE"""),63.75)</f>
        <v>63.75</v>
      </c>
      <c r="D3220" s="1">
        <f>IFERROR(__xludf.DUMMYFUNCTION("""COMPUTED_VALUE"""),60.11)</f>
        <v>60.11</v>
      </c>
      <c r="E3220" s="1">
        <f>IFERROR(__xludf.DUMMYFUNCTION("""COMPUTED_VALUE"""),60.2)</f>
        <v>60.2</v>
      </c>
      <c r="F3220" s="1">
        <f>IFERROR(__xludf.DUMMYFUNCTION("""COMPUTED_VALUE"""),1929272.0)</f>
        <v>1929272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IFERROR(__xludf.DUMMYFUNCTION("""COMPUTED_VALUE"""),61.82)</f>
        <v>61.82</v>
      </c>
      <c r="C3221" s="1">
        <f>IFERROR(__xludf.DUMMYFUNCTION("""COMPUTED_VALUE"""),63.08)</f>
        <v>63.08</v>
      </c>
      <c r="D3221" s="1">
        <f>IFERROR(__xludf.DUMMYFUNCTION("""COMPUTED_VALUE"""),60.99)</f>
        <v>60.99</v>
      </c>
      <c r="E3221" s="1">
        <f>IFERROR(__xludf.DUMMYFUNCTION("""COMPUTED_VALUE"""),62.03)</f>
        <v>62.03</v>
      </c>
      <c r="F3221" s="1">
        <f>IFERROR(__xludf.DUMMYFUNCTION("""COMPUTED_VALUE"""),2476133.0)</f>
        <v>2476133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IFERROR(__xludf.DUMMYFUNCTION("""COMPUTED_VALUE"""),63.7)</f>
        <v>63.7</v>
      </c>
      <c r="C3222" s="1">
        <f>IFERROR(__xludf.DUMMYFUNCTION("""COMPUTED_VALUE"""),64.97)</f>
        <v>64.97</v>
      </c>
      <c r="D3222" s="1">
        <f>IFERROR(__xludf.DUMMYFUNCTION("""COMPUTED_VALUE"""),59.8)</f>
        <v>59.8</v>
      </c>
      <c r="E3222" s="1">
        <f>IFERROR(__xludf.DUMMYFUNCTION("""COMPUTED_VALUE"""),60.69)</f>
        <v>60.69</v>
      </c>
      <c r="F3222" s="1">
        <f>IFERROR(__xludf.DUMMYFUNCTION("""COMPUTED_VALUE"""),5694256.0)</f>
        <v>5694256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IFERROR(__xludf.DUMMYFUNCTION("""COMPUTED_VALUE"""),59.71)</f>
        <v>59.71</v>
      </c>
      <c r="C3223" s="1">
        <f>IFERROR(__xludf.DUMMYFUNCTION("""COMPUTED_VALUE"""),60.03)</f>
        <v>60.03</v>
      </c>
      <c r="D3223" s="1">
        <f>IFERROR(__xludf.DUMMYFUNCTION("""COMPUTED_VALUE"""),56.52)</f>
        <v>56.52</v>
      </c>
      <c r="E3223" s="1">
        <f>IFERROR(__xludf.DUMMYFUNCTION("""COMPUTED_VALUE"""),57.5)</f>
        <v>57.5</v>
      </c>
      <c r="F3223" s="1">
        <f>IFERROR(__xludf.DUMMYFUNCTION("""COMPUTED_VALUE"""),5548209.0)</f>
        <v>5548209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IFERROR(__xludf.DUMMYFUNCTION("""COMPUTED_VALUE"""),57.92)</f>
        <v>57.92</v>
      </c>
      <c r="C3224" s="1">
        <f>IFERROR(__xludf.DUMMYFUNCTION("""COMPUTED_VALUE"""),58.85)</f>
        <v>58.85</v>
      </c>
      <c r="D3224" s="1">
        <f>IFERROR(__xludf.DUMMYFUNCTION("""COMPUTED_VALUE"""),56.43)</f>
        <v>56.43</v>
      </c>
      <c r="E3224" s="1">
        <f>IFERROR(__xludf.DUMMYFUNCTION("""COMPUTED_VALUE"""),56.47)</f>
        <v>56.47</v>
      </c>
      <c r="F3224" s="1">
        <f>IFERROR(__xludf.DUMMYFUNCTION("""COMPUTED_VALUE"""),2711935.0)</f>
        <v>2711935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IFERROR(__xludf.DUMMYFUNCTION("""COMPUTED_VALUE"""),56.62)</f>
        <v>56.62</v>
      </c>
      <c r="C3225" s="1">
        <f>IFERROR(__xludf.DUMMYFUNCTION("""COMPUTED_VALUE"""),56.84)</f>
        <v>56.84</v>
      </c>
      <c r="D3225" s="1">
        <f>IFERROR(__xludf.DUMMYFUNCTION("""COMPUTED_VALUE"""),55.02)</f>
        <v>55.02</v>
      </c>
      <c r="E3225" s="1">
        <f>IFERROR(__xludf.DUMMYFUNCTION("""COMPUTED_VALUE"""),55.69)</f>
        <v>55.69</v>
      </c>
      <c r="F3225" s="1">
        <f>IFERROR(__xludf.DUMMYFUNCTION("""COMPUTED_VALUE"""),3294822.0)</f>
        <v>3294822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IFERROR(__xludf.DUMMYFUNCTION("""COMPUTED_VALUE"""),55.28)</f>
        <v>55.28</v>
      </c>
      <c r="C3226" s="1">
        <f>IFERROR(__xludf.DUMMYFUNCTION("""COMPUTED_VALUE"""),58.47)</f>
        <v>58.47</v>
      </c>
      <c r="D3226" s="1">
        <f>IFERROR(__xludf.DUMMYFUNCTION("""COMPUTED_VALUE"""),54.85)</f>
        <v>54.85</v>
      </c>
      <c r="E3226" s="1">
        <f>IFERROR(__xludf.DUMMYFUNCTION("""COMPUTED_VALUE"""),58.23)</f>
        <v>58.23</v>
      </c>
      <c r="F3226" s="1">
        <f>IFERROR(__xludf.DUMMYFUNCTION("""COMPUTED_VALUE"""),4035202.0)</f>
        <v>4035202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IFERROR(__xludf.DUMMYFUNCTION("""COMPUTED_VALUE"""),58.45)</f>
        <v>58.45</v>
      </c>
      <c r="C3227" s="1">
        <f>IFERROR(__xludf.DUMMYFUNCTION("""COMPUTED_VALUE"""),62.14)</f>
        <v>62.14</v>
      </c>
      <c r="D3227" s="1">
        <f>IFERROR(__xludf.DUMMYFUNCTION("""COMPUTED_VALUE"""),58.45)</f>
        <v>58.45</v>
      </c>
      <c r="E3227" s="1">
        <f>IFERROR(__xludf.DUMMYFUNCTION("""COMPUTED_VALUE"""),61.85)</f>
        <v>61.85</v>
      </c>
      <c r="F3227" s="1">
        <f>IFERROR(__xludf.DUMMYFUNCTION("""COMPUTED_VALUE"""),2076966.0)</f>
        <v>2076966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IFERROR(__xludf.DUMMYFUNCTION("""COMPUTED_VALUE"""),61.9)</f>
        <v>61.9</v>
      </c>
      <c r="C3228" s="1">
        <f>IFERROR(__xludf.DUMMYFUNCTION("""COMPUTED_VALUE"""),62.92)</f>
        <v>62.92</v>
      </c>
      <c r="D3228" s="1">
        <f>IFERROR(__xludf.DUMMYFUNCTION("""COMPUTED_VALUE"""),61.01)</f>
        <v>61.01</v>
      </c>
      <c r="E3228" s="1">
        <f>IFERROR(__xludf.DUMMYFUNCTION("""COMPUTED_VALUE"""),61.55)</f>
        <v>61.55</v>
      </c>
      <c r="F3228" s="1">
        <f>IFERROR(__xludf.DUMMYFUNCTION("""COMPUTED_VALUE"""),1515659.0)</f>
        <v>1515659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IFERROR(__xludf.DUMMYFUNCTION("""COMPUTED_VALUE"""),61.91)</f>
        <v>61.91</v>
      </c>
      <c r="C3229" s="1">
        <f>IFERROR(__xludf.DUMMYFUNCTION("""COMPUTED_VALUE"""),64.13)</f>
        <v>64.13</v>
      </c>
      <c r="D3229" s="1">
        <f>IFERROR(__xludf.DUMMYFUNCTION("""COMPUTED_VALUE"""),61.63)</f>
        <v>61.63</v>
      </c>
      <c r="E3229" s="1">
        <f>IFERROR(__xludf.DUMMYFUNCTION("""COMPUTED_VALUE"""),62.06)</f>
        <v>62.06</v>
      </c>
      <c r="F3229" s="1">
        <f>IFERROR(__xludf.DUMMYFUNCTION("""COMPUTED_VALUE"""),2377400.0)</f>
        <v>2377400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IFERROR(__xludf.DUMMYFUNCTION("""COMPUTED_VALUE"""),61.81)</f>
        <v>61.81</v>
      </c>
      <c r="C3230" s="1">
        <f>IFERROR(__xludf.DUMMYFUNCTION("""COMPUTED_VALUE"""),63.82)</f>
        <v>63.82</v>
      </c>
      <c r="D3230" s="1">
        <f>IFERROR(__xludf.DUMMYFUNCTION("""COMPUTED_VALUE"""),61.35)</f>
        <v>61.35</v>
      </c>
      <c r="E3230" s="1">
        <f>IFERROR(__xludf.DUMMYFUNCTION("""COMPUTED_VALUE"""),63.79)</f>
        <v>63.79</v>
      </c>
      <c r="F3230" s="1">
        <f>IFERROR(__xludf.DUMMYFUNCTION("""COMPUTED_VALUE"""),1484180.0)</f>
        <v>1484180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IFERROR(__xludf.DUMMYFUNCTION("""COMPUTED_VALUE"""),63.42)</f>
        <v>63.42</v>
      </c>
      <c r="C3231" s="1">
        <f>IFERROR(__xludf.DUMMYFUNCTION("""COMPUTED_VALUE"""),63.89)</f>
        <v>63.89</v>
      </c>
      <c r="D3231" s="1">
        <f>IFERROR(__xludf.DUMMYFUNCTION("""COMPUTED_VALUE"""),62.47)</f>
        <v>62.47</v>
      </c>
      <c r="E3231" s="1">
        <f>IFERROR(__xludf.DUMMYFUNCTION("""COMPUTED_VALUE"""),63.01)</f>
        <v>63.01</v>
      </c>
      <c r="F3231" s="1">
        <f>IFERROR(__xludf.DUMMYFUNCTION("""COMPUTED_VALUE"""),1312582.0)</f>
        <v>1312582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IFERROR(__xludf.DUMMYFUNCTION("""COMPUTED_VALUE"""),64.84)</f>
        <v>64.84</v>
      </c>
      <c r="C3232" s="1">
        <f>IFERROR(__xludf.DUMMYFUNCTION("""COMPUTED_VALUE"""),64.85)</f>
        <v>64.85</v>
      </c>
      <c r="D3232" s="1">
        <f>IFERROR(__xludf.DUMMYFUNCTION("""COMPUTED_VALUE"""),62.07)</f>
        <v>62.07</v>
      </c>
      <c r="E3232" s="1">
        <f>IFERROR(__xludf.DUMMYFUNCTION("""COMPUTED_VALUE"""),64.35)</f>
        <v>64.35</v>
      </c>
      <c r="F3232" s="1">
        <f>IFERROR(__xludf.DUMMYFUNCTION("""COMPUTED_VALUE"""),2098874.0)</f>
        <v>2098874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IFERROR(__xludf.DUMMYFUNCTION("""COMPUTED_VALUE"""),64.03)</f>
        <v>64.03</v>
      </c>
      <c r="C3233" s="1">
        <f>IFERROR(__xludf.DUMMYFUNCTION("""COMPUTED_VALUE"""),65.92)</f>
        <v>65.92</v>
      </c>
      <c r="D3233" s="1">
        <f>IFERROR(__xludf.DUMMYFUNCTION("""COMPUTED_VALUE"""),62.32)</f>
        <v>62.32</v>
      </c>
      <c r="E3233" s="1">
        <f>IFERROR(__xludf.DUMMYFUNCTION("""COMPUTED_VALUE"""),62.36)</f>
        <v>62.36</v>
      </c>
      <c r="F3233" s="1">
        <f>IFERROR(__xludf.DUMMYFUNCTION("""COMPUTED_VALUE"""),2331913.0)</f>
        <v>2331913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IFERROR(__xludf.DUMMYFUNCTION("""COMPUTED_VALUE"""),61.54)</f>
        <v>61.54</v>
      </c>
      <c r="C3234" s="1">
        <f>IFERROR(__xludf.DUMMYFUNCTION("""COMPUTED_VALUE"""),64.4)</f>
        <v>64.4</v>
      </c>
      <c r="D3234" s="1">
        <f>IFERROR(__xludf.DUMMYFUNCTION("""COMPUTED_VALUE"""),60.76)</f>
        <v>60.76</v>
      </c>
      <c r="E3234" s="1">
        <f>IFERROR(__xludf.DUMMYFUNCTION("""COMPUTED_VALUE"""),63.4)</f>
        <v>63.4</v>
      </c>
      <c r="F3234" s="1">
        <f>IFERROR(__xludf.DUMMYFUNCTION("""COMPUTED_VALUE"""),2151858.0)</f>
        <v>2151858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IFERROR(__xludf.DUMMYFUNCTION("""COMPUTED_VALUE"""),64.51)</f>
        <v>64.51</v>
      </c>
      <c r="C3235" s="1">
        <f>IFERROR(__xludf.DUMMYFUNCTION("""COMPUTED_VALUE"""),64.81)</f>
        <v>64.81</v>
      </c>
      <c r="D3235" s="1">
        <f>IFERROR(__xludf.DUMMYFUNCTION("""COMPUTED_VALUE"""),61.12)</f>
        <v>61.12</v>
      </c>
      <c r="E3235" s="1">
        <f>IFERROR(__xludf.DUMMYFUNCTION("""COMPUTED_VALUE"""),62.79)</f>
        <v>62.79</v>
      </c>
      <c r="F3235" s="1">
        <f>IFERROR(__xludf.DUMMYFUNCTION("""COMPUTED_VALUE"""),2781838.0)</f>
        <v>2781838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IFERROR(__xludf.DUMMYFUNCTION("""COMPUTED_VALUE"""),63.3)</f>
        <v>63.3</v>
      </c>
      <c r="C3236" s="1">
        <f>IFERROR(__xludf.DUMMYFUNCTION("""COMPUTED_VALUE"""),65.08)</f>
        <v>65.08</v>
      </c>
      <c r="D3236" s="1">
        <f>IFERROR(__xludf.DUMMYFUNCTION("""COMPUTED_VALUE"""),61.32)</f>
        <v>61.32</v>
      </c>
      <c r="E3236" s="1">
        <f>IFERROR(__xludf.DUMMYFUNCTION("""COMPUTED_VALUE"""),64.63)</f>
        <v>64.63</v>
      </c>
      <c r="F3236" s="1">
        <f>IFERROR(__xludf.DUMMYFUNCTION("""COMPUTED_VALUE"""),3007844.0)</f>
        <v>3007844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IFERROR(__xludf.DUMMYFUNCTION("""COMPUTED_VALUE"""),65.36)</f>
        <v>65.36</v>
      </c>
      <c r="C3237" s="1">
        <f>IFERROR(__xludf.DUMMYFUNCTION("""COMPUTED_VALUE"""),65.5)</f>
        <v>65.5</v>
      </c>
      <c r="D3237" s="1">
        <f>IFERROR(__xludf.DUMMYFUNCTION("""COMPUTED_VALUE"""),63.41)</f>
        <v>63.41</v>
      </c>
      <c r="E3237" s="1">
        <f>IFERROR(__xludf.DUMMYFUNCTION("""COMPUTED_VALUE"""),64.77)</f>
        <v>64.77</v>
      </c>
      <c r="F3237" s="1">
        <f>IFERROR(__xludf.DUMMYFUNCTION("""COMPUTED_VALUE"""),1896480.0)</f>
        <v>1896480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IFERROR(__xludf.DUMMYFUNCTION("""COMPUTED_VALUE"""),64.23)</f>
        <v>64.23</v>
      </c>
      <c r="C3238" s="1">
        <f>IFERROR(__xludf.DUMMYFUNCTION("""COMPUTED_VALUE"""),65.01)</f>
        <v>65.01</v>
      </c>
      <c r="D3238" s="1">
        <f>IFERROR(__xludf.DUMMYFUNCTION("""COMPUTED_VALUE"""),62.66)</f>
        <v>62.66</v>
      </c>
      <c r="E3238" s="1">
        <f>IFERROR(__xludf.DUMMYFUNCTION("""COMPUTED_VALUE"""),64.66)</f>
        <v>64.66</v>
      </c>
      <c r="F3238" s="1">
        <f>IFERROR(__xludf.DUMMYFUNCTION("""COMPUTED_VALUE"""),3075214.0)</f>
        <v>3075214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IFERROR(__xludf.DUMMYFUNCTION("""COMPUTED_VALUE"""),67.5)</f>
        <v>67.5</v>
      </c>
      <c r="C3239" s="1">
        <f>IFERROR(__xludf.DUMMYFUNCTION("""COMPUTED_VALUE"""),71.73)</f>
        <v>71.73</v>
      </c>
      <c r="D3239" s="1">
        <f>IFERROR(__xludf.DUMMYFUNCTION("""COMPUTED_VALUE"""),67.04)</f>
        <v>67.04</v>
      </c>
      <c r="E3239" s="1">
        <f>IFERROR(__xludf.DUMMYFUNCTION("""COMPUTED_VALUE"""),70.65)</f>
        <v>70.65</v>
      </c>
      <c r="F3239" s="1">
        <f>IFERROR(__xludf.DUMMYFUNCTION("""COMPUTED_VALUE"""),2868007.0)</f>
        <v>2868007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IFERROR(__xludf.DUMMYFUNCTION("""COMPUTED_VALUE"""),70.59)</f>
        <v>70.59</v>
      </c>
      <c r="C3240" s="1">
        <f>IFERROR(__xludf.DUMMYFUNCTION("""COMPUTED_VALUE"""),75.93)</f>
        <v>75.93</v>
      </c>
      <c r="D3240" s="1">
        <f>IFERROR(__xludf.DUMMYFUNCTION("""COMPUTED_VALUE"""),70.36)</f>
        <v>70.36</v>
      </c>
      <c r="E3240" s="1">
        <f>IFERROR(__xludf.DUMMYFUNCTION("""COMPUTED_VALUE"""),74.58)</f>
        <v>74.58</v>
      </c>
      <c r="F3240" s="1">
        <f>IFERROR(__xludf.DUMMYFUNCTION("""COMPUTED_VALUE"""),2294730.0)</f>
        <v>2294730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IFERROR(__xludf.DUMMYFUNCTION("""COMPUTED_VALUE"""),74.28)</f>
        <v>74.28</v>
      </c>
      <c r="C3241" s="1">
        <f>IFERROR(__xludf.DUMMYFUNCTION("""COMPUTED_VALUE"""),75.05)</f>
        <v>75.05</v>
      </c>
      <c r="D3241" s="1">
        <f>IFERROR(__xludf.DUMMYFUNCTION("""COMPUTED_VALUE"""),71.81)</f>
        <v>71.81</v>
      </c>
      <c r="E3241" s="1">
        <f>IFERROR(__xludf.DUMMYFUNCTION("""COMPUTED_VALUE"""),73.97)</f>
        <v>73.97</v>
      </c>
      <c r="F3241" s="1">
        <f>IFERROR(__xludf.DUMMYFUNCTION("""COMPUTED_VALUE"""),2608774.0)</f>
        <v>2608774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IFERROR(__xludf.DUMMYFUNCTION("""COMPUTED_VALUE"""),76.19)</f>
        <v>76.19</v>
      </c>
      <c r="C3242" s="1">
        <f>IFERROR(__xludf.DUMMYFUNCTION("""COMPUTED_VALUE"""),76.64)</f>
        <v>76.64</v>
      </c>
      <c r="D3242" s="1">
        <f>IFERROR(__xludf.DUMMYFUNCTION("""COMPUTED_VALUE"""),72.0)</f>
        <v>72</v>
      </c>
      <c r="E3242" s="1">
        <f>IFERROR(__xludf.DUMMYFUNCTION("""COMPUTED_VALUE"""),72.66)</f>
        <v>72.66</v>
      </c>
      <c r="F3242" s="1">
        <f>IFERROR(__xludf.DUMMYFUNCTION("""COMPUTED_VALUE"""),1977686.0)</f>
        <v>1977686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IFERROR(__xludf.DUMMYFUNCTION("""COMPUTED_VALUE"""),70.3)</f>
        <v>70.3</v>
      </c>
      <c r="C3243" s="1">
        <f>IFERROR(__xludf.DUMMYFUNCTION("""COMPUTED_VALUE"""),70.31)</f>
        <v>70.31</v>
      </c>
      <c r="D3243" s="1">
        <f>IFERROR(__xludf.DUMMYFUNCTION("""COMPUTED_VALUE"""),67.64)</f>
        <v>67.64</v>
      </c>
      <c r="E3243" s="1">
        <f>IFERROR(__xludf.DUMMYFUNCTION("""COMPUTED_VALUE"""),68.35)</f>
        <v>68.35</v>
      </c>
      <c r="F3243" s="1">
        <f>IFERROR(__xludf.DUMMYFUNCTION("""COMPUTED_VALUE"""),2775819.0)</f>
        <v>2775819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IFERROR(__xludf.DUMMYFUNCTION("""COMPUTED_VALUE"""),67.23)</f>
        <v>67.23</v>
      </c>
      <c r="C3244" s="1">
        <f>IFERROR(__xludf.DUMMYFUNCTION("""COMPUTED_VALUE"""),67.25)</f>
        <v>67.25</v>
      </c>
      <c r="D3244" s="1">
        <f>IFERROR(__xludf.DUMMYFUNCTION("""COMPUTED_VALUE"""),64.63)</f>
        <v>64.63</v>
      </c>
      <c r="E3244" s="1">
        <f>IFERROR(__xludf.DUMMYFUNCTION("""COMPUTED_VALUE"""),67.23)</f>
        <v>67.23</v>
      </c>
      <c r="F3244" s="1">
        <f>IFERROR(__xludf.DUMMYFUNCTION("""COMPUTED_VALUE"""),2056408.0)</f>
        <v>2056408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IFERROR(__xludf.DUMMYFUNCTION("""COMPUTED_VALUE"""),67.82)</f>
        <v>67.82</v>
      </c>
      <c r="C3245" s="1">
        <f>IFERROR(__xludf.DUMMYFUNCTION("""COMPUTED_VALUE"""),67.95)</f>
        <v>67.95</v>
      </c>
      <c r="D3245" s="1">
        <f>IFERROR(__xludf.DUMMYFUNCTION("""COMPUTED_VALUE"""),65.4)</f>
        <v>65.4</v>
      </c>
      <c r="E3245" s="1">
        <f>IFERROR(__xludf.DUMMYFUNCTION("""COMPUTED_VALUE"""),66.56)</f>
        <v>66.56</v>
      </c>
      <c r="F3245" s="1">
        <f>IFERROR(__xludf.DUMMYFUNCTION("""COMPUTED_VALUE"""),1758894.0)</f>
        <v>1758894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IFERROR(__xludf.DUMMYFUNCTION("""COMPUTED_VALUE"""),66.62)</f>
        <v>66.62</v>
      </c>
      <c r="C3246" s="1">
        <f>IFERROR(__xludf.DUMMYFUNCTION("""COMPUTED_VALUE"""),67.15)</f>
        <v>67.15</v>
      </c>
      <c r="D3246" s="1">
        <f>IFERROR(__xludf.DUMMYFUNCTION("""COMPUTED_VALUE"""),65.5)</f>
        <v>65.5</v>
      </c>
      <c r="E3246" s="1">
        <f>IFERROR(__xludf.DUMMYFUNCTION("""COMPUTED_VALUE"""),66.21)</f>
        <v>66.21</v>
      </c>
      <c r="F3246" s="1">
        <f>IFERROR(__xludf.DUMMYFUNCTION("""COMPUTED_VALUE"""),1189647.0)</f>
        <v>1189647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IFERROR(__xludf.DUMMYFUNCTION("""COMPUTED_VALUE"""),66.49)</f>
        <v>66.49</v>
      </c>
      <c r="C3247" s="1">
        <f>IFERROR(__xludf.DUMMYFUNCTION("""COMPUTED_VALUE"""),67.34)</f>
        <v>67.34</v>
      </c>
      <c r="D3247" s="1">
        <f>IFERROR(__xludf.DUMMYFUNCTION("""COMPUTED_VALUE"""),65.81)</f>
        <v>65.81</v>
      </c>
      <c r="E3247" s="1">
        <f>IFERROR(__xludf.DUMMYFUNCTION("""COMPUTED_VALUE"""),67.14)</f>
        <v>67.14</v>
      </c>
      <c r="F3247" s="1">
        <f>IFERROR(__xludf.DUMMYFUNCTION("""COMPUTED_VALUE"""),1430671.0)</f>
        <v>1430671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IFERROR(__xludf.DUMMYFUNCTION("""COMPUTED_VALUE"""),67.18)</f>
        <v>67.18</v>
      </c>
      <c r="C3248" s="1">
        <f>IFERROR(__xludf.DUMMYFUNCTION("""COMPUTED_VALUE"""),67.18)</f>
        <v>67.18</v>
      </c>
      <c r="D3248" s="1">
        <f>IFERROR(__xludf.DUMMYFUNCTION("""COMPUTED_VALUE"""),65.94)</f>
        <v>65.94</v>
      </c>
      <c r="E3248" s="1">
        <f>IFERROR(__xludf.DUMMYFUNCTION("""COMPUTED_VALUE"""),66.59)</f>
        <v>66.59</v>
      </c>
      <c r="F3248" s="1">
        <f>IFERROR(__xludf.DUMMYFUNCTION("""COMPUTED_VALUE"""),735113.0)</f>
        <v>735113</v>
      </c>
    </row>
    <row r="3249">
      <c r="A3249" s="2">
        <f>IFERROR(__xludf.DUMMYFUNCTION("""COMPUTED_VALUE"""),44890.54166666667)</f>
        <v>44890.54167</v>
      </c>
      <c r="B3249" s="1">
        <f>IFERROR(__xludf.DUMMYFUNCTION("""COMPUTED_VALUE"""),66.14)</f>
        <v>66.14</v>
      </c>
      <c r="C3249" s="1">
        <f>IFERROR(__xludf.DUMMYFUNCTION("""COMPUTED_VALUE"""),67.88)</f>
        <v>67.88</v>
      </c>
      <c r="D3249" s="1">
        <f>IFERROR(__xludf.DUMMYFUNCTION("""COMPUTED_VALUE"""),66.14)</f>
        <v>66.14</v>
      </c>
      <c r="E3249" s="1">
        <f>IFERROR(__xludf.DUMMYFUNCTION("""COMPUTED_VALUE"""),66.76)</f>
        <v>66.76</v>
      </c>
      <c r="F3249" s="1">
        <f>IFERROR(__xludf.DUMMYFUNCTION("""COMPUTED_VALUE"""),567973.0)</f>
        <v>567973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IFERROR(__xludf.DUMMYFUNCTION("""COMPUTED_VALUE"""),66.0)</f>
        <v>66</v>
      </c>
      <c r="C3250" s="1">
        <f>IFERROR(__xludf.DUMMYFUNCTION("""COMPUTED_VALUE"""),66.66)</f>
        <v>66.66</v>
      </c>
      <c r="D3250" s="1">
        <f>IFERROR(__xludf.DUMMYFUNCTION("""COMPUTED_VALUE"""),65.33)</f>
        <v>65.33</v>
      </c>
      <c r="E3250" s="1">
        <f>IFERROR(__xludf.DUMMYFUNCTION("""COMPUTED_VALUE"""),65.56)</f>
        <v>65.56</v>
      </c>
      <c r="F3250" s="1">
        <f>IFERROR(__xludf.DUMMYFUNCTION("""COMPUTED_VALUE"""),1633917.0)</f>
        <v>1633917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IFERROR(__xludf.DUMMYFUNCTION("""COMPUTED_VALUE"""),65.94)</f>
        <v>65.94</v>
      </c>
      <c r="C3251" s="1">
        <f>IFERROR(__xludf.DUMMYFUNCTION("""COMPUTED_VALUE"""),68.79)</f>
        <v>68.79</v>
      </c>
      <c r="D3251" s="1">
        <f>IFERROR(__xludf.DUMMYFUNCTION("""COMPUTED_VALUE"""),65.94)</f>
        <v>65.94</v>
      </c>
      <c r="E3251" s="1">
        <f>IFERROR(__xludf.DUMMYFUNCTION("""COMPUTED_VALUE"""),67.12)</f>
        <v>67.12</v>
      </c>
      <c r="F3251" s="1">
        <f>IFERROR(__xludf.DUMMYFUNCTION("""COMPUTED_VALUE"""),1724653.0)</f>
        <v>1724653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IFERROR(__xludf.DUMMYFUNCTION("""COMPUTED_VALUE"""),66.65)</f>
        <v>66.65</v>
      </c>
      <c r="C3252" s="1">
        <f>IFERROR(__xludf.DUMMYFUNCTION("""COMPUTED_VALUE"""),69.39)</f>
        <v>69.39</v>
      </c>
      <c r="D3252" s="1">
        <f>IFERROR(__xludf.DUMMYFUNCTION("""COMPUTED_VALUE"""),65.49)</f>
        <v>65.49</v>
      </c>
      <c r="E3252" s="1">
        <f>IFERROR(__xludf.DUMMYFUNCTION("""COMPUTED_VALUE"""),69.36)</f>
        <v>69.36</v>
      </c>
      <c r="F3252" s="1">
        <f>IFERROR(__xludf.DUMMYFUNCTION("""COMPUTED_VALUE"""),1840600.0)</f>
        <v>1840600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IFERROR(__xludf.DUMMYFUNCTION("""COMPUTED_VALUE"""),69.82)</f>
        <v>69.82</v>
      </c>
      <c r="C3253" s="1">
        <f>IFERROR(__xludf.DUMMYFUNCTION("""COMPUTED_VALUE"""),70.71)</f>
        <v>70.71</v>
      </c>
      <c r="D3253" s="1">
        <f>IFERROR(__xludf.DUMMYFUNCTION("""COMPUTED_VALUE"""),68.43)</f>
        <v>68.43</v>
      </c>
      <c r="E3253" s="1">
        <f>IFERROR(__xludf.DUMMYFUNCTION("""COMPUTED_VALUE"""),69.1)</f>
        <v>69.1</v>
      </c>
      <c r="F3253" s="1">
        <f>IFERROR(__xludf.DUMMYFUNCTION("""COMPUTED_VALUE"""),1262756.0)</f>
        <v>1262756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IFERROR(__xludf.DUMMYFUNCTION("""COMPUTED_VALUE"""),68.09)</f>
        <v>68.09</v>
      </c>
      <c r="C3254" s="1">
        <f>IFERROR(__xludf.DUMMYFUNCTION("""COMPUTED_VALUE"""),69.76)</f>
        <v>69.76</v>
      </c>
      <c r="D3254" s="1">
        <f>IFERROR(__xludf.DUMMYFUNCTION("""COMPUTED_VALUE"""),67.15)</f>
        <v>67.15</v>
      </c>
      <c r="E3254" s="1">
        <f>IFERROR(__xludf.DUMMYFUNCTION("""COMPUTED_VALUE"""),69.59)</f>
        <v>69.59</v>
      </c>
      <c r="F3254" s="1">
        <f>IFERROR(__xludf.DUMMYFUNCTION("""COMPUTED_VALUE"""),1307467.0)</f>
        <v>1307467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IFERROR(__xludf.DUMMYFUNCTION("""COMPUTED_VALUE"""),68.83)</f>
        <v>68.83</v>
      </c>
      <c r="C3255" s="1">
        <f>IFERROR(__xludf.DUMMYFUNCTION("""COMPUTED_VALUE"""),69.72)</f>
        <v>69.72</v>
      </c>
      <c r="D3255" s="1">
        <f>IFERROR(__xludf.DUMMYFUNCTION("""COMPUTED_VALUE"""),66.87)</f>
        <v>66.87</v>
      </c>
      <c r="E3255" s="1">
        <f>IFERROR(__xludf.DUMMYFUNCTION("""COMPUTED_VALUE"""),67.39)</f>
        <v>67.39</v>
      </c>
      <c r="F3255" s="1">
        <f>IFERROR(__xludf.DUMMYFUNCTION("""COMPUTED_VALUE"""),1425126.0)</f>
        <v>1425126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IFERROR(__xludf.DUMMYFUNCTION("""COMPUTED_VALUE"""),67.33)</f>
        <v>67.33</v>
      </c>
      <c r="C3256" s="1">
        <f>IFERROR(__xludf.DUMMYFUNCTION("""COMPUTED_VALUE"""),67.41)</f>
        <v>67.41</v>
      </c>
      <c r="D3256" s="1">
        <f>IFERROR(__xludf.DUMMYFUNCTION("""COMPUTED_VALUE"""),64.11)</f>
        <v>64.11</v>
      </c>
      <c r="E3256" s="1">
        <f>IFERROR(__xludf.DUMMYFUNCTION("""COMPUTED_VALUE"""),65.59)</f>
        <v>65.59</v>
      </c>
      <c r="F3256" s="1">
        <f>IFERROR(__xludf.DUMMYFUNCTION("""COMPUTED_VALUE"""),1782922.0)</f>
        <v>1782922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IFERROR(__xludf.DUMMYFUNCTION("""COMPUTED_VALUE"""),65.16)</f>
        <v>65.16</v>
      </c>
      <c r="C3257" s="1">
        <f>IFERROR(__xludf.DUMMYFUNCTION("""COMPUTED_VALUE"""),66.32)</f>
        <v>66.32</v>
      </c>
      <c r="D3257" s="1">
        <f>IFERROR(__xludf.DUMMYFUNCTION("""COMPUTED_VALUE"""),63.99)</f>
        <v>63.99</v>
      </c>
      <c r="E3257" s="1">
        <f>IFERROR(__xludf.DUMMYFUNCTION("""COMPUTED_VALUE"""),65.1)</f>
        <v>65.1</v>
      </c>
      <c r="F3257" s="1">
        <f>IFERROR(__xludf.DUMMYFUNCTION("""COMPUTED_VALUE"""),1572945.0)</f>
        <v>1572945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IFERROR(__xludf.DUMMYFUNCTION("""COMPUTED_VALUE"""),65.34)</f>
        <v>65.34</v>
      </c>
      <c r="C3258" s="1">
        <f>IFERROR(__xludf.DUMMYFUNCTION("""COMPUTED_VALUE"""),65.85)</f>
        <v>65.85</v>
      </c>
      <c r="D3258" s="1">
        <f>IFERROR(__xludf.DUMMYFUNCTION("""COMPUTED_VALUE"""),63.96)</f>
        <v>63.96</v>
      </c>
      <c r="E3258" s="1">
        <f>IFERROR(__xludf.DUMMYFUNCTION("""COMPUTED_VALUE"""),65.48)</f>
        <v>65.48</v>
      </c>
      <c r="F3258" s="1">
        <f>IFERROR(__xludf.DUMMYFUNCTION("""COMPUTED_VALUE"""),1268685.0)</f>
        <v>1268685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IFERROR(__xludf.DUMMYFUNCTION("""COMPUTED_VALUE"""),64.75)</f>
        <v>64.75</v>
      </c>
      <c r="C3259" s="1">
        <f>IFERROR(__xludf.DUMMYFUNCTION("""COMPUTED_VALUE"""),66.86)</f>
        <v>66.86</v>
      </c>
      <c r="D3259" s="1">
        <f>IFERROR(__xludf.DUMMYFUNCTION("""COMPUTED_VALUE"""),64.45)</f>
        <v>64.45</v>
      </c>
      <c r="E3259" s="1">
        <f>IFERROR(__xludf.DUMMYFUNCTION("""COMPUTED_VALUE"""),65.7)</f>
        <v>65.7</v>
      </c>
      <c r="F3259" s="1">
        <f>IFERROR(__xludf.DUMMYFUNCTION("""COMPUTED_VALUE"""),1200348.0)</f>
        <v>1200348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IFERROR(__xludf.DUMMYFUNCTION("""COMPUTED_VALUE"""),65.67)</f>
        <v>65.67</v>
      </c>
      <c r="C3260" s="1">
        <f>IFERROR(__xludf.DUMMYFUNCTION("""COMPUTED_VALUE"""),66.14)</f>
        <v>66.14</v>
      </c>
      <c r="D3260" s="1">
        <f>IFERROR(__xludf.DUMMYFUNCTION("""COMPUTED_VALUE"""),65.0)</f>
        <v>65</v>
      </c>
      <c r="E3260" s="1">
        <f>IFERROR(__xludf.DUMMYFUNCTION("""COMPUTED_VALUE"""),65.86)</f>
        <v>65.86</v>
      </c>
      <c r="F3260" s="1">
        <f>IFERROR(__xludf.DUMMYFUNCTION("""COMPUTED_VALUE"""),1649239.0)</f>
        <v>1649239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IFERROR(__xludf.DUMMYFUNCTION("""COMPUTED_VALUE"""),68.26)</f>
        <v>68.26</v>
      </c>
      <c r="C3261" s="1">
        <f>IFERROR(__xludf.DUMMYFUNCTION("""COMPUTED_VALUE"""),69.32)</f>
        <v>69.32</v>
      </c>
      <c r="D3261" s="1">
        <f>IFERROR(__xludf.DUMMYFUNCTION("""COMPUTED_VALUE"""),65.67)</f>
        <v>65.67</v>
      </c>
      <c r="E3261" s="1">
        <f>IFERROR(__xludf.DUMMYFUNCTION("""COMPUTED_VALUE"""),67.18)</f>
        <v>67.18</v>
      </c>
      <c r="F3261" s="1">
        <f>IFERROR(__xludf.DUMMYFUNCTION("""COMPUTED_VALUE"""),2178173.0)</f>
        <v>2178173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IFERROR(__xludf.DUMMYFUNCTION("""COMPUTED_VALUE"""),66.67)</f>
        <v>66.67</v>
      </c>
      <c r="C3262" s="1">
        <f>IFERROR(__xludf.DUMMYFUNCTION("""COMPUTED_VALUE"""),68.08)</f>
        <v>68.08</v>
      </c>
      <c r="D3262" s="1">
        <f>IFERROR(__xludf.DUMMYFUNCTION("""COMPUTED_VALUE"""),65.26)</f>
        <v>65.26</v>
      </c>
      <c r="E3262" s="1">
        <f>IFERROR(__xludf.DUMMYFUNCTION("""COMPUTED_VALUE"""),67.71)</f>
        <v>67.71</v>
      </c>
      <c r="F3262" s="1">
        <f>IFERROR(__xludf.DUMMYFUNCTION("""COMPUTED_VALUE"""),2733114.0)</f>
        <v>2733114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IFERROR(__xludf.DUMMYFUNCTION("""COMPUTED_VALUE"""),66.72)</f>
        <v>66.72</v>
      </c>
      <c r="C3263" s="1">
        <f>IFERROR(__xludf.DUMMYFUNCTION("""COMPUTED_VALUE"""),66.84)</f>
        <v>66.84</v>
      </c>
      <c r="D3263" s="1">
        <f>IFERROR(__xludf.DUMMYFUNCTION("""COMPUTED_VALUE"""),64.43)</f>
        <v>64.43</v>
      </c>
      <c r="E3263" s="1">
        <f>IFERROR(__xludf.DUMMYFUNCTION("""COMPUTED_VALUE"""),65.39)</f>
        <v>65.39</v>
      </c>
      <c r="F3263" s="1">
        <f>IFERROR(__xludf.DUMMYFUNCTION("""COMPUTED_VALUE"""),2611647.0)</f>
        <v>2611647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IFERROR(__xludf.DUMMYFUNCTION("""COMPUTED_VALUE"""),64.3)</f>
        <v>64.3</v>
      </c>
      <c r="C3264" s="1">
        <f>IFERROR(__xludf.DUMMYFUNCTION("""COMPUTED_VALUE"""),64.84)</f>
        <v>64.84</v>
      </c>
      <c r="D3264" s="1">
        <f>IFERROR(__xludf.DUMMYFUNCTION("""COMPUTED_VALUE"""),60.65)</f>
        <v>60.65</v>
      </c>
      <c r="E3264" s="1">
        <f>IFERROR(__xludf.DUMMYFUNCTION("""COMPUTED_VALUE"""),61.44)</f>
        <v>61.44</v>
      </c>
      <c r="F3264" s="1">
        <f>IFERROR(__xludf.DUMMYFUNCTION("""COMPUTED_VALUE"""),7556474.0)</f>
        <v>7556474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IFERROR(__xludf.DUMMYFUNCTION("""COMPUTED_VALUE"""),61.0)</f>
        <v>61</v>
      </c>
      <c r="C3265" s="1">
        <f>IFERROR(__xludf.DUMMYFUNCTION("""COMPUTED_VALUE"""),61.9)</f>
        <v>61.9</v>
      </c>
      <c r="D3265" s="1">
        <f>IFERROR(__xludf.DUMMYFUNCTION("""COMPUTED_VALUE"""),57.63)</f>
        <v>57.63</v>
      </c>
      <c r="E3265" s="1">
        <f>IFERROR(__xludf.DUMMYFUNCTION("""COMPUTED_VALUE"""),58.09)</f>
        <v>58.09</v>
      </c>
      <c r="F3265" s="1">
        <f>IFERROR(__xludf.DUMMYFUNCTION("""COMPUTED_VALUE"""),4305678.0)</f>
        <v>4305678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IFERROR(__xludf.DUMMYFUNCTION("""COMPUTED_VALUE"""),57.32)</f>
        <v>57.32</v>
      </c>
      <c r="C3266" s="1">
        <f>IFERROR(__xludf.DUMMYFUNCTION("""COMPUTED_VALUE"""),58.58)</f>
        <v>58.58</v>
      </c>
      <c r="D3266" s="1">
        <f>IFERROR(__xludf.DUMMYFUNCTION("""COMPUTED_VALUE"""),56.27)</f>
        <v>56.27</v>
      </c>
      <c r="E3266" s="1">
        <f>IFERROR(__xludf.DUMMYFUNCTION("""COMPUTED_VALUE"""),57.76)</f>
        <v>57.76</v>
      </c>
      <c r="F3266" s="1">
        <f>IFERROR(__xludf.DUMMYFUNCTION("""COMPUTED_VALUE"""),4290931.0)</f>
        <v>4290931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IFERROR(__xludf.DUMMYFUNCTION("""COMPUTED_VALUE"""),58.54)</f>
        <v>58.54</v>
      </c>
      <c r="C3267" s="1">
        <f>IFERROR(__xludf.DUMMYFUNCTION("""COMPUTED_VALUE"""),60.02)</f>
        <v>60.02</v>
      </c>
      <c r="D3267" s="1">
        <f>IFERROR(__xludf.DUMMYFUNCTION("""COMPUTED_VALUE"""),57.58)</f>
        <v>57.58</v>
      </c>
      <c r="E3267" s="1">
        <f>IFERROR(__xludf.DUMMYFUNCTION("""COMPUTED_VALUE"""),59.37)</f>
        <v>59.37</v>
      </c>
      <c r="F3267" s="1">
        <f>IFERROR(__xludf.DUMMYFUNCTION("""COMPUTED_VALUE"""),4610724.0)</f>
        <v>4610724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IFERROR(__xludf.DUMMYFUNCTION("""COMPUTED_VALUE"""),52.1)</f>
        <v>52.1</v>
      </c>
      <c r="C3268" s="1">
        <f>IFERROR(__xludf.DUMMYFUNCTION("""COMPUTED_VALUE"""),57.28)</f>
        <v>57.28</v>
      </c>
      <c r="D3268" s="1">
        <f>IFERROR(__xludf.DUMMYFUNCTION("""COMPUTED_VALUE"""),52.1)</f>
        <v>52.1</v>
      </c>
      <c r="E3268" s="1">
        <f>IFERROR(__xludf.DUMMYFUNCTION("""COMPUTED_VALUE"""),57.2)</f>
        <v>57.2</v>
      </c>
      <c r="F3268" s="1">
        <f>IFERROR(__xludf.DUMMYFUNCTION("""COMPUTED_VALUE"""),1.6492863E7)</f>
        <v>16492863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IFERROR(__xludf.DUMMYFUNCTION("""COMPUTED_VALUE"""),56.57)</f>
        <v>56.57</v>
      </c>
      <c r="C3269" s="1">
        <f>IFERROR(__xludf.DUMMYFUNCTION("""COMPUTED_VALUE"""),60.63)</f>
        <v>60.63</v>
      </c>
      <c r="D3269" s="1">
        <f>IFERROR(__xludf.DUMMYFUNCTION("""COMPUTED_VALUE"""),56.26)</f>
        <v>56.26</v>
      </c>
      <c r="E3269" s="1">
        <f>IFERROR(__xludf.DUMMYFUNCTION("""COMPUTED_VALUE"""),60.16)</f>
        <v>60.16</v>
      </c>
      <c r="F3269" s="1">
        <f>IFERROR(__xludf.DUMMYFUNCTION("""COMPUTED_VALUE"""),6668059.0)</f>
        <v>6668059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IFERROR(__xludf.DUMMYFUNCTION("""COMPUTED_VALUE"""),59.81)</f>
        <v>59.81</v>
      </c>
      <c r="C3270" s="1">
        <f>IFERROR(__xludf.DUMMYFUNCTION("""COMPUTED_VALUE"""),61.11)</f>
        <v>61.11</v>
      </c>
      <c r="D3270" s="1">
        <f>IFERROR(__xludf.DUMMYFUNCTION("""COMPUTED_VALUE"""),58.22)</f>
        <v>58.22</v>
      </c>
      <c r="E3270" s="1">
        <f>IFERROR(__xludf.DUMMYFUNCTION("""COMPUTED_VALUE"""),60.42)</f>
        <v>60.42</v>
      </c>
      <c r="F3270" s="1">
        <f>IFERROR(__xludf.DUMMYFUNCTION("""COMPUTED_VALUE"""),4434542.0)</f>
        <v>4434542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IFERROR(__xludf.DUMMYFUNCTION("""COMPUTED_VALUE"""),60.43)</f>
        <v>60.43</v>
      </c>
      <c r="C3271" s="1">
        <f>IFERROR(__xludf.DUMMYFUNCTION("""COMPUTED_VALUE"""),61.03)</f>
        <v>61.03</v>
      </c>
      <c r="D3271" s="1">
        <f>IFERROR(__xludf.DUMMYFUNCTION("""COMPUTED_VALUE"""),58.77)</f>
        <v>58.77</v>
      </c>
      <c r="E3271" s="1">
        <f>IFERROR(__xludf.DUMMYFUNCTION("""COMPUTED_VALUE"""),59.24)</f>
        <v>59.24</v>
      </c>
      <c r="F3271" s="1">
        <f>IFERROR(__xludf.DUMMYFUNCTION("""COMPUTED_VALUE"""),3137343.0)</f>
        <v>3137343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IFERROR(__xludf.DUMMYFUNCTION("""COMPUTED_VALUE"""),59.89)</f>
        <v>59.89</v>
      </c>
      <c r="C3272" s="1">
        <f>IFERROR(__xludf.DUMMYFUNCTION("""COMPUTED_VALUE"""),61.92)</f>
        <v>61.92</v>
      </c>
      <c r="D3272" s="1">
        <f>IFERROR(__xludf.DUMMYFUNCTION("""COMPUTED_VALUE"""),59.52)</f>
        <v>59.52</v>
      </c>
      <c r="E3272" s="1">
        <f>IFERROR(__xludf.DUMMYFUNCTION("""COMPUTED_VALUE"""),61.26)</f>
        <v>61.26</v>
      </c>
      <c r="F3272" s="1">
        <f>IFERROR(__xludf.DUMMYFUNCTION("""COMPUTED_VALUE"""),2410825.0)</f>
        <v>2410825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IFERROR(__xludf.DUMMYFUNCTION("""COMPUTED_VALUE"""),60.4)</f>
        <v>60.4</v>
      </c>
      <c r="C3273" s="1">
        <f>IFERROR(__xludf.DUMMYFUNCTION("""COMPUTED_VALUE"""),61.17)</f>
        <v>61.17</v>
      </c>
      <c r="D3273" s="1">
        <f>IFERROR(__xludf.DUMMYFUNCTION("""COMPUTED_VALUE"""),59.61)</f>
        <v>59.61</v>
      </c>
      <c r="E3273" s="1">
        <f>IFERROR(__xludf.DUMMYFUNCTION("""COMPUTED_VALUE"""),60.89)</f>
        <v>60.89</v>
      </c>
      <c r="F3273" s="1">
        <f>IFERROR(__xludf.DUMMYFUNCTION("""COMPUTED_VALUE"""),2141010.0)</f>
        <v>2141010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IFERROR(__xludf.DUMMYFUNCTION("""COMPUTED_VALUE"""),61.7)</f>
        <v>61.7</v>
      </c>
      <c r="C3274" s="1">
        <f>IFERROR(__xludf.DUMMYFUNCTION("""COMPUTED_VALUE"""),63.25)</f>
        <v>63.25</v>
      </c>
      <c r="D3274" s="1">
        <f>IFERROR(__xludf.DUMMYFUNCTION("""COMPUTED_VALUE"""),59.66)</f>
        <v>59.66</v>
      </c>
      <c r="E3274" s="1">
        <f>IFERROR(__xludf.DUMMYFUNCTION("""COMPUTED_VALUE"""),60.64)</f>
        <v>60.64</v>
      </c>
      <c r="F3274" s="1">
        <f>IFERROR(__xludf.DUMMYFUNCTION("""COMPUTED_VALUE"""),2448480.0)</f>
        <v>2448480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IFERROR(__xludf.DUMMYFUNCTION("""COMPUTED_VALUE"""),62.0)</f>
        <v>62</v>
      </c>
      <c r="C3275" s="1">
        <f>IFERROR(__xludf.DUMMYFUNCTION("""COMPUTED_VALUE"""),65.14)</f>
        <v>65.14</v>
      </c>
      <c r="D3275" s="1">
        <f>IFERROR(__xludf.DUMMYFUNCTION("""COMPUTED_VALUE"""),61.71)</f>
        <v>61.71</v>
      </c>
      <c r="E3275" s="1">
        <f>IFERROR(__xludf.DUMMYFUNCTION("""COMPUTED_VALUE"""),65.12)</f>
        <v>65.12</v>
      </c>
      <c r="F3275" s="1">
        <f>IFERROR(__xludf.DUMMYFUNCTION("""COMPUTED_VALUE"""),3238181.0)</f>
        <v>3238181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IFERROR(__xludf.DUMMYFUNCTION("""COMPUTED_VALUE"""),63.8)</f>
        <v>63.8</v>
      </c>
      <c r="C3276" s="1">
        <f>IFERROR(__xludf.DUMMYFUNCTION("""COMPUTED_VALUE"""),64.1)</f>
        <v>64.1</v>
      </c>
      <c r="D3276" s="1">
        <f>IFERROR(__xludf.DUMMYFUNCTION("""COMPUTED_VALUE"""),62.81)</f>
        <v>62.81</v>
      </c>
      <c r="E3276" s="1">
        <f>IFERROR(__xludf.DUMMYFUNCTION("""COMPUTED_VALUE"""),63.34)</f>
        <v>63.34</v>
      </c>
      <c r="F3276" s="1">
        <f>IFERROR(__xludf.DUMMYFUNCTION("""COMPUTED_VALUE"""),2967512.0)</f>
        <v>2967512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IFERROR(__xludf.DUMMYFUNCTION("""COMPUTED_VALUE"""),63.67)</f>
        <v>63.67</v>
      </c>
      <c r="C3277" s="1">
        <f>IFERROR(__xludf.DUMMYFUNCTION("""COMPUTED_VALUE"""),65.82)</f>
        <v>65.82</v>
      </c>
      <c r="D3277" s="1">
        <f>IFERROR(__xludf.DUMMYFUNCTION("""COMPUTED_VALUE"""),62.59)</f>
        <v>62.59</v>
      </c>
      <c r="E3277" s="1">
        <f>IFERROR(__xludf.DUMMYFUNCTION("""COMPUTED_VALUE"""),65.78)</f>
        <v>65.78</v>
      </c>
      <c r="F3277" s="1">
        <f>IFERROR(__xludf.DUMMYFUNCTION("""COMPUTED_VALUE"""),2428274.0)</f>
        <v>2428274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IFERROR(__xludf.DUMMYFUNCTION("""COMPUTED_VALUE"""),66.22)</f>
        <v>66.22</v>
      </c>
      <c r="C3278" s="1">
        <f>IFERROR(__xludf.DUMMYFUNCTION("""COMPUTED_VALUE"""),68.07)</f>
        <v>68.07</v>
      </c>
      <c r="D3278" s="1">
        <f>IFERROR(__xludf.DUMMYFUNCTION("""COMPUTED_VALUE"""),66.01)</f>
        <v>66.01</v>
      </c>
      <c r="E3278" s="1">
        <f>IFERROR(__xludf.DUMMYFUNCTION("""COMPUTED_VALUE"""),67.07)</f>
        <v>67.07</v>
      </c>
      <c r="F3278" s="1">
        <f>IFERROR(__xludf.DUMMYFUNCTION("""COMPUTED_VALUE"""),2666555.0)</f>
        <v>2666555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IFERROR(__xludf.DUMMYFUNCTION("""COMPUTED_VALUE"""),67.18)</f>
        <v>67.18</v>
      </c>
      <c r="C3279" s="1">
        <f>IFERROR(__xludf.DUMMYFUNCTION("""COMPUTED_VALUE"""),67.95)</f>
        <v>67.95</v>
      </c>
      <c r="D3279" s="1">
        <f>IFERROR(__xludf.DUMMYFUNCTION("""COMPUTED_VALUE"""),66.22)</f>
        <v>66.22</v>
      </c>
      <c r="E3279" s="1">
        <f>IFERROR(__xludf.DUMMYFUNCTION("""COMPUTED_VALUE"""),67.39)</f>
        <v>67.39</v>
      </c>
      <c r="F3279" s="1">
        <f>IFERROR(__xludf.DUMMYFUNCTION("""COMPUTED_VALUE"""),1974570.0)</f>
        <v>1974570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IFERROR(__xludf.DUMMYFUNCTION("""COMPUTED_VALUE"""),66.0)</f>
        <v>66</v>
      </c>
      <c r="C3280" s="1">
        <f>IFERROR(__xludf.DUMMYFUNCTION("""COMPUTED_VALUE"""),68.67)</f>
        <v>68.67</v>
      </c>
      <c r="D3280" s="1">
        <f>IFERROR(__xludf.DUMMYFUNCTION("""COMPUTED_VALUE"""),66.0)</f>
        <v>66</v>
      </c>
      <c r="E3280" s="1">
        <f>IFERROR(__xludf.DUMMYFUNCTION("""COMPUTED_VALUE"""),67.43)</f>
        <v>67.43</v>
      </c>
      <c r="F3280" s="1">
        <f>IFERROR(__xludf.DUMMYFUNCTION("""COMPUTED_VALUE"""),3430515.0)</f>
        <v>3430515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IFERROR(__xludf.DUMMYFUNCTION("""COMPUTED_VALUE"""),68.06)</f>
        <v>68.06</v>
      </c>
      <c r="C3281" s="1">
        <f>IFERROR(__xludf.DUMMYFUNCTION("""COMPUTED_VALUE"""),68.27)</f>
        <v>68.27</v>
      </c>
      <c r="D3281" s="1">
        <f>IFERROR(__xludf.DUMMYFUNCTION("""COMPUTED_VALUE"""),65.53)</f>
        <v>65.53</v>
      </c>
      <c r="E3281" s="1">
        <f>IFERROR(__xludf.DUMMYFUNCTION("""COMPUTED_VALUE"""),66.88)</f>
        <v>66.88</v>
      </c>
      <c r="F3281" s="1">
        <f>IFERROR(__xludf.DUMMYFUNCTION("""COMPUTED_VALUE"""),2957430.0)</f>
        <v>2957430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IFERROR(__xludf.DUMMYFUNCTION("""COMPUTED_VALUE"""),65.37)</f>
        <v>65.37</v>
      </c>
      <c r="C3282" s="1">
        <f>IFERROR(__xludf.DUMMYFUNCTION("""COMPUTED_VALUE"""),66.67)</f>
        <v>66.67</v>
      </c>
      <c r="D3282" s="1">
        <f>IFERROR(__xludf.DUMMYFUNCTION("""COMPUTED_VALUE"""),64.86)</f>
        <v>64.86</v>
      </c>
      <c r="E3282" s="1">
        <f>IFERROR(__xludf.DUMMYFUNCTION("""COMPUTED_VALUE"""),65.0)</f>
        <v>65</v>
      </c>
      <c r="F3282" s="1">
        <f>IFERROR(__xludf.DUMMYFUNCTION("""COMPUTED_VALUE"""),2912938.0)</f>
        <v>2912938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IFERROR(__xludf.DUMMYFUNCTION("""COMPUTED_VALUE"""),64.21)</f>
        <v>64.21</v>
      </c>
      <c r="C3283" s="1">
        <f>IFERROR(__xludf.DUMMYFUNCTION("""COMPUTED_VALUE"""),70.95)</f>
        <v>70.95</v>
      </c>
      <c r="D3283" s="1">
        <f>IFERROR(__xludf.DUMMYFUNCTION("""COMPUTED_VALUE"""),63.34)</f>
        <v>63.34</v>
      </c>
      <c r="E3283" s="1">
        <f>IFERROR(__xludf.DUMMYFUNCTION("""COMPUTED_VALUE"""),67.44)</f>
        <v>67.44</v>
      </c>
      <c r="F3283" s="1">
        <f>IFERROR(__xludf.DUMMYFUNCTION("""COMPUTED_VALUE"""),7422420.0)</f>
        <v>7422420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IFERROR(__xludf.DUMMYFUNCTION("""COMPUTED_VALUE"""),67.46)</f>
        <v>67.46</v>
      </c>
      <c r="C3284" s="1">
        <f>IFERROR(__xludf.DUMMYFUNCTION("""COMPUTED_VALUE"""),68.78)</f>
        <v>68.78</v>
      </c>
      <c r="D3284" s="1">
        <f>IFERROR(__xludf.DUMMYFUNCTION("""COMPUTED_VALUE"""),63.35)</f>
        <v>63.35</v>
      </c>
      <c r="E3284" s="1">
        <f>IFERROR(__xludf.DUMMYFUNCTION("""COMPUTED_VALUE"""),63.41)</f>
        <v>63.41</v>
      </c>
      <c r="F3284" s="1">
        <f>IFERROR(__xludf.DUMMYFUNCTION("""COMPUTED_VALUE"""),2497447.0)</f>
        <v>2497447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IFERROR(__xludf.DUMMYFUNCTION("""COMPUTED_VALUE"""),62.33)</f>
        <v>62.33</v>
      </c>
      <c r="C3285" s="1">
        <f>IFERROR(__xludf.DUMMYFUNCTION("""COMPUTED_VALUE"""),63.02)</f>
        <v>63.02</v>
      </c>
      <c r="D3285" s="1">
        <f>IFERROR(__xludf.DUMMYFUNCTION("""COMPUTED_VALUE"""),60.91)</f>
        <v>60.91</v>
      </c>
      <c r="E3285" s="1">
        <f>IFERROR(__xludf.DUMMYFUNCTION("""COMPUTED_VALUE"""),62.19)</f>
        <v>62.19</v>
      </c>
      <c r="F3285" s="1">
        <f>IFERROR(__xludf.DUMMYFUNCTION("""COMPUTED_VALUE"""),2559222.0)</f>
        <v>2559222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IFERROR(__xludf.DUMMYFUNCTION("""COMPUTED_VALUE"""),62.62)</f>
        <v>62.62</v>
      </c>
      <c r="C3286" s="1">
        <f>IFERROR(__xludf.DUMMYFUNCTION("""COMPUTED_VALUE"""),66.1)</f>
        <v>66.1</v>
      </c>
      <c r="D3286" s="1">
        <f>IFERROR(__xludf.DUMMYFUNCTION("""COMPUTED_VALUE"""),62.02)</f>
        <v>62.02</v>
      </c>
      <c r="E3286" s="1">
        <f>IFERROR(__xludf.DUMMYFUNCTION("""COMPUTED_VALUE"""),66.08)</f>
        <v>66.08</v>
      </c>
      <c r="F3286" s="1">
        <f>IFERROR(__xludf.DUMMYFUNCTION("""COMPUTED_VALUE"""),2469186.0)</f>
        <v>2469186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IFERROR(__xludf.DUMMYFUNCTION("""COMPUTED_VALUE"""),66.52)</f>
        <v>66.52</v>
      </c>
      <c r="C3287" s="1">
        <f>IFERROR(__xludf.DUMMYFUNCTION("""COMPUTED_VALUE"""),67.95)</f>
        <v>67.95</v>
      </c>
      <c r="D3287" s="1">
        <f>IFERROR(__xludf.DUMMYFUNCTION("""COMPUTED_VALUE"""),65.94)</f>
        <v>65.94</v>
      </c>
      <c r="E3287" s="1">
        <f>IFERROR(__xludf.DUMMYFUNCTION("""COMPUTED_VALUE"""),67.33)</f>
        <v>67.33</v>
      </c>
      <c r="F3287" s="1">
        <f>IFERROR(__xludf.DUMMYFUNCTION("""COMPUTED_VALUE"""),2038352.0)</f>
        <v>2038352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IFERROR(__xludf.DUMMYFUNCTION("""COMPUTED_VALUE"""),66.87)</f>
        <v>66.87</v>
      </c>
      <c r="C3288" s="1">
        <f>IFERROR(__xludf.DUMMYFUNCTION("""COMPUTED_VALUE"""),68.04)</f>
        <v>68.04</v>
      </c>
      <c r="D3288" s="1">
        <f>IFERROR(__xludf.DUMMYFUNCTION("""COMPUTED_VALUE"""),66.49)</f>
        <v>66.49</v>
      </c>
      <c r="E3288" s="1">
        <f>IFERROR(__xludf.DUMMYFUNCTION("""COMPUTED_VALUE"""),66.72)</f>
        <v>66.72</v>
      </c>
      <c r="F3288" s="1">
        <f>IFERROR(__xludf.DUMMYFUNCTION("""COMPUTED_VALUE"""),1174619.0)</f>
        <v>1174619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IFERROR(__xludf.DUMMYFUNCTION("""COMPUTED_VALUE"""),65.63)</f>
        <v>65.63</v>
      </c>
      <c r="C3289" s="1">
        <f>IFERROR(__xludf.DUMMYFUNCTION("""COMPUTED_VALUE"""),66.54)</f>
        <v>66.54</v>
      </c>
      <c r="D3289" s="1">
        <f>IFERROR(__xludf.DUMMYFUNCTION("""COMPUTED_VALUE"""),64.84)</f>
        <v>64.84</v>
      </c>
      <c r="E3289" s="1">
        <f>IFERROR(__xludf.DUMMYFUNCTION("""COMPUTED_VALUE"""),66.31)</f>
        <v>66.31</v>
      </c>
      <c r="F3289" s="1">
        <f>IFERROR(__xludf.DUMMYFUNCTION("""COMPUTED_VALUE"""),2605829.0)</f>
        <v>2605829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IFERROR(__xludf.DUMMYFUNCTION("""COMPUTED_VALUE"""),67.26)</f>
        <v>67.26</v>
      </c>
      <c r="C3290" s="1">
        <f>IFERROR(__xludf.DUMMYFUNCTION("""COMPUTED_VALUE"""),67.56)</f>
        <v>67.56</v>
      </c>
      <c r="D3290" s="1">
        <f>IFERROR(__xludf.DUMMYFUNCTION("""COMPUTED_VALUE"""),65.03)</f>
        <v>65.03</v>
      </c>
      <c r="E3290" s="1">
        <f>IFERROR(__xludf.DUMMYFUNCTION("""COMPUTED_VALUE"""),66.26)</f>
        <v>66.26</v>
      </c>
      <c r="F3290" s="1">
        <f>IFERROR(__xludf.DUMMYFUNCTION("""COMPUTED_VALUE"""),1665632.0)</f>
        <v>1665632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IFERROR(__xludf.DUMMYFUNCTION("""COMPUTED_VALUE"""),66.22)</f>
        <v>66.22</v>
      </c>
      <c r="C3291" s="1">
        <f>IFERROR(__xludf.DUMMYFUNCTION("""COMPUTED_VALUE"""),69.62)</f>
        <v>69.62</v>
      </c>
      <c r="D3291" s="1">
        <f>IFERROR(__xludf.DUMMYFUNCTION("""COMPUTED_VALUE"""),66.1)</f>
        <v>66.1</v>
      </c>
      <c r="E3291" s="1">
        <f>IFERROR(__xludf.DUMMYFUNCTION("""COMPUTED_VALUE"""),69.1)</f>
        <v>69.1</v>
      </c>
      <c r="F3291" s="1">
        <f>IFERROR(__xludf.DUMMYFUNCTION("""COMPUTED_VALUE"""),2275223.0)</f>
        <v>2275223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IFERROR(__xludf.DUMMYFUNCTION("""COMPUTED_VALUE"""),68.69)</f>
        <v>68.69</v>
      </c>
      <c r="C3292" s="1">
        <f>IFERROR(__xludf.DUMMYFUNCTION("""COMPUTED_VALUE"""),71.59)</f>
        <v>71.59</v>
      </c>
      <c r="D3292" s="1">
        <f>IFERROR(__xludf.DUMMYFUNCTION("""COMPUTED_VALUE"""),67.88)</f>
        <v>67.88</v>
      </c>
      <c r="E3292" s="1">
        <f>IFERROR(__xludf.DUMMYFUNCTION("""COMPUTED_VALUE"""),69.04)</f>
        <v>69.04</v>
      </c>
      <c r="F3292" s="1">
        <f>IFERROR(__xludf.DUMMYFUNCTION("""COMPUTED_VALUE"""),3186123.0)</f>
        <v>3186123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IFERROR(__xludf.DUMMYFUNCTION("""COMPUTED_VALUE"""),69.23)</f>
        <v>69.23</v>
      </c>
      <c r="C3293" s="1">
        <f>IFERROR(__xludf.DUMMYFUNCTION("""COMPUTED_VALUE"""),70.46)</f>
        <v>70.46</v>
      </c>
      <c r="D3293" s="1">
        <f>IFERROR(__xludf.DUMMYFUNCTION("""COMPUTED_VALUE"""),68.4)</f>
        <v>68.4</v>
      </c>
      <c r="E3293" s="1">
        <f>IFERROR(__xludf.DUMMYFUNCTION("""COMPUTED_VALUE"""),70.45)</f>
        <v>70.45</v>
      </c>
      <c r="F3293" s="1">
        <f>IFERROR(__xludf.DUMMYFUNCTION("""COMPUTED_VALUE"""),1960818.0)</f>
        <v>1960818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IFERROR(__xludf.DUMMYFUNCTION("""COMPUTED_VALUE"""),70.19)</f>
        <v>70.19</v>
      </c>
      <c r="C3294" s="1">
        <f>IFERROR(__xludf.DUMMYFUNCTION("""COMPUTED_VALUE"""),76.35)</f>
        <v>76.35</v>
      </c>
      <c r="D3294" s="1">
        <f>IFERROR(__xludf.DUMMYFUNCTION("""COMPUTED_VALUE"""),70.19)</f>
        <v>70.19</v>
      </c>
      <c r="E3294" s="1">
        <f>IFERROR(__xludf.DUMMYFUNCTION("""COMPUTED_VALUE"""),75.84)</f>
        <v>75.84</v>
      </c>
      <c r="F3294" s="1">
        <f>IFERROR(__xludf.DUMMYFUNCTION("""COMPUTED_VALUE"""),3678294.0)</f>
        <v>3678294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IFERROR(__xludf.DUMMYFUNCTION("""COMPUTED_VALUE"""),77.07)</f>
        <v>77.07</v>
      </c>
      <c r="C3295" s="1">
        <f>IFERROR(__xludf.DUMMYFUNCTION("""COMPUTED_VALUE"""),80.92)</f>
        <v>80.92</v>
      </c>
      <c r="D3295" s="1">
        <f>IFERROR(__xludf.DUMMYFUNCTION("""COMPUTED_VALUE"""),77.07)</f>
        <v>77.07</v>
      </c>
      <c r="E3295" s="1">
        <f>IFERROR(__xludf.DUMMYFUNCTION("""COMPUTED_VALUE"""),79.32)</f>
        <v>79.32</v>
      </c>
      <c r="F3295" s="1">
        <f>IFERROR(__xludf.DUMMYFUNCTION("""COMPUTED_VALUE"""),4546098.0)</f>
        <v>4546098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IFERROR(__xludf.DUMMYFUNCTION("""COMPUTED_VALUE"""),77.7)</f>
        <v>77.7</v>
      </c>
      <c r="C3296" s="1">
        <f>IFERROR(__xludf.DUMMYFUNCTION("""COMPUTED_VALUE"""),79.99)</f>
        <v>79.99</v>
      </c>
      <c r="D3296" s="1">
        <f>IFERROR(__xludf.DUMMYFUNCTION("""COMPUTED_VALUE"""),77.47)</f>
        <v>77.47</v>
      </c>
      <c r="E3296" s="1">
        <f>IFERROR(__xludf.DUMMYFUNCTION("""COMPUTED_VALUE"""),78.19)</f>
        <v>78.19</v>
      </c>
      <c r="F3296" s="1">
        <f>IFERROR(__xludf.DUMMYFUNCTION("""COMPUTED_VALUE"""),1913165.0)</f>
        <v>1913165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IFERROR(__xludf.DUMMYFUNCTION("""COMPUTED_VALUE"""),77.34)</f>
        <v>77.34</v>
      </c>
      <c r="C3297" s="1">
        <f>IFERROR(__xludf.DUMMYFUNCTION("""COMPUTED_VALUE"""),78.03)</f>
        <v>78.03</v>
      </c>
      <c r="D3297" s="1">
        <f>IFERROR(__xludf.DUMMYFUNCTION("""COMPUTED_VALUE"""),76.23)</f>
        <v>76.23</v>
      </c>
      <c r="E3297" s="1">
        <f>IFERROR(__xludf.DUMMYFUNCTION("""COMPUTED_VALUE"""),77.86)</f>
        <v>77.86</v>
      </c>
      <c r="F3297" s="1">
        <f>IFERROR(__xludf.DUMMYFUNCTION("""COMPUTED_VALUE"""),1164258.0)</f>
        <v>1164258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IFERROR(__xludf.DUMMYFUNCTION("""COMPUTED_VALUE"""),77.0)</f>
        <v>77</v>
      </c>
      <c r="C3298" s="1">
        <f>IFERROR(__xludf.DUMMYFUNCTION("""COMPUTED_VALUE"""),77.11)</f>
        <v>77.11</v>
      </c>
      <c r="D3298" s="1">
        <f>IFERROR(__xludf.DUMMYFUNCTION("""COMPUTED_VALUE"""),75.05)</f>
        <v>75.05</v>
      </c>
      <c r="E3298" s="1">
        <f>IFERROR(__xludf.DUMMYFUNCTION("""COMPUTED_VALUE"""),76.16)</f>
        <v>76.16</v>
      </c>
      <c r="F3298" s="1">
        <f>IFERROR(__xludf.DUMMYFUNCTION("""COMPUTED_VALUE"""),1904640.0)</f>
        <v>1904640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IFERROR(__xludf.DUMMYFUNCTION("""COMPUTED_VALUE"""),75.73)</f>
        <v>75.73</v>
      </c>
      <c r="C3299" s="1">
        <f>IFERROR(__xludf.DUMMYFUNCTION("""COMPUTED_VALUE"""),77.45)</f>
        <v>77.45</v>
      </c>
      <c r="D3299" s="1">
        <f>IFERROR(__xludf.DUMMYFUNCTION("""COMPUTED_VALUE"""),75.37)</f>
        <v>75.37</v>
      </c>
      <c r="E3299" s="1">
        <f>IFERROR(__xludf.DUMMYFUNCTION("""COMPUTED_VALUE"""),76.22)</f>
        <v>76.22</v>
      </c>
      <c r="F3299" s="1">
        <f>IFERROR(__xludf.DUMMYFUNCTION("""COMPUTED_VALUE"""),1323009.0)</f>
        <v>1323009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IFERROR(__xludf.DUMMYFUNCTION("""COMPUTED_VALUE"""),77.17)</f>
        <v>77.17</v>
      </c>
      <c r="C3300" s="1">
        <f>IFERROR(__xludf.DUMMYFUNCTION("""COMPUTED_VALUE"""),77.52)</f>
        <v>77.52</v>
      </c>
      <c r="D3300" s="1">
        <f>IFERROR(__xludf.DUMMYFUNCTION("""COMPUTED_VALUE"""),73.72)</f>
        <v>73.72</v>
      </c>
      <c r="E3300" s="1">
        <f>IFERROR(__xludf.DUMMYFUNCTION("""COMPUTED_VALUE"""),74.48)</f>
        <v>74.48</v>
      </c>
      <c r="F3300" s="1">
        <f>IFERROR(__xludf.DUMMYFUNCTION("""COMPUTED_VALUE"""),1730354.0)</f>
        <v>1730354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IFERROR(__xludf.DUMMYFUNCTION("""COMPUTED_VALUE"""),73.89)</f>
        <v>73.89</v>
      </c>
      <c r="C3301" s="1">
        <f>IFERROR(__xludf.DUMMYFUNCTION("""COMPUTED_VALUE"""),74.84)</f>
        <v>74.84</v>
      </c>
      <c r="D3301" s="1">
        <f>IFERROR(__xludf.DUMMYFUNCTION("""COMPUTED_VALUE"""),73.26)</f>
        <v>73.26</v>
      </c>
      <c r="E3301" s="1">
        <f>IFERROR(__xludf.DUMMYFUNCTION("""COMPUTED_VALUE"""),73.57)</f>
        <v>73.57</v>
      </c>
      <c r="F3301" s="1">
        <f>IFERROR(__xludf.DUMMYFUNCTION("""COMPUTED_VALUE"""),1510742.0)</f>
        <v>1510742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IFERROR(__xludf.DUMMYFUNCTION("""COMPUTED_VALUE"""),73.42)</f>
        <v>73.42</v>
      </c>
      <c r="C3302" s="1">
        <f>IFERROR(__xludf.DUMMYFUNCTION("""COMPUTED_VALUE"""),75.25)</f>
        <v>75.25</v>
      </c>
      <c r="D3302" s="1">
        <f>IFERROR(__xludf.DUMMYFUNCTION("""COMPUTED_VALUE"""),73.0)</f>
        <v>73</v>
      </c>
      <c r="E3302" s="1">
        <f>IFERROR(__xludf.DUMMYFUNCTION("""COMPUTED_VALUE"""),75.1)</f>
        <v>75.1</v>
      </c>
      <c r="F3302" s="1">
        <f>IFERROR(__xludf.DUMMYFUNCTION("""COMPUTED_VALUE"""),1215728.0)</f>
        <v>1215728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IFERROR(__xludf.DUMMYFUNCTION("""COMPUTED_VALUE"""),74.53)</f>
        <v>74.53</v>
      </c>
      <c r="C3303" s="1">
        <f>IFERROR(__xludf.DUMMYFUNCTION("""COMPUTED_VALUE"""),76.42)</f>
        <v>76.42</v>
      </c>
      <c r="D3303" s="1">
        <f>IFERROR(__xludf.DUMMYFUNCTION("""COMPUTED_VALUE"""),73.67)</f>
        <v>73.67</v>
      </c>
      <c r="E3303" s="1">
        <f>IFERROR(__xludf.DUMMYFUNCTION("""COMPUTED_VALUE"""),75.91)</f>
        <v>75.91</v>
      </c>
      <c r="F3303" s="1">
        <f>IFERROR(__xludf.DUMMYFUNCTION("""COMPUTED_VALUE"""),1306680.0)</f>
        <v>1306680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IFERROR(__xludf.DUMMYFUNCTION("""COMPUTED_VALUE"""),74.44)</f>
        <v>74.44</v>
      </c>
      <c r="C3304" s="1">
        <f>IFERROR(__xludf.DUMMYFUNCTION("""COMPUTED_VALUE"""),75.69)</f>
        <v>75.69</v>
      </c>
      <c r="D3304" s="1">
        <f>IFERROR(__xludf.DUMMYFUNCTION("""COMPUTED_VALUE"""),72.59)</f>
        <v>72.59</v>
      </c>
      <c r="E3304" s="1">
        <f>IFERROR(__xludf.DUMMYFUNCTION("""COMPUTED_VALUE"""),75.55)</f>
        <v>75.55</v>
      </c>
      <c r="F3304" s="1">
        <f>IFERROR(__xludf.DUMMYFUNCTION("""COMPUTED_VALUE"""),1458946.0)</f>
        <v>1458946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IFERROR(__xludf.DUMMYFUNCTION("""COMPUTED_VALUE"""),73.7)</f>
        <v>73.7</v>
      </c>
      <c r="C3305" s="1">
        <f>IFERROR(__xludf.DUMMYFUNCTION("""COMPUTED_VALUE"""),75.32)</f>
        <v>75.32</v>
      </c>
      <c r="D3305" s="1">
        <f>IFERROR(__xludf.DUMMYFUNCTION("""COMPUTED_VALUE"""),73.08)</f>
        <v>73.08</v>
      </c>
      <c r="E3305" s="1">
        <f>IFERROR(__xludf.DUMMYFUNCTION("""COMPUTED_VALUE"""),74.32)</f>
        <v>74.32</v>
      </c>
      <c r="F3305" s="1">
        <f>IFERROR(__xludf.DUMMYFUNCTION("""COMPUTED_VALUE"""),932301.0)</f>
        <v>932301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IFERROR(__xludf.DUMMYFUNCTION("""COMPUTED_VALUE"""),74.31)</f>
        <v>74.31</v>
      </c>
      <c r="C3306" s="1">
        <f>IFERROR(__xludf.DUMMYFUNCTION("""COMPUTED_VALUE"""),75.1)</f>
        <v>75.1</v>
      </c>
      <c r="D3306" s="1">
        <f>IFERROR(__xludf.DUMMYFUNCTION("""COMPUTED_VALUE"""),71.94)</f>
        <v>71.94</v>
      </c>
      <c r="E3306" s="1">
        <f>IFERROR(__xludf.DUMMYFUNCTION("""COMPUTED_VALUE"""),72.95)</f>
        <v>72.95</v>
      </c>
      <c r="F3306" s="1">
        <f>IFERROR(__xludf.DUMMYFUNCTION("""COMPUTED_VALUE"""),1791297.0)</f>
        <v>1791297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IFERROR(__xludf.DUMMYFUNCTION("""COMPUTED_VALUE"""),72.0)</f>
        <v>72</v>
      </c>
      <c r="C3307" s="1">
        <f>IFERROR(__xludf.DUMMYFUNCTION("""COMPUTED_VALUE"""),72.04)</f>
        <v>72.04</v>
      </c>
      <c r="D3307" s="1">
        <f>IFERROR(__xludf.DUMMYFUNCTION("""COMPUTED_VALUE"""),67.6)</f>
        <v>67.6</v>
      </c>
      <c r="E3307" s="1">
        <f>IFERROR(__xludf.DUMMYFUNCTION("""COMPUTED_VALUE"""),68.59)</f>
        <v>68.59</v>
      </c>
      <c r="F3307" s="1">
        <f>IFERROR(__xludf.DUMMYFUNCTION("""COMPUTED_VALUE"""),2140356.0)</f>
        <v>2140356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IFERROR(__xludf.DUMMYFUNCTION("""COMPUTED_VALUE"""),69.03)</f>
        <v>69.03</v>
      </c>
      <c r="C3308" s="1">
        <f>IFERROR(__xludf.DUMMYFUNCTION("""COMPUTED_VALUE"""),70.14)</f>
        <v>70.14</v>
      </c>
      <c r="D3308" s="1">
        <f>IFERROR(__xludf.DUMMYFUNCTION("""COMPUTED_VALUE"""),68.1)</f>
        <v>68.1</v>
      </c>
      <c r="E3308" s="1">
        <f>IFERROR(__xludf.DUMMYFUNCTION("""COMPUTED_VALUE"""),69.49)</f>
        <v>69.49</v>
      </c>
      <c r="F3308" s="1">
        <f>IFERROR(__xludf.DUMMYFUNCTION("""COMPUTED_VALUE"""),1603476.0)</f>
        <v>1603476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IFERROR(__xludf.DUMMYFUNCTION("""COMPUTED_VALUE"""),70.0)</f>
        <v>70</v>
      </c>
      <c r="C3309" s="1">
        <f>IFERROR(__xludf.DUMMYFUNCTION("""COMPUTED_VALUE"""),70.1)</f>
        <v>70.1</v>
      </c>
      <c r="D3309" s="1">
        <f>IFERROR(__xludf.DUMMYFUNCTION("""COMPUTED_VALUE"""),67.56)</f>
        <v>67.56</v>
      </c>
      <c r="E3309" s="1">
        <f>IFERROR(__xludf.DUMMYFUNCTION("""COMPUTED_VALUE"""),69.11)</f>
        <v>69.11</v>
      </c>
      <c r="F3309" s="1">
        <f>IFERROR(__xludf.DUMMYFUNCTION("""COMPUTED_VALUE"""),1337879.0)</f>
        <v>1337879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IFERROR(__xludf.DUMMYFUNCTION("""COMPUTED_VALUE"""),67.5)</f>
        <v>67.5</v>
      </c>
      <c r="C3310" s="1">
        <f>IFERROR(__xludf.DUMMYFUNCTION("""COMPUTED_VALUE"""),68.48)</f>
        <v>68.48</v>
      </c>
      <c r="D3310" s="1">
        <f>IFERROR(__xludf.DUMMYFUNCTION("""COMPUTED_VALUE"""),66.91)</f>
        <v>66.91</v>
      </c>
      <c r="E3310" s="1">
        <f>IFERROR(__xludf.DUMMYFUNCTION("""COMPUTED_VALUE"""),67.86)</f>
        <v>67.86</v>
      </c>
      <c r="F3310" s="1">
        <f>IFERROR(__xludf.DUMMYFUNCTION("""COMPUTED_VALUE"""),1466096.0)</f>
        <v>1466096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IFERROR(__xludf.DUMMYFUNCTION("""COMPUTED_VALUE"""),69.01)</f>
        <v>69.01</v>
      </c>
      <c r="C3311" s="1">
        <f>IFERROR(__xludf.DUMMYFUNCTION("""COMPUTED_VALUE"""),69.24)</f>
        <v>69.24</v>
      </c>
      <c r="D3311" s="1">
        <f>IFERROR(__xludf.DUMMYFUNCTION("""COMPUTED_VALUE"""),66.93)</f>
        <v>66.93</v>
      </c>
      <c r="E3311" s="1">
        <f>IFERROR(__xludf.DUMMYFUNCTION("""COMPUTED_VALUE"""),67.13)</f>
        <v>67.13</v>
      </c>
      <c r="F3311" s="1">
        <f>IFERROR(__xludf.DUMMYFUNCTION("""COMPUTED_VALUE"""),1292084.0)</f>
        <v>1292084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IFERROR(__xludf.DUMMYFUNCTION("""COMPUTED_VALUE"""),67.4)</f>
        <v>67.4</v>
      </c>
      <c r="C3312" s="1">
        <f>IFERROR(__xludf.DUMMYFUNCTION("""COMPUTED_VALUE"""),70.0)</f>
        <v>70</v>
      </c>
      <c r="D3312" s="1">
        <f>IFERROR(__xludf.DUMMYFUNCTION("""COMPUTED_VALUE"""),67.4)</f>
        <v>67.4</v>
      </c>
      <c r="E3312" s="1">
        <f>IFERROR(__xludf.DUMMYFUNCTION("""COMPUTED_VALUE"""),69.04)</f>
        <v>69.04</v>
      </c>
      <c r="F3312" s="1">
        <f>IFERROR(__xludf.DUMMYFUNCTION("""COMPUTED_VALUE"""),2109854.0)</f>
        <v>2109854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IFERROR(__xludf.DUMMYFUNCTION("""COMPUTED_VALUE"""),68.36)</f>
        <v>68.36</v>
      </c>
      <c r="C3313" s="1">
        <f>IFERROR(__xludf.DUMMYFUNCTION("""COMPUTED_VALUE"""),69.35)</f>
        <v>69.35</v>
      </c>
      <c r="D3313" s="1">
        <f>IFERROR(__xludf.DUMMYFUNCTION("""COMPUTED_VALUE"""),67.81)</f>
        <v>67.81</v>
      </c>
      <c r="E3313" s="1">
        <f>IFERROR(__xludf.DUMMYFUNCTION("""COMPUTED_VALUE"""),68.76)</f>
        <v>68.76</v>
      </c>
      <c r="F3313" s="1">
        <f>IFERROR(__xludf.DUMMYFUNCTION("""COMPUTED_VALUE"""),1457648.0)</f>
        <v>1457648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IFERROR(__xludf.DUMMYFUNCTION("""COMPUTED_VALUE"""),67.93)</f>
        <v>67.93</v>
      </c>
      <c r="C3314" s="1">
        <f>IFERROR(__xludf.DUMMYFUNCTION("""COMPUTED_VALUE"""),68.39)</f>
        <v>68.39</v>
      </c>
      <c r="D3314" s="1">
        <f>IFERROR(__xludf.DUMMYFUNCTION("""COMPUTED_VALUE"""),67.08)</f>
        <v>67.08</v>
      </c>
      <c r="E3314" s="1">
        <f>IFERROR(__xludf.DUMMYFUNCTION("""COMPUTED_VALUE"""),67.86)</f>
        <v>67.86</v>
      </c>
      <c r="F3314" s="1">
        <f>IFERROR(__xludf.DUMMYFUNCTION("""COMPUTED_VALUE"""),1636391.0)</f>
        <v>1636391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IFERROR(__xludf.DUMMYFUNCTION("""COMPUTED_VALUE"""),68.43)</f>
        <v>68.43</v>
      </c>
      <c r="C3315" s="1">
        <f>IFERROR(__xludf.DUMMYFUNCTION("""COMPUTED_VALUE"""),70.43)</f>
        <v>70.43</v>
      </c>
      <c r="D3315" s="1">
        <f>IFERROR(__xludf.DUMMYFUNCTION("""COMPUTED_VALUE"""),68.18)</f>
        <v>68.18</v>
      </c>
      <c r="E3315" s="1">
        <f>IFERROR(__xludf.DUMMYFUNCTION("""COMPUTED_VALUE"""),70.35)</f>
        <v>70.35</v>
      </c>
      <c r="F3315" s="1">
        <f>IFERROR(__xludf.DUMMYFUNCTION("""COMPUTED_VALUE"""),1293192.0)</f>
        <v>1293192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IFERROR(__xludf.DUMMYFUNCTION("""COMPUTED_VALUE"""),70.79)</f>
        <v>70.79</v>
      </c>
      <c r="C3316" s="1">
        <f>IFERROR(__xludf.DUMMYFUNCTION("""COMPUTED_VALUE"""),70.99)</f>
        <v>70.99</v>
      </c>
      <c r="D3316" s="1">
        <f>IFERROR(__xludf.DUMMYFUNCTION("""COMPUTED_VALUE"""),68.48)</f>
        <v>68.48</v>
      </c>
      <c r="E3316" s="1">
        <f>IFERROR(__xludf.DUMMYFUNCTION("""COMPUTED_VALUE"""),68.77)</f>
        <v>68.77</v>
      </c>
      <c r="F3316" s="1">
        <f>IFERROR(__xludf.DUMMYFUNCTION("""COMPUTED_VALUE"""),1118727.0)</f>
        <v>1118727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IFERROR(__xludf.DUMMYFUNCTION("""COMPUTED_VALUE"""),68.75)</f>
        <v>68.75</v>
      </c>
      <c r="C3317" s="1">
        <f>IFERROR(__xludf.DUMMYFUNCTION("""COMPUTED_VALUE"""),70.15)</f>
        <v>70.15</v>
      </c>
      <c r="D3317" s="1">
        <f>IFERROR(__xludf.DUMMYFUNCTION("""COMPUTED_VALUE"""),68.47)</f>
        <v>68.47</v>
      </c>
      <c r="E3317" s="1">
        <f>IFERROR(__xludf.DUMMYFUNCTION("""COMPUTED_VALUE"""),68.8)</f>
        <v>68.8</v>
      </c>
      <c r="F3317" s="1">
        <f>IFERROR(__xludf.DUMMYFUNCTION("""COMPUTED_VALUE"""),1306263.0)</f>
        <v>1306263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IFERROR(__xludf.DUMMYFUNCTION("""COMPUTED_VALUE"""),68.99)</f>
        <v>68.99</v>
      </c>
      <c r="C3318" s="1">
        <f>IFERROR(__xludf.DUMMYFUNCTION("""COMPUTED_VALUE"""),71.09)</f>
        <v>71.09</v>
      </c>
      <c r="D3318" s="1">
        <f>IFERROR(__xludf.DUMMYFUNCTION("""COMPUTED_VALUE"""),68.74)</f>
        <v>68.74</v>
      </c>
      <c r="E3318" s="1">
        <f>IFERROR(__xludf.DUMMYFUNCTION("""COMPUTED_VALUE"""),70.48)</f>
        <v>70.48</v>
      </c>
      <c r="F3318" s="1">
        <f>IFERROR(__xludf.DUMMYFUNCTION("""COMPUTED_VALUE"""),1396461.0)</f>
        <v>1396461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IFERROR(__xludf.DUMMYFUNCTION("""COMPUTED_VALUE"""),70.22)</f>
        <v>70.22</v>
      </c>
      <c r="C3319" s="1">
        <f>IFERROR(__xludf.DUMMYFUNCTION("""COMPUTED_VALUE"""),71.13)</f>
        <v>71.13</v>
      </c>
      <c r="D3319" s="1">
        <f>IFERROR(__xludf.DUMMYFUNCTION("""COMPUTED_VALUE"""),66.27)</f>
        <v>66.27</v>
      </c>
      <c r="E3319" s="1">
        <f>IFERROR(__xludf.DUMMYFUNCTION("""COMPUTED_VALUE"""),66.37)</f>
        <v>66.37</v>
      </c>
      <c r="F3319" s="1">
        <f>IFERROR(__xludf.DUMMYFUNCTION("""COMPUTED_VALUE"""),1970865.0)</f>
        <v>1970865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IFERROR(__xludf.DUMMYFUNCTION("""COMPUTED_VALUE"""),65.02)</f>
        <v>65.02</v>
      </c>
      <c r="C3320" s="1">
        <f>IFERROR(__xludf.DUMMYFUNCTION("""COMPUTED_VALUE"""),65.66)</f>
        <v>65.66</v>
      </c>
      <c r="D3320" s="1">
        <f>IFERROR(__xludf.DUMMYFUNCTION("""COMPUTED_VALUE"""),62.76)</f>
        <v>62.76</v>
      </c>
      <c r="E3320" s="1">
        <f>IFERROR(__xludf.DUMMYFUNCTION("""COMPUTED_VALUE"""),63.73)</f>
        <v>63.73</v>
      </c>
      <c r="F3320" s="1">
        <f>IFERROR(__xludf.DUMMYFUNCTION("""COMPUTED_VALUE"""),3444821.0)</f>
        <v>3444821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IFERROR(__xludf.DUMMYFUNCTION("""COMPUTED_VALUE"""),61.7)</f>
        <v>61.7</v>
      </c>
      <c r="C3321" s="1">
        <f>IFERROR(__xludf.DUMMYFUNCTION("""COMPUTED_VALUE"""),62.75)</f>
        <v>62.75</v>
      </c>
      <c r="D3321" s="1">
        <f>IFERROR(__xludf.DUMMYFUNCTION("""COMPUTED_VALUE"""),59.32)</f>
        <v>59.32</v>
      </c>
      <c r="E3321" s="1">
        <f>IFERROR(__xludf.DUMMYFUNCTION("""COMPUTED_VALUE"""),61.21)</f>
        <v>61.21</v>
      </c>
      <c r="F3321" s="1">
        <f>IFERROR(__xludf.DUMMYFUNCTION("""COMPUTED_VALUE"""),4770729.0)</f>
        <v>4770729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IFERROR(__xludf.DUMMYFUNCTION("""COMPUTED_VALUE"""),63.01)</f>
        <v>63.01</v>
      </c>
      <c r="C3322" s="1">
        <f>IFERROR(__xludf.DUMMYFUNCTION("""COMPUTED_VALUE"""),63.14)</f>
        <v>63.14</v>
      </c>
      <c r="D3322" s="1">
        <f>IFERROR(__xludf.DUMMYFUNCTION("""COMPUTED_VALUE"""),59.56)</f>
        <v>59.56</v>
      </c>
      <c r="E3322" s="1">
        <f>IFERROR(__xludf.DUMMYFUNCTION("""COMPUTED_VALUE"""),60.33)</f>
        <v>60.33</v>
      </c>
      <c r="F3322" s="1">
        <f>IFERROR(__xludf.DUMMYFUNCTION("""COMPUTED_VALUE"""),2732882.0)</f>
        <v>2732882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IFERROR(__xludf.DUMMYFUNCTION("""COMPUTED_VALUE"""),58.94)</f>
        <v>58.94</v>
      </c>
      <c r="C3323" s="1">
        <f>IFERROR(__xludf.DUMMYFUNCTION("""COMPUTED_VALUE"""),59.46)</f>
        <v>59.46</v>
      </c>
      <c r="D3323" s="1">
        <f>IFERROR(__xludf.DUMMYFUNCTION("""COMPUTED_VALUE"""),57.67)</f>
        <v>57.67</v>
      </c>
      <c r="E3323" s="1">
        <f>IFERROR(__xludf.DUMMYFUNCTION("""COMPUTED_VALUE"""),59.13)</f>
        <v>59.13</v>
      </c>
      <c r="F3323" s="1">
        <f>IFERROR(__xludf.DUMMYFUNCTION("""COMPUTED_VALUE"""),3883969.0)</f>
        <v>3883969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IFERROR(__xludf.DUMMYFUNCTION("""COMPUTED_VALUE"""),58.11)</f>
        <v>58.11</v>
      </c>
      <c r="C3324" s="1">
        <f>IFERROR(__xludf.DUMMYFUNCTION("""COMPUTED_VALUE"""),59.13)</f>
        <v>59.13</v>
      </c>
      <c r="D3324" s="1">
        <f>IFERROR(__xludf.DUMMYFUNCTION("""COMPUTED_VALUE"""),57.1)</f>
        <v>57.1</v>
      </c>
      <c r="E3324" s="1">
        <f>IFERROR(__xludf.DUMMYFUNCTION("""COMPUTED_VALUE"""),58.48)</f>
        <v>58.48</v>
      </c>
      <c r="F3324" s="1">
        <f>IFERROR(__xludf.DUMMYFUNCTION("""COMPUTED_VALUE"""),4380842.0)</f>
        <v>4380842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IFERROR(__xludf.DUMMYFUNCTION("""COMPUTED_VALUE"""),58.18)</f>
        <v>58.18</v>
      </c>
      <c r="C3325" s="1">
        <f>IFERROR(__xludf.DUMMYFUNCTION("""COMPUTED_VALUE"""),58.33)</f>
        <v>58.33</v>
      </c>
      <c r="D3325" s="1">
        <f>IFERROR(__xludf.DUMMYFUNCTION("""COMPUTED_VALUE"""),55.95)</f>
        <v>55.95</v>
      </c>
      <c r="E3325" s="1">
        <f>IFERROR(__xludf.DUMMYFUNCTION("""COMPUTED_VALUE"""),56.26)</f>
        <v>56.26</v>
      </c>
      <c r="F3325" s="1">
        <f>IFERROR(__xludf.DUMMYFUNCTION("""COMPUTED_VALUE"""),4569987.0)</f>
        <v>4569987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IFERROR(__xludf.DUMMYFUNCTION("""COMPUTED_VALUE"""),56.5)</f>
        <v>56.5</v>
      </c>
      <c r="C3326" s="1">
        <f>IFERROR(__xludf.DUMMYFUNCTION("""COMPUTED_VALUE"""),58.29)</f>
        <v>58.29</v>
      </c>
      <c r="D3326" s="1">
        <f>IFERROR(__xludf.DUMMYFUNCTION("""COMPUTED_VALUE"""),56.26)</f>
        <v>56.26</v>
      </c>
      <c r="E3326" s="1">
        <f>IFERROR(__xludf.DUMMYFUNCTION("""COMPUTED_VALUE"""),56.76)</f>
        <v>56.76</v>
      </c>
      <c r="F3326" s="1">
        <f>IFERROR(__xludf.DUMMYFUNCTION("""COMPUTED_VALUE"""),2988313.0)</f>
        <v>2988313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IFERROR(__xludf.DUMMYFUNCTION("""COMPUTED_VALUE"""),58.01)</f>
        <v>58.01</v>
      </c>
      <c r="C3327" s="1">
        <f>IFERROR(__xludf.DUMMYFUNCTION("""COMPUTED_VALUE"""),60.6)</f>
        <v>60.6</v>
      </c>
      <c r="D3327" s="1">
        <f>IFERROR(__xludf.DUMMYFUNCTION("""COMPUTED_VALUE"""),58.01)</f>
        <v>58.01</v>
      </c>
      <c r="E3327" s="1">
        <f>IFERROR(__xludf.DUMMYFUNCTION("""COMPUTED_VALUE"""),59.12)</f>
        <v>59.12</v>
      </c>
      <c r="F3327" s="1">
        <f>IFERROR(__xludf.DUMMYFUNCTION("""COMPUTED_VALUE"""),2962936.0)</f>
        <v>2962936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IFERROR(__xludf.DUMMYFUNCTION("""COMPUTED_VALUE"""),59.97)</f>
        <v>59.97</v>
      </c>
      <c r="C3328" s="1">
        <f>IFERROR(__xludf.DUMMYFUNCTION("""COMPUTED_VALUE"""),60.41)</f>
        <v>60.41</v>
      </c>
      <c r="D3328" s="1">
        <f>IFERROR(__xludf.DUMMYFUNCTION("""COMPUTED_VALUE"""),57.42)</f>
        <v>57.42</v>
      </c>
      <c r="E3328" s="1">
        <f>IFERROR(__xludf.DUMMYFUNCTION("""COMPUTED_VALUE"""),57.46)</f>
        <v>57.46</v>
      </c>
      <c r="F3328" s="1">
        <f>IFERROR(__xludf.DUMMYFUNCTION("""COMPUTED_VALUE"""),1664600.0)</f>
        <v>1664600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IFERROR(__xludf.DUMMYFUNCTION("""COMPUTED_VALUE"""),57.88)</f>
        <v>57.88</v>
      </c>
      <c r="C3329" s="1">
        <f>IFERROR(__xludf.DUMMYFUNCTION("""COMPUTED_VALUE"""),58.31)</f>
        <v>58.31</v>
      </c>
      <c r="D3329" s="1">
        <f>IFERROR(__xludf.DUMMYFUNCTION("""COMPUTED_VALUE"""),55.77)</f>
        <v>55.77</v>
      </c>
      <c r="E3329" s="1">
        <f>IFERROR(__xludf.DUMMYFUNCTION("""COMPUTED_VALUE"""),56.73)</f>
        <v>56.73</v>
      </c>
      <c r="F3329" s="1">
        <f>IFERROR(__xludf.DUMMYFUNCTION("""COMPUTED_VALUE"""),1888236.0)</f>
        <v>1888236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IFERROR(__xludf.DUMMYFUNCTION("""COMPUTED_VALUE"""),56.19)</f>
        <v>56.19</v>
      </c>
      <c r="C3330" s="1">
        <f>IFERROR(__xludf.DUMMYFUNCTION("""COMPUTED_VALUE"""),58.01)</f>
        <v>58.01</v>
      </c>
      <c r="D3330" s="1">
        <f>IFERROR(__xludf.DUMMYFUNCTION("""COMPUTED_VALUE"""),55.88)</f>
        <v>55.88</v>
      </c>
      <c r="E3330" s="1">
        <f>IFERROR(__xludf.DUMMYFUNCTION("""COMPUTED_VALUE"""),57.78)</f>
        <v>57.78</v>
      </c>
      <c r="F3330" s="1">
        <f>IFERROR(__xludf.DUMMYFUNCTION("""COMPUTED_VALUE"""),3122581.0)</f>
        <v>3122581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IFERROR(__xludf.DUMMYFUNCTION("""COMPUTED_VALUE"""),58.62)</f>
        <v>58.62</v>
      </c>
      <c r="C3331" s="1">
        <f>IFERROR(__xludf.DUMMYFUNCTION("""COMPUTED_VALUE"""),58.98)</f>
        <v>58.98</v>
      </c>
      <c r="D3331" s="1">
        <f>IFERROR(__xludf.DUMMYFUNCTION("""COMPUTED_VALUE"""),57.5)</f>
        <v>57.5</v>
      </c>
      <c r="E3331" s="1">
        <f>IFERROR(__xludf.DUMMYFUNCTION("""COMPUTED_VALUE"""),58.27)</f>
        <v>58.27</v>
      </c>
      <c r="F3331" s="1">
        <f>IFERROR(__xludf.DUMMYFUNCTION("""COMPUTED_VALUE"""),2544262.0)</f>
        <v>2544262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IFERROR(__xludf.DUMMYFUNCTION("""COMPUTED_VALUE"""),58.16)</f>
        <v>58.16</v>
      </c>
      <c r="C3332" s="1">
        <f>IFERROR(__xludf.DUMMYFUNCTION("""COMPUTED_VALUE"""),59.4)</f>
        <v>59.4</v>
      </c>
      <c r="D3332" s="1">
        <f>IFERROR(__xludf.DUMMYFUNCTION("""COMPUTED_VALUE"""),57.91)</f>
        <v>57.91</v>
      </c>
      <c r="E3332" s="1">
        <f>IFERROR(__xludf.DUMMYFUNCTION("""COMPUTED_VALUE"""),58.27)</f>
        <v>58.27</v>
      </c>
      <c r="F3332" s="1">
        <f>IFERROR(__xludf.DUMMYFUNCTION("""COMPUTED_VALUE"""),1328862.0)</f>
        <v>1328862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IFERROR(__xludf.DUMMYFUNCTION("""COMPUTED_VALUE"""),58.93)</f>
        <v>58.93</v>
      </c>
      <c r="C3333" s="1">
        <f>IFERROR(__xludf.DUMMYFUNCTION("""COMPUTED_VALUE"""),59.72)</f>
        <v>59.72</v>
      </c>
      <c r="D3333" s="1">
        <f>IFERROR(__xludf.DUMMYFUNCTION("""COMPUTED_VALUE"""),58.22)</f>
        <v>58.22</v>
      </c>
      <c r="E3333" s="1">
        <f>IFERROR(__xludf.DUMMYFUNCTION("""COMPUTED_VALUE"""),59.53)</f>
        <v>59.53</v>
      </c>
      <c r="F3333" s="1">
        <f>IFERROR(__xludf.DUMMYFUNCTION("""COMPUTED_VALUE"""),1318422.0)</f>
        <v>1318422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IFERROR(__xludf.DUMMYFUNCTION("""COMPUTED_VALUE"""),60.8)</f>
        <v>60.8</v>
      </c>
      <c r="C3334" s="1">
        <f>IFERROR(__xludf.DUMMYFUNCTION("""COMPUTED_VALUE"""),61.91)</f>
        <v>61.91</v>
      </c>
      <c r="D3334" s="1">
        <f>IFERROR(__xludf.DUMMYFUNCTION("""COMPUTED_VALUE"""),60.58)</f>
        <v>60.58</v>
      </c>
      <c r="E3334" s="1">
        <f>IFERROR(__xludf.DUMMYFUNCTION("""COMPUTED_VALUE"""),61.1)</f>
        <v>61.1</v>
      </c>
      <c r="F3334" s="1">
        <f>IFERROR(__xludf.DUMMYFUNCTION("""COMPUTED_VALUE"""),1911654.0)</f>
        <v>1911654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IFERROR(__xludf.DUMMYFUNCTION("""COMPUTED_VALUE"""),61.33)</f>
        <v>61.33</v>
      </c>
      <c r="C3335" s="1">
        <f>IFERROR(__xludf.DUMMYFUNCTION("""COMPUTED_VALUE"""),64.43)</f>
        <v>64.43</v>
      </c>
      <c r="D3335" s="1">
        <f>IFERROR(__xludf.DUMMYFUNCTION("""COMPUTED_VALUE"""),61.14)</f>
        <v>61.14</v>
      </c>
      <c r="E3335" s="1">
        <f>IFERROR(__xludf.DUMMYFUNCTION("""COMPUTED_VALUE"""),64.28)</f>
        <v>64.28</v>
      </c>
      <c r="F3335" s="1">
        <f>IFERROR(__xludf.DUMMYFUNCTION("""COMPUTED_VALUE"""),2080502.0)</f>
        <v>2080502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IFERROR(__xludf.DUMMYFUNCTION("""COMPUTED_VALUE"""),64.58)</f>
        <v>64.58</v>
      </c>
      <c r="C3336" s="1">
        <f>IFERROR(__xludf.DUMMYFUNCTION("""COMPUTED_VALUE"""),65.24)</f>
        <v>65.24</v>
      </c>
      <c r="D3336" s="1">
        <f>IFERROR(__xludf.DUMMYFUNCTION("""COMPUTED_VALUE"""),63.95)</f>
        <v>63.95</v>
      </c>
      <c r="E3336" s="1">
        <f>IFERROR(__xludf.DUMMYFUNCTION("""COMPUTED_VALUE"""),64.58)</f>
        <v>64.58</v>
      </c>
      <c r="F3336" s="1">
        <f>IFERROR(__xludf.DUMMYFUNCTION("""COMPUTED_VALUE"""),1797666.0)</f>
        <v>1797666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IFERROR(__xludf.DUMMYFUNCTION("""COMPUTED_VALUE"""),64.92)</f>
        <v>64.92</v>
      </c>
      <c r="C3337" s="1">
        <f>IFERROR(__xludf.DUMMYFUNCTION("""COMPUTED_VALUE"""),65.0)</f>
        <v>65</v>
      </c>
      <c r="D3337" s="1">
        <f>IFERROR(__xludf.DUMMYFUNCTION("""COMPUTED_VALUE"""),62.84)</f>
        <v>62.84</v>
      </c>
      <c r="E3337" s="1">
        <f>IFERROR(__xludf.DUMMYFUNCTION("""COMPUTED_VALUE"""),63.5)</f>
        <v>63.5</v>
      </c>
      <c r="F3337" s="1">
        <f>IFERROR(__xludf.DUMMYFUNCTION("""COMPUTED_VALUE"""),2024169.0)</f>
        <v>2024169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IFERROR(__xludf.DUMMYFUNCTION("""COMPUTED_VALUE"""),62.97)</f>
        <v>62.97</v>
      </c>
      <c r="C3338" s="1">
        <f>IFERROR(__xludf.DUMMYFUNCTION("""COMPUTED_VALUE"""),63.37)</f>
        <v>63.37</v>
      </c>
      <c r="D3338" s="1">
        <f>IFERROR(__xludf.DUMMYFUNCTION("""COMPUTED_VALUE"""),61.15)</f>
        <v>61.15</v>
      </c>
      <c r="E3338" s="1">
        <f>IFERROR(__xludf.DUMMYFUNCTION("""COMPUTED_VALUE"""),62.44)</f>
        <v>62.44</v>
      </c>
      <c r="F3338" s="1">
        <f>IFERROR(__xludf.DUMMYFUNCTION("""COMPUTED_VALUE"""),1871833.0)</f>
        <v>1871833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IFERROR(__xludf.DUMMYFUNCTION("""COMPUTED_VALUE"""),62.51)</f>
        <v>62.51</v>
      </c>
      <c r="C3339" s="1">
        <f>IFERROR(__xludf.DUMMYFUNCTION("""COMPUTED_VALUE"""),64.61)</f>
        <v>64.61</v>
      </c>
      <c r="D3339" s="1">
        <f>IFERROR(__xludf.DUMMYFUNCTION("""COMPUTED_VALUE"""),61.97)</f>
        <v>61.97</v>
      </c>
      <c r="E3339" s="1">
        <f>IFERROR(__xludf.DUMMYFUNCTION("""COMPUTED_VALUE"""),64.33)</f>
        <v>64.33</v>
      </c>
      <c r="F3339" s="1">
        <f>IFERROR(__xludf.DUMMYFUNCTION("""COMPUTED_VALUE"""),1671095.0)</f>
        <v>1671095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IFERROR(__xludf.DUMMYFUNCTION("""COMPUTED_VALUE"""),63.8)</f>
        <v>63.8</v>
      </c>
      <c r="C3340" s="1">
        <f>IFERROR(__xludf.DUMMYFUNCTION("""COMPUTED_VALUE"""),66.11)</f>
        <v>66.11</v>
      </c>
      <c r="D3340" s="1">
        <f>IFERROR(__xludf.DUMMYFUNCTION("""COMPUTED_VALUE"""),63.56)</f>
        <v>63.56</v>
      </c>
      <c r="E3340" s="1">
        <f>IFERROR(__xludf.DUMMYFUNCTION("""COMPUTED_VALUE"""),65.86)</f>
        <v>65.86</v>
      </c>
      <c r="F3340" s="1">
        <f>IFERROR(__xludf.DUMMYFUNCTION("""COMPUTED_VALUE"""),3867746.0)</f>
        <v>3867746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IFERROR(__xludf.DUMMYFUNCTION("""COMPUTED_VALUE"""),69.65)</f>
        <v>69.65</v>
      </c>
      <c r="C3341" s="1">
        <f>IFERROR(__xludf.DUMMYFUNCTION("""COMPUTED_VALUE"""),73.57)</f>
        <v>73.57</v>
      </c>
      <c r="D3341" s="1">
        <f>IFERROR(__xludf.DUMMYFUNCTION("""COMPUTED_VALUE"""),69.12)</f>
        <v>69.12</v>
      </c>
      <c r="E3341" s="1">
        <f>IFERROR(__xludf.DUMMYFUNCTION("""COMPUTED_VALUE"""),72.21)</f>
        <v>72.21</v>
      </c>
      <c r="F3341" s="1">
        <f>IFERROR(__xludf.DUMMYFUNCTION("""COMPUTED_VALUE"""),1.2741147E7)</f>
        <v>12741147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IFERROR(__xludf.DUMMYFUNCTION("""COMPUTED_VALUE"""),73.0)</f>
        <v>73</v>
      </c>
      <c r="C3342" s="1">
        <f>IFERROR(__xludf.DUMMYFUNCTION("""COMPUTED_VALUE"""),73.06)</f>
        <v>73.06</v>
      </c>
      <c r="D3342" s="1">
        <f>IFERROR(__xludf.DUMMYFUNCTION("""COMPUTED_VALUE"""),67.26)</f>
        <v>67.26</v>
      </c>
      <c r="E3342" s="1">
        <f>IFERROR(__xludf.DUMMYFUNCTION("""COMPUTED_VALUE"""),68.58)</f>
        <v>68.58</v>
      </c>
      <c r="F3342" s="1">
        <f>IFERROR(__xludf.DUMMYFUNCTION("""COMPUTED_VALUE"""),5388471.0)</f>
        <v>5388471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IFERROR(__xludf.DUMMYFUNCTION("""COMPUTED_VALUE"""),69.67)</f>
        <v>69.67</v>
      </c>
      <c r="C3343" s="1">
        <f>IFERROR(__xludf.DUMMYFUNCTION("""COMPUTED_VALUE"""),70.28)</f>
        <v>70.28</v>
      </c>
      <c r="D3343" s="1">
        <f>IFERROR(__xludf.DUMMYFUNCTION("""COMPUTED_VALUE"""),67.13)</f>
        <v>67.13</v>
      </c>
      <c r="E3343" s="1">
        <f>IFERROR(__xludf.DUMMYFUNCTION("""COMPUTED_VALUE"""),69.01)</f>
        <v>69.01</v>
      </c>
      <c r="F3343" s="1">
        <f>IFERROR(__xludf.DUMMYFUNCTION("""COMPUTED_VALUE"""),3072130.0)</f>
        <v>3072130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IFERROR(__xludf.DUMMYFUNCTION("""COMPUTED_VALUE"""),69.6)</f>
        <v>69.6</v>
      </c>
      <c r="C3344" s="1">
        <f>IFERROR(__xludf.DUMMYFUNCTION("""COMPUTED_VALUE"""),71.5)</f>
        <v>71.5</v>
      </c>
      <c r="D3344" s="1">
        <f>IFERROR(__xludf.DUMMYFUNCTION("""COMPUTED_VALUE"""),68.49)</f>
        <v>68.49</v>
      </c>
      <c r="E3344" s="1">
        <f>IFERROR(__xludf.DUMMYFUNCTION("""COMPUTED_VALUE"""),69.46)</f>
        <v>69.46</v>
      </c>
      <c r="F3344" s="1">
        <f>IFERROR(__xludf.DUMMYFUNCTION("""COMPUTED_VALUE"""),2795769.0)</f>
        <v>2795769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IFERROR(__xludf.DUMMYFUNCTION("""COMPUTED_VALUE"""),69.24)</f>
        <v>69.24</v>
      </c>
      <c r="C3345" s="1">
        <f>IFERROR(__xludf.DUMMYFUNCTION("""COMPUTED_VALUE"""),69.8)</f>
        <v>69.8</v>
      </c>
      <c r="D3345" s="1">
        <f>IFERROR(__xludf.DUMMYFUNCTION("""COMPUTED_VALUE"""),68.46)</f>
        <v>68.46</v>
      </c>
      <c r="E3345" s="1">
        <f>IFERROR(__xludf.DUMMYFUNCTION("""COMPUTED_VALUE"""),69.6)</f>
        <v>69.6</v>
      </c>
      <c r="F3345" s="1">
        <f>IFERROR(__xludf.DUMMYFUNCTION("""COMPUTED_VALUE"""),1613816.0)</f>
        <v>1613816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IFERROR(__xludf.DUMMYFUNCTION("""COMPUTED_VALUE"""),69.37)</f>
        <v>69.37</v>
      </c>
      <c r="C3346" s="1">
        <f>IFERROR(__xludf.DUMMYFUNCTION("""COMPUTED_VALUE"""),69.94)</f>
        <v>69.94</v>
      </c>
      <c r="D3346" s="1">
        <f>IFERROR(__xludf.DUMMYFUNCTION("""COMPUTED_VALUE"""),68.67)</f>
        <v>68.67</v>
      </c>
      <c r="E3346" s="1">
        <f>IFERROR(__xludf.DUMMYFUNCTION("""COMPUTED_VALUE"""),69.07)</f>
        <v>69.07</v>
      </c>
      <c r="F3346" s="1">
        <f>IFERROR(__xludf.DUMMYFUNCTION("""COMPUTED_VALUE"""),1505972.0)</f>
        <v>1505972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IFERROR(__xludf.DUMMYFUNCTION("""COMPUTED_VALUE"""),67.96)</f>
        <v>67.96</v>
      </c>
      <c r="C3347" s="1">
        <f>IFERROR(__xludf.DUMMYFUNCTION("""COMPUTED_VALUE"""),68.33)</f>
        <v>68.33</v>
      </c>
      <c r="D3347" s="1">
        <f>IFERROR(__xludf.DUMMYFUNCTION("""COMPUTED_VALUE"""),67.21)</f>
        <v>67.21</v>
      </c>
      <c r="E3347" s="1">
        <f>IFERROR(__xludf.DUMMYFUNCTION("""COMPUTED_VALUE"""),68.12)</f>
        <v>68.12</v>
      </c>
      <c r="F3347" s="1">
        <f>IFERROR(__xludf.DUMMYFUNCTION("""COMPUTED_VALUE"""),1836774.0)</f>
        <v>1836774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IFERROR(__xludf.DUMMYFUNCTION("""COMPUTED_VALUE"""),67.15)</f>
        <v>67.15</v>
      </c>
      <c r="C3348" s="1">
        <f>IFERROR(__xludf.DUMMYFUNCTION("""COMPUTED_VALUE"""),68.01)</f>
        <v>68.01</v>
      </c>
      <c r="D3348" s="1">
        <f>IFERROR(__xludf.DUMMYFUNCTION("""COMPUTED_VALUE"""),66.25)</f>
        <v>66.25</v>
      </c>
      <c r="E3348" s="1">
        <f>IFERROR(__xludf.DUMMYFUNCTION("""COMPUTED_VALUE"""),67.45)</f>
        <v>67.45</v>
      </c>
      <c r="F3348" s="1">
        <f>IFERROR(__xludf.DUMMYFUNCTION("""COMPUTED_VALUE"""),1913736.0)</f>
        <v>1913736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IFERROR(__xludf.DUMMYFUNCTION("""COMPUTED_VALUE"""),67.72)</f>
        <v>67.72</v>
      </c>
      <c r="C3349" s="1">
        <f>IFERROR(__xludf.DUMMYFUNCTION("""COMPUTED_VALUE"""),69.26)</f>
        <v>69.26</v>
      </c>
      <c r="D3349" s="1">
        <f>IFERROR(__xludf.DUMMYFUNCTION("""COMPUTED_VALUE"""),66.65)</f>
        <v>66.65</v>
      </c>
      <c r="E3349" s="1">
        <f>IFERROR(__xludf.DUMMYFUNCTION("""COMPUTED_VALUE"""),69.16)</f>
        <v>69.16</v>
      </c>
      <c r="F3349" s="1">
        <f>IFERROR(__xludf.DUMMYFUNCTION("""COMPUTED_VALUE"""),1514347.0)</f>
        <v>1514347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IFERROR(__xludf.DUMMYFUNCTION("""COMPUTED_VALUE"""),68.75)</f>
        <v>68.75</v>
      </c>
      <c r="C3350" s="1">
        <f>IFERROR(__xludf.DUMMYFUNCTION("""COMPUTED_VALUE"""),69.42)</f>
        <v>69.42</v>
      </c>
      <c r="D3350" s="1">
        <f>IFERROR(__xludf.DUMMYFUNCTION("""COMPUTED_VALUE"""),68.49)</f>
        <v>68.49</v>
      </c>
      <c r="E3350" s="1">
        <f>IFERROR(__xludf.DUMMYFUNCTION("""COMPUTED_VALUE"""),68.88)</f>
        <v>68.88</v>
      </c>
      <c r="F3350" s="1">
        <f>IFERROR(__xludf.DUMMYFUNCTION("""COMPUTED_VALUE"""),1136542.0)</f>
        <v>1136542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IFERROR(__xludf.DUMMYFUNCTION("""COMPUTED_VALUE"""),68.43)</f>
        <v>68.43</v>
      </c>
      <c r="C3351" s="1">
        <f>IFERROR(__xludf.DUMMYFUNCTION("""COMPUTED_VALUE"""),68.8)</f>
        <v>68.8</v>
      </c>
      <c r="D3351" s="1">
        <f>IFERROR(__xludf.DUMMYFUNCTION("""COMPUTED_VALUE"""),67.35)</f>
        <v>67.35</v>
      </c>
      <c r="E3351" s="1">
        <f>IFERROR(__xludf.DUMMYFUNCTION("""COMPUTED_VALUE"""),67.36)</f>
        <v>67.36</v>
      </c>
      <c r="F3351" s="1">
        <f>IFERROR(__xludf.DUMMYFUNCTION("""COMPUTED_VALUE"""),1397178.0)</f>
        <v>1397178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IFERROR(__xludf.DUMMYFUNCTION("""COMPUTED_VALUE"""),68.14)</f>
        <v>68.14</v>
      </c>
      <c r="C3352" s="1">
        <f>IFERROR(__xludf.DUMMYFUNCTION("""COMPUTED_VALUE"""),69.48)</f>
        <v>69.48</v>
      </c>
      <c r="D3352" s="1">
        <f>IFERROR(__xludf.DUMMYFUNCTION("""COMPUTED_VALUE"""),67.72)</f>
        <v>67.72</v>
      </c>
      <c r="E3352" s="1">
        <f>IFERROR(__xludf.DUMMYFUNCTION("""COMPUTED_VALUE"""),67.92)</f>
        <v>67.92</v>
      </c>
      <c r="F3352" s="1">
        <f>IFERROR(__xludf.DUMMYFUNCTION("""COMPUTED_VALUE"""),1912702.0)</f>
        <v>1912702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IFERROR(__xludf.DUMMYFUNCTION("""COMPUTED_VALUE"""),68.06)</f>
        <v>68.06</v>
      </c>
      <c r="C3353" s="1">
        <f>IFERROR(__xludf.DUMMYFUNCTION("""COMPUTED_VALUE"""),70.43)</f>
        <v>70.43</v>
      </c>
      <c r="D3353" s="1">
        <f>IFERROR(__xludf.DUMMYFUNCTION("""COMPUTED_VALUE"""),67.84)</f>
        <v>67.84</v>
      </c>
      <c r="E3353" s="1">
        <f>IFERROR(__xludf.DUMMYFUNCTION("""COMPUTED_VALUE"""),70.4)</f>
        <v>70.4</v>
      </c>
      <c r="F3353" s="1">
        <f>IFERROR(__xludf.DUMMYFUNCTION("""COMPUTED_VALUE"""),1457714.0)</f>
        <v>1457714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IFERROR(__xludf.DUMMYFUNCTION("""COMPUTED_VALUE"""),70.24)</f>
        <v>70.24</v>
      </c>
      <c r="C3354" s="1">
        <f>IFERROR(__xludf.DUMMYFUNCTION("""COMPUTED_VALUE"""),70.72)</f>
        <v>70.72</v>
      </c>
      <c r="D3354" s="1">
        <f>IFERROR(__xludf.DUMMYFUNCTION("""COMPUTED_VALUE"""),69.61)</f>
        <v>69.61</v>
      </c>
      <c r="E3354" s="1">
        <f>IFERROR(__xludf.DUMMYFUNCTION("""COMPUTED_VALUE"""),70.03)</f>
        <v>70.03</v>
      </c>
      <c r="F3354" s="1">
        <f>IFERROR(__xludf.DUMMYFUNCTION("""COMPUTED_VALUE"""),1308768.0)</f>
        <v>1308768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IFERROR(__xludf.DUMMYFUNCTION("""COMPUTED_VALUE"""),70.09)</f>
        <v>70.09</v>
      </c>
      <c r="C3355" s="1">
        <f>IFERROR(__xludf.DUMMYFUNCTION("""COMPUTED_VALUE"""),70.94)</f>
        <v>70.94</v>
      </c>
      <c r="D3355" s="1">
        <f>IFERROR(__xludf.DUMMYFUNCTION("""COMPUTED_VALUE"""),69.66)</f>
        <v>69.66</v>
      </c>
      <c r="E3355" s="1">
        <f>IFERROR(__xludf.DUMMYFUNCTION("""COMPUTED_VALUE"""),70.48)</f>
        <v>70.48</v>
      </c>
      <c r="F3355" s="1">
        <f>IFERROR(__xludf.DUMMYFUNCTION("""COMPUTED_VALUE"""),1436328.0)</f>
        <v>1436328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IFERROR(__xludf.DUMMYFUNCTION("""COMPUTED_VALUE"""),70.24)</f>
        <v>70.24</v>
      </c>
      <c r="C3356" s="1">
        <f>IFERROR(__xludf.DUMMYFUNCTION("""COMPUTED_VALUE"""),71.92)</f>
        <v>71.92</v>
      </c>
      <c r="D3356" s="1">
        <f>IFERROR(__xludf.DUMMYFUNCTION("""COMPUTED_VALUE"""),69.48)</f>
        <v>69.48</v>
      </c>
      <c r="E3356" s="1">
        <f>IFERROR(__xludf.DUMMYFUNCTION("""COMPUTED_VALUE"""),71.33)</f>
        <v>71.33</v>
      </c>
      <c r="F3356" s="1">
        <f>IFERROR(__xludf.DUMMYFUNCTION("""COMPUTED_VALUE"""),2274520.0)</f>
        <v>2274520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IFERROR(__xludf.DUMMYFUNCTION("""COMPUTED_VALUE"""),71.31)</f>
        <v>71.31</v>
      </c>
      <c r="C3357" s="1">
        <f>IFERROR(__xludf.DUMMYFUNCTION("""COMPUTED_VALUE"""),72.88)</f>
        <v>72.88</v>
      </c>
      <c r="D3357" s="1">
        <f>IFERROR(__xludf.DUMMYFUNCTION("""COMPUTED_VALUE"""),70.61)</f>
        <v>70.61</v>
      </c>
      <c r="E3357" s="1">
        <f>IFERROR(__xludf.DUMMYFUNCTION("""COMPUTED_VALUE"""),70.67)</f>
        <v>70.67</v>
      </c>
      <c r="F3357" s="1">
        <f>IFERROR(__xludf.DUMMYFUNCTION("""COMPUTED_VALUE"""),1727837.0)</f>
        <v>1727837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IFERROR(__xludf.DUMMYFUNCTION("""COMPUTED_VALUE"""),70.27)</f>
        <v>70.27</v>
      </c>
      <c r="C3358" s="1">
        <f>IFERROR(__xludf.DUMMYFUNCTION("""COMPUTED_VALUE"""),70.58)</f>
        <v>70.58</v>
      </c>
      <c r="D3358" s="1">
        <f>IFERROR(__xludf.DUMMYFUNCTION("""COMPUTED_VALUE"""),67.14)</f>
        <v>67.14</v>
      </c>
      <c r="E3358" s="1">
        <f>IFERROR(__xludf.DUMMYFUNCTION("""COMPUTED_VALUE"""),68.07)</f>
        <v>68.07</v>
      </c>
      <c r="F3358" s="1">
        <f>IFERROR(__xludf.DUMMYFUNCTION("""COMPUTED_VALUE"""),1960602.0)</f>
        <v>1960602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IFERROR(__xludf.DUMMYFUNCTION("""COMPUTED_VALUE"""),69.25)</f>
        <v>69.25</v>
      </c>
      <c r="C3359" s="1">
        <f>IFERROR(__xludf.DUMMYFUNCTION("""COMPUTED_VALUE"""),71.31)</f>
        <v>71.31</v>
      </c>
      <c r="D3359" s="1">
        <f>IFERROR(__xludf.DUMMYFUNCTION("""COMPUTED_VALUE"""),68.99)</f>
        <v>68.99</v>
      </c>
      <c r="E3359" s="1">
        <f>IFERROR(__xludf.DUMMYFUNCTION("""COMPUTED_VALUE"""),70.61)</f>
        <v>70.61</v>
      </c>
      <c r="F3359" s="1">
        <f>IFERROR(__xludf.DUMMYFUNCTION("""COMPUTED_VALUE"""),1422180.0)</f>
        <v>1422180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IFERROR(__xludf.DUMMYFUNCTION("""COMPUTED_VALUE"""),71.16)</f>
        <v>71.16</v>
      </c>
      <c r="C3360" s="1">
        <f>IFERROR(__xludf.DUMMYFUNCTION("""COMPUTED_VALUE"""),73.02)</f>
        <v>73.02</v>
      </c>
      <c r="D3360" s="1">
        <f>IFERROR(__xludf.DUMMYFUNCTION("""COMPUTED_VALUE"""),70.46)</f>
        <v>70.46</v>
      </c>
      <c r="E3360" s="1">
        <f>IFERROR(__xludf.DUMMYFUNCTION("""COMPUTED_VALUE"""),72.75)</f>
        <v>72.75</v>
      </c>
      <c r="F3360" s="1">
        <f>IFERROR(__xludf.DUMMYFUNCTION("""COMPUTED_VALUE"""),1709670.0)</f>
        <v>1709670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IFERROR(__xludf.DUMMYFUNCTION("""COMPUTED_VALUE"""),71.8)</f>
        <v>71.8</v>
      </c>
      <c r="C3361" s="1">
        <f>IFERROR(__xludf.DUMMYFUNCTION("""COMPUTED_VALUE"""),72.97)</f>
        <v>72.97</v>
      </c>
      <c r="D3361" s="1">
        <f>IFERROR(__xludf.DUMMYFUNCTION("""COMPUTED_VALUE"""),71.37)</f>
        <v>71.37</v>
      </c>
      <c r="E3361" s="1">
        <f>IFERROR(__xludf.DUMMYFUNCTION("""COMPUTED_VALUE"""),72.53)</f>
        <v>72.53</v>
      </c>
      <c r="F3361" s="1">
        <f>IFERROR(__xludf.DUMMYFUNCTION("""COMPUTED_VALUE"""),1497864.0)</f>
        <v>1497864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IFERROR(__xludf.DUMMYFUNCTION("""COMPUTED_VALUE"""),73.64)</f>
        <v>73.64</v>
      </c>
      <c r="C3362" s="1">
        <f>IFERROR(__xludf.DUMMYFUNCTION("""COMPUTED_VALUE"""),74.15)</f>
        <v>74.15</v>
      </c>
      <c r="D3362" s="1">
        <f>IFERROR(__xludf.DUMMYFUNCTION("""COMPUTED_VALUE"""),72.14)</f>
        <v>72.14</v>
      </c>
      <c r="E3362" s="1">
        <f>IFERROR(__xludf.DUMMYFUNCTION("""COMPUTED_VALUE"""),73.41)</f>
        <v>73.41</v>
      </c>
      <c r="F3362" s="1">
        <f>IFERROR(__xludf.DUMMYFUNCTION("""COMPUTED_VALUE"""),1666779.0)</f>
        <v>1666779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IFERROR(__xludf.DUMMYFUNCTION("""COMPUTED_VALUE"""),73.25)</f>
        <v>73.25</v>
      </c>
      <c r="C3363" s="1">
        <f>IFERROR(__xludf.DUMMYFUNCTION("""COMPUTED_VALUE"""),73.55)</f>
        <v>73.55</v>
      </c>
      <c r="D3363" s="1">
        <f>IFERROR(__xludf.DUMMYFUNCTION("""COMPUTED_VALUE"""),71.11)</f>
        <v>71.11</v>
      </c>
      <c r="E3363" s="1">
        <f>IFERROR(__xludf.DUMMYFUNCTION("""COMPUTED_VALUE"""),72.27)</f>
        <v>72.27</v>
      </c>
      <c r="F3363" s="1">
        <f>IFERROR(__xludf.DUMMYFUNCTION("""COMPUTED_VALUE"""),995805.0)</f>
        <v>995805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IFERROR(__xludf.DUMMYFUNCTION("""COMPUTED_VALUE"""),73.0)</f>
        <v>73</v>
      </c>
      <c r="C3364" s="1">
        <f>IFERROR(__xludf.DUMMYFUNCTION("""COMPUTED_VALUE"""),73.25)</f>
        <v>73.25</v>
      </c>
      <c r="D3364" s="1">
        <f>IFERROR(__xludf.DUMMYFUNCTION("""COMPUTED_VALUE"""),70.25)</f>
        <v>70.25</v>
      </c>
      <c r="E3364" s="1">
        <f>IFERROR(__xludf.DUMMYFUNCTION("""COMPUTED_VALUE"""),71.16)</f>
        <v>71.16</v>
      </c>
      <c r="F3364" s="1">
        <f>IFERROR(__xludf.DUMMYFUNCTION("""COMPUTED_VALUE"""),919246.0)</f>
        <v>919246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IFERROR(__xludf.DUMMYFUNCTION("""COMPUTED_VALUE"""),71.07)</f>
        <v>71.07</v>
      </c>
      <c r="C3365" s="1">
        <f>IFERROR(__xludf.DUMMYFUNCTION("""COMPUTED_VALUE"""),71.94)</f>
        <v>71.94</v>
      </c>
      <c r="D3365" s="1">
        <f>IFERROR(__xludf.DUMMYFUNCTION("""COMPUTED_VALUE"""),70.26)</f>
        <v>70.26</v>
      </c>
      <c r="E3365" s="1">
        <f>IFERROR(__xludf.DUMMYFUNCTION("""COMPUTED_VALUE"""),71.7)</f>
        <v>71.7</v>
      </c>
      <c r="F3365" s="1">
        <f>IFERROR(__xludf.DUMMYFUNCTION("""COMPUTED_VALUE"""),1324805.0)</f>
        <v>1324805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IFERROR(__xludf.DUMMYFUNCTION("""COMPUTED_VALUE"""),71.59)</f>
        <v>71.59</v>
      </c>
      <c r="C3366" s="1">
        <f>IFERROR(__xludf.DUMMYFUNCTION("""COMPUTED_VALUE"""),71.59)</f>
        <v>71.59</v>
      </c>
      <c r="D3366" s="1">
        <f>IFERROR(__xludf.DUMMYFUNCTION("""COMPUTED_VALUE"""),68.97)</f>
        <v>68.97</v>
      </c>
      <c r="E3366" s="1">
        <f>IFERROR(__xludf.DUMMYFUNCTION("""COMPUTED_VALUE"""),69.06)</f>
        <v>69.06</v>
      </c>
      <c r="F3366" s="1">
        <f>IFERROR(__xludf.DUMMYFUNCTION("""COMPUTED_VALUE"""),1276852.0)</f>
        <v>1276852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IFERROR(__xludf.DUMMYFUNCTION("""COMPUTED_VALUE"""),69.55)</f>
        <v>69.55</v>
      </c>
      <c r="C3367" s="1">
        <f>IFERROR(__xludf.DUMMYFUNCTION("""COMPUTED_VALUE"""),72.44)</f>
        <v>72.44</v>
      </c>
      <c r="D3367" s="1">
        <f>IFERROR(__xludf.DUMMYFUNCTION("""COMPUTED_VALUE"""),69.3)</f>
        <v>69.3</v>
      </c>
      <c r="E3367" s="1">
        <f>IFERROR(__xludf.DUMMYFUNCTION("""COMPUTED_VALUE"""),71.95)</f>
        <v>71.95</v>
      </c>
      <c r="F3367" s="1">
        <f>IFERROR(__xludf.DUMMYFUNCTION("""COMPUTED_VALUE"""),1383474.0)</f>
        <v>1383474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IFERROR(__xludf.DUMMYFUNCTION("""COMPUTED_VALUE"""),71.41)</f>
        <v>71.41</v>
      </c>
      <c r="C3368" s="1">
        <f>IFERROR(__xludf.DUMMYFUNCTION("""COMPUTED_VALUE"""),73.26)</f>
        <v>73.26</v>
      </c>
      <c r="D3368" s="1">
        <f>IFERROR(__xludf.DUMMYFUNCTION("""COMPUTED_VALUE"""),71.06)</f>
        <v>71.06</v>
      </c>
      <c r="E3368" s="1">
        <f>IFERROR(__xludf.DUMMYFUNCTION("""COMPUTED_VALUE"""),73.13)</f>
        <v>73.13</v>
      </c>
      <c r="F3368" s="1">
        <f>IFERROR(__xludf.DUMMYFUNCTION("""COMPUTED_VALUE"""),944192.0)</f>
        <v>944192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IFERROR(__xludf.DUMMYFUNCTION("""COMPUTED_VALUE"""),73.06)</f>
        <v>73.06</v>
      </c>
      <c r="C3369" s="1">
        <f>IFERROR(__xludf.DUMMYFUNCTION("""COMPUTED_VALUE"""),73.06)</f>
        <v>73.06</v>
      </c>
      <c r="D3369" s="1">
        <f>IFERROR(__xludf.DUMMYFUNCTION("""COMPUTED_VALUE"""),70.75)</f>
        <v>70.75</v>
      </c>
      <c r="E3369" s="1">
        <f>IFERROR(__xludf.DUMMYFUNCTION("""COMPUTED_VALUE"""),71.75)</f>
        <v>71.75</v>
      </c>
      <c r="F3369" s="1">
        <f>IFERROR(__xludf.DUMMYFUNCTION("""COMPUTED_VALUE"""),1183459.0)</f>
        <v>1183459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IFERROR(__xludf.DUMMYFUNCTION("""COMPUTED_VALUE"""),71.92)</f>
        <v>71.92</v>
      </c>
      <c r="C3370" s="1">
        <f>IFERROR(__xludf.DUMMYFUNCTION("""COMPUTED_VALUE"""),72.43)</f>
        <v>72.43</v>
      </c>
      <c r="D3370" s="1">
        <f>IFERROR(__xludf.DUMMYFUNCTION("""COMPUTED_VALUE"""),71.25)</f>
        <v>71.25</v>
      </c>
      <c r="E3370" s="1">
        <f>IFERROR(__xludf.DUMMYFUNCTION("""COMPUTED_VALUE"""),72.21)</f>
        <v>72.21</v>
      </c>
      <c r="F3370" s="1">
        <f>IFERROR(__xludf.DUMMYFUNCTION("""COMPUTED_VALUE"""),949736.0)</f>
        <v>949736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IFERROR(__xludf.DUMMYFUNCTION("""COMPUTED_VALUE"""),71.81)</f>
        <v>71.81</v>
      </c>
      <c r="C3371" s="1">
        <f>IFERROR(__xludf.DUMMYFUNCTION("""COMPUTED_VALUE"""),73.83)</f>
        <v>73.83</v>
      </c>
      <c r="D3371" s="1">
        <f>IFERROR(__xludf.DUMMYFUNCTION("""COMPUTED_VALUE"""),71.55)</f>
        <v>71.55</v>
      </c>
      <c r="E3371" s="1">
        <f>IFERROR(__xludf.DUMMYFUNCTION("""COMPUTED_VALUE"""),71.98)</f>
        <v>71.98</v>
      </c>
      <c r="F3371" s="1">
        <f>IFERROR(__xludf.DUMMYFUNCTION("""COMPUTED_VALUE"""),1664005.0)</f>
        <v>1664005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IFERROR(__xludf.DUMMYFUNCTION("""COMPUTED_VALUE"""),71.35)</f>
        <v>71.35</v>
      </c>
      <c r="C3372" s="1">
        <f>IFERROR(__xludf.DUMMYFUNCTION("""COMPUTED_VALUE"""),71.74)</f>
        <v>71.74</v>
      </c>
      <c r="D3372" s="1">
        <f>IFERROR(__xludf.DUMMYFUNCTION("""COMPUTED_VALUE"""),69.1)</f>
        <v>69.1</v>
      </c>
      <c r="E3372" s="1">
        <f>IFERROR(__xludf.DUMMYFUNCTION("""COMPUTED_VALUE"""),70.15)</f>
        <v>70.15</v>
      </c>
      <c r="F3372" s="1">
        <f>IFERROR(__xludf.DUMMYFUNCTION("""COMPUTED_VALUE"""),1344658.0)</f>
        <v>1344658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IFERROR(__xludf.DUMMYFUNCTION("""COMPUTED_VALUE"""),70.13)</f>
        <v>70.13</v>
      </c>
      <c r="C3373" s="1">
        <f>IFERROR(__xludf.DUMMYFUNCTION("""COMPUTED_VALUE"""),71.63)</f>
        <v>71.63</v>
      </c>
      <c r="D3373" s="1">
        <f>IFERROR(__xludf.DUMMYFUNCTION("""COMPUTED_VALUE"""),70.0)</f>
        <v>70</v>
      </c>
      <c r="E3373" s="1">
        <f>IFERROR(__xludf.DUMMYFUNCTION("""COMPUTED_VALUE"""),71.02)</f>
        <v>71.02</v>
      </c>
      <c r="F3373" s="1">
        <f>IFERROR(__xludf.DUMMYFUNCTION("""COMPUTED_VALUE"""),937878.0)</f>
        <v>937878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IFERROR(__xludf.DUMMYFUNCTION("""COMPUTED_VALUE"""),71.24)</f>
        <v>71.24</v>
      </c>
      <c r="C3374" s="1">
        <f>IFERROR(__xludf.DUMMYFUNCTION("""COMPUTED_VALUE"""),72.86)</f>
        <v>72.86</v>
      </c>
      <c r="D3374" s="1">
        <f>IFERROR(__xludf.DUMMYFUNCTION("""COMPUTED_VALUE"""),70.8)</f>
        <v>70.8</v>
      </c>
      <c r="E3374" s="1">
        <f>IFERROR(__xludf.DUMMYFUNCTION("""COMPUTED_VALUE"""),72.48)</f>
        <v>72.48</v>
      </c>
      <c r="F3374" s="1">
        <f>IFERROR(__xludf.DUMMYFUNCTION("""COMPUTED_VALUE"""),935068.0)</f>
        <v>935068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IFERROR(__xludf.DUMMYFUNCTION("""COMPUTED_VALUE"""),73.16)</f>
        <v>73.16</v>
      </c>
      <c r="C3375" s="1">
        <f>IFERROR(__xludf.DUMMYFUNCTION("""COMPUTED_VALUE"""),74.48)</f>
        <v>74.48</v>
      </c>
      <c r="D3375" s="1">
        <f>IFERROR(__xludf.DUMMYFUNCTION("""COMPUTED_VALUE"""),72.64)</f>
        <v>72.64</v>
      </c>
      <c r="E3375" s="1">
        <f>IFERROR(__xludf.DUMMYFUNCTION("""COMPUTED_VALUE"""),73.96)</f>
        <v>73.96</v>
      </c>
      <c r="F3375" s="1">
        <f>IFERROR(__xludf.DUMMYFUNCTION("""COMPUTED_VALUE"""),1206305.0)</f>
        <v>1206305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IFERROR(__xludf.DUMMYFUNCTION("""COMPUTED_VALUE"""),72.2)</f>
        <v>72.2</v>
      </c>
      <c r="C3376" s="1">
        <f>IFERROR(__xludf.DUMMYFUNCTION("""COMPUTED_VALUE"""),73.02)</f>
        <v>73.02</v>
      </c>
      <c r="D3376" s="1">
        <f>IFERROR(__xludf.DUMMYFUNCTION("""COMPUTED_VALUE"""),70.64)</f>
        <v>70.64</v>
      </c>
      <c r="E3376" s="1">
        <f>IFERROR(__xludf.DUMMYFUNCTION("""COMPUTED_VALUE"""),72.21)</f>
        <v>72.21</v>
      </c>
      <c r="F3376" s="1">
        <f>IFERROR(__xludf.DUMMYFUNCTION("""COMPUTED_VALUE"""),1721832.0)</f>
        <v>1721832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IFERROR(__xludf.DUMMYFUNCTION("""COMPUTED_VALUE"""),72.49)</f>
        <v>72.49</v>
      </c>
      <c r="C3377" s="1">
        <f>IFERROR(__xludf.DUMMYFUNCTION("""COMPUTED_VALUE"""),72.57)</f>
        <v>72.57</v>
      </c>
      <c r="D3377" s="1">
        <f>IFERROR(__xludf.DUMMYFUNCTION("""COMPUTED_VALUE"""),71.14)</f>
        <v>71.14</v>
      </c>
      <c r="E3377" s="1">
        <f>IFERROR(__xludf.DUMMYFUNCTION("""COMPUTED_VALUE"""),71.81)</f>
        <v>71.81</v>
      </c>
      <c r="F3377" s="1">
        <f>IFERROR(__xludf.DUMMYFUNCTION("""COMPUTED_VALUE"""),1374511.0)</f>
        <v>1374511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IFERROR(__xludf.DUMMYFUNCTION("""COMPUTED_VALUE"""),72.82)</f>
        <v>72.82</v>
      </c>
      <c r="C3378" s="1">
        <f>IFERROR(__xludf.DUMMYFUNCTION("""COMPUTED_VALUE"""),74.85)</f>
        <v>74.85</v>
      </c>
      <c r="D3378" s="1">
        <f>IFERROR(__xludf.DUMMYFUNCTION("""COMPUTED_VALUE"""),72.46)</f>
        <v>72.46</v>
      </c>
      <c r="E3378" s="1">
        <f>IFERROR(__xludf.DUMMYFUNCTION("""COMPUTED_VALUE"""),74.66)</f>
        <v>74.66</v>
      </c>
      <c r="F3378" s="1">
        <f>IFERROR(__xludf.DUMMYFUNCTION("""COMPUTED_VALUE"""),2017175.0)</f>
        <v>2017175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IFERROR(__xludf.DUMMYFUNCTION("""COMPUTED_VALUE"""),74.66)</f>
        <v>74.66</v>
      </c>
      <c r="C3379" s="1">
        <f>IFERROR(__xludf.DUMMYFUNCTION("""COMPUTED_VALUE"""),75.72)</f>
        <v>75.72</v>
      </c>
      <c r="D3379" s="1">
        <f>IFERROR(__xludf.DUMMYFUNCTION("""COMPUTED_VALUE"""),73.5)</f>
        <v>73.5</v>
      </c>
      <c r="E3379" s="1">
        <f>IFERROR(__xludf.DUMMYFUNCTION("""COMPUTED_VALUE"""),75.26)</f>
        <v>75.26</v>
      </c>
      <c r="F3379" s="1">
        <f>IFERROR(__xludf.DUMMYFUNCTION("""COMPUTED_VALUE"""),1262525.0)</f>
        <v>1262525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IFERROR(__xludf.DUMMYFUNCTION("""COMPUTED_VALUE"""),74.93)</f>
        <v>74.93</v>
      </c>
      <c r="C3380" s="1">
        <f>IFERROR(__xludf.DUMMYFUNCTION("""COMPUTED_VALUE"""),79.4)</f>
        <v>79.4</v>
      </c>
      <c r="D3380" s="1">
        <f>IFERROR(__xludf.DUMMYFUNCTION("""COMPUTED_VALUE"""),74.93)</f>
        <v>74.93</v>
      </c>
      <c r="E3380" s="1">
        <f>IFERROR(__xludf.DUMMYFUNCTION("""COMPUTED_VALUE"""),79.08)</f>
        <v>79.08</v>
      </c>
      <c r="F3380" s="1">
        <f>IFERROR(__xludf.DUMMYFUNCTION("""COMPUTED_VALUE"""),2781653.0)</f>
        <v>2781653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IFERROR(__xludf.DUMMYFUNCTION("""COMPUTED_VALUE"""),80.0)</f>
        <v>80</v>
      </c>
      <c r="C3381" s="1">
        <f>IFERROR(__xludf.DUMMYFUNCTION("""COMPUTED_VALUE"""),81.13)</f>
        <v>81.13</v>
      </c>
      <c r="D3381" s="1">
        <f>IFERROR(__xludf.DUMMYFUNCTION("""COMPUTED_VALUE"""),78.72)</f>
        <v>78.72</v>
      </c>
      <c r="E3381" s="1">
        <f>IFERROR(__xludf.DUMMYFUNCTION("""COMPUTED_VALUE"""),79.13)</f>
        <v>79.13</v>
      </c>
      <c r="F3381" s="1">
        <f>IFERROR(__xludf.DUMMYFUNCTION("""COMPUTED_VALUE"""),2772353.0)</f>
        <v>2772353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IFERROR(__xludf.DUMMYFUNCTION("""COMPUTED_VALUE"""),80.05)</f>
        <v>80.05</v>
      </c>
      <c r="C3382" s="1">
        <f>IFERROR(__xludf.DUMMYFUNCTION("""COMPUTED_VALUE"""),80.48)</f>
        <v>80.48</v>
      </c>
      <c r="D3382" s="1">
        <f>IFERROR(__xludf.DUMMYFUNCTION("""COMPUTED_VALUE"""),78.58)</f>
        <v>78.58</v>
      </c>
      <c r="E3382" s="1">
        <f>IFERROR(__xludf.DUMMYFUNCTION("""COMPUTED_VALUE"""),79.89)</f>
        <v>79.89</v>
      </c>
      <c r="F3382" s="1">
        <f>IFERROR(__xludf.DUMMYFUNCTION("""COMPUTED_VALUE"""),1379062.0)</f>
        <v>1379062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IFERROR(__xludf.DUMMYFUNCTION("""COMPUTED_VALUE"""),80.37)</f>
        <v>80.37</v>
      </c>
      <c r="C3383" s="1">
        <f>IFERROR(__xludf.DUMMYFUNCTION("""COMPUTED_VALUE"""),80.71)</f>
        <v>80.71</v>
      </c>
      <c r="D3383" s="1">
        <f>IFERROR(__xludf.DUMMYFUNCTION("""COMPUTED_VALUE"""),78.31)</f>
        <v>78.31</v>
      </c>
      <c r="E3383" s="1">
        <f>IFERROR(__xludf.DUMMYFUNCTION("""COMPUTED_VALUE"""),78.81)</f>
        <v>78.81</v>
      </c>
      <c r="F3383" s="1">
        <f>IFERROR(__xludf.DUMMYFUNCTION("""COMPUTED_VALUE"""),1172201.0)</f>
        <v>1172201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IFERROR(__xludf.DUMMYFUNCTION("""COMPUTED_VALUE"""),78.41)</f>
        <v>78.41</v>
      </c>
      <c r="C3384" s="1">
        <f>IFERROR(__xludf.DUMMYFUNCTION("""COMPUTED_VALUE"""),80.05)</f>
        <v>80.05</v>
      </c>
      <c r="D3384" s="1">
        <f>IFERROR(__xludf.DUMMYFUNCTION("""COMPUTED_VALUE"""),77.67)</f>
        <v>77.67</v>
      </c>
      <c r="E3384" s="1">
        <f>IFERROR(__xludf.DUMMYFUNCTION("""COMPUTED_VALUE"""),79.53)</f>
        <v>79.53</v>
      </c>
      <c r="F3384" s="1">
        <f>IFERROR(__xludf.DUMMYFUNCTION("""COMPUTED_VALUE"""),1327716.0)</f>
        <v>1327716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IFERROR(__xludf.DUMMYFUNCTION("""COMPUTED_VALUE"""),80.2)</f>
        <v>80.2</v>
      </c>
      <c r="C3385" s="1">
        <f>IFERROR(__xludf.DUMMYFUNCTION("""COMPUTED_VALUE"""),81.22)</f>
        <v>81.22</v>
      </c>
      <c r="D3385" s="1">
        <f>IFERROR(__xludf.DUMMYFUNCTION("""COMPUTED_VALUE"""),80.14)</f>
        <v>80.14</v>
      </c>
      <c r="E3385" s="1">
        <f>IFERROR(__xludf.DUMMYFUNCTION("""COMPUTED_VALUE"""),80.61)</f>
        <v>80.61</v>
      </c>
      <c r="F3385" s="1">
        <f>IFERROR(__xludf.DUMMYFUNCTION("""COMPUTED_VALUE"""),1281347.0)</f>
        <v>1281347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IFERROR(__xludf.DUMMYFUNCTION("""COMPUTED_VALUE"""),80.8)</f>
        <v>80.8</v>
      </c>
      <c r="C3386" s="1">
        <f>IFERROR(__xludf.DUMMYFUNCTION("""COMPUTED_VALUE"""),81.75)</f>
        <v>81.75</v>
      </c>
      <c r="D3386" s="1">
        <f>IFERROR(__xludf.DUMMYFUNCTION("""COMPUTED_VALUE"""),79.1)</f>
        <v>79.1</v>
      </c>
      <c r="E3386" s="1">
        <f>IFERROR(__xludf.DUMMYFUNCTION("""COMPUTED_VALUE"""),79.7)</f>
        <v>79.7</v>
      </c>
      <c r="F3386" s="1">
        <f>IFERROR(__xludf.DUMMYFUNCTION("""COMPUTED_VALUE"""),1325165.0)</f>
        <v>1325165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IFERROR(__xludf.DUMMYFUNCTION("""COMPUTED_VALUE"""),78.71)</f>
        <v>78.71</v>
      </c>
      <c r="C3387" s="1">
        <f>IFERROR(__xludf.DUMMYFUNCTION("""COMPUTED_VALUE"""),81.14)</f>
        <v>81.14</v>
      </c>
      <c r="D3387" s="1">
        <f>IFERROR(__xludf.DUMMYFUNCTION("""COMPUTED_VALUE"""),78.62)</f>
        <v>78.62</v>
      </c>
      <c r="E3387" s="1">
        <f>IFERROR(__xludf.DUMMYFUNCTION("""COMPUTED_VALUE"""),80.85)</f>
        <v>80.85</v>
      </c>
      <c r="F3387" s="1">
        <f>IFERROR(__xludf.DUMMYFUNCTION("""COMPUTED_VALUE"""),1078869.0)</f>
        <v>1078869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IFERROR(__xludf.DUMMYFUNCTION("""COMPUTED_VALUE"""),81.16)</f>
        <v>81.16</v>
      </c>
      <c r="C3388" s="1">
        <f>IFERROR(__xludf.DUMMYFUNCTION("""COMPUTED_VALUE"""),81.36)</f>
        <v>81.36</v>
      </c>
      <c r="D3388" s="1">
        <f>IFERROR(__xludf.DUMMYFUNCTION("""COMPUTED_VALUE"""),79.25)</f>
        <v>79.25</v>
      </c>
      <c r="E3388" s="1">
        <f>IFERROR(__xludf.DUMMYFUNCTION("""COMPUTED_VALUE"""),79.63)</f>
        <v>79.63</v>
      </c>
      <c r="F3388" s="1">
        <f>IFERROR(__xludf.DUMMYFUNCTION("""COMPUTED_VALUE"""),2316830.0)</f>
        <v>2316830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IFERROR(__xludf.DUMMYFUNCTION("""COMPUTED_VALUE"""),79.32)</f>
        <v>79.32</v>
      </c>
      <c r="C3389" s="1">
        <f>IFERROR(__xludf.DUMMYFUNCTION("""COMPUTED_VALUE"""),80.16)</f>
        <v>80.16</v>
      </c>
      <c r="D3389" s="1">
        <f>IFERROR(__xludf.DUMMYFUNCTION("""COMPUTED_VALUE"""),78.37)</f>
        <v>78.37</v>
      </c>
      <c r="E3389" s="1">
        <f>IFERROR(__xludf.DUMMYFUNCTION("""COMPUTED_VALUE"""),78.59)</f>
        <v>78.59</v>
      </c>
      <c r="F3389" s="1">
        <f>IFERROR(__xludf.DUMMYFUNCTION("""COMPUTED_VALUE"""),1623532.0)</f>
        <v>1623532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IFERROR(__xludf.DUMMYFUNCTION("""COMPUTED_VALUE"""),78.39)</f>
        <v>78.39</v>
      </c>
      <c r="C3390" s="1">
        <f>IFERROR(__xludf.DUMMYFUNCTION("""COMPUTED_VALUE"""),79.06)</f>
        <v>79.06</v>
      </c>
      <c r="D3390" s="1">
        <f>IFERROR(__xludf.DUMMYFUNCTION("""COMPUTED_VALUE"""),77.27)</f>
        <v>77.27</v>
      </c>
      <c r="E3390" s="1">
        <f>IFERROR(__xludf.DUMMYFUNCTION("""COMPUTED_VALUE"""),78.3)</f>
        <v>78.3</v>
      </c>
      <c r="F3390" s="1">
        <f>IFERROR(__xludf.DUMMYFUNCTION("""COMPUTED_VALUE"""),1706271.0)</f>
        <v>1706271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IFERROR(__xludf.DUMMYFUNCTION("""COMPUTED_VALUE"""),77.97)</f>
        <v>77.97</v>
      </c>
      <c r="C3391" s="1">
        <f>IFERROR(__xludf.DUMMYFUNCTION("""COMPUTED_VALUE"""),78.68)</f>
        <v>78.68</v>
      </c>
      <c r="D3391" s="1">
        <f>IFERROR(__xludf.DUMMYFUNCTION("""COMPUTED_VALUE"""),77.03)</f>
        <v>77.03</v>
      </c>
      <c r="E3391" s="1">
        <f>IFERROR(__xludf.DUMMYFUNCTION("""COMPUTED_VALUE"""),78.32)</f>
        <v>78.32</v>
      </c>
      <c r="F3391" s="1">
        <f>IFERROR(__xludf.DUMMYFUNCTION("""COMPUTED_VALUE"""),2525752.0)</f>
        <v>2525752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IFERROR(__xludf.DUMMYFUNCTION("""COMPUTED_VALUE"""),84.21)</f>
        <v>84.21</v>
      </c>
      <c r="C3392" s="1">
        <f>IFERROR(__xludf.DUMMYFUNCTION("""COMPUTED_VALUE"""),87.06)</f>
        <v>87.06</v>
      </c>
      <c r="D3392" s="1">
        <f>IFERROR(__xludf.DUMMYFUNCTION("""COMPUTED_VALUE"""),83.5)</f>
        <v>83.5</v>
      </c>
      <c r="E3392" s="1">
        <f>IFERROR(__xludf.DUMMYFUNCTION("""COMPUTED_VALUE"""),86.21)</f>
        <v>86.21</v>
      </c>
      <c r="F3392" s="1">
        <f>IFERROR(__xludf.DUMMYFUNCTION("""COMPUTED_VALUE"""),1.4449061E7)</f>
        <v>14449061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IFERROR(__xludf.DUMMYFUNCTION("""COMPUTED_VALUE"""),86.41)</f>
        <v>86.41</v>
      </c>
      <c r="C3393" s="1">
        <f>IFERROR(__xludf.DUMMYFUNCTION("""COMPUTED_VALUE"""),86.52)</f>
        <v>86.52</v>
      </c>
      <c r="D3393" s="1">
        <f>IFERROR(__xludf.DUMMYFUNCTION("""COMPUTED_VALUE"""),80.96)</f>
        <v>80.96</v>
      </c>
      <c r="E3393" s="1">
        <f>IFERROR(__xludf.DUMMYFUNCTION("""COMPUTED_VALUE"""),81.25)</f>
        <v>81.25</v>
      </c>
      <c r="F3393" s="1">
        <f>IFERROR(__xludf.DUMMYFUNCTION("""COMPUTED_VALUE"""),4005487.0)</f>
        <v>4005487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IFERROR(__xludf.DUMMYFUNCTION("""COMPUTED_VALUE"""),81.72)</f>
        <v>81.72</v>
      </c>
      <c r="C3394" s="1">
        <f>IFERROR(__xludf.DUMMYFUNCTION("""COMPUTED_VALUE"""),82.74)</f>
        <v>82.74</v>
      </c>
      <c r="D3394" s="1">
        <f>IFERROR(__xludf.DUMMYFUNCTION("""COMPUTED_VALUE"""),80.62)</f>
        <v>80.62</v>
      </c>
      <c r="E3394" s="1">
        <f>IFERROR(__xludf.DUMMYFUNCTION("""COMPUTED_VALUE"""),82.42)</f>
        <v>82.42</v>
      </c>
      <c r="F3394" s="1">
        <f>IFERROR(__xludf.DUMMYFUNCTION("""COMPUTED_VALUE"""),2283515.0)</f>
        <v>2283515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IFERROR(__xludf.DUMMYFUNCTION("""COMPUTED_VALUE"""),82.42)</f>
        <v>82.42</v>
      </c>
      <c r="C3395" s="1">
        <f>IFERROR(__xludf.DUMMYFUNCTION("""COMPUTED_VALUE"""),85.09)</f>
        <v>85.09</v>
      </c>
      <c r="D3395" s="1">
        <f>IFERROR(__xludf.DUMMYFUNCTION("""COMPUTED_VALUE"""),82.11)</f>
        <v>82.11</v>
      </c>
      <c r="E3395" s="1">
        <f>IFERROR(__xludf.DUMMYFUNCTION("""COMPUTED_VALUE"""),84.37)</f>
        <v>84.37</v>
      </c>
      <c r="F3395" s="1">
        <f>IFERROR(__xludf.DUMMYFUNCTION("""COMPUTED_VALUE"""),4015402.0)</f>
        <v>4015402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IFERROR(__xludf.DUMMYFUNCTION("""COMPUTED_VALUE"""),84.33)</f>
        <v>84.33</v>
      </c>
      <c r="C3396" s="1">
        <f>IFERROR(__xludf.DUMMYFUNCTION("""COMPUTED_VALUE"""),85.21)</f>
        <v>85.21</v>
      </c>
      <c r="D3396" s="1">
        <f>IFERROR(__xludf.DUMMYFUNCTION("""COMPUTED_VALUE"""),83.87)</f>
        <v>83.87</v>
      </c>
      <c r="E3396" s="1">
        <f>IFERROR(__xludf.DUMMYFUNCTION("""COMPUTED_VALUE"""),84.34)</f>
        <v>84.34</v>
      </c>
      <c r="F3396" s="1">
        <f>IFERROR(__xludf.DUMMYFUNCTION("""COMPUTED_VALUE"""),1731370.0)</f>
        <v>1731370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IFERROR(__xludf.DUMMYFUNCTION("""COMPUTED_VALUE"""),85.3)</f>
        <v>85.3</v>
      </c>
      <c r="C3397" s="1">
        <f>IFERROR(__xludf.DUMMYFUNCTION("""COMPUTED_VALUE"""),85.67)</f>
        <v>85.67</v>
      </c>
      <c r="D3397" s="1">
        <f>IFERROR(__xludf.DUMMYFUNCTION("""COMPUTED_VALUE"""),83.34)</f>
        <v>83.34</v>
      </c>
      <c r="E3397" s="1">
        <f>IFERROR(__xludf.DUMMYFUNCTION("""COMPUTED_VALUE"""),83.7)</f>
        <v>83.7</v>
      </c>
      <c r="F3397" s="1">
        <f>IFERROR(__xludf.DUMMYFUNCTION("""COMPUTED_VALUE"""),1970410.0)</f>
        <v>1970410</v>
      </c>
    </row>
    <row r="3398">
      <c r="A3398" s="2">
        <f>IFERROR(__xludf.DUMMYFUNCTION("""COMPUTED_VALUE"""),45110.54166666667)</f>
        <v>45110.54167</v>
      </c>
      <c r="B3398" s="1">
        <f>IFERROR(__xludf.DUMMYFUNCTION("""COMPUTED_VALUE"""),83.09)</f>
        <v>83.09</v>
      </c>
      <c r="C3398" s="1">
        <f>IFERROR(__xludf.DUMMYFUNCTION("""COMPUTED_VALUE"""),84.0)</f>
        <v>84</v>
      </c>
      <c r="D3398" s="1">
        <f>IFERROR(__xludf.DUMMYFUNCTION("""COMPUTED_VALUE"""),81.94)</f>
        <v>81.94</v>
      </c>
      <c r="E3398" s="1">
        <f>IFERROR(__xludf.DUMMYFUNCTION("""COMPUTED_VALUE"""),82.16)</f>
        <v>82.16</v>
      </c>
      <c r="F3398" s="1">
        <f>IFERROR(__xludf.DUMMYFUNCTION("""COMPUTED_VALUE"""),934121.0)</f>
        <v>934121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IFERROR(__xludf.DUMMYFUNCTION("""COMPUTED_VALUE"""),82.17)</f>
        <v>82.17</v>
      </c>
      <c r="C3399" s="1">
        <f>IFERROR(__xludf.DUMMYFUNCTION("""COMPUTED_VALUE"""),82.72)</f>
        <v>82.72</v>
      </c>
      <c r="D3399" s="1">
        <f>IFERROR(__xludf.DUMMYFUNCTION("""COMPUTED_VALUE"""),81.5)</f>
        <v>81.5</v>
      </c>
      <c r="E3399" s="1">
        <f>IFERROR(__xludf.DUMMYFUNCTION("""COMPUTED_VALUE"""),82.24)</f>
        <v>82.24</v>
      </c>
      <c r="F3399" s="1">
        <f>IFERROR(__xludf.DUMMYFUNCTION("""COMPUTED_VALUE"""),1416590.0)</f>
        <v>1416590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IFERROR(__xludf.DUMMYFUNCTION("""COMPUTED_VALUE"""),81.33)</f>
        <v>81.33</v>
      </c>
      <c r="C3400" s="1">
        <f>IFERROR(__xludf.DUMMYFUNCTION("""COMPUTED_VALUE"""),81.66)</f>
        <v>81.66</v>
      </c>
      <c r="D3400" s="1">
        <f>IFERROR(__xludf.DUMMYFUNCTION("""COMPUTED_VALUE"""),80.37)</f>
        <v>80.37</v>
      </c>
      <c r="E3400" s="1">
        <f>IFERROR(__xludf.DUMMYFUNCTION("""COMPUTED_VALUE"""),81.03)</f>
        <v>81.03</v>
      </c>
      <c r="F3400" s="1">
        <f>IFERROR(__xludf.DUMMYFUNCTION("""COMPUTED_VALUE"""),1616624.0)</f>
        <v>1616624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IFERROR(__xludf.DUMMYFUNCTION("""COMPUTED_VALUE"""),80.95)</f>
        <v>80.95</v>
      </c>
      <c r="C3401" s="1">
        <f>IFERROR(__xludf.DUMMYFUNCTION("""COMPUTED_VALUE"""),82.37)</f>
        <v>82.37</v>
      </c>
      <c r="D3401" s="1">
        <f>IFERROR(__xludf.DUMMYFUNCTION("""COMPUTED_VALUE"""),80.85)</f>
        <v>80.85</v>
      </c>
      <c r="E3401" s="1">
        <f>IFERROR(__xludf.DUMMYFUNCTION("""COMPUTED_VALUE"""),81.39)</f>
        <v>81.39</v>
      </c>
      <c r="F3401" s="1">
        <f>IFERROR(__xludf.DUMMYFUNCTION("""COMPUTED_VALUE"""),1570235.0)</f>
        <v>1570235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IFERROR(__xludf.DUMMYFUNCTION("""COMPUTED_VALUE"""),81.09)</f>
        <v>81.09</v>
      </c>
      <c r="C3402" s="1">
        <f>IFERROR(__xludf.DUMMYFUNCTION("""COMPUTED_VALUE"""),83.26)</f>
        <v>83.26</v>
      </c>
      <c r="D3402" s="1">
        <f>IFERROR(__xludf.DUMMYFUNCTION("""COMPUTED_VALUE"""),81.0)</f>
        <v>81</v>
      </c>
      <c r="E3402" s="1">
        <f>IFERROR(__xludf.DUMMYFUNCTION("""COMPUTED_VALUE"""),82.65)</f>
        <v>82.65</v>
      </c>
      <c r="F3402" s="1">
        <f>IFERROR(__xludf.DUMMYFUNCTION("""COMPUTED_VALUE"""),1518274.0)</f>
        <v>1518274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IFERROR(__xludf.DUMMYFUNCTION("""COMPUTED_VALUE"""),83.37)</f>
        <v>83.37</v>
      </c>
      <c r="C3403" s="1">
        <f>IFERROR(__xludf.DUMMYFUNCTION("""COMPUTED_VALUE"""),85.43)</f>
        <v>85.43</v>
      </c>
      <c r="D3403" s="1">
        <f>IFERROR(__xludf.DUMMYFUNCTION("""COMPUTED_VALUE"""),83.26)</f>
        <v>83.26</v>
      </c>
      <c r="E3403" s="1">
        <f>IFERROR(__xludf.DUMMYFUNCTION("""COMPUTED_VALUE"""),84.32)</f>
        <v>84.32</v>
      </c>
      <c r="F3403" s="1">
        <f>IFERROR(__xludf.DUMMYFUNCTION("""COMPUTED_VALUE"""),1551889.0)</f>
        <v>1551889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IFERROR(__xludf.DUMMYFUNCTION("""COMPUTED_VALUE"""),85.09)</f>
        <v>85.09</v>
      </c>
      <c r="C3404" s="1">
        <f>IFERROR(__xludf.DUMMYFUNCTION("""COMPUTED_VALUE"""),85.4)</f>
        <v>85.4</v>
      </c>
      <c r="D3404" s="1">
        <f>IFERROR(__xludf.DUMMYFUNCTION("""COMPUTED_VALUE"""),83.69)</f>
        <v>83.69</v>
      </c>
      <c r="E3404" s="1">
        <f>IFERROR(__xludf.DUMMYFUNCTION("""COMPUTED_VALUE"""),84.2)</f>
        <v>84.2</v>
      </c>
      <c r="F3404" s="1">
        <f>IFERROR(__xludf.DUMMYFUNCTION("""COMPUTED_VALUE"""),1139913.0)</f>
        <v>1139913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IFERROR(__xludf.DUMMYFUNCTION("""COMPUTED_VALUE"""),84.05)</f>
        <v>84.05</v>
      </c>
      <c r="C3405" s="1">
        <f>IFERROR(__xludf.DUMMYFUNCTION("""COMPUTED_VALUE"""),84.69)</f>
        <v>84.69</v>
      </c>
      <c r="D3405" s="1">
        <f>IFERROR(__xludf.DUMMYFUNCTION("""COMPUTED_VALUE"""),83.24)</f>
        <v>83.24</v>
      </c>
      <c r="E3405" s="1">
        <f>IFERROR(__xludf.DUMMYFUNCTION("""COMPUTED_VALUE"""),83.42)</f>
        <v>83.42</v>
      </c>
      <c r="F3405" s="1">
        <f>IFERROR(__xludf.DUMMYFUNCTION("""COMPUTED_VALUE"""),1182699.0)</f>
        <v>1182699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IFERROR(__xludf.DUMMYFUNCTION("""COMPUTED_VALUE"""),84.23)</f>
        <v>84.23</v>
      </c>
      <c r="C3406" s="1">
        <f>IFERROR(__xludf.DUMMYFUNCTION("""COMPUTED_VALUE"""),84.95)</f>
        <v>84.95</v>
      </c>
      <c r="D3406" s="1">
        <f>IFERROR(__xludf.DUMMYFUNCTION("""COMPUTED_VALUE"""),83.01)</f>
        <v>83.01</v>
      </c>
      <c r="E3406" s="1">
        <f>IFERROR(__xludf.DUMMYFUNCTION("""COMPUTED_VALUE"""),83.4)</f>
        <v>83.4</v>
      </c>
      <c r="F3406" s="1">
        <f>IFERROR(__xludf.DUMMYFUNCTION("""COMPUTED_VALUE"""),898770.0)</f>
        <v>898770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IFERROR(__xludf.DUMMYFUNCTION("""COMPUTED_VALUE"""),83.22)</f>
        <v>83.22</v>
      </c>
      <c r="C3407" s="1">
        <f>IFERROR(__xludf.DUMMYFUNCTION("""COMPUTED_VALUE"""),84.5)</f>
        <v>84.5</v>
      </c>
      <c r="D3407" s="1">
        <f>IFERROR(__xludf.DUMMYFUNCTION("""COMPUTED_VALUE"""),82.74)</f>
        <v>82.74</v>
      </c>
      <c r="E3407" s="1">
        <f>IFERROR(__xludf.DUMMYFUNCTION("""COMPUTED_VALUE"""),83.69)</f>
        <v>83.69</v>
      </c>
      <c r="F3407" s="1">
        <f>IFERROR(__xludf.DUMMYFUNCTION("""COMPUTED_VALUE"""),1126515.0)</f>
        <v>1126515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IFERROR(__xludf.DUMMYFUNCTION("""COMPUTED_VALUE"""),83.45)</f>
        <v>83.45</v>
      </c>
      <c r="C3408" s="1">
        <f>IFERROR(__xludf.DUMMYFUNCTION("""COMPUTED_VALUE"""),86.56)</f>
        <v>86.56</v>
      </c>
      <c r="D3408" s="1">
        <f>IFERROR(__xludf.DUMMYFUNCTION("""COMPUTED_VALUE"""),83.25)</f>
        <v>83.25</v>
      </c>
      <c r="E3408" s="1">
        <f>IFERROR(__xludf.DUMMYFUNCTION("""COMPUTED_VALUE"""),85.81)</f>
        <v>85.81</v>
      </c>
      <c r="F3408" s="1">
        <f>IFERROR(__xludf.DUMMYFUNCTION("""COMPUTED_VALUE"""),1452207.0)</f>
        <v>1452207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IFERROR(__xludf.DUMMYFUNCTION("""COMPUTED_VALUE"""),87.5)</f>
        <v>87.5</v>
      </c>
      <c r="C3409" s="1">
        <f>IFERROR(__xludf.DUMMYFUNCTION("""COMPUTED_VALUE"""),87.5)</f>
        <v>87.5</v>
      </c>
      <c r="D3409" s="1">
        <f>IFERROR(__xludf.DUMMYFUNCTION("""COMPUTED_VALUE"""),85.01)</f>
        <v>85.01</v>
      </c>
      <c r="E3409" s="1">
        <f>IFERROR(__xludf.DUMMYFUNCTION("""COMPUTED_VALUE"""),85.14)</f>
        <v>85.14</v>
      </c>
      <c r="F3409" s="1">
        <f>IFERROR(__xludf.DUMMYFUNCTION("""COMPUTED_VALUE"""),1273065.0)</f>
        <v>1273065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IFERROR(__xludf.DUMMYFUNCTION("""COMPUTED_VALUE"""),85.01)</f>
        <v>85.01</v>
      </c>
      <c r="C3410" s="1">
        <f>IFERROR(__xludf.DUMMYFUNCTION("""COMPUTED_VALUE"""),85.37)</f>
        <v>85.37</v>
      </c>
      <c r="D3410" s="1">
        <f>IFERROR(__xludf.DUMMYFUNCTION("""COMPUTED_VALUE"""),83.51)</f>
        <v>83.51</v>
      </c>
      <c r="E3410" s="1">
        <f>IFERROR(__xludf.DUMMYFUNCTION("""COMPUTED_VALUE"""),84.96)</f>
        <v>84.96</v>
      </c>
      <c r="F3410" s="1">
        <f>IFERROR(__xludf.DUMMYFUNCTION("""COMPUTED_VALUE"""),1129236.0)</f>
        <v>1129236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IFERROR(__xludf.DUMMYFUNCTION("""COMPUTED_VALUE"""),85.5)</f>
        <v>85.5</v>
      </c>
      <c r="C3411" s="1">
        <f>IFERROR(__xludf.DUMMYFUNCTION("""COMPUTED_VALUE"""),85.5)</f>
        <v>85.5</v>
      </c>
      <c r="D3411" s="1">
        <f>IFERROR(__xludf.DUMMYFUNCTION("""COMPUTED_VALUE"""),81.5)</f>
        <v>81.5</v>
      </c>
      <c r="E3411" s="1">
        <f>IFERROR(__xludf.DUMMYFUNCTION("""COMPUTED_VALUE"""),83.28)</f>
        <v>83.28</v>
      </c>
      <c r="F3411" s="1">
        <f>IFERROR(__xludf.DUMMYFUNCTION("""COMPUTED_VALUE"""),1931050.0)</f>
        <v>1931050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IFERROR(__xludf.DUMMYFUNCTION("""COMPUTED_VALUE"""),83.43)</f>
        <v>83.43</v>
      </c>
      <c r="C3412" s="1">
        <f>IFERROR(__xludf.DUMMYFUNCTION("""COMPUTED_VALUE"""),84.43)</f>
        <v>84.43</v>
      </c>
      <c r="D3412" s="1">
        <f>IFERROR(__xludf.DUMMYFUNCTION("""COMPUTED_VALUE"""),82.66)</f>
        <v>82.66</v>
      </c>
      <c r="E3412" s="1">
        <f>IFERROR(__xludf.DUMMYFUNCTION("""COMPUTED_VALUE"""),83.79)</f>
        <v>83.79</v>
      </c>
      <c r="F3412" s="1">
        <f>IFERROR(__xludf.DUMMYFUNCTION("""COMPUTED_VALUE"""),1236344.0)</f>
        <v>1236344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IFERROR(__xludf.DUMMYFUNCTION("""COMPUTED_VALUE"""),83.37)</f>
        <v>83.37</v>
      </c>
      <c r="C3413" s="1">
        <f>IFERROR(__xludf.DUMMYFUNCTION("""COMPUTED_VALUE"""),83.83)</f>
        <v>83.83</v>
      </c>
      <c r="D3413" s="1">
        <f>IFERROR(__xludf.DUMMYFUNCTION("""COMPUTED_VALUE"""),81.28)</f>
        <v>81.28</v>
      </c>
      <c r="E3413" s="1">
        <f>IFERROR(__xludf.DUMMYFUNCTION("""COMPUTED_VALUE"""),81.8)</f>
        <v>81.8</v>
      </c>
      <c r="F3413" s="1">
        <f>IFERROR(__xludf.DUMMYFUNCTION("""COMPUTED_VALUE"""),1371529.0)</f>
        <v>1371529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IFERROR(__xludf.DUMMYFUNCTION("""COMPUTED_VALUE"""),82.17)</f>
        <v>82.17</v>
      </c>
      <c r="C3414" s="1">
        <f>IFERROR(__xludf.DUMMYFUNCTION("""COMPUTED_VALUE"""),83.39)</f>
        <v>83.39</v>
      </c>
      <c r="D3414" s="1">
        <f>IFERROR(__xludf.DUMMYFUNCTION("""COMPUTED_VALUE"""),81.35)</f>
        <v>81.35</v>
      </c>
      <c r="E3414" s="1">
        <f>IFERROR(__xludf.DUMMYFUNCTION("""COMPUTED_VALUE"""),83.01)</f>
        <v>83.01</v>
      </c>
      <c r="F3414" s="1">
        <f>IFERROR(__xludf.DUMMYFUNCTION("""COMPUTED_VALUE"""),908940.0)</f>
        <v>908940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IFERROR(__xludf.DUMMYFUNCTION("""COMPUTED_VALUE"""),83.56)</f>
        <v>83.56</v>
      </c>
      <c r="C3415" s="1">
        <f>IFERROR(__xludf.DUMMYFUNCTION("""COMPUTED_VALUE"""),84.3)</f>
        <v>84.3</v>
      </c>
      <c r="D3415" s="1">
        <f>IFERROR(__xludf.DUMMYFUNCTION("""COMPUTED_VALUE"""),81.85)</f>
        <v>81.85</v>
      </c>
      <c r="E3415" s="1">
        <f>IFERROR(__xludf.DUMMYFUNCTION("""COMPUTED_VALUE"""),82.06)</f>
        <v>82.06</v>
      </c>
      <c r="F3415" s="1">
        <f>IFERROR(__xludf.DUMMYFUNCTION("""COMPUTED_VALUE"""),901470.0)</f>
        <v>901470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IFERROR(__xludf.DUMMYFUNCTION("""COMPUTED_VALUE"""),83.18)</f>
        <v>83.18</v>
      </c>
      <c r="C3416" s="1">
        <f>IFERROR(__xludf.DUMMYFUNCTION("""COMPUTED_VALUE"""),83.2)</f>
        <v>83.2</v>
      </c>
      <c r="D3416" s="1">
        <f>IFERROR(__xludf.DUMMYFUNCTION("""COMPUTED_VALUE"""),81.58)</f>
        <v>81.58</v>
      </c>
      <c r="E3416" s="1">
        <f>IFERROR(__xludf.DUMMYFUNCTION("""COMPUTED_VALUE"""),82.52)</f>
        <v>82.52</v>
      </c>
      <c r="F3416" s="1">
        <f>IFERROR(__xludf.DUMMYFUNCTION("""COMPUTED_VALUE"""),894741.0)</f>
        <v>894741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IFERROR(__xludf.DUMMYFUNCTION("""COMPUTED_VALUE"""),82.54)</f>
        <v>82.54</v>
      </c>
      <c r="C3417" s="1">
        <f>IFERROR(__xludf.DUMMYFUNCTION("""COMPUTED_VALUE"""),82.9)</f>
        <v>82.9</v>
      </c>
      <c r="D3417" s="1">
        <f>IFERROR(__xludf.DUMMYFUNCTION("""COMPUTED_VALUE"""),81.69)</f>
        <v>81.69</v>
      </c>
      <c r="E3417" s="1">
        <f>IFERROR(__xludf.DUMMYFUNCTION("""COMPUTED_VALUE"""),82.61)</f>
        <v>82.61</v>
      </c>
      <c r="F3417" s="1">
        <f>IFERROR(__xludf.DUMMYFUNCTION("""COMPUTED_VALUE"""),1232582.0)</f>
        <v>1232582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IFERROR(__xludf.DUMMYFUNCTION("""COMPUTED_VALUE"""),81.84)</f>
        <v>81.84</v>
      </c>
      <c r="C3418" s="1">
        <f>IFERROR(__xludf.DUMMYFUNCTION("""COMPUTED_VALUE"""),84.2)</f>
        <v>84.2</v>
      </c>
      <c r="D3418" s="1">
        <f>IFERROR(__xludf.DUMMYFUNCTION("""COMPUTED_VALUE"""),81.84)</f>
        <v>81.84</v>
      </c>
      <c r="E3418" s="1">
        <f>IFERROR(__xludf.DUMMYFUNCTION("""COMPUTED_VALUE"""),84.08)</f>
        <v>84.08</v>
      </c>
      <c r="F3418" s="1">
        <f>IFERROR(__xludf.DUMMYFUNCTION("""COMPUTED_VALUE"""),995698.0)</f>
        <v>995698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IFERROR(__xludf.DUMMYFUNCTION("""COMPUTED_VALUE"""),83.36)</f>
        <v>83.36</v>
      </c>
      <c r="C3419" s="1">
        <f>IFERROR(__xludf.DUMMYFUNCTION("""COMPUTED_VALUE"""),83.4)</f>
        <v>83.4</v>
      </c>
      <c r="D3419" s="1">
        <f>IFERROR(__xludf.DUMMYFUNCTION("""COMPUTED_VALUE"""),82.48)</f>
        <v>82.48</v>
      </c>
      <c r="E3419" s="1">
        <f>IFERROR(__xludf.DUMMYFUNCTION("""COMPUTED_VALUE"""),83.24)</f>
        <v>83.24</v>
      </c>
      <c r="F3419" s="1">
        <f>IFERROR(__xludf.DUMMYFUNCTION("""COMPUTED_VALUE"""),1287338.0)</f>
        <v>1287338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IFERROR(__xludf.DUMMYFUNCTION("""COMPUTED_VALUE"""),82.98)</f>
        <v>82.98</v>
      </c>
      <c r="C3420" s="1">
        <f>IFERROR(__xludf.DUMMYFUNCTION("""COMPUTED_VALUE"""),83.61)</f>
        <v>83.61</v>
      </c>
      <c r="D3420" s="1">
        <f>IFERROR(__xludf.DUMMYFUNCTION("""COMPUTED_VALUE"""),81.91)</f>
        <v>81.91</v>
      </c>
      <c r="E3420" s="1">
        <f>IFERROR(__xludf.DUMMYFUNCTION("""COMPUTED_VALUE"""),82.59)</f>
        <v>82.59</v>
      </c>
      <c r="F3420" s="1">
        <f>IFERROR(__xludf.DUMMYFUNCTION("""COMPUTED_VALUE"""),648865.0)</f>
        <v>648865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IFERROR(__xludf.DUMMYFUNCTION("""COMPUTED_VALUE"""),82.86)</f>
        <v>82.86</v>
      </c>
      <c r="C3421" s="1">
        <f>IFERROR(__xludf.DUMMYFUNCTION("""COMPUTED_VALUE"""),84.4)</f>
        <v>84.4</v>
      </c>
      <c r="D3421" s="1">
        <f>IFERROR(__xludf.DUMMYFUNCTION("""COMPUTED_VALUE"""),82.4)</f>
        <v>82.4</v>
      </c>
      <c r="E3421" s="1">
        <f>IFERROR(__xludf.DUMMYFUNCTION("""COMPUTED_VALUE"""),83.29)</f>
        <v>83.29</v>
      </c>
      <c r="F3421" s="1">
        <f>IFERROR(__xludf.DUMMYFUNCTION("""COMPUTED_VALUE"""),1097703.0)</f>
        <v>1097703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IFERROR(__xludf.DUMMYFUNCTION("""COMPUTED_VALUE"""),83.43)</f>
        <v>83.43</v>
      </c>
      <c r="C3422" s="1">
        <f>IFERROR(__xludf.DUMMYFUNCTION("""COMPUTED_VALUE"""),84.8)</f>
        <v>84.8</v>
      </c>
      <c r="D3422" s="1">
        <f>IFERROR(__xludf.DUMMYFUNCTION("""COMPUTED_VALUE"""),82.59)</f>
        <v>82.59</v>
      </c>
      <c r="E3422" s="1">
        <f>IFERROR(__xludf.DUMMYFUNCTION("""COMPUTED_VALUE"""),84.75)</f>
        <v>84.75</v>
      </c>
      <c r="F3422" s="1">
        <f>IFERROR(__xludf.DUMMYFUNCTION("""COMPUTED_VALUE"""),764573.0)</f>
        <v>764573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IFERROR(__xludf.DUMMYFUNCTION("""COMPUTED_VALUE"""),83.39)</f>
        <v>83.39</v>
      </c>
      <c r="C3423" s="1">
        <f>IFERROR(__xludf.DUMMYFUNCTION("""COMPUTED_VALUE"""),86.1)</f>
        <v>86.1</v>
      </c>
      <c r="D3423" s="1">
        <f>IFERROR(__xludf.DUMMYFUNCTION("""COMPUTED_VALUE"""),83.01)</f>
        <v>83.01</v>
      </c>
      <c r="E3423" s="1">
        <f>IFERROR(__xludf.DUMMYFUNCTION("""COMPUTED_VALUE"""),85.83)</f>
        <v>85.83</v>
      </c>
      <c r="F3423" s="1">
        <f>IFERROR(__xludf.DUMMYFUNCTION("""COMPUTED_VALUE"""),885112.0)</f>
        <v>885112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IFERROR(__xludf.DUMMYFUNCTION("""COMPUTED_VALUE"""),85.83)</f>
        <v>85.83</v>
      </c>
      <c r="C3424" s="1">
        <f>IFERROR(__xludf.DUMMYFUNCTION("""COMPUTED_VALUE"""),86.56)</f>
        <v>86.56</v>
      </c>
      <c r="D3424" s="1">
        <f>IFERROR(__xludf.DUMMYFUNCTION("""COMPUTED_VALUE"""),84.61)</f>
        <v>84.61</v>
      </c>
      <c r="E3424" s="1">
        <f>IFERROR(__xludf.DUMMYFUNCTION("""COMPUTED_VALUE"""),84.88)</f>
        <v>84.88</v>
      </c>
      <c r="F3424" s="1">
        <f>IFERROR(__xludf.DUMMYFUNCTION("""COMPUTED_VALUE"""),1326584.0)</f>
        <v>1326584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IFERROR(__xludf.DUMMYFUNCTION("""COMPUTED_VALUE"""),84.86)</f>
        <v>84.86</v>
      </c>
      <c r="C3425" s="1">
        <f>IFERROR(__xludf.DUMMYFUNCTION("""COMPUTED_VALUE"""),85.32)</f>
        <v>85.32</v>
      </c>
      <c r="D3425" s="1">
        <f>IFERROR(__xludf.DUMMYFUNCTION("""COMPUTED_VALUE"""),82.74)</f>
        <v>82.74</v>
      </c>
      <c r="E3425" s="1">
        <f>IFERROR(__xludf.DUMMYFUNCTION("""COMPUTED_VALUE"""),83.18)</f>
        <v>83.18</v>
      </c>
      <c r="F3425" s="1">
        <f>IFERROR(__xludf.DUMMYFUNCTION("""COMPUTED_VALUE"""),1663881.0)</f>
        <v>1663881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IFERROR(__xludf.DUMMYFUNCTION("""COMPUTED_VALUE"""),82.85)</f>
        <v>82.85</v>
      </c>
      <c r="C3426" s="1">
        <f>IFERROR(__xludf.DUMMYFUNCTION("""COMPUTED_VALUE"""),85.51)</f>
        <v>85.51</v>
      </c>
      <c r="D3426" s="1">
        <f>IFERROR(__xludf.DUMMYFUNCTION("""COMPUTED_VALUE"""),81.99)</f>
        <v>81.99</v>
      </c>
      <c r="E3426" s="1">
        <f>IFERROR(__xludf.DUMMYFUNCTION("""COMPUTED_VALUE"""),85.19)</f>
        <v>85.19</v>
      </c>
      <c r="F3426" s="1">
        <f>IFERROR(__xludf.DUMMYFUNCTION("""COMPUTED_VALUE"""),1388300.0)</f>
        <v>1388300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IFERROR(__xludf.DUMMYFUNCTION("""COMPUTED_VALUE"""),84.57)</f>
        <v>84.57</v>
      </c>
      <c r="C3427" s="1">
        <f>IFERROR(__xludf.DUMMYFUNCTION("""COMPUTED_VALUE"""),85.5)</f>
        <v>85.5</v>
      </c>
      <c r="D3427" s="1">
        <f>IFERROR(__xludf.DUMMYFUNCTION("""COMPUTED_VALUE"""),83.64)</f>
        <v>83.64</v>
      </c>
      <c r="E3427" s="1">
        <f>IFERROR(__xludf.DUMMYFUNCTION("""COMPUTED_VALUE"""),85.44)</f>
        <v>85.44</v>
      </c>
      <c r="F3427" s="1">
        <f>IFERROR(__xludf.DUMMYFUNCTION("""COMPUTED_VALUE"""),692985.0)</f>
        <v>692985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IFERROR(__xludf.DUMMYFUNCTION("""COMPUTED_VALUE"""),85.12)</f>
        <v>85.12</v>
      </c>
      <c r="C3428" s="1">
        <f>IFERROR(__xludf.DUMMYFUNCTION("""COMPUTED_VALUE"""),85.44)</f>
        <v>85.44</v>
      </c>
      <c r="D3428" s="1">
        <f>IFERROR(__xludf.DUMMYFUNCTION("""COMPUTED_VALUE"""),84.65)</f>
        <v>84.65</v>
      </c>
      <c r="E3428" s="1">
        <f>IFERROR(__xludf.DUMMYFUNCTION("""COMPUTED_VALUE"""),85.19)</f>
        <v>85.19</v>
      </c>
      <c r="F3428" s="1">
        <f>IFERROR(__xludf.DUMMYFUNCTION("""COMPUTED_VALUE"""),955518.0)</f>
        <v>955518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IFERROR(__xludf.DUMMYFUNCTION("""COMPUTED_VALUE"""),85.0)</f>
        <v>85</v>
      </c>
      <c r="C3429" s="1">
        <f>IFERROR(__xludf.DUMMYFUNCTION("""COMPUTED_VALUE"""),85.79)</f>
        <v>85.79</v>
      </c>
      <c r="D3429" s="1">
        <f>IFERROR(__xludf.DUMMYFUNCTION("""COMPUTED_VALUE"""),84.48)</f>
        <v>84.48</v>
      </c>
      <c r="E3429" s="1">
        <f>IFERROR(__xludf.DUMMYFUNCTION("""COMPUTED_VALUE"""),84.82)</f>
        <v>84.82</v>
      </c>
      <c r="F3429" s="1">
        <f>IFERROR(__xludf.DUMMYFUNCTION("""COMPUTED_VALUE"""),1214130.0)</f>
        <v>1214130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IFERROR(__xludf.DUMMYFUNCTION("""COMPUTED_VALUE"""),85.42)</f>
        <v>85.42</v>
      </c>
      <c r="C3430" s="1">
        <f>IFERROR(__xludf.DUMMYFUNCTION("""COMPUTED_VALUE"""),85.78)</f>
        <v>85.78</v>
      </c>
      <c r="D3430" s="1">
        <f>IFERROR(__xludf.DUMMYFUNCTION("""COMPUTED_VALUE"""),81.64)</f>
        <v>81.64</v>
      </c>
      <c r="E3430" s="1">
        <f>IFERROR(__xludf.DUMMYFUNCTION("""COMPUTED_VALUE"""),81.65)</f>
        <v>81.65</v>
      </c>
      <c r="F3430" s="1">
        <f>IFERROR(__xludf.DUMMYFUNCTION("""COMPUTED_VALUE"""),1200576.0)</f>
        <v>1200576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IFERROR(__xludf.DUMMYFUNCTION("""COMPUTED_VALUE"""),80.8)</f>
        <v>80.8</v>
      </c>
      <c r="C3431" s="1">
        <f>IFERROR(__xludf.DUMMYFUNCTION("""COMPUTED_VALUE"""),82.56)</f>
        <v>82.56</v>
      </c>
      <c r="D3431" s="1">
        <f>IFERROR(__xludf.DUMMYFUNCTION("""COMPUTED_VALUE"""),78.71)</f>
        <v>78.71</v>
      </c>
      <c r="E3431" s="1">
        <f>IFERROR(__xludf.DUMMYFUNCTION("""COMPUTED_VALUE"""),82.49)</f>
        <v>82.49</v>
      </c>
      <c r="F3431" s="1">
        <f>IFERROR(__xludf.DUMMYFUNCTION("""COMPUTED_VALUE"""),1647970.0)</f>
        <v>1647970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IFERROR(__xludf.DUMMYFUNCTION("""COMPUTED_VALUE"""),82.39)</f>
        <v>82.39</v>
      </c>
      <c r="C3432" s="1">
        <f>IFERROR(__xludf.DUMMYFUNCTION("""COMPUTED_VALUE"""),82.67)</f>
        <v>82.67</v>
      </c>
      <c r="D3432" s="1">
        <f>IFERROR(__xludf.DUMMYFUNCTION("""COMPUTED_VALUE"""),79.35)</f>
        <v>79.35</v>
      </c>
      <c r="E3432" s="1">
        <f>IFERROR(__xludf.DUMMYFUNCTION("""COMPUTED_VALUE"""),80.9)</f>
        <v>80.9</v>
      </c>
      <c r="F3432" s="1">
        <f>IFERROR(__xludf.DUMMYFUNCTION("""COMPUTED_VALUE"""),1568864.0)</f>
        <v>1568864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IFERROR(__xludf.DUMMYFUNCTION("""COMPUTED_VALUE"""),80.9)</f>
        <v>80.9</v>
      </c>
      <c r="C3433" s="1">
        <f>IFERROR(__xludf.DUMMYFUNCTION("""COMPUTED_VALUE"""),80.9)</f>
        <v>80.9</v>
      </c>
      <c r="D3433" s="1">
        <f>IFERROR(__xludf.DUMMYFUNCTION("""COMPUTED_VALUE"""),78.7)</f>
        <v>78.7</v>
      </c>
      <c r="E3433" s="1">
        <f>IFERROR(__xludf.DUMMYFUNCTION("""COMPUTED_VALUE"""),79.14)</f>
        <v>79.14</v>
      </c>
      <c r="F3433" s="1">
        <f>IFERROR(__xludf.DUMMYFUNCTION("""COMPUTED_VALUE"""),1469095.0)</f>
        <v>1469095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IFERROR(__xludf.DUMMYFUNCTION("""COMPUTED_VALUE"""),78.76)</f>
        <v>78.76</v>
      </c>
      <c r="C3434" s="1">
        <f>IFERROR(__xludf.DUMMYFUNCTION("""COMPUTED_VALUE"""),79.47)</f>
        <v>79.47</v>
      </c>
      <c r="D3434" s="1">
        <f>IFERROR(__xludf.DUMMYFUNCTION("""COMPUTED_VALUE"""),78.01)</f>
        <v>78.01</v>
      </c>
      <c r="E3434" s="1">
        <f>IFERROR(__xludf.DUMMYFUNCTION("""COMPUTED_VALUE"""),79.22)</f>
        <v>79.22</v>
      </c>
      <c r="F3434" s="1">
        <f>IFERROR(__xludf.DUMMYFUNCTION("""COMPUTED_VALUE"""),1253272.0)</f>
        <v>1253272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IFERROR(__xludf.DUMMYFUNCTION("""COMPUTED_VALUE"""),78.88)</f>
        <v>78.88</v>
      </c>
      <c r="C3435" s="1">
        <f>IFERROR(__xludf.DUMMYFUNCTION("""COMPUTED_VALUE"""),79.11)</f>
        <v>79.11</v>
      </c>
      <c r="D3435" s="1">
        <f>IFERROR(__xludf.DUMMYFUNCTION("""COMPUTED_VALUE"""),77.44)</f>
        <v>77.44</v>
      </c>
      <c r="E3435" s="1">
        <f>IFERROR(__xludf.DUMMYFUNCTION("""COMPUTED_VALUE"""),78.33)</f>
        <v>78.33</v>
      </c>
      <c r="F3435" s="1">
        <f>IFERROR(__xludf.DUMMYFUNCTION("""COMPUTED_VALUE"""),1642326.0)</f>
        <v>1642326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IFERROR(__xludf.DUMMYFUNCTION("""COMPUTED_VALUE"""),78.62)</f>
        <v>78.62</v>
      </c>
      <c r="C3436" s="1">
        <f>IFERROR(__xludf.DUMMYFUNCTION("""COMPUTED_VALUE"""),79.48)</f>
        <v>79.48</v>
      </c>
      <c r="D3436" s="1">
        <f>IFERROR(__xludf.DUMMYFUNCTION("""COMPUTED_VALUE"""),77.51)</f>
        <v>77.51</v>
      </c>
      <c r="E3436" s="1">
        <f>IFERROR(__xludf.DUMMYFUNCTION("""COMPUTED_VALUE"""),78.42)</f>
        <v>78.42</v>
      </c>
      <c r="F3436" s="1">
        <f>IFERROR(__xludf.DUMMYFUNCTION("""COMPUTED_VALUE"""),1059629.0)</f>
        <v>1059629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IFERROR(__xludf.DUMMYFUNCTION("""COMPUTED_VALUE"""),78.83)</f>
        <v>78.83</v>
      </c>
      <c r="C3437" s="1">
        <f>IFERROR(__xludf.DUMMYFUNCTION("""COMPUTED_VALUE"""),80.25)</f>
        <v>80.25</v>
      </c>
      <c r="D3437" s="1">
        <f>IFERROR(__xludf.DUMMYFUNCTION("""COMPUTED_VALUE"""),78.64)</f>
        <v>78.64</v>
      </c>
      <c r="E3437" s="1">
        <f>IFERROR(__xludf.DUMMYFUNCTION("""COMPUTED_VALUE"""),79.95)</f>
        <v>79.95</v>
      </c>
      <c r="F3437" s="1">
        <f>IFERROR(__xludf.DUMMYFUNCTION("""COMPUTED_VALUE"""),836619.0)</f>
        <v>836619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IFERROR(__xludf.DUMMYFUNCTION("""COMPUTED_VALUE"""),80.03)</f>
        <v>80.03</v>
      </c>
      <c r="C3438" s="1">
        <f>IFERROR(__xludf.DUMMYFUNCTION("""COMPUTED_VALUE"""),81.69)</f>
        <v>81.69</v>
      </c>
      <c r="D3438" s="1">
        <f>IFERROR(__xludf.DUMMYFUNCTION("""COMPUTED_VALUE"""),79.58)</f>
        <v>79.58</v>
      </c>
      <c r="E3438" s="1">
        <f>IFERROR(__xludf.DUMMYFUNCTION("""COMPUTED_VALUE"""),81.46)</f>
        <v>81.46</v>
      </c>
      <c r="F3438" s="1">
        <f>IFERROR(__xludf.DUMMYFUNCTION("""COMPUTED_VALUE"""),944376.0)</f>
        <v>944376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IFERROR(__xludf.DUMMYFUNCTION("""COMPUTED_VALUE"""),81.36)</f>
        <v>81.36</v>
      </c>
      <c r="C3439" s="1">
        <f>IFERROR(__xludf.DUMMYFUNCTION("""COMPUTED_VALUE"""),83.98)</f>
        <v>83.98</v>
      </c>
      <c r="D3439" s="1">
        <f>IFERROR(__xludf.DUMMYFUNCTION("""COMPUTED_VALUE"""),81.33)</f>
        <v>81.33</v>
      </c>
      <c r="E3439" s="1">
        <f>IFERROR(__xludf.DUMMYFUNCTION("""COMPUTED_VALUE"""),82.25)</f>
        <v>82.25</v>
      </c>
      <c r="F3439" s="1">
        <f>IFERROR(__xludf.DUMMYFUNCTION("""COMPUTED_VALUE"""),2054066.0)</f>
        <v>2054066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IFERROR(__xludf.DUMMYFUNCTION("""COMPUTED_VALUE"""),82.32)</f>
        <v>82.32</v>
      </c>
      <c r="C3440" s="1">
        <f>IFERROR(__xludf.DUMMYFUNCTION("""COMPUTED_VALUE"""),82.57)</f>
        <v>82.57</v>
      </c>
      <c r="D3440" s="1">
        <f>IFERROR(__xludf.DUMMYFUNCTION("""COMPUTED_VALUE"""),81.33)</f>
        <v>81.33</v>
      </c>
      <c r="E3440" s="1">
        <f>IFERROR(__xludf.DUMMYFUNCTION("""COMPUTED_VALUE"""),81.68)</f>
        <v>81.68</v>
      </c>
      <c r="F3440" s="1">
        <f>IFERROR(__xludf.DUMMYFUNCTION("""COMPUTED_VALUE"""),968832.0)</f>
        <v>968832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IFERROR(__xludf.DUMMYFUNCTION("""COMPUTED_VALUE"""),82.72)</f>
        <v>82.72</v>
      </c>
      <c r="C3441" s="1">
        <f>IFERROR(__xludf.DUMMYFUNCTION("""COMPUTED_VALUE"""),83.68)</f>
        <v>83.68</v>
      </c>
      <c r="D3441" s="1">
        <f>IFERROR(__xludf.DUMMYFUNCTION("""COMPUTED_VALUE"""),82.38)</f>
        <v>82.38</v>
      </c>
      <c r="E3441" s="1">
        <f>IFERROR(__xludf.DUMMYFUNCTION("""COMPUTED_VALUE"""),83.58)</f>
        <v>83.58</v>
      </c>
      <c r="F3441" s="1">
        <f>IFERROR(__xludf.DUMMYFUNCTION("""COMPUTED_VALUE"""),1113600.0)</f>
        <v>1113600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IFERROR(__xludf.DUMMYFUNCTION("""COMPUTED_VALUE"""),82.97)</f>
        <v>82.97</v>
      </c>
      <c r="C3442" s="1">
        <f>IFERROR(__xludf.DUMMYFUNCTION("""COMPUTED_VALUE"""),83.66)</f>
        <v>83.66</v>
      </c>
      <c r="D3442" s="1">
        <f>IFERROR(__xludf.DUMMYFUNCTION("""COMPUTED_VALUE"""),81.83)</f>
        <v>81.83</v>
      </c>
      <c r="E3442" s="1">
        <f>IFERROR(__xludf.DUMMYFUNCTION("""COMPUTED_VALUE"""),82.35)</f>
        <v>82.35</v>
      </c>
      <c r="F3442" s="1">
        <f>IFERROR(__xludf.DUMMYFUNCTION("""COMPUTED_VALUE"""),1179729.0)</f>
        <v>1179729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IFERROR(__xludf.DUMMYFUNCTION("""COMPUTED_VALUE"""),81.97)</f>
        <v>81.97</v>
      </c>
      <c r="C3443" s="1">
        <f>IFERROR(__xludf.DUMMYFUNCTION("""COMPUTED_VALUE"""),82.7)</f>
        <v>82.7</v>
      </c>
      <c r="D3443" s="1">
        <f>IFERROR(__xludf.DUMMYFUNCTION("""COMPUTED_VALUE"""),80.85)</f>
        <v>80.85</v>
      </c>
      <c r="E3443" s="1">
        <f>IFERROR(__xludf.DUMMYFUNCTION("""COMPUTED_VALUE"""),81.56)</f>
        <v>81.56</v>
      </c>
      <c r="F3443" s="1">
        <f>IFERROR(__xludf.DUMMYFUNCTION("""COMPUTED_VALUE"""),1186214.0)</f>
        <v>1186214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IFERROR(__xludf.DUMMYFUNCTION("""COMPUTED_VALUE"""),81.37)</f>
        <v>81.37</v>
      </c>
      <c r="C3444" s="1">
        <f>IFERROR(__xludf.DUMMYFUNCTION("""COMPUTED_VALUE"""),81.9)</f>
        <v>81.9</v>
      </c>
      <c r="D3444" s="1">
        <f>IFERROR(__xludf.DUMMYFUNCTION("""COMPUTED_VALUE"""),80.69)</f>
        <v>80.69</v>
      </c>
      <c r="E3444" s="1">
        <f>IFERROR(__xludf.DUMMYFUNCTION("""COMPUTED_VALUE"""),81.59)</f>
        <v>81.59</v>
      </c>
      <c r="F3444" s="1">
        <f>IFERROR(__xludf.DUMMYFUNCTION("""COMPUTED_VALUE"""),1693637.0)</f>
        <v>1693637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IFERROR(__xludf.DUMMYFUNCTION("""COMPUTED_VALUE"""),81.38)</f>
        <v>81.38</v>
      </c>
      <c r="C3445" s="1">
        <f>IFERROR(__xludf.DUMMYFUNCTION("""COMPUTED_VALUE"""),82.41)</f>
        <v>82.41</v>
      </c>
      <c r="D3445" s="1">
        <f>IFERROR(__xludf.DUMMYFUNCTION("""COMPUTED_VALUE"""),80.95)</f>
        <v>80.95</v>
      </c>
      <c r="E3445" s="1">
        <f>IFERROR(__xludf.DUMMYFUNCTION("""COMPUTED_VALUE"""),81.18)</f>
        <v>81.18</v>
      </c>
      <c r="F3445" s="1">
        <f>IFERROR(__xludf.DUMMYFUNCTION("""COMPUTED_VALUE"""),967136.0)</f>
        <v>967136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IFERROR(__xludf.DUMMYFUNCTION("""COMPUTED_VALUE"""),81.86)</f>
        <v>81.86</v>
      </c>
      <c r="C3446" s="1">
        <f>IFERROR(__xludf.DUMMYFUNCTION("""COMPUTED_VALUE"""),82.78)</f>
        <v>82.78</v>
      </c>
      <c r="D3446" s="1">
        <f>IFERROR(__xludf.DUMMYFUNCTION("""COMPUTED_VALUE"""),80.85)</f>
        <v>80.85</v>
      </c>
      <c r="E3446" s="1">
        <f>IFERROR(__xludf.DUMMYFUNCTION("""COMPUTED_VALUE"""),81.14)</f>
        <v>81.14</v>
      </c>
      <c r="F3446" s="1">
        <f>IFERROR(__xludf.DUMMYFUNCTION("""COMPUTED_VALUE"""),980335.0)</f>
        <v>980335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IFERROR(__xludf.DUMMYFUNCTION("""COMPUTED_VALUE"""),80.22)</f>
        <v>80.22</v>
      </c>
      <c r="C3447" s="1">
        <f>IFERROR(__xludf.DUMMYFUNCTION("""COMPUTED_VALUE"""),82.18)</f>
        <v>82.18</v>
      </c>
      <c r="D3447" s="1">
        <f>IFERROR(__xludf.DUMMYFUNCTION("""COMPUTED_VALUE"""),80.09)</f>
        <v>80.09</v>
      </c>
      <c r="E3447" s="1">
        <f>IFERROR(__xludf.DUMMYFUNCTION("""COMPUTED_VALUE"""),81.56)</f>
        <v>81.56</v>
      </c>
      <c r="F3447" s="1">
        <f>IFERROR(__xludf.DUMMYFUNCTION("""COMPUTED_VALUE"""),691491.0)</f>
        <v>691491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IFERROR(__xludf.DUMMYFUNCTION("""COMPUTED_VALUE"""),81.57)</f>
        <v>81.57</v>
      </c>
      <c r="C3448" s="1">
        <f>IFERROR(__xludf.DUMMYFUNCTION("""COMPUTED_VALUE"""),81.75)</f>
        <v>81.75</v>
      </c>
      <c r="D3448" s="1">
        <f>IFERROR(__xludf.DUMMYFUNCTION("""COMPUTED_VALUE"""),80.36)</f>
        <v>80.36</v>
      </c>
      <c r="E3448" s="1">
        <f>IFERROR(__xludf.DUMMYFUNCTION("""COMPUTED_VALUE"""),80.54)</f>
        <v>80.54</v>
      </c>
      <c r="F3448" s="1">
        <f>IFERROR(__xludf.DUMMYFUNCTION("""COMPUTED_VALUE"""),668043.0)</f>
        <v>668043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IFERROR(__xludf.DUMMYFUNCTION("""COMPUTED_VALUE"""),81.06)</f>
        <v>81.06</v>
      </c>
      <c r="C3449" s="1">
        <f>IFERROR(__xludf.DUMMYFUNCTION("""COMPUTED_VALUE"""),83.91)</f>
        <v>83.91</v>
      </c>
      <c r="D3449" s="1">
        <f>IFERROR(__xludf.DUMMYFUNCTION("""COMPUTED_VALUE"""),80.97)</f>
        <v>80.97</v>
      </c>
      <c r="E3449" s="1">
        <f>IFERROR(__xludf.DUMMYFUNCTION("""COMPUTED_VALUE"""),83.85)</f>
        <v>83.85</v>
      </c>
      <c r="F3449" s="1">
        <f>IFERROR(__xludf.DUMMYFUNCTION("""COMPUTED_VALUE"""),1825451.0)</f>
        <v>1825451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IFERROR(__xludf.DUMMYFUNCTION("""COMPUTED_VALUE"""),84.04)</f>
        <v>84.04</v>
      </c>
      <c r="C3450" s="1">
        <f>IFERROR(__xludf.DUMMYFUNCTION("""COMPUTED_VALUE"""),84.56)</f>
        <v>84.56</v>
      </c>
      <c r="D3450" s="1">
        <f>IFERROR(__xludf.DUMMYFUNCTION("""COMPUTED_VALUE"""),82.41)</f>
        <v>82.41</v>
      </c>
      <c r="E3450" s="1">
        <f>IFERROR(__xludf.DUMMYFUNCTION("""COMPUTED_VALUE"""),83.24)</f>
        <v>83.24</v>
      </c>
      <c r="F3450" s="1">
        <f>IFERROR(__xludf.DUMMYFUNCTION("""COMPUTED_VALUE"""),1984962.0)</f>
        <v>1984962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IFERROR(__xludf.DUMMYFUNCTION("""COMPUTED_VALUE"""),83.01)</f>
        <v>83.01</v>
      </c>
      <c r="C3451" s="1">
        <f>IFERROR(__xludf.DUMMYFUNCTION("""COMPUTED_VALUE"""),83.59)</f>
        <v>83.59</v>
      </c>
      <c r="D3451" s="1">
        <f>IFERROR(__xludf.DUMMYFUNCTION("""COMPUTED_VALUE"""),81.99)</f>
        <v>81.99</v>
      </c>
      <c r="E3451" s="1">
        <f>IFERROR(__xludf.DUMMYFUNCTION("""COMPUTED_VALUE"""),82.41)</f>
        <v>82.41</v>
      </c>
      <c r="F3451" s="1">
        <f>IFERROR(__xludf.DUMMYFUNCTION("""COMPUTED_VALUE"""),936859.0)</f>
        <v>936859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IFERROR(__xludf.DUMMYFUNCTION("""COMPUTED_VALUE"""),82.12)</f>
        <v>82.12</v>
      </c>
      <c r="C3452" s="1">
        <f>IFERROR(__xludf.DUMMYFUNCTION("""COMPUTED_VALUE"""),82.12)</f>
        <v>82.12</v>
      </c>
      <c r="D3452" s="1">
        <f>IFERROR(__xludf.DUMMYFUNCTION("""COMPUTED_VALUE"""),80.27)</f>
        <v>80.27</v>
      </c>
      <c r="E3452" s="1">
        <f>IFERROR(__xludf.DUMMYFUNCTION("""COMPUTED_VALUE"""),82.04)</f>
        <v>82.04</v>
      </c>
      <c r="F3452" s="1">
        <f>IFERROR(__xludf.DUMMYFUNCTION("""COMPUTED_VALUE"""),1509047.0)</f>
        <v>1509047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IFERROR(__xludf.DUMMYFUNCTION("""COMPUTED_VALUE"""),82.05)</f>
        <v>82.05</v>
      </c>
      <c r="C3453" s="1">
        <f>IFERROR(__xludf.DUMMYFUNCTION("""COMPUTED_VALUE"""),83.24)</f>
        <v>83.24</v>
      </c>
      <c r="D3453" s="1">
        <f>IFERROR(__xludf.DUMMYFUNCTION("""COMPUTED_VALUE"""),81.32)</f>
        <v>81.32</v>
      </c>
      <c r="E3453" s="1">
        <f>IFERROR(__xludf.DUMMYFUNCTION("""COMPUTED_VALUE"""),81.42)</f>
        <v>81.42</v>
      </c>
      <c r="F3453" s="1">
        <f>IFERROR(__xludf.DUMMYFUNCTION("""COMPUTED_VALUE"""),928450.0)</f>
        <v>928450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IFERROR(__xludf.DUMMYFUNCTION("""COMPUTED_VALUE"""),80.72)</f>
        <v>80.72</v>
      </c>
      <c r="C3454" s="1">
        <f>IFERROR(__xludf.DUMMYFUNCTION("""COMPUTED_VALUE"""),81.12)</f>
        <v>81.12</v>
      </c>
      <c r="D3454" s="1">
        <f>IFERROR(__xludf.DUMMYFUNCTION("""COMPUTED_VALUE"""),78.87)</f>
        <v>78.87</v>
      </c>
      <c r="E3454" s="1">
        <f>IFERROR(__xludf.DUMMYFUNCTION("""COMPUTED_VALUE"""),78.9)</f>
        <v>78.9</v>
      </c>
      <c r="F3454" s="1">
        <f>IFERROR(__xludf.DUMMYFUNCTION("""COMPUTED_VALUE"""),1452461.0)</f>
        <v>1452461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IFERROR(__xludf.DUMMYFUNCTION("""COMPUTED_VALUE"""),79.13)</f>
        <v>79.13</v>
      </c>
      <c r="C3455" s="1">
        <f>IFERROR(__xludf.DUMMYFUNCTION("""COMPUTED_VALUE"""),79.5)</f>
        <v>79.5</v>
      </c>
      <c r="D3455" s="1">
        <f>IFERROR(__xludf.DUMMYFUNCTION("""COMPUTED_VALUE"""),76.43)</f>
        <v>76.43</v>
      </c>
      <c r="E3455" s="1">
        <f>IFERROR(__xludf.DUMMYFUNCTION("""COMPUTED_VALUE"""),76.66)</f>
        <v>76.66</v>
      </c>
      <c r="F3455" s="1">
        <f>IFERROR(__xludf.DUMMYFUNCTION("""COMPUTED_VALUE"""),1903554.0)</f>
        <v>1903554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IFERROR(__xludf.DUMMYFUNCTION("""COMPUTED_VALUE"""),79.32)</f>
        <v>79.32</v>
      </c>
      <c r="C3456" s="1">
        <f>IFERROR(__xludf.DUMMYFUNCTION("""COMPUTED_VALUE"""),79.32)</f>
        <v>79.32</v>
      </c>
      <c r="D3456" s="1">
        <f>IFERROR(__xludf.DUMMYFUNCTION("""COMPUTED_VALUE"""),77.51)</f>
        <v>77.51</v>
      </c>
      <c r="E3456" s="1">
        <f>IFERROR(__xludf.DUMMYFUNCTION("""COMPUTED_VALUE"""),77.77)</f>
        <v>77.77</v>
      </c>
      <c r="F3456" s="1">
        <f>IFERROR(__xludf.DUMMYFUNCTION("""COMPUTED_VALUE"""),2805179.0)</f>
        <v>2805179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IFERROR(__xludf.DUMMYFUNCTION("""COMPUTED_VALUE"""),77.08)</f>
        <v>77.08</v>
      </c>
      <c r="C3457" s="1">
        <f>IFERROR(__xludf.DUMMYFUNCTION("""COMPUTED_VALUE"""),78.7)</f>
        <v>78.7</v>
      </c>
      <c r="D3457" s="1">
        <f>IFERROR(__xludf.DUMMYFUNCTION("""COMPUTED_VALUE"""),76.73)</f>
        <v>76.73</v>
      </c>
      <c r="E3457" s="1">
        <f>IFERROR(__xludf.DUMMYFUNCTION("""COMPUTED_VALUE"""),78.25)</f>
        <v>78.25</v>
      </c>
      <c r="F3457" s="1">
        <f>IFERROR(__xludf.DUMMYFUNCTION("""COMPUTED_VALUE"""),2295048.0)</f>
        <v>2295048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IFERROR(__xludf.DUMMYFUNCTION("""COMPUTED_VALUE"""),78.52)</f>
        <v>78.52</v>
      </c>
      <c r="C3458" s="1">
        <f>IFERROR(__xludf.DUMMYFUNCTION("""COMPUTED_VALUE"""),80.13)</f>
        <v>80.13</v>
      </c>
      <c r="D3458" s="1">
        <f>IFERROR(__xludf.DUMMYFUNCTION("""COMPUTED_VALUE"""),77.99)</f>
        <v>77.99</v>
      </c>
      <c r="E3458" s="1">
        <f>IFERROR(__xludf.DUMMYFUNCTION("""COMPUTED_VALUE"""),79.69)</f>
        <v>79.69</v>
      </c>
      <c r="F3458" s="1">
        <f>IFERROR(__xludf.DUMMYFUNCTION("""COMPUTED_VALUE"""),3992363.0)</f>
        <v>3992363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IFERROR(__xludf.DUMMYFUNCTION("""COMPUTED_VALUE"""),70.39)</f>
        <v>70.39</v>
      </c>
      <c r="C3459" s="1">
        <f>IFERROR(__xludf.DUMMYFUNCTION("""COMPUTED_VALUE"""),73.32)</f>
        <v>73.32</v>
      </c>
      <c r="D3459" s="1">
        <f>IFERROR(__xludf.DUMMYFUNCTION("""COMPUTED_VALUE"""),68.9)</f>
        <v>68.9</v>
      </c>
      <c r="E3459" s="1">
        <f>IFERROR(__xludf.DUMMYFUNCTION("""COMPUTED_VALUE"""),69.01)</f>
        <v>69.01</v>
      </c>
      <c r="F3459" s="1">
        <f>IFERROR(__xludf.DUMMYFUNCTION("""COMPUTED_VALUE"""),1.388197E7)</f>
        <v>13881970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IFERROR(__xludf.DUMMYFUNCTION("""COMPUTED_VALUE"""),69.62)</f>
        <v>69.62</v>
      </c>
      <c r="C3460" s="1">
        <f>IFERROR(__xludf.DUMMYFUNCTION("""COMPUTED_VALUE"""),72.44)</f>
        <v>72.44</v>
      </c>
      <c r="D3460" s="1">
        <f>IFERROR(__xludf.DUMMYFUNCTION("""COMPUTED_VALUE"""),68.73)</f>
        <v>68.73</v>
      </c>
      <c r="E3460" s="1">
        <f>IFERROR(__xludf.DUMMYFUNCTION("""COMPUTED_VALUE"""),70.73)</f>
        <v>70.73</v>
      </c>
      <c r="F3460" s="1">
        <f>IFERROR(__xludf.DUMMYFUNCTION("""COMPUTED_VALUE"""),5053387.0)</f>
        <v>5053387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IFERROR(__xludf.DUMMYFUNCTION("""COMPUTED_VALUE"""),70.55)</f>
        <v>70.55</v>
      </c>
      <c r="C3461" s="1">
        <f>IFERROR(__xludf.DUMMYFUNCTION("""COMPUTED_VALUE"""),71.52)</f>
        <v>71.52</v>
      </c>
      <c r="D3461" s="1">
        <f>IFERROR(__xludf.DUMMYFUNCTION("""COMPUTED_VALUE"""),69.52)</f>
        <v>69.52</v>
      </c>
      <c r="E3461" s="1">
        <f>IFERROR(__xludf.DUMMYFUNCTION("""COMPUTED_VALUE"""),69.74)</f>
        <v>69.74</v>
      </c>
      <c r="F3461" s="1">
        <f>IFERROR(__xludf.DUMMYFUNCTION("""COMPUTED_VALUE"""),2793542.0)</f>
        <v>2793542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IFERROR(__xludf.DUMMYFUNCTION("""COMPUTED_VALUE"""),69.22)</f>
        <v>69.22</v>
      </c>
      <c r="C3462" s="1">
        <f>IFERROR(__xludf.DUMMYFUNCTION("""COMPUTED_VALUE"""),69.89)</f>
        <v>69.89</v>
      </c>
      <c r="D3462" s="1">
        <f>IFERROR(__xludf.DUMMYFUNCTION("""COMPUTED_VALUE"""),68.7)</f>
        <v>68.7</v>
      </c>
      <c r="E3462" s="1">
        <f>IFERROR(__xludf.DUMMYFUNCTION("""COMPUTED_VALUE"""),68.99)</f>
        <v>68.99</v>
      </c>
      <c r="F3462" s="1">
        <f>IFERROR(__xludf.DUMMYFUNCTION("""COMPUTED_VALUE"""),3447878.0)</f>
        <v>3447878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IFERROR(__xludf.DUMMYFUNCTION("""COMPUTED_VALUE"""),68.73)</f>
        <v>68.73</v>
      </c>
      <c r="C3463" s="1">
        <f>IFERROR(__xludf.DUMMYFUNCTION("""COMPUTED_VALUE"""),69.24)</f>
        <v>69.24</v>
      </c>
      <c r="D3463" s="1">
        <f>IFERROR(__xludf.DUMMYFUNCTION("""COMPUTED_VALUE"""),67.95)</f>
        <v>67.95</v>
      </c>
      <c r="E3463" s="1">
        <f>IFERROR(__xludf.DUMMYFUNCTION("""COMPUTED_VALUE"""),68.19)</f>
        <v>68.19</v>
      </c>
      <c r="F3463" s="1">
        <f>IFERROR(__xludf.DUMMYFUNCTION("""COMPUTED_VALUE"""),3023578.0)</f>
        <v>3023578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IFERROR(__xludf.DUMMYFUNCTION("""COMPUTED_VALUE"""),67.9)</f>
        <v>67.9</v>
      </c>
      <c r="C3464" s="1">
        <f>IFERROR(__xludf.DUMMYFUNCTION("""COMPUTED_VALUE"""),68.04)</f>
        <v>68.04</v>
      </c>
      <c r="D3464" s="1">
        <f>IFERROR(__xludf.DUMMYFUNCTION("""COMPUTED_VALUE"""),64.96)</f>
        <v>64.96</v>
      </c>
      <c r="E3464" s="1">
        <f>IFERROR(__xludf.DUMMYFUNCTION("""COMPUTED_VALUE"""),66.1)</f>
        <v>66.1</v>
      </c>
      <c r="F3464" s="1">
        <f>IFERROR(__xludf.DUMMYFUNCTION("""COMPUTED_VALUE"""),3394697.0)</f>
        <v>3394697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IFERROR(__xludf.DUMMYFUNCTION("""COMPUTED_VALUE"""),65.78)</f>
        <v>65.78</v>
      </c>
      <c r="C3465" s="1">
        <f>IFERROR(__xludf.DUMMYFUNCTION("""COMPUTED_VALUE"""),67.13)</f>
        <v>67.13</v>
      </c>
      <c r="D3465" s="1">
        <f>IFERROR(__xludf.DUMMYFUNCTION("""COMPUTED_VALUE"""),64.38)</f>
        <v>64.38</v>
      </c>
      <c r="E3465" s="1">
        <f>IFERROR(__xludf.DUMMYFUNCTION("""COMPUTED_VALUE"""),66.21)</f>
        <v>66.21</v>
      </c>
      <c r="F3465" s="1">
        <f>IFERROR(__xludf.DUMMYFUNCTION("""COMPUTED_VALUE"""),2434421.0)</f>
        <v>2434421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IFERROR(__xludf.DUMMYFUNCTION("""COMPUTED_VALUE"""),65.25)</f>
        <v>65.25</v>
      </c>
      <c r="C3466" s="1">
        <f>IFERROR(__xludf.DUMMYFUNCTION("""COMPUTED_VALUE"""),67.71)</f>
        <v>67.71</v>
      </c>
      <c r="D3466" s="1">
        <f>IFERROR(__xludf.DUMMYFUNCTION("""COMPUTED_VALUE"""),65.0)</f>
        <v>65</v>
      </c>
      <c r="E3466" s="1">
        <f>IFERROR(__xludf.DUMMYFUNCTION("""COMPUTED_VALUE"""),67.68)</f>
        <v>67.68</v>
      </c>
      <c r="F3466" s="1">
        <f>IFERROR(__xludf.DUMMYFUNCTION("""COMPUTED_VALUE"""),1490354.0)</f>
        <v>1490354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IFERROR(__xludf.DUMMYFUNCTION("""COMPUTED_VALUE"""),67.42)</f>
        <v>67.42</v>
      </c>
      <c r="C3467" s="1">
        <f>IFERROR(__xludf.DUMMYFUNCTION("""COMPUTED_VALUE"""),70.39)</f>
        <v>70.39</v>
      </c>
      <c r="D3467" s="1">
        <f>IFERROR(__xludf.DUMMYFUNCTION("""COMPUTED_VALUE"""),67.42)</f>
        <v>67.42</v>
      </c>
      <c r="E3467" s="1">
        <f>IFERROR(__xludf.DUMMYFUNCTION("""COMPUTED_VALUE"""),70.04)</f>
        <v>70.04</v>
      </c>
      <c r="F3467" s="1">
        <f>IFERROR(__xludf.DUMMYFUNCTION("""COMPUTED_VALUE"""),2537057.0)</f>
        <v>2537057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IFERROR(__xludf.DUMMYFUNCTION("""COMPUTED_VALUE"""),70.41)</f>
        <v>70.41</v>
      </c>
      <c r="C3468" s="1">
        <f>IFERROR(__xludf.DUMMYFUNCTION("""COMPUTED_VALUE"""),70.6)</f>
        <v>70.6</v>
      </c>
      <c r="D3468" s="1">
        <f>IFERROR(__xludf.DUMMYFUNCTION("""COMPUTED_VALUE"""),68.01)</f>
        <v>68.01</v>
      </c>
      <c r="E3468" s="1">
        <f>IFERROR(__xludf.DUMMYFUNCTION("""COMPUTED_VALUE"""),69.1)</f>
        <v>69.1</v>
      </c>
      <c r="F3468" s="1">
        <f>IFERROR(__xludf.DUMMYFUNCTION("""COMPUTED_VALUE"""),2129324.0)</f>
        <v>2129324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IFERROR(__xludf.DUMMYFUNCTION("""COMPUTED_VALUE"""),68.78)</f>
        <v>68.78</v>
      </c>
      <c r="C3469" s="1">
        <f>IFERROR(__xludf.DUMMYFUNCTION("""COMPUTED_VALUE"""),68.98)</f>
        <v>68.98</v>
      </c>
      <c r="D3469" s="1">
        <f>IFERROR(__xludf.DUMMYFUNCTION("""COMPUTED_VALUE"""),67.1)</f>
        <v>67.1</v>
      </c>
      <c r="E3469" s="1">
        <f>IFERROR(__xludf.DUMMYFUNCTION("""COMPUTED_VALUE"""),68.35)</f>
        <v>68.35</v>
      </c>
      <c r="F3469" s="1">
        <f>IFERROR(__xludf.DUMMYFUNCTION("""COMPUTED_VALUE"""),1900913.0)</f>
        <v>1900913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IFERROR(__xludf.DUMMYFUNCTION("""COMPUTED_VALUE"""),68.36)</f>
        <v>68.36</v>
      </c>
      <c r="C3470" s="1">
        <f>IFERROR(__xludf.DUMMYFUNCTION("""COMPUTED_VALUE"""),68.96)</f>
        <v>68.96</v>
      </c>
      <c r="D3470" s="1">
        <f>IFERROR(__xludf.DUMMYFUNCTION("""COMPUTED_VALUE"""),67.47)</f>
        <v>67.47</v>
      </c>
      <c r="E3470" s="1">
        <f>IFERROR(__xludf.DUMMYFUNCTION("""COMPUTED_VALUE"""),68.23)</f>
        <v>68.23</v>
      </c>
      <c r="F3470" s="1">
        <f>IFERROR(__xludf.DUMMYFUNCTION("""COMPUTED_VALUE"""),1532405.0)</f>
        <v>1532405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IFERROR(__xludf.DUMMYFUNCTION("""COMPUTED_VALUE"""),68.49)</f>
        <v>68.49</v>
      </c>
      <c r="C3471" s="1">
        <f>IFERROR(__xludf.DUMMYFUNCTION("""COMPUTED_VALUE"""),68.96)</f>
        <v>68.96</v>
      </c>
      <c r="D3471" s="1">
        <f>IFERROR(__xludf.DUMMYFUNCTION("""COMPUTED_VALUE"""),67.25)</f>
        <v>67.25</v>
      </c>
      <c r="E3471" s="1">
        <f>IFERROR(__xludf.DUMMYFUNCTION("""COMPUTED_VALUE"""),68.27)</f>
        <v>68.27</v>
      </c>
      <c r="F3471" s="1">
        <f>IFERROR(__xludf.DUMMYFUNCTION("""COMPUTED_VALUE"""),2044826.0)</f>
        <v>2044826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IFERROR(__xludf.DUMMYFUNCTION("""COMPUTED_VALUE"""),67.7)</f>
        <v>67.7</v>
      </c>
      <c r="C3472" s="1">
        <f>IFERROR(__xludf.DUMMYFUNCTION("""COMPUTED_VALUE"""),69.1)</f>
        <v>69.1</v>
      </c>
      <c r="D3472" s="1">
        <f>IFERROR(__xludf.DUMMYFUNCTION("""COMPUTED_VALUE"""),67.52)</f>
        <v>67.52</v>
      </c>
      <c r="E3472" s="1">
        <f>IFERROR(__xludf.DUMMYFUNCTION("""COMPUTED_VALUE"""),68.47)</f>
        <v>68.47</v>
      </c>
      <c r="F3472" s="1">
        <f>IFERROR(__xludf.DUMMYFUNCTION("""COMPUTED_VALUE"""),1663559.0)</f>
        <v>1663559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IFERROR(__xludf.DUMMYFUNCTION("""COMPUTED_VALUE"""),67.63)</f>
        <v>67.63</v>
      </c>
      <c r="C3473" s="1">
        <f>IFERROR(__xludf.DUMMYFUNCTION("""COMPUTED_VALUE"""),67.72)</f>
        <v>67.72</v>
      </c>
      <c r="D3473" s="1">
        <f>IFERROR(__xludf.DUMMYFUNCTION("""COMPUTED_VALUE"""),64.83)</f>
        <v>64.83</v>
      </c>
      <c r="E3473" s="1">
        <f>IFERROR(__xludf.DUMMYFUNCTION("""COMPUTED_VALUE"""),64.86)</f>
        <v>64.86</v>
      </c>
      <c r="F3473" s="1">
        <f>IFERROR(__xludf.DUMMYFUNCTION("""COMPUTED_VALUE"""),3717194.0)</f>
        <v>3717194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IFERROR(__xludf.DUMMYFUNCTION("""COMPUTED_VALUE"""),64.9)</f>
        <v>64.9</v>
      </c>
      <c r="C3474" s="1">
        <f>IFERROR(__xludf.DUMMYFUNCTION("""COMPUTED_VALUE"""),65.25)</f>
        <v>65.25</v>
      </c>
      <c r="D3474" s="1">
        <f>IFERROR(__xludf.DUMMYFUNCTION("""COMPUTED_VALUE"""),63.19)</f>
        <v>63.19</v>
      </c>
      <c r="E3474" s="1">
        <f>IFERROR(__xludf.DUMMYFUNCTION("""COMPUTED_VALUE"""),63.42)</f>
        <v>63.42</v>
      </c>
      <c r="F3474" s="1">
        <f>IFERROR(__xludf.DUMMYFUNCTION("""COMPUTED_VALUE"""),2454194.0)</f>
        <v>2454194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IFERROR(__xludf.DUMMYFUNCTION("""COMPUTED_VALUE"""),63.73)</f>
        <v>63.73</v>
      </c>
      <c r="C3475" s="1">
        <f>IFERROR(__xludf.DUMMYFUNCTION("""COMPUTED_VALUE"""),64.06)</f>
        <v>64.06</v>
      </c>
      <c r="D3475" s="1">
        <f>IFERROR(__xludf.DUMMYFUNCTION("""COMPUTED_VALUE"""),62.79)</f>
        <v>62.79</v>
      </c>
      <c r="E3475" s="1">
        <f>IFERROR(__xludf.DUMMYFUNCTION("""COMPUTED_VALUE"""),62.84)</f>
        <v>62.84</v>
      </c>
      <c r="F3475" s="1">
        <f>IFERROR(__xludf.DUMMYFUNCTION("""COMPUTED_VALUE"""),1996742.0)</f>
        <v>1996742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IFERROR(__xludf.DUMMYFUNCTION("""COMPUTED_VALUE"""),62.33)</f>
        <v>62.33</v>
      </c>
      <c r="C3476" s="1">
        <f>IFERROR(__xludf.DUMMYFUNCTION("""COMPUTED_VALUE"""),63.74)</f>
        <v>63.74</v>
      </c>
      <c r="D3476" s="1">
        <f>IFERROR(__xludf.DUMMYFUNCTION("""COMPUTED_VALUE"""),61.73)</f>
        <v>61.73</v>
      </c>
      <c r="E3476" s="1">
        <f>IFERROR(__xludf.DUMMYFUNCTION("""COMPUTED_VALUE"""),61.88)</f>
        <v>61.88</v>
      </c>
      <c r="F3476" s="1">
        <f>IFERROR(__xludf.DUMMYFUNCTION("""COMPUTED_VALUE"""),1995662.0)</f>
        <v>1995662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IFERROR(__xludf.DUMMYFUNCTION("""COMPUTED_VALUE"""),62.12)</f>
        <v>62.12</v>
      </c>
      <c r="C3477" s="1">
        <f>IFERROR(__xludf.DUMMYFUNCTION("""COMPUTED_VALUE"""),63.03)</f>
        <v>63.03</v>
      </c>
      <c r="D3477" s="1">
        <f>IFERROR(__xludf.DUMMYFUNCTION("""COMPUTED_VALUE"""),61.84)</f>
        <v>61.84</v>
      </c>
      <c r="E3477" s="1">
        <f>IFERROR(__xludf.DUMMYFUNCTION("""COMPUTED_VALUE"""),62.0)</f>
        <v>62</v>
      </c>
      <c r="F3477" s="1">
        <f>IFERROR(__xludf.DUMMYFUNCTION("""COMPUTED_VALUE"""),1839328.0)</f>
        <v>1839328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IFERROR(__xludf.DUMMYFUNCTION("""COMPUTED_VALUE"""),61.44)</f>
        <v>61.44</v>
      </c>
      <c r="C3478" s="1">
        <f>IFERROR(__xludf.DUMMYFUNCTION("""COMPUTED_VALUE"""),61.54)</f>
        <v>61.54</v>
      </c>
      <c r="D3478" s="1">
        <f>IFERROR(__xludf.DUMMYFUNCTION("""COMPUTED_VALUE"""),59.73)</f>
        <v>59.73</v>
      </c>
      <c r="E3478" s="1">
        <f>IFERROR(__xludf.DUMMYFUNCTION("""COMPUTED_VALUE"""),60.53)</f>
        <v>60.53</v>
      </c>
      <c r="F3478" s="1">
        <f>IFERROR(__xludf.DUMMYFUNCTION("""COMPUTED_VALUE"""),2072191.0)</f>
        <v>2072191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IFERROR(__xludf.DUMMYFUNCTION("""COMPUTED_VALUE"""),60.35)</f>
        <v>60.35</v>
      </c>
      <c r="C3479" s="1">
        <f>IFERROR(__xludf.DUMMYFUNCTION("""COMPUTED_VALUE"""),61.0)</f>
        <v>61</v>
      </c>
      <c r="D3479" s="1">
        <f>IFERROR(__xludf.DUMMYFUNCTION("""COMPUTED_VALUE"""),59.86)</f>
        <v>59.86</v>
      </c>
      <c r="E3479" s="1">
        <f>IFERROR(__xludf.DUMMYFUNCTION("""COMPUTED_VALUE"""),60.39)</f>
        <v>60.39</v>
      </c>
      <c r="F3479" s="1">
        <f>IFERROR(__xludf.DUMMYFUNCTION("""COMPUTED_VALUE"""),1812480.0)</f>
        <v>1812480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IFERROR(__xludf.DUMMYFUNCTION("""COMPUTED_VALUE"""),61.09)</f>
        <v>61.09</v>
      </c>
      <c r="C3480" s="1">
        <f>IFERROR(__xludf.DUMMYFUNCTION("""COMPUTED_VALUE"""),61.65)</f>
        <v>61.65</v>
      </c>
      <c r="D3480" s="1">
        <f>IFERROR(__xludf.DUMMYFUNCTION("""COMPUTED_VALUE"""),59.85)</f>
        <v>59.85</v>
      </c>
      <c r="E3480" s="1">
        <f>IFERROR(__xludf.DUMMYFUNCTION("""COMPUTED_VALUE"""),60.51)</f>
        <v>60.51</v>
      </c>
      <c r="F3480" s="1">
        <f>IFERROR(__xludf.DUMMYFUNCTION("""COMPUTED_VALUE"""),1676169.0)</f>
        <v>1676169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IFERROR(__xludf.DUMMYFUNCTION("""COMPUTED_VALUE"""),61.0)</f>
        <v>61</v>
      </c>
      <c r="C3481" s="1">
        <f>IFERROR(__xludf.DUMMYFUNCTION("""COMPUTED_VALUE"""),61.47)</f>
        <v>61.47</v>
      </c>
      <c r="D3481" s="1">
        <f>IFERROR(__xludf.DUMMYFUNCTION("""COMPUTED_VALUE"""),59.66)</f>
        <v>59.66</v>
      </c>
      <c r="E3481" s="1">
        <f>IFERROR(__xludf.DUMMYFUNCTION("""COMPUTED_VALUE"""),60.67)</f>
        <v>60.67</v>
      </c>
      <c r="F3481" s="1">
        <f>IFERROR(__xludf.DUMMYFUNCTION("""COMPUTED_VALUE"""),1703518.0)</f>
        <v>1703518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IFERROR(__xludf.DUMMYFUNCTION("""COMPUTED_VALUE"""),61.11)</f>
        <v>61.11</v>
      </c>
      <c r="C3482" s="1">
        <f>IFERROR(__xludf.DUMMYFUNCTION("""COMPUTED_VALUE"""),61.94)</f>
        <v>61.94</v>
      </c>
      <c r="D3482" s="1">
        <f>IFERROR(__xludf.DUMMYFUNCTION("""COMPUTED_VALUE"""),60.7)</f>
        <v>60.7</v>
      </c>
      <c r="E3482" s="1">
        <f>IFERROR(__xludf.DUMMYFUNCTION("""COMPUTED_VALUE"""),61.09)</f>
        <v>61.09</v>
      </c>
      <c r="F3482" s="1">
        <f>IFERROR(__xludf.DUMMYFUNCTION("""COMPUTED_VALUE"""),1443782.0)</f>
        <v>1443782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IFERROR(__xludf.DUMMYFUNCTION("""COMPUTED_VALUE"""),61.05)</f>
        <v>61.05</v>
      </c>
      <c r="C3483" s="1">
        <f>IFERROR(__xludf.DUMMYFUNCTION("""COMPUTED_VALUE"""),61.53)</f>
        <v>61.53</v>
      </c>
      <c r="D3483" s="1">
        <f>IFERROR(__xludf.DUMMYFUNCTION("""COMPUTED_VALUE"""),59.77)</f>
        <v>59.77</v>
      </c>
      <c r="E3483" s="1">
        <f>IFERROR(__xludf.DUMMYFUNCTION("""COMPUTED_VALUE"""),61.49)</f>
        <v>61.49</v>
      </c>
      <c r="F3483" s="1">
        <f>IFERROR(__xludf.DUMMYFUNCTION("""COMPUTED_VALUE"""),1479501.0)</f>
        <v>1479501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IFERROR(__xludf.DUMMYFUNCTION("""COMPUTED_VALUE"""),62.45)</f>
        <v>62.45</v>
      </c>
      <c r="C3484" s="1">
        <f>IFERROR(__xludf.DUMMYFUNCTION("""COMPUTED_VALUE"""),63.91)</f>
        <v>63.91</v>
      </c>
      <c r="D3484" s="1">
        <f>IFERROR(__xludf.DUMMYFUNCTION("""COMPUTED_VALUE"""),62.45)</f>
        <v>62.45</v>
      </c>
      <c r="E3484" s="1">
        <f>IFERROR(__xludf.DUMMYFUNCTION("""COMPUTED_VALUE"""),63.64)</f>
        <v>63.64</v>
      </c>
      <c r="F3484" s="1">
        <f>IFERROR(__xludf.DUMMYFUNCTION("""COMPUTED_VALUE"""),1776287.0)</f>
        <v>1776287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IFERROR(__xludf.DUMMYFUNCTION("""COMPUTED_VALUE"""),64.76)</f>
        <v>64.76</v>
      </c>
      <c r="C3485" s="1">
        <f>IFERROR(__xludf.DUMMYFUNCTION("""COMPUTED_VALUE"""),67.51)</f>
        <v>67.51</v>
      </c>
      <c r="D3485" s="1">
        <f>IFERROR(__xludf.DUMMYFUNCTION("""COMPUTED_VALUE"""),64.62)</f>
        <v>64.62</v>
      </c>
      <c r="E3485" s="1">
        <f>IFERROR(__xludf.DUMMYFUNCTION("""COMPUTED_VALUE"""),66.97)</f>
        <v>66.97</v>
      </c>
      <c r="F3485" s="1">
        <f>IFERROR(__xludf.DUMMYFUNCTION("""COMPUTED_VALUE"""),2759348.0)</f>
        <v>2759348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IFERROR(__xludf.DUMMYFUNCTION("""COMPUTED_VALUE"""),66.47)</f>
        <v>66.47</v>
      </c>
      <c r="C3486" s="1">
        <f>IFERROR(__xludf.DUMMYFUNCTION("""COMPUTED_VALUE"""),66.62)</f>
        <v>66.62</v>
      </c>
      <c r="D3486" s="1">
        <f>IFERROR(__xludf.DUMMYFUNCTION("""COMPUTED_VALUE"""),64.97)</f>
        <v>64.97</v>
      </c>
      <c r="E3486" s="1">
        <f>IFERROR(__xludf.DUMMYFUNCTION("""COMPUTED_VALUE"""),66.05)</f>
        <v>66.05</v>
      </c>
      <c r="F3486" s="1">
        <f>IFERROR(__xludf.DUMMYFUNCTION("""COMPUTED_VALUE"""),1741291.0)</f>
        <v>1741291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IFERROR(__xludf.DUMMYFUNCTION("""COMPUTED_VALUE"""),65.87)</f>
        <v>65.87</v>
      </c>
      <c r="C3487" s="1">
        <f>IFERROR(__xludf.DUMMYFUNCTION("""COMPUTED_VALUE"""),65.87)</f>
        <v>65.87</v>
      </c>
      <c r="D3487" s="1">
        <f>IFERROR(__xludf.DUMMYFUNCTION("""COMPUTED_VALUE"""),63.44)</f>
        <v>63.44</v>
      </c>
      <c r="E3487" s="1">
        <f>IFERROR(__xludf.DUMMYFUNCTION("""COMPUTED_VALUE"""),64.33)</f>
        <v>64.33</v>
      </c>
      <c r="F3487" s="1">
        <f>IFERROR(__xludf.DUMMYFUNCTION("""COMPUTED_VALUE"""),2258650.0)</f>
        <v>2258650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IFERROR(__xludf.DUMMYFUNCTION("""COMPUTED_VALUE"""),64.2)</f>
        <v>64.2</v>
      </c>
      <c r="C3488" s="1">
        <f>IFERROR(__xludf.DUMMYFUNCTION("""COMPUTED_VALUE"""),64.54)</f>
        <v>64.54</v>
      </c>
      <c r="D3488" s="1">
        <f>IFERROR(__xludf.DUMMYFUNCTION("""COMPUTED_VALUE"""),63.42)</f>
        <v>63.42</v>
      </c>
      <c r="E3488" s="1">
        <f>IFERROR(__xludf.DUMMYFUNCTION("""COMPUTED_VALUE"""),64.08)</f>
        <v>64.08</v>
      </c>
      <c r="F3488" s="1">
        <f>IFERROR(__xludf.DUMMYFUNCTION("""COMPUTED_VALUE"""),1049815.0)</f>
        <v>1049815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IFERROR(__xludf.DUMMYFUNCTION("""COMPUTED_VALUE"""),64.5)</f>
        <v>64.5</v>
      </c>
      <c r="C3489" s="1">
        <f>IFERROR(__xludf.DUMMYFUNCTION("""COMPUTED_VALUE"""),64.52)</f>
        <v>64.52</v>
      </c>
      <c r="D3489" s="1">
        <f>IFERROR(__xludf.DUMMYFUNCTION("""COMPUTED_VALUE"""),62.32)</f>
        <v>62.32</v>
      </c>
      <c r="E3489" s="1">
        <f>IFERROR(__xludf.DUMMYFUNCTION("""COMPUTED_VALUE"""),62.51)</f>
        <v>62.51</v>
      </c>
      <c r="F3489" s="1">
        <f>IFERROR(__xludf.DUMMYFUNCTION("""COMPUTED_VALUE"""),1356979.0)</f>
        <v>1356979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IFERROR(__xludf.DUMMYFUNCTION("""COMPUTED_VALUE"""),63.1)</f>
        <v>63.1</v>
      </c>
      <c r="C3490" s="1">
        <f>IFERROR(__xludf.DUMMYFUNCTION("""COMPUTED_VALUE"""),63.42)</f>
        <v>63.42</v>
      </c>
      <c r="D3490" s="1">
        <f>IFERROR(__xludf.DUMMYFUNCTION("""COMPUTED_VALUE"""),61.73)</f>
        <v>61.73</v>
      </c>
      <c r="E3490" s="1">
        <f>IFERROR(__xludf.DUMMYFUNCTION("""COMPUTED_VALUE"""),63.37)</f>
        <v>63.37</v>
      </c>
      <c r="F3490" s="1">
        <f>IFERROR(__xludf.DUMMYFUNCTION("""COMPUTED_VALUE"""),1608959.0)</f>
        <v>1608959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IFERROR(__xludf.DUMMYFUNCTION("""COMPUTED_VALUE"""),62.45)</f>
        <v>62.45</v>
      </c>
      <c r="C3491" s="1">
        <f>IFERROR(__xludf.DUMMYFUNCTION("""COMPUTED_VALUE"""),63.98)</f>
        <v>63.98</v>
      </c>
      <c r="D3491" s="1">
        <f>IFERROR(__xludf.DUMMYFUNCTION("""COMPUTED_VALUE"""),62.45)</f>
        <v>62.45</v>
      </c>
      <c r="E3491" s="1">
        <f>IFERROR(__xludf.DUMMYFUNCTION("""COMPUTED_VALUE"""),63.59)</f>
        <v>63.59</v>
      </c>
      <c r="F3491" s="1">
        <f>IFERROR(__xludf.DUMMYFUNCTION("""COMPUTED_VALUE"""),1116527.0)</f>
        <v>1116527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IFERROR(__xludf.DUMMYFUNCTION("""COMPUTED_VALUE"""),65.93)</f>
        <v>65.93</v>
      </c>
      <c r="C3492" s="1">
        <f>IFERROR(__xludf.DUMMYFUNCTION("""COMPUTED_VALUE"""),68.67)</f>
        <v>68.67</v>
      </c>
      <c r="D3492" s="1">
        <f>IFERROR(__xludf.DUMMYFUNCTION("""COMPUTED_VALUE"""),65.52)</f>
        <v>65.52</v>
      </c>
      <c r="E3492" s="1">
        <f>IFERROR(__xludf.DUMMYFUNCTION("""COMPUTED_VALUE"""),68.23)</f>
        <v>68.23</v>
      </c>
      <c r="F3492" s="1">
        <f>IFERROR(__xludf.DUMMYFUNCTION("""COMPUTED_VALUE"""),2381495.0)</f>
        <v>2381495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IFERROR(__xludf.DUMMYFUNCTION("""COMPUTED_VALUE"""),68.35)</f>
        <v>68.35</v>
      </c>
      <c r="C3493" s="1">
        <f>IFERROR(__xludf.DUMMYFUNCTION("""COMPUTED_VALUE"""),69.0)</f>
        <v>69</v>
      </c>
      <c r="D3493" s="1">
        <f>IFERROR(__xludf.DUMMYFUNCTION("""COMPUTED_VALUE"""),67.43)</f>
        <v>67.43</v>
      </c>
      <c r="E3493" s="1">
        <f>IFERROR(__xludf.DUMMYFUNCTION("""COMPUTED_VALUE"""),67.93)</f>
        <v>67.93</v>
      </c>
      <c r="F3493" s="1">
        <f>IFERROR(__xludf.DUMMYFUNCTION("""COMPUTED_VALUE"""),1658154.0)</f>
        <v>1658154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IFERROR(__xludf.DUMMYFUNCTION("""COMPUTED_VALUE"""),66.79)</f>
        <v>66.79</v>
      </c>
      <c r="C3494" s="1">
        <f>IFERROR(__xludf.DUMMYFUNCTION("""COMPUTED_VALUE"""),67.25)</f>
        <v>67.25</v>
      </c>
      <c r="D3494" s="1">
        <f>IFERROR(__xludf.DUMMYFUNCTION("""COMPUTED_VALUE"""),62.76)</f>
        <v>62.76</v>
      </c>
      <c r="E3494" s="1">
        <f>IFERROR(__xludf.DUMMYFUNCTION("""COMPUTED_VALUE"""),64.15)</f>
        <v>64.15</v>
      </c>
      <c r="F3494" s="1">
        <f>IFERROR(__xludf.DUMMYFUNCTION("""COMPUTED_VALUE"""),3338833.0)</f>
        <v>3338833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IFERROR(__xludf.DUMMYFUNCTION("""COMPUTED_VALUE"""),65.17)</f>
        <v>65.17</v>
      </c>
      <c r="C3495" s="1">
        <f>IFERROR(__xludf.DUMMYFUNCTION("""COMPUTED_VALUE"""),65.59)</f>
        <v>65.59</v>
      </c>
      <c r="D3495" s="1">
        <f>IFERROR(__xludf.DUMMYFUNCTION("""COMPUTED_VALUE"""),63.29)</f>
        <v>63.29</v>
      </c>
      <c r="E3495" s="1">
        <f>IFERROR(__xludf.DUMMYFUNCTION("""COMPUTED_VALUE"""),63.97)</f>
        <v>63.97</v>
      </c>
      <c r="F3495" s="1">
        <f>IFERROR(__xludf.DUMMYFUNCTION("""COMPUTED_VALUE"""),2196080.0)</f>
        <v>2196080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IFERROR(__xludf.DUMMYFUNCTION("""COMPUTED_VALUE"""),63.73)</f>
        <v>63.73</v>
      </c>
      <c r="C3496" s="1">
        <f>IFERROR(__xludf.DUMMYFUNCTION("""COMPUTED_VALUE"""),65.61)</f>
        <v>65.61</v>
      </c>
      <c r="D3496" s="1">
        <f>IFERROR(__xludf.DUMMYFUNCTION("""COMPUTED_VALUE"""),63.25)</f>
        <v>63.25</v>
      </c>
      <c r="E3496" s="1">
        <f>IFERROR(__xludf.DUMMYFUNCTION("""COMPUTED_VALUE"""),65.04)</f>
        <v>65.04</v>
      </c>
      <c r="F3496" s="1">
        <f>IFERROR(__xludf.DUMMYFUNCTION("""COMPUTED_VALUE"""),1639238.0)</f>
        <v>1639238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IFERROR(__xludf.DUMMYFUNCTION("""COMPUTED_VALUE"""),64.18)</f>
        <v>64.18</v>
      </c>
      <c r="C3497" s="1">
        <f>IFERROR(__xludf.DUMMYFUNCTION("""COMPUTED_VALUE"""),64.53)</f>
        <v>64.53</v>
      </c>
      <c r="D3497" s="1">
        <f>IFERROR(__xludf.DUMMYFUNCTION("""COMPUTED_VALUE"""),63.45)</f>
        <v>63.45</v>
      </c>
      <c r="E3497" s="1">
        <f>IFERROR(__xludf.DUMMYFUNCTION("""COMPUTED_VALUE"""),64.22)</f>
        <v>64.22</v>
      </c>
      <c r="F3497" s="1">
        <f>IFERROR(__xludf.DUMMYFUNCTION("""COMPUTED_VALUE"""),1820696.0)</f>
        <v>1820696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IFERROR(__xludf.DUMMYFUNCTION("""COMPUTED_VALUE"""),64.54)</f>
        <v>64.54</v>
      </c>
      <c r="C3498" s="1">
        <f>IFERROR(__xludf.DUMMYFUNCTION("""COMPUTED_VALUE"""),64.91)</f>
        <v>64.91</v>
      </c>
      <c r="D3498" s="1">
        <f>IFERROR(__xludf.DUMMYFUNCTION("""COMPUTED_VALUE"""),63.32)</f>
        <v>63.32</v>
      </c>
      <c r="E3498" s="1">
        <f>IFERROR(__xludf.DUMMYFUNCTION("""COMPUTED_VALUE"""),63.86)</f>
        <v>63.86</v>
      </c>
      <c r="F3498" s="1">
        <f>IFERROR(__xludf.DUMMYFUNCTION("""COMPUTED_VALUE"""),1583063.0)</f>
        <v>1583063</v>
      </c>
    </row>
    <row r="3499">
      <c r="A3499" s="2">
        <f>IFERROR(__xludf.DUMMYFUNCTION("""COMPUTED_VALUE"""),45254.54166666667)</f>
        <v>45254.54167</v>
      </c>
      <c r="B3499" s="1">
        <f>IFERROR(__xludf.DUMMYFUNCTION("""COMPUTED_VALUE"""),64.0)</f>
        <v>64</v>
      </c>
      <c r="C3499" s="1">
        <f>IFERROR(__xludf.DUMMYFUNCTION("""COMPUTED_VALUE"""),64.33)</f>
        <v>64.33</v>
      </c>
      <c r="D3499" s="1">
        <f>IFERROR(__xludf.DUMMYFUNCTION("""COMPUTED_VALUE"""),63.35)</f>
        <v>63.35</v>
      </c>
      <c r="E3499" s="1">
        <f>IFERROR(__xludf.DUMMYFUNCTION("""COMPUTED_VALUE"""),64.16)</f>
        <v>64.16</v>
      </c>
      <c r="F3499" s="1">
        <f>IFERROR(__xludf.DUMMYFUNCTION("""COMPUTED_VALUE"""),490655.0)</f>
        <v>490655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IFERROR(__xludf.DUMMYFUNCTION("""COMPUTED_VALUE"""),63.77)</f>
        <v>63.77</v>
      </c>
      <c r="C3500" s="1">
        <f>IFERROR(__xludf.DUMMYFUNCTION("""COMPUTED_VALUE"""),64.44)</f>
        <v>64.44</v>
      </c>
      <c r="D3500" s="1">
        <f>IFERROR(__xludf.DUMMYFUNCTION("""COMPUTED_VALUE"""),63.33)</f>
        <v>63.33</v>
      </c>
      <c r="E3500" s="1">
        <f>IFERROR(__xludf.DUMMYFUNCTION("""COMPUTED_VALUE"""),63.9)</f>
        <v>63.9</v>
      </c>
      <c r="F3500" s="1">
        <f>IFERROR(__xludf.DUMMYFUNCTION("""COMPUTED_VALUE"""),1243777.0)</f>
        <v>1243777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IFERROR(__xludf.DUMMYFUNCTION("""COMPUTED_VALUE"""),63.96)</f>
        <v>63.96</v>
      </c>
      <c r="C3501" s="1">
        <f>IFERROR(__xludf.DUMMYFUNCTION("""COMPUTED_VALUE"""),63.98)</f>
        <v>63.98</v>
      </c>
      <c r="D3501" s="1">
        <f>IFERROR(__xludf.DUMMYFUNCTION("""COMPUTED_VALUE"""),62.91)</f>
        <v>62.91</v>
      </c>
      <c r="E3501" s="1">
        <f>IFERROR(__xludf.DUMMYFUNCTION("""COMPUTED_VALUE"""),63.68)</f>
        <v>63.68</v>
      </c>
      <c r="F3501" s="1">
        <f>IFERROR(__xludf.DUMMYFUNCTION("""COMPUTED_VALUE"""),1412923.0)</f>
        <v>1412923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IFERROR(__xludf.DUMMYFUNCTION("""COMPUTED_VALUE"""),63.68)</f>
        <v>63.68</v>
      </c>
      <c r="C3502" s="1">
        <f>IFERROR(__xludf.DUMMYFUNCTION("""COMPUTED_VALUE"""),65.06)</f>
        <v>65.06</v>
      </c>
      <c r="D3502" s="1">
        <f>IFERROR(__xludf.DUMMYFUNCTION("""COMPUTED_VALUE"""),62.98)</f>
        <v>62.98</v>
      </c>
      <c r="E3502" s="1">
        <f>IFERROR(__xludf.DUMMYFUNCTION("""COMPUTED_VALUE"""),63.16)</f>
        <v>63.16</v>
      </c>
      <c r="F3502" s="1">
        <f>IFERROR(__xludf.DUMMYFUNCTION("""COMPUTED_VALUE"""),2003942.0)</f>
        <v>2003942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IFERROR(__xludf.DUMMYFUNCTION("""COMPUTED_VALUE"""),63.93)</f>
        <v>63.93</v>
      </c>
      <c r="C3503" s="1">
        <f>IFERROR(__xludf.DUMMYFUNCTION("""COMPUTED_VALUE"""),64.41)</f>
        <v>64.41</v>
      </c>
      <c r="D3503" s="1">
        <f>IFERROR(__xludf.DUMMYFUNCTION("""COMPUTED_VALUE"""),62.9)</f>
        <v>62.9</v>
      </c>
      <c r="E3503" s="1">
        <f>IFERROR(__xludf.DUMMYFUNCTION("""COMPUTED_VALUE"""),63.94)</f>
        <v>63.94</v>
      </c>
      <c r="F3503" s="1">
        <f>IFERROR(__xludf.DUMMYFUNCTION("""COMPUTED_VALUE"""),2031858.0)</f>
        <v>2031858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IFERROR(__xludf.DUMMYFUNCTION("""COMPUTED_VALUE"""),63.75)</f>
        <v>63.75</v>
      </c>
      <c r="C3504" s="1">
        <f>IFERROR(__xludf.DUMMYFUNCTION("""COMPUTED_VALUE"""),67.5)</f>
        <v>67.5</v>
      </c>
      <c r="D3504" s="1">
        <f>IFERROR(__xludf.DUMMYFUNCTION("""COMPUTED_VALUE"""),63.26)</f>
        <v>63.26</v>
      </c>
      <c r="E3504" s="1">
        <f>IFERROR(__xludf.DUMMYFUNCTION("""COMPUTED_VALUE"""),67.39)</f>
        <v>67.39</v>
      </c>
      <c r="F3504" s="1">
        <f>IFERROR(__xludf.DUMMYFUNCTION("""COMPUTED_VALUE"""),2389634.0)</f>
        <v>2389634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IFERROR(__xludf.DUMMYFUNCTION("""COMPUTED_VALUE"""),67.26)</f>
        <v>67.26</v>
      </c>
      <c r="C3505" s="1">
        <f>IFERROR(__xludf.DUMMYFUNCTION("""COMPUTED_VALUE"""),68.73)</f>
        <v>68.73</v>
      </c>
      <c r="D3505" s="1">
        <f>IFERROR(__xludf.DUMMYFUNCTION("""COMPUTED_VALUE"""),67.0)</f>
        <v>67</v>
      </c>
      <c r="E3505" s="1">
        <f>IFERROR(__xludf.DUMMYFUNCTION("""COMPUTED_VALUE"""),68.28)</f>
        <v>68.28</v>
      </c>
      <c r="F3505" s="1">
        <f>IFERROR(__xludf.DUMMYFUNCTION("""COMPUTED_VALUE"""),1609149.0)</f>
        <v>1609149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IFERROR(__xludf.DUMMYFUNCTION("""COMPUTED_VALUE"""),66.19)</f>
        <v>66.19</v>
      </c>
      <c r="C3506" s="1">
        <f>IFERROR(__xludf.DUMMYFUNCTION("""COMPUTED_VALUE"""),66.8)</f>
        <v>66.8</v>
      </c>
      <c r="D3506" s="1">
        <f>IFERROR(__xludf.DUMMYFUNCTION("""COMPUTED_VALUE"""),64.72)</f>
        <v>64.72</v>
      </c>
      <c r="E3506" s="1">
        <f>IFERROR(__xludf.DUMMYFUNCTION("""COMPUTED_VALUE"""),65.31)</f>
        <v>65.31</v>
      </c>
      <c r="F3506" s="1">
        <f>IFERROR(__xludf.DUMMYFUNCTION("""COMPUTED_VALUE"""),2113109.0)</f>
        <v>2113109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IFERROR(__xludf.DUMMYFUNCTION("""COMPUTED_VALUE"""),66.54)</f>
        <v>66.54</v>
      </c>
      <c r="C3507" s="1">
        <f>IFERROR(__xludf.DUMMYFUNCTION("""COMPUTED_VALUE"""),67.87)</f>
        <v>67.87</v>
      </c>
      <c r="D3507" s="1">
        <f>IFERROR(__xludf.DUMMYFUNCTION("""COMPUTED_VALUE"""),65.48)</f>
        <v>65.48</v>
      </c>
      <c r="E3507" s="1">
        <f>IFERROR(__xludf.DUMMYFUNCTION("""COMPUTED_VALUE"""),65.93)</f>
        <v>65.93</v>
      </c>
      <c r="F3507" s="1">
        <f>IFERROR(__xludf.DUMMYFUNCTION("""COMPUTED_VALUE"""),1532711.0)</f>
        <v>1532711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IFERROR(__xludf.DUMMYFUNCTION("""COMPUTED_VALUE"""),66.23)</f>
        <v>66.23</v>
      </c>
      <c r="C3508" s="1">
        <f>IFERROR(__xludf.DUMMYFUNCTION("""COMPUTED_VALUE"""),67.06)</f>
        <v>67.06</v>
      </c>
      <c r="D3508" s="1">
        <f>IFERROR(__xludf.DUMMYFUNCTION("""COMPUTED_VALUE"""),65.85)</f>
        <v>65.85</v>
      </c>
      <c r="E3508" s="1">
        <f>IFERROR(__xludf.DUMMYFUNCTION("""COMPUTED_VALUE"""),66.88)</f>
        <v>66.88</v>
      </c>
      <c r="F3508" s="1">
        <f>IFERROR(__xludf.DUMMYFUNCTION("""COMPUTED_VALUE"""),1552394.0)</f>
        <v>1552394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IFERROR(__xludf.DUMMYFUNCTION("""COMPUTED_VALUE"""),66.92)</f>
        <v>66.92</v>
      </c>
      <c r="C3509" s="1">
        <f>IFERROR(__xludf.DUMMYFUNCTION("""COMPUTED_VALUE"""),68.03)</f>
        <v>68.03</v>
      </c>
      <c r="D3509" s="1">
        <f>IFERROR(__xludf.DUMMYFUNCTION("""COMPUTED_VALUE"""),66.81)</f>
        <v>66.81</v>
      </c>
      <c r="E3509" s="1">
        <f>IFERROR(__xludf.DUMMYFUNCTION("""COMPUTED_VALUE"""),67.22)</f>
        <v>67.22</v>
      </c>
      <c r="F3509" s="1">
        <f>IFERROR(__xludf.DUMMYFUNCTION("""COMPUTED_VALUE"""),1641879.0)</f>
        <v>1641879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IFERROR(__xludf.DUMMYFUNCTION("""COMPUTED_VALUE"""),67.24)</f>
        <v>67.24</v>
      </c>
      <c r="C3510" s="1">
        <f>IFERROR(__xludf.DUMMYFUNCTION("""COMPUTED_VALUE"""),68.0)</f>
        <v>68</v>
      </c>
      <c r="D3510" s="1">
        <f>IFERROR(__xludf.DUMMYFUNCTION("""COMPUTED_VALUE"""),66.46)</f>
        <v>66.46</v>
      </c>
      <c r="E3510" s="1">
        <f>IFERROR(__xludf.DUMMYFUNCTION("""COMPUTED_VALUE"""),67.02)</f>
        <v>67.02</v>
      </c>
      <c r="F3510" s="1">
        <f>IFERROR(__xludf.DUMMYFUNCTION("""COMPUTED_VALUE"""),1115638.0)</f>
        <v>1115638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IFERROR(__xludf.DUMMYFUNCTION("""COMPUTED_VALUE"""),66.54)</f>
        <v>66.54</v>
      </c>
      <c r="C3511" s="1">
        <f>IFERROR(__xludf.DUMMYFUNCTION("""COMPUTED_VALUE"""),66.78)</f>
        <v>66.78</v>
      </c>
      <c r="D3511" s="1">
        <f>IFERROR(__xludf.DUMMYFUNCTION("""COMPUTED_VALUE"""),65.38)</f>
        <v>65.38</v>
      </c>
      <c r="E3511" s="1">
        <f>IFERROR(__xludf.DUMMYFUNCTION("""COMPUTED_VALUE"""),65.96)</f>
        <v>65.96</v>
      </c>
      <c r="F3511" s="1">
        <f>IFERROR(__xludf.DUMMYFUNCTION("""COMPUTED_VALUE"""),1311697.0)</f>
        <v>1311697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IFERROR(__xludf.DUMMYFUNCTION("""COMPUTED_VALUE"""),65.97)</f>
        <v>65.97</v>
      </c>
      <c r="C3512" s="1">
        <f>IFERROR(__xludf.DUMMYFUNCTION("""COMPUTED_VALUE"""),71.45)</f>
        <v>71.45</v>
      </c>
      <c r="D3512" s="1">
        <f>IFERROR(__xludf.DUMMYFUNCTION("""COMPUTED_VALUE"""),65.93)</f>
        <v>65.93</v>
      </c>
      <c r="E3512" s="1">
        <f>IFERROR(__xludf.DUMMYFUNCTION("""COMPUTED_VALUE"""),71.05)</f>
        <v>71.05</v>
      </c>
      <c r="F3512" s="1">
        <f>IFERROR(__xludf.DUMMYFUNCTION("""COMPUTED_VALUE"""),2991888.0)</f>
        <v>2991888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IFERROR(__xludf.DUMMYFUNCTION("""COMPUTED_VALUE"""),72.47)</f>
        <v>72.47</v>
      </c>
      <c r="C3513" s="1">
        <f>IFERROR(__xludf.DUMMYFUNCTION("""COMPUTED_VALUE"""),76.38)</f>
        <v>76.38</v>
      </c>
      <c r="D3513" s="1">
        <f>IFERROR(__xludf.DUMMYFUNCTION("""COMPUTED_VALUE"""),72.47)</f>
        <v>72.47</v>
      </c>
      <c r="E3513" s="1">
        <f>IFERROR(__xludf.DUMMYFUNCTION("""COMPUTED_VALUE"""),75.0)</f>
        <v>75</v>
      </c>
      <c r="F3513" s="1">
        <f>IFERROR(__xludf.DUMMYFUNCTION("""COMPUTED_VALUE"""),4292681.0)</f>
        <v>4292681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IFERROR(__xludf.DUMMYFUNCTION("""COMPUTED_VALUE"""),75.16)</f>
        <v>75.16</v>
      </c>
      <c r="C3514" s="1">
        <f>IFERROR(__xludf.DUMMYFUNCTION("""COMPUTED_VALUE"""),76.66)</f>
        <v>76.66</v>
      </c>
      <c r="D3514" s="1">
        <f>IFERROR(__xludf.DUMMYFUNCTION("""COMPUTED_VALUE"""),74.28)</f>
        <v>74.28</v>
      </c>
      <c r="E3514" s="1">
        <f>IFERROR(__xludf.DUMMYFUNCTION("""COMPUTED_VALUE"""),74.74)</f>
        <v>74.74</v>
      </c>
      <c r="F3514" s="1">
        <f>IFERROR(__xludf.DUMMYFUNCTION("""COMPUTED_VALUE"""),3902191.0)</f>
        <v>3902191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IFERROR(__xludf.DUMMYFUNCTION("""COMPUTED_VALUE"""),74.96)</f>
        <v>74.96</v>
      </c>
      <c r="C3515" s="1">
        <f>IFERROR(__xludf.DUMMYFUNCTION("""COMPUTED_VALUE"""),76.01)</f>
        <v>76.01</v>
      </c>
      <c r="D3515" s="1">
        <f>IFERROR(__xludf.DUMMYFUNCTION("""COMPUTED_VALUE"""),74.21)</f>
        <v>74.21</v>
      </c>
      <c r="E3515" s="1">
        <f>IFERROR(__xludf.DUMMYFUNCTION("""COMPUTED_VALUE"""),75.39)</f>
        <v>75.39</v>
      </c>
      <c r="F3515" s="1">
        <f>IFERROR(__xludf.DUMMYFUNCTION("""COMPUTED_VALUE"""),2705330.0)</f>
        <v>2705330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IFERROR(__xludf.DUMMYFUNCTION("""COMPUTED_VALUE"""),75.2)</f>
        <v>75.2</v>
      </c>
      <c r="C3516" s="1">
        <f>IFERROR(__xludf.DUMMYFUNCTION("""COMPUTED_VALUE"""),77.43)</f>
        <v>77.43</v>
      </c>
      <c r="D3516" s="1">
        <f>IFERROR(__xludf.DUMMYFUNCTION("""COMPUTED_VALUE"""),75.01)</f>
        <v>75.01</v>
      </c>
      <c r="E3516" s="1">
        <f>IFERROR(__xludf.DUMMYFUNCTION("""COMPUTED_VALUE"""),76.64)</f>
        <v>76.64</v>
      </c>
      <c r="F3516" s="1">
        <f>IFERROR(__xludf.DUMMYFUNCTION("""COMPUTED_VALUE"""),3400639.0)</f>
        <v>3400639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IFERROR(__xludf.DUMMYFUNCTION("""COMPUTED_VALUE"""),75.94)</f>
        <v>75.94</v>
      </c>
      <c r="C3517" s="1">
        <f>IFERROR(__xludf.DUMMYFUNCTION("""COMPUTED_VALUE"""),77.17)</f>
        <v>77.17</v>
      </c>
      <c r="D3517" s="1">
        <f>IFERROR(__xludf.DUMMYFUNCTION("""COMPUTED_VALUE"""),74.61)</f>
        <v>74.61</v>
      </c>
      <c r="E3517" s="1">
        <f>IFERROR(__xludf.DUMMYFUNCTION("""COMPUTED_VALUE"""),74.68)</f>
        <v>74.68</v>
      </c>
      <c r="F3517" s="1">
        <f>IFERROR(__xludf.DUMMYFUNCTION("""COMPUTED_VALUE"""),3818531.0)</f>
        <v>3818531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IFERROR(__xludf.DUMMYFUNCTION("""COMPUTED_VALUE"""),84.2)</f>
        <v>84.2</v>
      </c>
      <c r="C3518" s="1">
        <f>IFERROR(__xludf.DUMMYFUNCTION("""COMPUTED_VALUE"""),84.2)</f>
        <v>84.2</v>
      </c>
      <c r="D3518" s="1">
        <f>IFERROR(__xludf.DUMMYFUNCTION("""COMPUTED_VALUE"""),77.23)</f>
        <v>77.23</v>
      </c>
      <c r="E3518" s="1">
        <f>IFERROR(__xludf.DUMMYFUNCTION("""COMPUTED_VALUE"""),78.55)</f>
        <v>78.55</v>
      </c>
      <c r="F3518" s="1">
        <f>IFERROR(__xludf.DUMMYFUNCTION("""COMPUTED_VALUE"""),7567985.0)</f>
        <v>7567985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IFERROR(__xludf.DUMMYFUNCTION("""COMPUTED_VALUE"""),77.94)</f>
        <v>77.94</v>
      </c>
      <c r="C3519" s="1">
        <f>IFERROR(__xludf.DUMMYFUNCTION("""COMPUTED_VALUE"""),78.93)</f>
        <v>78.93</v>
      </c>
      <c r="D3519" s="1">
        <f>IFERROR(__xludf.DUMMYFUNCTION("""COMPUTED_VALUE"""),76.09)</f>
        <v>76.09</v>
      </c>
      <c r="E3519" s="1">
        <f>IFERROR(__xludf.DUMMYFUNCTION("""COMPUTED_VALUE"""),76.52)</f>
        <v>76.52</v>
      </c>
      <c r="F3519" s="1">
        <f>IFERROR(__xludf.DUMMYFUNCTION("""COMPUTED_VALUE"""),2309353.0)</f>
        <v>2309353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IFERROR(__xludf.DUMMYFUNCTION("""COMPUTED_VALUE"""),76.41)</f>
        <v>76.41</v>
      </c>
      <c r="C3520" s="1">
        <f>IFERROR(__xludf.DUMMYFUNCTION("""COMPUTED_VALUE"""),76.47)</f>
        <v>76.47</v>
      </c>
      <c r="D3520" s="1">
        <f>IFERROR(__xludf.DUMMYFUNCTION("""COMPUTED_VALUE"""),74.32)</f>
        <v>74.32</v>
      </c>
      <c r="E3520" s="1">
        <f>IFERROR(__xludf.DUMMYFUNCTION("""COMPUTED_VALUE"""),76.18)</f>
        <v>76.18</v>
      </c>
      <c r="F3520" s="1">
        <f>IFERROR(__xludf.DUMMYFUNCTION("""COMPUTED_VALUE"""),2240717.0)</f>
        <v>2240717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IFERROR(__xludf.DUMMYFUNCTION("""COMPUTED_VALUE"""),76.38)</f>
        <v>76.38</v>
      </c>
      <c r="C3521" s="1">
        <f>IFERROR(__xludf.DUMMYFUNCTION("""COMPUTED_VALUE"""),78.29)</f>
        <v>78.29</v>
      </c>
      <c r="D3521" s="1">
        <f>IFERROR(__xludf.DUMMYFUNCTION("""COMPUTED_VALUE"""),75.98)</f>
        <v>75.98</v>
      </c>
      <c r="E3521" s="1">
        <f>IFERROR(__xludf.DUMMYFUNCTION("""COMPUTED_VALUE"""),78.0)</f>
        <v>78</v>
      </c>
      <c r="F3521" s="1">
        <f>IFERROR(__xludf.DUMMYFUNCTION("""COMPUTED_VALUE"""),2110152.0)</f>
        <v>2110152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IFERROR(__xludf.DUMMYFUNCTION("""COMPUTED_VALUE"""),77.42)</f>
        <v>77.42</v>
      </c>
      <c r="C3522" s="1">
        <f>IFERROR(__xludf.DUMMYFUNCTION("""COMPUTED_VALUE"""),78.02)</f>
        <v>78.02</v>
      </c>
      <c r="D3522" s="1">
        <f>IFERROR(__xludf.DUMMYFUNCTION("""COMPUTED_VALUE"""),76.77)</f>
        <v>76.77</v>
      </c>
      <c r="E3522" s="1">
        <f>IFERROR(__xludf.DUMMYFUNCTION("""COMPUTED_VALUE"""),77.84)</f>
        <v>77.84</v>
      </c>
      <c r="F3522" s="1">
        <f>IFERROR(__xludf.DUMMYFUNCTION("""COMPUTED_VALUE"""),1057211.0)</f>
        <v>1057211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IFERROR(__xludf.DUMMYFUNCTION("""COMPUTED_VALUE"""),76.73)</f>
        <v>76.73</v>
      </c>
      <c r="C3523" s="1">
        <f>IFERROR(__xludf.DUMMYFUNCTION("""COMPUTED_VALUE"""),77.52)</f>
        <v>77.52</v>
      </c>
      <c r="D3523" s="1">
        <f>IFERROR(__xludf.DUMMYFUNCTION("""COMPUTED_VALUE"""),76.47)</f>
        <v>76.47</v>
      </c>
      <c r="E3523" s="1">
        <f>IFERROR(__xludf.DUMMYFUNCTION("""COMPUTED_VALUE"""),76.74)</f>
        <v>76.74</v>
      </c>
      <c r="F3523" s="1">
        <f>IFERROR(__xludf.DUMMYFUNCTION("""COMPUTED_VALUE"""),1408770.0)</f>
        <v>1408770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IFERROR(__xludf.DUMMYFUNCTION("GOOGLEFINANCE(""NYSE:crl"",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IFERROR(__xludf.DUMMYFUNCTION("""COMPUTED_VALUE"""),33.74)</f>
        <v>33.74</v>
      </c>
      <c r="C2" s="1">
        <f>IFERROR(__xludf.DUMMYFUNCTION("""COMPUTED_VALUE"""),33.81)</f>
        <v>33.81</v>
      </c>
      <c r="D2" s="1">
        <f>IFERROR(__xludf.DUMMYFUNCTION("""COMPUTED_VALUE"""),33.26)</f>
        <v>33.26</v>
      </c>
      <c r="E2" s="1">
        <f>IFERROR(__xludf.DUMMYFUNCTION("""COMPUTED_VALUE"""),33.57)</f>
        <v>33.57</v>
      </c>
      <c r="F2" s="1">
        <f>IFERROR(__xludf.DUMMYFUNCTION("""COMPUTED_VALUE"""),1000551.0)</f>
        <v>1000551</v>
      </c>
    </row>
    <row r="3">
      <c r="A3" s="2">
        <f>IFERROR(__xludf.DUMMYFUNCTION("""COMPUTED_VALUE"""),40183.666666666664)</f>
        <v>40183.66667</v>
      </c>
      <c r="B3" s="1">
        <f>IFERROR(__xludf.DUMMYFUNCTION("""COMPUTED_VALUE"""),33.6)</f>
        <v>33.6</v>
      </c>
      <c r="C3" s="1">
        <f>IFERROR(__xludf.DUMMYFUNCTION("""COMPUTED_VALUE"""),33.79)</f>
        <v>33.79</v>
      </c>
      <c r="D3" s="1">
        <f>IFERROR(__xludf.DUMMYFUNCTION("""COMPUTED_VALUE"""),33.35)</f>
        <v>33.35</v>
      </c>
      <c r="E3" s="1">
        <f>IFERROR(__xludf.DUMMYFUNCTION("""COMPUTED_VALUE"""),33.76)</f>
        <v>33.76</v>
      </c>
      <c r="F3" s="1">
        <f>IFERROR(__xludf.DUMMYFUNCTION("""COMPUTED_VALUE"""),553182.0)</f>
        <v>553182</v>
      </c>
    </row>
    <row r="4">
      <c r="A4" s="2">
        <f>IFERROR(__xludf.DUMMYFUNCTION("""COMPUTED_VALUE"""),40184.666666666664)</f>
        <v>40184.66667</v>
      </c>
      <c r="B4" s="1">
        <f>IFERROR(__xludf.DUMMYFUNCTION("""COMPUTED_VALUE"""),33.72)</f>
        <v>33.72</v>
      </c>
      <c r="C4" s="1">
        <f>IFERROR(__xludf.DUMMYFUNCTION("""COMPUTED_VALUE"""),33.77)</f>
        <v>33.77</v>
      </c>
      <c r="D4" s="1">
        <f>IFERROR(__xludf.DUMMYFUNCTION("""COMPUTED_VALUE"""),32.97)</f>
        <v>32.97</v>
      </c>
      <c r="E4" s="1">
        <f>IFERROR(__xludf.DUMMYFUNCTION("""COMPUTED_VALUE"""),33.31)</f>
        <v>33.31</v>
      </c>
      <c r="F4" s="1">
        <f>IFERROR(__xludf.DUMMYFUNCTION("""COMPUTED_VALUE"""),1067220.0)</f>
        <v>1067220</v>
      </c>
    </row>
    <row r="5">
      <c r="A5" s="2">
        <f>IFERROR(__xludf.DUMMYFUNCTION("""COMPUTED_VALUE"""),40185.666666666664)</f>
        <v>40185.66667</v>
      </c>
      <c r="B5" s="1">
        <f>IFERROR(__xludf.DUMMYFUNCTION("""COMPUTED_VALUE"""),34.21)</f>
        <v>34.21</v>
      </c>
      <c r="C5" s="1">
        <f>IFERROR(__xludf.DUMMYFUNCTION("""COMPUTED_VALUE"""),34.65)</f>
        <v>34.65</v>
      </c>
      <c r="D5" s="1">
        <f>IFERROR(__xludf.DUMMYFUNCTION("""COMPUTED_VALUE"""),33.74)</f>
        <v>33.74</v>
      </c>
      <c r="E5" s="1">
        <f>IFERROR(__xludf.DUMMYFUNCTION("""COMPUTED_VALUE"""),34.62)</f>
        <v>34.62</v>
      </c>
      <c r="F5" s="1">
        <f>IFERROR(__xludf.DUMMYFUNCTION("""COMPUTED_VALUE"""),1077298.0)</f>
        <v>1077298</v>
      </c>
    </row>
    <row r="6">
      <c r="A6" s="2">
        <f>IFERROR(__xludf.DUMMYFUNCTION("""COMPUTED_VALUE"""),40186.666666666664)</f>
        <v>40186.66667</v>
      </c>
      <c r="B6" s="1">
        <f>IFERROR(__xludf.DUMMYFUNCTION("""COMPUTED_VALUE"""),34.22)</f>
        <v>34.22</v>
      </c>
      <c r="C6" s="1">
        <f>IFERROR(__xludf.DUMMYFUNCTION("""COMPUTED_VALUE"""),35.08)</f>
        <v>35.08</v>
      </c>
      <c r="D6" s="1">
        <f>IFERROR(__xludf.DUMMYFUNCTION("""COMPUTED_VALUE"""),34.13)</f>
        <v>34.13</v>
      </c>
      <c r="E6" s="1">
        <f>IFERROR(__xludf.DUMMYFUNCTION("""COMPUTED_VALUE"""),34.39)</f>
        <v>34.39</v>
      </c>
      <c r="F6" s="1">
        <f>IFERROR(__xludf.DUMMYFUNCTION("""COMPUTED_VALUE"""),981975.0)</f>
        <v>981975</v>
      </c>
    </row>
    <row r="7">
      <c r="A7" s="2">
        <f>IFERROR(__xludf.DUMMYFUNCTION("""COMPUTED_VALUE"""),40189.666666666664)</f>
        <v>40189.66667</v>
      </c>
      <c r="B7" s="1">
        <f>IFERROR(__xludf.DUMMYFUNCTION("""COMPUTED_VALUE"""),34.5)</f>
        <v>34.5</v>
      </c>
      <c r="C7" s="1">
        <f>IFERROR(__xludf.DUMMYFUNCTION("""COMPUTED_VALUE"""),35.23)</f>
        <v>35.23</v>
      </c>
      <c r="D7" s="1">
        <f>IFERROR(__xludf.DUMMYFUNCTION("""COMPUTED_VALUE"""),34.45)</f>
        <v>34.45</v>
      </c>
      <c r="E7" s="1">
        <f>IFERROR(__xludf.DUMMYFUNCTION("""COMPUTED_VALUE"""),34.74)</f>
        <v>34.74</v>
      </c>
      <c r="F7" s="1">
        <f>IFERROR(__xludf.DUMMYFUNCTION("""COMPUTED_VALUE"""),686490.0)</f>
        <v>686490</v>
      </c>
    </row>
    <row r="8">
      <c r="A8" s="2">
        <f>IFERROR(__xludf.DUMMYFUNCTION("""COMPUTED_VALUE"""),40190.666666666664)</f>
        <v>40190.66667</v>
      </c>
      <c r="B8" s="1">
        <f>IFERROR(__xludf.DUMMYFUNCTION("""COMPUTED_VALUE"""),34.5)</f>
        <v>34.5</v>
      </c>
      <c r="C8" s="1">
        <f>IFERROR(__xludf.DUMMYFUNCTION("""COMPUTED_VALUE"""),36.1)</f>
        <v>36.1</v>
      </c>
      <c r="D8" s="1">
        <f>IFERROR(__xludf.DUMMYFUNCTION("""COMPUTED_VALUE"""),34.25)</f>
        <v>34.25</v>
      </c>
      <c r="E8" s="1">
        <f>IFERROR(__xludf.DUMMYFUNCTION("""COMPUTED_VALUE"""),36.0)</f>
        <v>36</v>
      </c>
      <c r="F8" s="1">
        <f>IFERROR(__xludf.DUMMYFUNCTION("""COMPUTED_VALUE"""),2088930.0)</f>
        <v>2088930</v>
      </c>
    </row>
    <row r="9">
      <c r="A9" s="2">
        <f>IFERROR(__xludf.DUMMYFUNCTION("""COMPUTED_VALUE"""),40191.666666666664)</f>
        <v>40191.66667</v>
      </c>
      <c r="B9" s="1">
        <f>IFERROR(__xludf.DUMMYFUNCTION("""COMPUTED_VALUE"""),36.1)</f>
        <v>36.1</v>
      </c>
      <c r="C9" s="1">
        <f>IFERROR(__xludf.DUMMYFUNCTION("""COMPUTED_VALUE"""),39.07)</f>
        <v>39.07</v>
      </c>
      <c r="D9" s="1">
        <f>IFERROR(__xludf.DUMMYFUNCTION("""COMPUTED_VALUE"""),35.99)</f>
        <v>35.99</v>
      </c>
      <c r="E9" s="1">
        <f>IFERROR(__xludf.DUMMYFUNCTION("""COMPUTED_VALUE"""),38.21)</f>
        <v>38.21</v>
      </c>
      <c r="F9" s="1">
        <f>IFERROR(__xludf.DUMMYFUNCTION("""COMPUTED_VALUE"""),2602167.0)</f>
        <v>2602167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IFERROR(__xludf.DUMMYFUNCTION("""COMPUTED_VALUE"""),38.25)</f>
        <v>38.25</v>
      </c>
      <c r="C10" s="1">
        <f>IFERROR(__xludf.DUMMYFUNCTION("""COMPUTED_VALUE"""),38.25)</f>
        <v>38.25</v>
      </c>
      <c r="D10" s="1">
        <f>IFERROR(__xludf.DUMMYFUNCTION("""COMPUTED_VALUE"""),37.27)</f>
        <v>37.27</v>
      </c>
      <c r="E10" s="1">
        <f>IFERROR(__xludf.DUMMYFUNCTION("""COMPUTED_VALUE"""),37.44)</f>
        <v>37.44</v>
      </c>
      <c r="F10" s="1">
        <f>IFERROR(__xludf.DUMMYFUNCTION("""COMPUTED_VALUE"""),1015132.0)</f>
        <v>1015132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IFERROR(__xludf.DUMMYFUNCTION("""COMPUTED_VALUE"""),37.49)</f>
        <v>37.49</v>
      </c>
      <c r="C11" s="1">
        <f>IFERROR(__xludf.DUMMYFUNCTION("""COMPUTED_VALUE"""),37.7)</f>
        <v>37.7</v>
      </c>
      <c r="D11" s="1">
        <f>IFERROR(__xludf.DUMMYFUNCTION("""COMPUTED_VALUE"""),36.87)</f>
        <v>36.87</v>
      </c>
      <c r="E11" s="1">
        <f>IFERROR(__xludf.DUMMYFUNCTION("""COMPUTED_VALUE"""),37.4)</f>
        <v>37.4</v>
      </c>
      <c r="F11" s="1">
        <f>IFERROR(__xludf.DUMMYFUNCTION("""COMPUTED_VALUE"""),569046.0)</f>
        <v>569046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IFERROR(__xludf.DUMMYFUNCTION("""COMPUTED_VALUE"""),37.32)</f>
        <v>37.32</v>
      </c>
      <c r="C12" s="1">
        <f>IFERROR(__xludf.DUMMYFUNCTION("""COMPUTED_VALUE"""),38.01)</f>
        <v>38.01</v>
      </c>
      <c r="D12" s="1">
        <f>IFERROR(__xludf.DUMMYFUNCTION("""COMPUTED_VALUE"""),37.23)</f>
        <v>37.23</v>
      </c>
      <c r="E12" s="1">
        <f>IFERROR(__xludf.DUMMYFUNCTION("""COMPUTED_VALUE"""),37.96)</f>
        <v>37.96</v>
      </c>
      <c r="F12" s="1">
        <f>IFERROR(__xludf.DUMMYFUNCTION("""COMPUTED_VALUE"""),609037.0)</f>
        <v>609037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IFERROR(__xludf.DUMMYFUNCTION("""COMPUTED_VALUE"""),37.61)</f>
        <v>37.61</v>
      </c>
      <c r="C13" s="1">
        <f>IFERROR(__xludf.DUMMYFUNCTION("""COMPUTED_VALUE"""),38.05)</f>
        <v>38.05</v>
      </c>
      <c r="D13" s="1">
        <f>IFERROR(__xludf.DUMMYFUNCTION("""COMPUTED_VALUE"""),36.73)</f>
        <v>36.73</v>
      </c>
      <c r="E13" s="1">
        <f>IFERROR(__xludf.DUMMYFUNCTION("""COMPUTED_VALUE"""),37.32)</f>
        <v>37.32</v>
      </c>
      <c r="F13" s="1">
        <f>IFERROR(__xludf.DUMMYFUNCTION("""COMPUTED_VALUE"""),835324.0)</f>
        <v>835324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IFERROR(__xludf.DUMMYFUNCTION("""COMPUTED_VALUE"""),37.46)</f>
        <v>37.46</v>
      </c>
      <c r="C14" s="1">
        <f>IFERROR(__xludf.DUMMYFUNCTION("""COMPUTED_VALUE"""),37.71)</f>
        <v>37.71</v>
      </c>
      <c r="D14" s="1">
        <f>IFERROR(__xludf.DUMMYFUNCTION("""COMPUTED_VALUE"""),37.08)</f>
        <v>37.08</v>
      </c>
      <c r="E14" s="1">
        <f>IFERROR(__xludf.DUMMYFUNCTION("""COMPUTED_VALUE"""),37.17)</f>
        <v>37.17</v>
      </c>
      <c r="F14" s="1">
        <f>IFERROR(__xludf.DUMMYFUNCTION("""COMPUTED_VALUE"""),715538.0)</f>
        <v>715538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IFERROR(__xludf.DUMMYFUNCTION("""COMPUTED_VALUE"""),37.22)</f>
        <v>37.22</v>
      </c>
      <c r="C15" s="1">
        <f>IFERROR(__xludf.DUMMYFUNCTION("""COMPUTED_VALUE"""),37.42)</f>
        <v>37.42</v>
      </c>
      <c r="D15" s="1">
        <f>IFERROR(__xludf.DUMMYFUNCTION("""COMPUTED_VALUE"""),36.45)</f>
        <v>36.45</v>
      </c>
      <c r="E15" s="1">
        <f>IFERROR(__xludf.DUMMYFUNCTION("""COMPUTED_VALUE"""),36.46)</f>
        <v>36.46</v>
      </c>
      <c r="F15" s="1">
        <f>IFERROR(__xludf.DUMMYFUNCTION("""COMPUTED_VALUE"""),558907.0)</f>
        <v>558907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IFERROR(__xludf.DUMMYFUNCTION("""COMPUTED_VALUE"""),36.61)</f>
        <v>36.61</v>
      </c>
      <c r="C16" s="1">
        <f>IFERROR(__xludf.DUMMYFUNCTION("""COMPUTED_VALUE"""),36.65)</f>
        <v>36.65</v>
      </c>
      <c r="D16" s="1">
        <f>IFERROR(__xludf.DUMMYFUNCTION("""COMPUTED_VALUE"""),36.0)</f>
        <v>36</v>
      </c>
      <c r="E16" s="1">
        <f>IFERROR(__xludf.DUMMYFUNCTION("""COMPUTED_VALUE"""),36.57)</f>
        <v>36.57</v>
      </c>
      <c r="F16" s="1">
        <f>IFERROR(__xludf.DUMMYFUNCTION("""COMPUTED_VALUE"""),567016.0)</f>
        <v>567016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IFERROR(__xludf.DUMMYFUNCTION("""COMPUTED_VALUE"""),36.47)</f>
        <v>36.47</v>
      </c>
      <c r="C17" s="1">
        <f>IFERROR(__xludf.DUMMYFUNCTION("""COMPUTED_VALUE"""),36.99)</f>
        <v>36.99</v>
      </c>
      <c r="D17" s="1">
        <f>IFERROR(__xludf.DUMMYFUNCTION("""COMPUTED_VALUE"""),36.21)</f>
        <v>36.21</v>
      </c>
      <c r="E17" s="1">
        <f>IFERROR(__xludf.DUMMYFUNCTION("""COMPUTED_VALUE"""),36.82)</f>
        <v>36.82</v>
      </c>
      <c r="F17" s="1">
        <f>IFERROR(__xludf.DUMMYFUNCTION("""COMPUTED_VALUE"""),576462.0)</f>
        <v>576462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IFERROR(__xludf.DUMMYFUNCTION("""COMPUTED_VALUE"""),36.64)</f>
        <v>36.64</v>
      </c>
      <c r="C18" s="1">
        <f>IFERROR(__xludf.DUMMYFUNCTION("""COMPUTED_VALUE"""),37.55)</f>
        <v>37.55</v>
      </c>
      <c r="D18" s="1">
        <f>IFERROR(__xludf.DUMMYFUNCTION("""COMPUTED_VALUE"""),36.44)</f>
        <v>36.44</v>
      </c>
      <c r="E18" s="1">
        <f>IFERROR(__xludf.DUMMYFUNCTION("""COMPUTED_VALUE"""),37.37)</f>
        <v>37.37</v>
      </c>
      <c r="F18" s="1">
        <f>IFERROR(__xludf.DUMMYFUNCTION("""COMPUTED_VALUE"""),831706.0)</f>
        <v>831706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IFERROR(__xludf.DUMMYFUNCTION("""COMPUTED_VALUE"""),37.45)</f>
        <v>37.45</v>
      </c>
      <c r="C19" s="1">
        <f>IFERROR(__xludf.DUMMYFUNCTION("""COMPUTED_VALUE"""),37.45)</f>
        <v>37.45</v>
      </c>
      <c r="D19" s="1">
        <f>IFERROR(__xludf.DUMMYFUNCTION("""COMPUTED_VALUE"""),36.36)</f>
        <v>36.36</v>
      </c>
      <c r="E19" s="1">
        <f>IFERROR(__xludf.DUMMYFUNCTION("""COMPUTED_VALUE"""),36.48)</f>
        <v>36.48</v>
      </c>
      <c r="F19" s="1">
        <f>IFERROR(__xludf.DUMMYFUNCTION("""COMPUTED_VALUE"""),950451.0)</f>
        <v>950451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IFERROR(__xludf.DUMMYFUNCTION("""COMPUTED_VALUE"""),36.51)</f>
        <v>36.51</v>
      </c>
      <c r="C20" s="1">
        <f>IFERROR(__xludf.DUMMYFUNCTION("""COMPUTED_VALUE"""),36.69)</f>
        <v>36.69</v>
      </c>
      <c r="D20" s="1">
        <f>IFERROR(__xludf.DUMMYFUNCTION("""COMPUTED_VALUE"""),36.23)</f>
        <v>36.23</v>
      </c>
      <c r="E20" s="1">
        <f>IFERROR(__xludf.DUMMYFUNCTION("""COMPUTED_VALUE"""),36.34)</f>
        <v>36.34</v>
      </c>
      <c r="F20" s="1">
        <f>IFERROR(__xludf.DUMMYFUNCTION("""COMPUTED_VALUE"""),649105.0)</f>
        <v>649105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IFERROR(__xludf.DUMMYFUNCTION("""COMPUTED_VALUE"""),36.48)</f>
        <v>36.48</v>
      </c>
      <c r="C21" s="1">
        <f>IFERROR(__xludf.DUMMYFUNCTION("""COMPUTED_VALUE"""),36.58)</f>
        <v>36.58</v>
      </c>
      <c r="D21" s="1">
        <f>IFERROR(__xludf.DUMMYFUNCTION("""COMPUTED_VALUE"""),36.06)</f>
        <v>36.06</v>
      </c>
      <c r="E21" s="1">
        <f>IFERROR(__xludf.DUMMYFUNCTION("""COMPUTED_VALUE"""),36.37)</f>
        <v>36.37</v>
      </c>
      <c r="F21" s="1">
        <f>IFERROR(__xludf.DUMMYFUNCTION("""COMPUTED_VALUE"""),403980.0)</f>
        <v>403980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IFERROR(__xludf.DUMMYFUNCTION("""COMPUTED_VALUE"""),36.34)</f>
        <v>36.34</v>
      </c>
      <c r="C22" s="1">
        <f>IFERROR(__xludf.DUMMYFUNCTION("""COMPUTED_VALUE"""),37.17)</f>
        <v>37.17</v>
      </c>
      <c r="D22" s="1">
        <f>IFERROR(__xludf.DUMMYFUNCTION("""COMPUTED_VALUE"""),36.08)</f>
        <v>36.08</v>
      </c>
      <c r="E22" s="1">
        <f>IFERROR(__xludf.DUMMYFUNCTION("""COMPUTED_VALUE"""),37.12)</f>
        <v>37.12</v>
      </c>
      <c r="F22" s="1">
        <f>IFERROR(__xludf.DUMMYFUNCTION("""COMPUTED_VALUE"""),507400.0)</f>
        <v>507400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IFERROR(__xludf.DUMMYFUNCTION("""COMPUTED_VALUE"""),37.04)</f>
        <v>37.04</v>
      </c>
      <c r="C23" s="1">
        <f>IFERROR(__xludf.DUMMYFUNCTION("""COMPUTED_VALUE"""),37.18)</f>
        <v>37.18</v>
      </c>
      <c r="D23" s="1">
        <f>IFERROR(__xludf.DUMMYFUNCTION("""COMPUTED_VALUE"""),36.75)</f>
        <v>36.75</v>
      </c>
      <c r="E23" s="1">
        <f>IFERROR(__xludf.DUMMYFUNCTION("""COMPUTED_VALUE"""),36.84)</f>
        <v>36.84</v>
      </c>
      <c r="F23" s="1">
        <f>IFERROR(__xludf.DUMMYFUNCTION("""COMPUTED_VALUE"""),743693.0)</f>
        <v>743693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IFERROR(__xludf.DUMMYFUNCTION("""COMPUTED_VALUE"""),36.77)</f>
        <v>36.77</v>
      </c>
      <c r="C24" s="1">
        <f>IFERROR(__xludf.DUMMYFUNCTION("""COMPUTED_VALUE"""),36.77)</f>
        <v>36.77</v>
      </c>
      <c r="D24" s="1">
        <f>IFERROR(__xludf.DUMMYFUNCTION("""COMPUTED_VALUE"""),35.42)</f>
        <v>35.42</v>
      </c>
      <c r="E24" s="1">
        <f>IFERROR(__xludf.DUMMYFUNCTION("""COMPUTED_VALUE"""),35.45)</f>
        <v>35.45</v>
      </c>
      <c r="F24" s="1">
        <f>IFERROR(__xludf.DUMMYFUNCTION("""COMPUTED_VALUE"""),689211.0)</f>
        <v>689211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IFERROR(__xludf.DUMMYFUNCTION("""COMPUTED_VALUE"""),35.34)</f>
        <v>35.34</v>
      </c>
      <c r="C25" s="1">
        <f>IFERROR(__xludf.DUMMYFUNCTION("""COMPUTED_VALUE"""),35.75)</f>
        <v>35.75</v>
      </c>
      <c r="D25" s="1">
        <f>IFERROR(__xludf.DUMMYFUNCTION("""COMPUTED_VALUE"""),34.89)</f>
        <v>34.89</v>
      </c>
      <c r="E25" s="1">
        <f>IFERROR(__xludf.DUMMYFUNCTION("""COMPUTED_VALUE"""),35.65)</f>
        <v>35.65</v>
      </c>
      <c r="F25" s="1">
        <f>IFERROR(__xludf.DUMMYFUNCTION("""COMPUTED_VALUE"""),826588.0)</f>
        <v>826588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IFERROR(__xludf.DUMMYFUNCTION("""COMPUTED_VALUE"""),35.86)</f>
        <v>35.86</v>
      </c>
      <c r="C26" s="1">
        <f>IFERROR(__xludf.DUMMYFUNCTION("""COMPUTED_VALUE"""),36.38)</f>
        <v>36.38</v>
      </c>
      <c r="D26" s="1">
        <f>IFERROR(__xludf.DUMMYFUNCTION("""COMPUTED_VALUE"""),35.17)</f>
        <v>35.17</v>
      </c>
      <c r="E26" s="1">
        <f>IFERROR(__xludf.DUMMYFUNCTION("""COMPUTED_VALUE"""),35.69)</f>
        <v>35.69</v>
      </c>
      <c r="F26" s="1">
        <f>IFERROR(__xludf.DUMMYFUNCTION("""COMPUTED_VALUE"""),1214616.0)</f>
        <v>1214616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IFERROR(__xludf.DUMMYFUNCTION("""COMPUTED_VALUE"""),35.88)</f>
        <v>35.88</v>
      </c>
      <c r="C27" s="1">
        <f>IFERROR(__xludf.DUMMYFUNCTION("""COMPUTED_VALUE"""),37.17)</f>
        <v>37.17</v>
      </c>
      <c r="D27" s="1">
        <f>IFERROR(__xludf.DUMMYFUNCTION("""COMPUTED_VALUE"""),35.88)</f>
        <v>35.88</v>
      </c>
      <c r="E27" s="1">
        <f>IFERROR(__xludf.DUMMYFUNCTION("""COMPUTED_VALUE"""),36.16)</f>
        <v>36.16</v>
      </c>
      <c r="F27" s="1">
        <f>IFERROR(__xludf.DUMMYFUNCTION("""COMPUTED_VALUE"""),1559156.0)</f>
        <v>1559156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IFERROR(__xludf.DUMMYFUNCTION("""COMPUTED_VALUE"""),36.05)</f>
        <v>36.05</v>
      </c>
      <c r="C28" s="1">
        <f>IFERROR(__xludf.DUMMYFUNCTION("""COMPUTED_VALUE"""),36.25)</f>
        <v>36.25</v>
      </c>
      <c r="D28" s="1">
        <f>IFERROR(__xludf.DUMMYFUNCTION("""COMPUTED_VALUE"""),35.53)</f>
        <v>35.53</v>
      </c>
      <c r="E28" s="1">
        <f>IFERROR(__xludf.DUMMYFUNCTION("""COMPUTED_VALUE"""),35.82)</f>
        <v>35.82</v>
      </c>
      <c r="F28" s="1">
        <f>IFERROR(__xludf.DUMMYFUNCTION("""COMPUTED_VALUE"""),519077.0)</f>
        <v>519077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IFERROR(__xludf.DUMMYFUNCTION("""COMPUTED_VALUE"""),35.87)</f>
        <v>35.87</v>
      </c>
      <c r="C29" s="1">
        <f>IFERROR(__xludf.DUMMYFUNCTION("""COMPUTED_VALUE"""),36.48)</f>
        <v>36.48</v>
      </c>
      <c r="D29" s="1">
        <f>IFERROR(__xludf.DUMMYFUNCTION("""COMPUTED_VALUE"""),35.69)</f>
        <v>35.69</v>
      </c>
      <c r="E29" s="1">
        <f>IFERROR(__xludf.DUMMYFUNCTION("""COMPUTED_VALUE"""),36.13)</f>
        <v>36.13</v>
      </c>
      <c r="F29" s="1">
        <f>IFERROR(__xludf.DUMMYFUNCTION("""COMPUTED_VALUE"""),620093.0)</f>
        <v>620093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IFERROR(__xludf.DUMMYFUNCTION("""COMPUTED_VALUE"""),35.79)</f>
        <v>35.79</v>
      </c>
      <c r="C30" s="1">
        <f>IFERROR(__xludf.DUMMYFUNCTION("""COMPUTED_VALUE"""),36.51)</f>
        <v>36.51</v>
      </c>
      <c r="D30" s="1">
        <f>IFERROR(__xludf.DUMMYFUNCTION("""COMPUTED_VALUE"""),35.65)</f>
        <v>35.65</v>
      </c>
      <c r="E30" s="1">
        <f>IFERROR(__xludf.DUMMYFUNCTION("""COMPUTED_VALUE"""),36.47)</f>
        <v>36.47</v>
      </c>
      <c r="F30" s="1">
        <f>IFERROR(__xludf.DUMMYFUNCTION("""COMPUTED_VALUE"""),884501.0)</f>
        <v>884501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IFERROR(__xludf.DUMMYFUNCTION("""COMPUTED_VALUE"""),36.67)</f>
        <v>36.67</v>
      </c>
      <c r="C31" s="1">
        <f>IFERROR(__xludf.DUMMYFUNCTION("""COMPUTED_VALUE"""),37.0)</f>
        <v>37</v>
      </c>
      <c r="D31" s="1">
        <f>IFERROR(__xludf.DUMMYFUNCTION("""COMPUTED_VALUE"""),36.33)</f>
        <v>36.33</v>
      </c>
      <c r="E31" s="1">
        <f>IFERROR(__xludf.DUMMYFUNCTION("""COMPUTED_VALUE"""),36.96)</f>
        <v>36.96</v>
      </c>
      <c r="F31" s="1">
        <f>IFERROR(__xludf.DUMMYFUNCTION("""COMPUTED_VALUE"""),731152.0)</f>
        <v>731152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IFERROR(__xludf.DUMMYFUNCTION("""COMPUTED_VALUE"""),37.16)</f>
        <v>37.16</v>
      </c>
      <c r="C32" s="1">
        <f>IFERROR(__xludf.DUMMYFUNCTION("""COMPUTED_VALUE"""),37.41)</f>
        <v>37.41</v>
      </c>
      <c r="D32" s="1">
        <f>IFERROR(__xludf.DUMMYFUNCTION("""COMPUTED_VALUE"""),36.89)</f>
        <v>36.89</v>
      </c>
      <c r="E32" s="1">
        <f>IFERROR(__xludf.DUMMYFUNCTION("""COMPUTED_VALUE"""),37.28)</f>
        <v>37.28</v>
      </c>
      <c r="F32" s="1">
        <f>IFERROR(__xludf.DUMMYFUNCTION("""COMPUTED_VALUE"""),476720.0)</f>
        <v>476720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IFERROR(__xludf.DUMMYFUNCTION("""COMPUTED_VALUE"""),37.38)</f>
        <v>37.38</v>
      </c>
      <c r="C33" s="1">
        <f>IFERROR(__xludf.DUMMYFUNCTION("""COMPUTED_VALUE"""),37.72)</f>
        <v>37.72</v>
      </c>
      <c r="D33" s="1">
        <f>IFERROR(__xludf.DUMMYFUNCTION("""COMPUTED_VALUE"""),37.27)</f>
        <v>37.27</v>
      </c>
      <c r="E33" s="1">
        <f>IFERROR(__xludf.DUMMYFUNCTION("""COMPUTED_VALUE"""),37.6)</f>
        <v>37.6</v>
      </c>
      <c r="F33" s="1">
        <f>IFERROR(__xludf.DUMMYFUNCTION("""COMPUTED_VALUE"""),518862.0)</f>
        <v>518862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IFERROR(__xludf.DUMMYFUNCTION("""COMPUTED_VALUE"""),37.63)</f>
        <v>37.63</v>
      </c>
      <c r="C34" s="1">
        <f>IFERROR(__xludf.DUMMYFUNCTION("""COMPUTED_VALUE"""),37.71)</f>
        <v>37.71</v>
      </c>
      <c r="D34" s="1">
        <f>IFERROR(__xludf.DUMMYFUNCTION("""COMPUTED_VALUE"""),37.25)</f>
        <v>37.25</v>
      </c>
      <c r="E34" s="1">
        <f>IFERROR(__xludf.DUMMYFUNCTION("""COMPUTED_VALUE"""),37.43)</f>
        <v>37.43</v>
      </c>
      <c r="F34" s="1">
        <f>IFERROR(__xludf.DUMMYFUNCTION("""COMPUTED_VALUE"""),666919.0)</f>
        <v>666919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IFERROR(__xludf.DUMMYFUNCTION("""COMPUTED_VALUE"""),37.45)</f>
        <v>37.45</v>
      </c>
      <c r="C35" s="1">
        <f>IFERROR(__xludf.DUMMYFUNCTION("""COMPUTED_VALUE"""),37.48)</f>
        <v>37.48</v>
      </c>
      <c r="D35" s="1">
        <f>IFERROR(__xludf.DUMMYFUNCTION("""COMPUTED_VALUE"""),37.01)</f>
        <v>37.01</v>
      </c>
      <c r="E35" s="1">
        <f>IFERROR(__xludf.DUMMYFUNCTION("""COMPUTED_VALUE"""),37.11)</f>
        <v>37.11</v>
      </c>
      <c r="F35" s="1">
        <f>IFERROR(__xludf.DUMMYFUNCTION("""COMPUTED_VALUE"""),487932.0)</f>
        <v>487932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IFERROR(__xludf.DUMMYFUNCTION("""COMPUTED_VALUE"""),36.95)</f>
        <v>36.95</v>
      </c>
      <c r="C36" s="1">
        <f>IFERROR(__xludf.DUMMYFUNCTION("""COMPUTED_VALUE"""),37.21)</f>
        <v>37.21</v>
      </c>
      <c r="D36" s="1">
        <f>IFERROR(__xludf.DUMMYFUNCTION("""COMPUTED_VALUE"""),36.46)</f>
        <v>36.46</v>
      </c>
      <c r="E36" s="1">
        <f>IFERROR(__xludf.DUMMYFUNCTION("""COMPUTED_VALUE"""),36.79)</f>
        <v>36.79</v>
      </c>
      <c r="F36" s="1">
        <f>IFERROR(__xludf.DUMMYFUNCTION("""COMPUTED_VALUE"""),674340.0)</f>
        <v>674340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IFERROR(__xludf.DUMMYFUNCTION("""COMPUTED_VALUE"""),36.93)</f>
        <v>36.93</v>
      </c>
      <c r="C37" s="1">
        <f>IFERROR(__xludf.DUMMYFUNCTION("""COMPUTED_VALUE"""),38.0)</f>
        <v>38</v>
      </c>
      <c r="D37" s="1">
        <f>IFERROR(__xludf.DUMMYFUNCTION("""COMPUTED_VALUE"""),36.81)</f>
        <v>36.81</v>
      </c>
      <c r="E37" s="1">
        <f>IFERROR(__xludf.DUMMYFUNCTION("""COMPUTED_VALUE"""),37.73)</f>
        <v>37.73</v>
      </c>
      <c r="F37" s="1">
        <f>IFERROR(__xludf.DUMMYFUNCTION("""COMPUTED_VALUE"""),1028144.0)</f>
        <v>1028144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IFERROR(__xludf.DUMMYFUNCTION("""COMPUTED_VALUE"""),37.29)</f>
        <v>37.29</v>
      </c>
      <c r="C38" s="1">
        <f>IFERROR(__xludf.DUMMYFUNCTION("""COMPUTED_VALUE"""),37.86)</f>
        <v>37.86</v>
      </c>
      <c r="D38" s="1">
        <f>IFERROR(__xludf.DUMMYFUNCTION("""COMPUTED_VALUE"""),37.23)</f>
        <v>37.23</v>
      </c>
      <c r="E38" s="1">
        <f>IFERROR(__xludf.DUMMYFUNCTION("""COMPUTED_VALUE"""),37.8)</f>
        <v>37.8</v>
      </c>
      <c r="F38" s="1">
        <f>IFERROR(__xludf.DUMMYFUNCTION("""COMPUTED_VALUE"""),567880.0)</f>
        <v>567880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IFERROR(__xludf.DUMMYFUNCTION("""COMPUTED_VALUE"""),37.75)</f>
        <v>37.75</v>
      </c>
      <c r="C39" s="1">
        <f>IFERROR(__xludf.DUMMYFUNCTION("""COMPUTED_VALUE"""),38.09)</f>
        <v>38.09</v>
      </c>
      <c r="D39" s="1">
        <f>IFERROR(__xludf.DUMMYFUNCTION("""COMPUTED_VALUE"""),37.61)</f>
        <v>37.61</v>
      </c>
      <c r="E39" s="1">
        <f>IFERROR(__xludf.DUMMYFUNCTION("""COMPUTED_VALUE"""),37.92)</f>
        <v>37.92</v>
      </c>
      <c r="F39" s="1">
        <f>IFERROR(__xludf.DUMMYFUNCTION("""COMPUTED_VALUE"""),505778.0)</f>
        <v>505778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IFERROR(__xludf.DUMMYFUNCTION("""COMPUTED_VALUE"""),37.94)</f>
        <v>37.94</v>
      </c>
      <c r="C40" s="1">
        <f>IFERROR(__xludf.DUMMYFUNCTION("""COMPUTED_VALUE"""),38.49)</f>
        <v>38.49</v>
      </c>
      <c r="D40" s="1">
        <f>IFERROR(__xludf.DUMMYFUNCTION("""COMPUTED_VALUE"""),37.9)</f>
        <v>37.9</v>
      </c>
      <c r="E40" s="1">
        <f>IFERROR(__xludf.DUMMYFUNCTION("""COMPUTED_VALUE"""),38.15)</f>
        <v>38.15</v>
      </c>
      <c r="F40" s="1">
        <f>IFERROR(__xludf.DUMMYFUNCTION("""COMPUTED_VALUE"""),512908.0)</f>
        <v>512908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IFERROR(__xludf.DUMMYFUNCTION("""COMPUTED_VALUE"""),38.14)</f>
        <v>38.14</v>
      </c>
      <c r="C41" s="1">
        <f>IFERROR(__xludf.DUMMYFUNCTION("""COMPUTED_VALUE"""),38.52)</f>
        <v>38.52</v>
      </c>
      <c r="D41" s="1">
        <f>IFERROR(__xludf.DUMMYFUNCTION("""COMPUTED_VALUE"""),37.84)</f>
        <v>37.84</v>
      </c>
      <c r="E41" s="1">
        <f>IFERROR(__xludf.DUMMYFUNCTION("""COMPUTED_VALUE"""),38.49)</f>
        <v>38.49</v>
      </c>
      <c r="F41" s="1">
        <f>IFERROR(__xludf.DUMMYFUNCTION("""COMPUTED_VALUE"""),502302.0)</f>
        <v>502302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IFERROR(__xludf.DUMMYFUNCTION("""COMPUTED_VALUE"""),39.24)</f>
        <v>39.24</v>
      </c>
      <c r="C42" s="1">
        <f>IFERROR(__xludf.DUMMYFUNCTION("""COMPUTED_VALUE"""),39.57)</f>
        <v>39.57</v>
      </c>
      <c r="D42" s="1">
        <f>IFERROR(__xludf.DUMMYFUNCTION("""COMPUTED_VALUE"""),38.9)</f>
        <v>38.9</v>
      </c>
      <c r="E42" s="1">
        <f>IFERROR(__xludf.DUMMYFUNCTION("""COMPUTED_VALUE"""),39.26)</f>
        <v>39.26</v>
      </c>
      <c r="F42" s="1">
        <f>IFERROR(__xludf.DUMMYFUNCTION("""COMPUTED_VALUE"""),1324085.0)</f>
        <v>1324085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IFERROR(__xludf.DUMMYFUNCTION("""COMPUTED_VALUE"""),39.39)</f>
        <v>39.39</v>
      </c>
      <c r="C43" s="1">
        <f>IFERROR(__xludf.DUMMYFUNCTION("""COMPUTED_VALUE"""),39.6)</f>
        <v>39.6</v>
      </c>
      <c r="D43" s="1">
        <f>IFERROR(__xludf.DUMMYFUNCTION("""COMPUTED_VALUE"""),38.83)</f>
        <v>38.83</v>
      </c>
      <c r="E43" s="1">
        <f>IFERROR(__xludf.DUMMYFUNCTION("""COMPUTED_VALUE"""),38.85)</f>
        <v>38.85</v>
      </c>
      <c r="F43" s="1">
        <f>IFERROR(__xludf.DUMMYFUNCTION("""COMPUTED_VALUE"""),557196.0)</f>
        <v>557196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IFERROR(__xludf.DUMMYFUNCTION("""COMPUTED_VALUE"""),39.08)</f>
        <v>39.08</v>
      </c>
      <c r="C44" s="1">
        <f>IFERROR(__xludf.DUMMYFUNCTION("""COMPUTED_VALUE"""),39.2)</f>
        <v>39.2</v>
      </c>
      <c r="D44" s="1">
        <f>IFERROR(__xludf.DUMMYFUNCTION("""COMPUTED_VALUE"""),38.7)</f>
        <v>38.7</v>
      </c>
      <c r="E44" s="1">
        <f>IFERROR(__xludf.DUMMYFUNCTION("""COMPUTED_VALUE"""),39.04)</f>
        <v>39.04</v>
      </c>
      <c r="F44" s="1">
        <f>IFERROR(__xludf.DUMMYFUNCTION("""COMPUTED_VALUE"""),706356.0)</f>
        <v>706356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IFERROR(__xludf.DUMMYFUNCTION("""COMPUTED_VALUE"""),38.9)</f>
        <v>38.9</v>
      </c>
      <c r="C45" s="1">
        <f>IFERROR(__xludf.DUMMYFUNCTION("""COMPUTED_VALUE"""),39.22)</f>
        <v>39.22</v>
      </c>
      <c r="D45" s="1">
        <f>IFERROR(__xludf.DUMMYFUNCTION("""COMPUTED_VALUE"""),38.73)</f>
        <v>38.73</v>
      </c>
      <c r="E45" s="1">
        <f>IFERROR(__xludf.DUMMYFUNCTION("""COMPUTED_VALUE"""),38.78)</f>
        <v>38.78</v>
      </c>
      <c r="F45" s="1">
        <f>IFERROR(__xludf.DUMMYFUNCTION("""COMPUTED_VALUE"""),403105.0)</f>
        <v>403105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IFERROR(__xludf.DUMMYFUNCTION("""COMPUTED_VALUE"""),38.62)</f>
        <v>38.62</v>
      </c>
      <c r="C46" s="1">
        <f>IFERROR(__xludf.DUMMYFUNCTION("""COMPUTED_VALUE"""),38.73)</f>
        <v>38.73</v>
      </c>
      <c r="D46" s="1">
        <f>IFERROR(__xludf.DUMMYFUNCTION("""COMPUTED_VALUE"""),37.88)</f>
        <v>37.88</v>
      </c>
      <c r="E46" s="1">
        <f>IFERROR(__xludf.DUMMYFUNCTION("""COMPUTED_VALUE"""),37.96)</f>
        <v>37.96</v>
      </c>
      <c r="F46" s="1">
        <f>IFERROR(__xludf.DUMMYFUNCTION("""COMPUTED_VALUE"""),1050654.0)</f>
        <v>1050654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IFERROR(__xludf.DUMMYFUNCTION("""COMPUTED_VALUE"""),37.88)</f>
        <v>37.88</v>
      </c>
      <c r="C47" s="1">
        <f>IFERROR(__xludf.DUMMYFUNCTION("""COMPUTED_VALUE"""),38.0)</f>
        <v>38</v>
      </c>
      <c r="D47" s="1">
        <f>IFERROR(__xludf.DUMMYFUNCTION("""COMPUTED_VALUE"""),37.44)</f>
        <v>37.44</v>
      </c>
      <c r="E47" s="1">
        <f>IFERROR(__xludf.DUMMYFUNCTION("""COMPUTED_VALUE"""),37.58)</f>
        <v>37.58</v>
      </c>
      <c r="F47" s="1">
        <f>IFERROR(__xludf.DUMMYFUNCTION("""COMPUTED_VALUE"""),975868.0)</f>
        <v>975868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IFERROR(__xludf.DUMMYFUNCTION("""COMPUTED_VALUE"""),37.57)</f>
        <v>37.57</v>
      </c>
      <c r="C48" s="1">
        <f>IFERROR(__xludf.DUMMYFUNCTION("""COMPUTED_VALUE"""),39.06)</f>
        <v>39.06</v>
      </c>
      <c r="D48" s="1">
        <f>IFERROR(__xludf.DUMMYFUNCTION("""COMPUTED_VALUE"""),37.41)</f>
        <v>37.41</v>
      </c>
      <c r="E48" s="1">
        <f>IFERROR(__xludf.DUMMYFUNCTION("""COMPUTED_VALUE"""),38.97)</f>
        <v>38.97</v>
      </c>
      <c r="F48" s="1">
        <f>IFERROR(__xludf.DUMMYFUNCTION("""COMPUTED_VALUE"""),1544931.0)</f>
        <v>1544931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IFERROR(__xludf.DUMMYFUNCTION("""COMPUTED_VALUE"""),38.95)</f>
        <v>38.95</v>
      </c>
      <c r="C49" s="1">
        <f>IFERROR(__xludf.DUMMYFUNCTION("""COMPUTED_VALUE"""),39.02)</f>
        <v>39.02</v>
      </c>
      <c r="D49" s="1">
        <f>IFERROR(__xludf.DUMMYFUNCTION("""COMPUTED_VALUE"""),38.37)</f>
        <v>38.37</v>
      </c>
      <c r="E49" s="1">
        <f>IFERROR(__xludf.DUMMYFUNCTION("""COMPUTED_VALUE"""),38.87)</f>
        <v>38.87</v>
      </c>
      <c r="F49" s="1">
        <f>IFERROR(__xludf.DUMMYFUNCTION("""COMPUTED_VALUE"""),821633.0)</f>
        <v>821633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IFERROR(__xludf.DUMMYFUNCTION("""COMPUTED_VALUE"""),38.93)</f>
        <v>38.93</v>
      </c>
      <c r="C50" s="1">
        <f>IFERROR(__xludf.DUMMYFUNCTION("""COMPUTED_VALUE"""),39.03)</f>
        <v>39.03</v>
      </c>
      <c r="D50" s="1">
        <f>IFERROR(__xludf.DUMMYFUNCTION("""COMPUTED_VALUE"""),38.2)</f>
        <v>38.2</v>
      </c>
      <c r="E50" s="1">
        <f>IFERROR(__xludf.DUMMYFUNCTION("""COMPUTED_VALUE"""),38.35)</f>
        <v>38.35</v>
      </c>
      <c r="F50" s="1">
        <f>IFERROR(__xludf.DUMMYFUNCTION("""COMPUTED_VALUE"""),486087.0)</f>
        <v>486087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IFERROR(__xludf.DUMMYFUNCTION("""COMPUTED_VALUE"""),38.36)</f>
        <v>38.36</v>
      </c>
      <c r="C51" s="1">
        <f>IFERROR(__xludf.DUMMYFUNCTION("""COMPUTED_VALUE"""),38.48)</f>
        <v>38.48</v>
      </c>
      <c r="D51" s="1">
        <f>IFERROR(__xludf.DUMMYFUNCTION("""COMPUTED_VALUE"""),38.0)</f>
        <v>38</v>
      </c>
      <c r="E51" s="1">
        <f>IFERROR(__xludf.DUMMYFUNCTION("""COMPUTED_VALUE"""),38.23)</f>
        <v>38.23</v>
      </c>
      <c r="F51" s="1">
        <f>IFERROR(__xludf.DUMMYFUNCTION("""COMPUTED_VALUE"""),407548.0)</f>
        <v>407548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IFERROR(__xludf.DUMMYFUNCTION("""COMPUTED_VALUE"""),38.35)</f>
        <v>38.35</v>
      </c>
      <c r="C52" s="1">
        <f>IFERROR(__xludf.DUMMYFUNCTION("""COMPUTED_VALUE"""),38.41)</f>
        <v>38.41</v>
      </c>
      <c r="D52" s="1">
        <f>IFERROR(__xludf.DUMMYFUNCTION("""COMPUTED_VALUE"""),37.82)</f>
        <v>37.82</v>
      </c>
      <c r="E52" s="1">
        <f>IFERROR(__xludf.DUMMYFUNCTION("""COMPUTED_VALUE"""),38.18)</f>
        <v>38.18</v>
      </c>
      <c r="F52" s="1">
        <f>IFERROR(__xludf.DUMMYFUNCTION("""COMPUTED_VALUE"""),378097.0)</f>
        <v>378097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IFERROR(__xludf.DUMMYFUNCTION("""COMPUTED_VALUE"""),38.03)</f>
        <v>38.03</v>
      </c>
      <c r="C53" s="1">
        <f>IFERROR(__xludf.DUMMYFUNCTION("""COMPUTED_VALUE"""),38.25)</f>
        <v>38.25</v>
      </c>
      <c r="D53" s="1">
        <f>IFERROR(__xludf.DUMMYFUNCTION("""COMPUTED_VALUE"""),37.83)</f>
        <v>37.83</v>
      </c>
      <c r="E53" s="1">
        <f>IFERROR(__xludf.DUMMYFUNCTION("""COMPUTED_VALUE"""),38.15)</f>
        <v>38.15</v>
      </c>
      <c r="F53" s="1">
        <f>IFERROR(__xludf.DUMMYFUNCTION("""COMPUTED_VALUE"""),670332.0)</f>
        <v>670332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IFERROR(__xludf.DUMMYFUNCTION("""COMPUTED_VALUE"""),38.3)</f>
        <v>38.3</v>
      </c>
      <c r="C54" s="1">
        <f>IFERROR(__xludf.DUMMYFUNCTION("""COMPUTED_VALUE"""),38.36)</f>
        <v>38.36</v>
      </c>
      <c r="D54" s="1">
        <f>IFERROR(__xludf.DUMMYFUNCTION("""COMPUTED_VALUE"""),37.86)</f>
        <v>37.86</v>
      </c>
      <c r="E54" s="1">
        <f>IFERROR(__xludf.DUMMYFUNCTION("""COMPUTED_VALUE"""),38.36)</f>
        <v>38.36</v>
      </c>
      <c r="F54" s="1">
        <f>IFERROR(__xludf.DUMMYFUNCTION("""COMPUTED_VALUE"""),787049.0)</f>
        <v>787049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IFERROR(__xludf.DUMMYFUNCTION("""COMPUTED_VALUE"""),38.11)</f>
        <v>38.11</v>
      </c>
      <c r="C55" s="1">
        <f>IFERROR(__xludf.DUMMYFUNCTION("""COMPUTED_VALUE"""),39.04)</f>
        <v>39.04</v>
      </c>
      <c r="D55" s="1">
        <f>IFERROR(__xludf.DUMMYFUNCTION("""COMPUTED_VALUE"""),38.09)</f>
        <v>38.09</v>
      </c>
      <c r="E55" s="1">
        <f>IFERROR(__xludf.DUMMYFUNCTION("""COMPUTED_VALUE"""),38.79)</f>
        <v>38.79</v>
      </c>
      <c r="F55" s="1">
        <f>IFERROR(__xludf.DUMMYFUNCTION("""COMPUTED_VALUE"""),584162.0)</f>
        <v>584162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IFERROR(__xludf.DUMMYFUNCTION("""COMPUTED_VALUE"""),38.92)</f>
        <v>38.92</v>
      </c>
      <c r="C56" s="1">
        <f>IFERROR(__xludf.DUMMYFUNCTION("""COMPUTED_VALUE"""),39.29)</f>
        <v>39.29</v>
      </c>
      <c r="D56" s="1">
        <f>IFERROR(__xludf.DUMMYFUNCTION("""COMPUTED_VALUE"""),38.65)</f>
        <v>38.65</v>
      </c>
      <c r="E56" s="1">
        <f>IFERROR(__xludf.DUMMYFUNCTION("""COMPUTED_VALUE"""),39.22)</f>
        <v>39.22</v>
      </c>
      <c r="F56" s="1">
        <f>IFERROR(__xludf.DUMMYFUNCTION("""COMPUTED_VALUE"""),653875.0)</f>
        <v>653875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IFERROR(__xludf.DUMMYFUNCTION("""COMPUTED_VALUE"""),39.19)</f>
        <v>39.19</v>
      </c>
      <c r="C57" s="1">
        <f>IFERROR(__xludf.DUMMYFUNCTION("""COMPUTED_VALUE"""),39.75)</f>
        <v>39.75</v>
      </c>
      <c r="D57" s="1">
        <f>IFERROR(__xludf.DUMMYFUNCTION("""COMPUTED_VALUE"""),39.07)</f>
        <v>39.07</v>
      </c>
      <c r="E57" s="1">
        <f>IFERROR(__xludf.DUMMYFUNCTION("""COMPUTED_VALUE"""),39.43)</f>
        <v>39.43</v>
      </c>
      <c r="F57" s="1">
        <f>IFERROR(__xludf.DUMMYFUNCTION("""COMPUTED_VALUE"""),642377.0)</f>
        <v>642377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IFERROR(__xludf.DUMMYFUNCTION("""COMPUTED_VALUE"""),39.72)</f>
        <v>39.72</v>
      </c>
      <c r="C58" s="1">
        <f>IFERROR(__xludf.DUMMYFUNCTION("""COMPUTED_VALUE"""),39.75)</f>
        <v>39.75</v>
      </c>
      <c r="D58" s="1">
        <f>IFERROR(__xludf.DUMMYFUNCTION("""COMPUTED_VALUE"""),39.19)</f>
        <v>39.19</v>
      </c>
      <c r="E58" s="1">
        <f>IFERROR(__xludf.DUMMYFUNCTION("""COMPUTED_VALUE"""),39.51)</f>
        <v>39.51</v>
      </c>
      <c r="F58" s="1">
        <f>IFERROR(__xludf.DUMMYFUNCTION("""COMPUTED_VALUE"""),441139.0)</f>
        <v>441139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IFERROR(__xludf.DUMMYFUNCTION("""COMPUTED_VALUE"""),39.45)</f>
        <v>39.45</v>
      </c>
      <c r="C59" s="1">
        <f>IFERROR(__xludf.DUMMYFUNCTION("""COMPUTED_VALUE"""),39.69)</f>
        <v>39.69</v>
      </c>
      <c r="D59" s="1">
        <f>IFERROR(__xludf.DUMMYFUNCTION("""COMPUTED_VALUE"""),39.03)</f>
        <v>39.03</v>
      </c>
      <c r="E59" s="1">
        <f>IFERROR(__xludf.DUMMYFUNCTION("""COMPUTED_VALUE"""),39.2)</f>
        <v>39.2</v>
      </c>
      <c r="F59" s="1">
        <f>IFERROR(__xludf.DUMMYFUNCTION("""COMPUTED_VALUE"""),351770.0)</f>
        <v>351770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IFERROR(__xludf.DUMMYFUNCTION("""COMPUTED_VALUE"""),39.27)</f>
        <v>39.27</v>
      </c>
      <c r="C60" s="1">
        <f>IFERROR(__xludf.DUMMYFUNCTION("""COMPUTED_VALUE"""),39.68)</f>
        <v>39.68</v>
      </c>
      <c r="D60" s="1">
        <f>IFERROR(__xludf.DUMMYFUNCTION("""COMPUTED_VALUE"""),39.21)</f>
        <v>39.21</v>
      </c>
      <c r="E60" s="1">
        <f>IFERROR(__xludf.DUMMYFUNCTION("""COMPUTED_VALUE"""),39.47)</f>
        <v>39.47</v>
      </c>
      <c r="F60" s="1">
        <f>IFERROR(__xludf.DUMMYFUNCTION("""COMPUTED_VALUE"""),381829.0)</f>
        <v>381829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IFERROR(__xludf.DUMMYFUNCTION("""COMPUTED_VALUE"""),39.61)</f>
        <v>39.61</v>
      </c>
      <c r="C61" s="1">
        <f>IFERROR(__xludf.DUMMYFUNCTION("""COMPUTED_VALUE"""),39.86)</f>
        <v>39.86</v>
      </c>
      <c r="D61" s="1">
        <f>IFERROR(__xludf.DUMMYFUNCTION("""COMPUTED_VALUE"""),39.49)</f>
        <v>39.49</v>
      </c>
      <c r="E61" s="1">
        <f>IFERROR(__xludf.DUMMYFUNCTION("""COMPUTED_VALUE"""),39.57)</f>
        <v>39.57</v>
      </c>
      <c r="F61" s="1">
        <f>IFERROR(__xludf.DUMMYFUNCTION("""COMPUTED_VALUE"""),340454.0)</f>
        <v>340454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IFERROR(__xludf.DUMMYFUNCTION("""COMPUTED_VALUE"""),39.53)</f>
        <v>39.53</v>
      </c>
      <c r="C62" s="1">
        <f>IFERROR(__xludf.DUMMYFUNCTION("""COMPUTED_VALUE"""),39.79)</f>
        <v>39.79</v>
      </c>
      <c r="D62" s="1">
        <f>IFERROR(__xludf.DUMMYFUNCTION("""COMPUTED_VALUE"""),39.3)</f>
        <v>39.3</v>
      </c>
      <c r="E62" s="1">
        <f>IFERROR(__xludf.DUMMYFUNCTION("""COMPUTED_VALUE"""),39.31)</f>
        <v>39.31</v>
      </c>
      <c r="F62" s="1">
        <f>IFERROR(__xludf.DUMMYFUNCTION("""COMPUTED_VALUE"""),267871.0)</f>
        <v>267871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IFERROR(__xludf.DUMMYFUNCTION("""COMPUTED_VALUE"""),39.42)</f>
        <v>39.42</v>
      </c>
      <c r="C63" s="1">
        <f>IFERROR(__xludf.DUMMYFUNCTION("""COMPUTED_VALUE"""),40.04)</f>
        <v>40.04</v>
      </c>
      <c r="D63" s="1">
        <f>IFERROR(__xludf.DUMMYFUNCTION("""COMPUTED_VALUE"""),39.42)</f>
        <v>39.42</v>
      </c>
      <c r="E63" s="1">
        <f>IFERROR(__xludf.DUMMYFUNCTION("""COMPUTED_VALUE"""),40.04)</f>
        <v>40.04</v>
      </c>
      <c r="F63" s="1">
        <f>IFERROR(__xludf.DUMMYFUNCTION("""COMPUTED_VALUE"""),479700.0)</f>
        <v>479700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IFERROR(__xludf.DUMMYFUNCTION("""COMPUTED_VALUE"""),40.09)</f>
        <v>40.09</v>
      </c>
      <c r="C64" s="1">
        <f>IFERROR(__xludf.DUMMYFUNCTION("""COMPUTED_VALUE"""),40.38)</f>
        <v>40.38</v>
      </c>
      <c r="D64" s="1">
        <f>IFERROR(__xludf.DUMMYFUNCTION("""COMPUTED_VALUE"""),39.93)</f>
        <v>39.93</v>
      </c>
      <c r="E64" s="1">
        <f>IFERROR(__xludf.DUMMYFUNCTION("""COMPUTED_VALUE"""),40.24)</f>
        <v>40.24</v>
      </c>
      <c r="F64" s="1">
        <f>IFERROR(__xludf.DUMMYFUNCTION("""COMPUTED_VALUE"""),591210.0)</f>
        <v>591210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IFERROR(__xludf.DUMMYFUNCTION("""COMPUTED_VALUE"""),40.15)</f>
        <v>40.15</v>
      </c>
      <c r="C65" s="1">
        <f>IFERROR(__xludf.DUMMYFUNCTION("""COMPUTED_VALUE"""),40.28)</f>
        <v>40.28</v>
      </c>
      <c r="D65" s="1">
        <f>IFERROR(__xludf.DUMMYFUNCTION("""COMPUTED_VALUE"""),39.94)</f>
        <v>39.94</v>
      </c>
      <c r="E65" s="1">
        <f>IFERROR(__xludf.DUMMYFUNCTION("""COMPUTED_VALUE"""),40.11)</f>
        <v>40.11</v>
      </c>
      <c r="F65" s="1">
        <f>IFERROR(__xludf.DUMMYFUNCTION("""COMPUTED_VALUE"""),455202.0)</f>
        <v>455202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IFERROR(__xludf.DUMMYFUNCTION("""COMPUTED_VALUE"""),40.0)</f>
        <v>40</v>
      </c>
      <c r="C66" s="1">
        <f>IFERROR(__xludf.DUMMYFUNCTION("""COMPUTED_VALUE"""),40.24)</f>
        <v>40.24</v>
      </c>
      <c r="D66" s="1">
        <f>IFERROR(__xludf.DUMMYFUNCTION("""COMPUTED_VALUE"""),39.63)</f>
        <v>39.63</v>
      </c>
      <c r="E66" s="1">
        <f>IFERROR(__xludf.DUMMYFUNCTION("""COMPUTED_VALUE"""),39.7)</f>
        <v>39.7</v>
      </c>
      <c r="F66" s="1">
        <f>IFERROR(__xludf.DUMMYFUNCTION("""COMPUTED_VALUE"""),450965.0)</f>
        <v>450965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IFERROR(__xludf.DUMMYFUNCTION("""COMPUTED_VALUE"""),39.7)</f>
        <v>39.7</v>
      </c>
      <c r="C67" s="1">
        <f>IFERROR(__xludf.DUMMYFUNCTION("""COMPUTED_VALUE"""),39.75)</f>
        <v>39.75</v>
      </c>
      <c r="D67" s="1">
        <f>IFERROR(__xludf.DUMMYFUNCTION("""COMPUTED_VALUE"""),39.25)</f>
        <v>39.25</v>
      </c>
      <c r="E67" s="1">
        <f>IFERROR(__xludf.DUMMYFUNCTION("""COMPUTED_VALUE"""),39.49)</f>
        <v>39.49</v>
      </c>
      <c r="F67" s="1">
        <f>IFERROR(__xludf.DUMMYFUNCTION("""COMPUTED_VALUE"""),530997.0)</f>
        <v>530997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IFERROR(__xludf.DUMMYFUNCTION("""COMPUTED_VALUE"""),39.65)</f>
        <v>39.65</v>
      </c>
      <c r="C68" s="1">
        <f>IFERROR(__xludf.DUMMYFUNCTION("""COMPUTED_VALUE"""),41.65)</f>
        <v>41.65</v>
      </c>
      <c r="D68" s="1">
        <f>IFERROR(__xludf.DUMMYFUNCTION("""COMPUTED_VALUE"""),39.34)</f>
        <v>39.34</v>
      </c>
      <c r="E68" s="1">
        <f>IFERROR(__xludf.DUMMYFUNCTION("""COMPUTED_VALUE"""),41.56)</f>
        <v>41.56</v>
      </c>
      <c r="F68" s="1">
        <f>IFERROR(__xludf.DUMMYFUNCTION("""COMPUTED_VALUE"""),2907931.0)</f>
        <v>2907931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IFERROR(__xludf.DUMMYFUNCTION("""COMPUTED_VALUE"""),41.39)</f>
        <v>41.39</v>
      </c>
      <c r="C69" s="1">
        <f>IFERROR(__xludf.DUMMYFUNCTION("""COMPUTED_VALUE"""),41.45)</f>
        <v>41.45</v>
      </c>
      <c r="D69" s="1">
        <f>IFERROR(__xludf.DUMMYFUNCTION("""COMPUTED_VALUE"""),40.05)</f>
        <v>40.05</v>
      </c>
      <c r="E69" s="1">
        <f>IFERROR(__xludf.DUMMYFUNCTION("""COMPUTED_VALUE"""),40.15)</f>
        <v>40.15</v>
      </c>
      <c r="F69" s="1">
        <f>IFERROR(__xludf.DUMMYFUNCTION("""COMPUTED_VALUE"""),947128.0)</f>
        <v>947128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IFERROR(__xludf.DUMMYFUNCTION("""COMPUTED_VALUE"""),40.22)</f>
        <v>40.22</v>
      </c>
      <c r="C70" s="1">
        <f>IFERROR(__xludf.DUMMYFUNCTION("""COMPUTED_VALUE"""),40.22)</f>
        <v>40.22</v>
      </c>
      <c r="D70" s="1">
        <f>IFERROR(__xludf.DUMMYFUNCTION("""COMPUTED_VALUE"""),39.7)</f>
        <v>39.7</v>
      </c>
      <c r="E70" s="1">
        <f>IFERROR(__xludf.DUMMYFUNCTION("""COMPUTED_VALUE"""),40.13)</f>
        <v>40.13</v>
      </c>
      <c r="F70" s="1">
        <f>IFERROR(__xludf.DUMMYFUNCTION("""COMPUTED_VALUE"""),456333.0)</f>
        <v>456333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IFERROR(__xludf.DUMMYFUNCTION("""COMPUTED_VALUE"""),40.31)</f>
        <v>40.31</v>
      </c>
      <c r="C71" s="1">
        <f>IFERROR(__xludf.DUMMYFUNCTION("""COMPUTED_VALUE"""),40.61)</f>
        <v>40.61</v>
      </c>
      <c r="D71" s="1">
        <f>IFERROR(__xludf.DUMMYFUNCTION("""COMPUTED_VALUE"""),40.15)</f>
        <v>40.15</v>
      </c>
      <c r="E71" s="1">
        <f>IFERROR(__xludf.DUMMYFUNCTION("""COMPUTED_VALUE"""),40.52)</f>
        <v>40.52</v>
      </c>
      <c r="F71" s="1">
        <f>IFERROR(__xludf.DUMMYFUNCTION("""COMPUTED_VALUE"""),319111.0)</f>
        <v>319111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IFERROR(__xludf.DUMMYFUNCTION("""COMPUTED_VALUE"""),40.54)</f>
        <v>40.54</v>
      </c>
      <c r="C72" s="1">
        <f>IFERROR(__xludf.DUMMYFUNCTION("""COMPUTED_VALUE"""),41.23)</f>
        <v>41.23</v>
      </c>
      <c r="D72" s="1">
        <f>IFERROR(__xludf.DUMMYFUNCTION("""COMPUTED_VALUE"""),40.51)</f>
        <v>40.51</v>
      </c>
      <c r="E72" s="1">
        <f>IFERROR(__xludf.DUMMYFUNCTION("""COMPUTED_VALUE"""),40.95)</f>
        <v>40.95</v>
      </c>
      <c r="F72" s="1">
        <f>IFERROR(__xludf.DUMMYFUNCTION("""COMPUTED_VALUE"""),386137.0)</f>
        <v>386137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IFERROR(__xludf.DUMMYFUNCTION("""COMPUTED_VALUE"""),40.87)</f>
        <v>40.87</v>
      </c>
      <c r="C73" s="1">
        <f>IFERROR(__xludf.DUMMYFUNCTION("""COMPUTED_VALUE"""),41.04)</f>
        <v>41.04</v>
      </c>
      <c r="D73" s="1">
        <f>IFERROR(__xludf.DUMMYFUNCTION("""COMPUTED_VALUE"""),40.1)</f>
        <v>40.1</v>
      </c>
      <c r="E73" s="1">
        <f>IFERROR(__xludf.DUMMYFUNCTION("""COMPUTED_VALUE"""),40.52)</f>
        <v>40.52</v>
      </c>
      <c r="F73" s="1">
        <f>IFERROR(__xludf.DUMMYFUNCTION("""COMPUTED_VALUE"""),522615.0)</f>
        <v>522615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IFERROR(__xludf.DUMMYFUNCTION("""COMPUTED_VALUE"""),40.49)</f>
        <v>40.49</v>
      </c>
      <c r="C74" s="1">
        <f>IFERROR(__xludf.DUMMYFUNCTION("""COMPUTED_VALUE"""),40.72)</f>
        <v>40.72</v>
      </c>
      <c r="D74" s="1">
        <f>IFERROR(__xludf.DUMMYFUNCTION("""COMPUTED_VALUE"""),39.98)</f>
        <v>39.98</v>
      </c>
      <c r="E74" s="1">
        <f>IFERROR(__xludf.DUMMYFUNCTION("""COMPUTED_VALUE"""),40.05)</f>
        <v>40.05</v>
      </c>
      <c r="F74" s="1">
        <f>IFERROR(__xludf.DUMMYFUNCTION("""COMPUTED_VALUE"""),621300.0)</f>
        <v>621300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IFERROR(__xludf.DUMMYFUNCTION("""COMPUTED_VALUE"""),40.25)</f>
        <v>40.25</v>
      </c>
      <c r="C75" s="1">
        <f>IFERROR(__xludf.DUMMYFUNCTION("""COMPUTED_VALUE"""),40.58)</f>
        <v>40.58</v>
      </c>
      <c r="D75" s="1">
        <f>IFERROR(__xludf.DUMMYFUNCTION("""COMPUTED_VALUE"""),40.09)</f>
        <v>40.09</v>
      </c>
      <c r="E75" s="1">
        <f>IFERROR(__xludf.DUMMYFUNCTION("""COMPUTED_VALUE"""),40.47)</f>
        <v>40.47</v>
      </c>
      <c r="F75" s="1">
        <f>IFERROR(__xludf.DUMMYFUNCTION("""COMPUTED_VALUE"""),222866.0)</f>
        <v>222866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IFERROR(__xludf.DUMMYFUNCTION("""COMPUTED_VALUE"""),40.65)</f>
        <v>40.65</v>
      </c>
      <c r="C76" s="1">
        <f>IFERROR(__xludf.DUMMYFUNCTION("""COMPUTED_VALUE"""),40.9)</f>
        <v>40.9</v>
      </c>
      <c r="D76" s="1">
        <f>IFERROR(__xludf.DUMMYFUNCTION("""COMPUTED_VALUE"""),40.38)</f>
        <v>40.38</v>
      </c>
      <c r="E76" s="1">
        <f>IFERROR(__xludf.DUMMYFUNCTION("""COMPUTED_VALUE"""),40.44)</f>
        <v>40.44</v>
      </c>
      <c r="F76" s="1">
        <f>IFERROR(__xludf.DUMMYFUNCTION("""COMPUTED_VALUE"""),446860.0)</f>
        <v>446860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IFERROR(__xludf.DUMMYFUNCTION("""COMPUTED_VALUE"""),40.13)</f>
        <v>40.13</v>
      </c>
      <c r="C77" s="1">
        <f>IFERROR(__xludf.DUMMYFUNCTION("""COMPUTED_VALUE"""),40.26)</f>
        <v>40.26</v>
      </c>
      <c r="D77" s="1">
        <f>IFERROR(__xludf.DUMMYFUNCTION("""COMPUTED_VALUE"""),39.67)</f>
        <v>39.67</v>
      </c>
      <c r="E77" s="1">
        <f>IFERROR(__xludf.DUMMYFUNCTION("""COMPUTED_VALUE"""),39.81)</f>
        <v>39.81</v>
      </c>
      <c r="F77" s="1">
        <f>IFERROR(__xludf.DUMMYFUNCTION("""COMPUTED_VALUE"""),386876.0)</f>
        <v>386876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IFERROR(__xludf.DUMMYFUNCTION("""COMPUTED_VALUE"""),39.87)</f>
        <v>39.87</v>
      </c>
      <c r="C78" s="1">
        <f>IFERROR(__xludf.DUMMYFUNCTION("""COMPUTED_VALUE"""),40.1)</f>
        <v>40.1</v>
      </c>
      <c r="D78" s="1">
        <f>IFERROR(__xludf.DUMMYFUNCTION("""COMPUTED_VALUE"""),39.61)</f>
        <v>39.61</v>
      </c>
      <c r="E78" s="1">
        <f>IFERROR(__xludf.DUMMYFUNCTION("""COMPUTED_VALUE"""),39.77)</f>
        <v>39.77</v>
      </c>
      <c r="F78" s="1">
        <f>IFERROR(__xludf.DUMMYFUNCTION("""COMPUTED_VALUE"""),441814.0)</f>
        <v>441814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IFERROR(__xludf.DUMMYFUNCTION("""COMPUTED_VALUE"""),35.87)</f>
        <v>35.87</v>
      </c>
      <c r="C79" s="1">
        <f>IFERROR(__xludf.DUMMYFUNCTION("""COMPUTED_VALUE"""),36.11)</f>
        <v>36.11</v>
      </c>
      <c r="D79" s="1">
        <f>IFERROR(__xludf.DUMMYFUNCTION("""COMPUTED_VALUE"""),33.5)</f>
        <v>33.5</v>
      </c>
      <c r="E79" s="1">
        <f>IFERROR(__xludf.DUMMYFUNCTION("""COMPUTED_VALUE"""),33.55)</f>
        <v>33.55</v>
      </c>
      <c r="F79" s="1">
        <f>IFERROR(__xludf.DUMMYFUNCTION("""COMPUTED_VALUE"""),9982045.0)</f>
        <v>9982045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IFERROR(__xludf.DUMMYFUNCTION("""COMPUTED_VALUE"""),33.55)</f>
        <v>33.55</v>
      </c>
      <c r="C80" s="1">
        <f>IFERROR(__xludf.DUMMYFUNCTION("""COMPUTED_VALUE"""),34.43)</f>
        <v>34.43</v>
      </c>
      <c r="D80" s="1">
        <f>IFERROR(__xludf.DUMMYFUNCTION("""COMPUTED_VALUE"""),33.37)</f>
        <v>33.37</v>
      </c>
      <c r="E80" s="1">
        <f>IFERROR(__xludf.DUMMYFUNCTION("""COMPUTED_VALUE"""),33.74)</f>
        <v>33.74</v>
      </c>
      <c r="F80" s="1">
        <f>IFERROR(__xludf.DUMMYFUNCTION("""COMPUTED_VALUE"""),4322661.0)</f>
        <v>4322661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IFERROR(__xludf.DUMMYFUNCTION("""COMPUTED_VALUE"""),33.99)</f>
        <v>33.99</v>
      </c>
      <c r="C81" s="1">
        <f>IFERROR(__xludf.DUMMYFUNCTION("""COMPUTED_VALUE"""),34.62)</f>
        <v>34.62</v>
      </c>
      <c r="D81" s="1">
        <f>IFERROR(__xludf.DUMMYFUNCTION("""COMPUTED_VALUE"""),33.85)</f>
        <v>33.85</v>
      </c>
      <c r="E81" s="1">
        <f>IFERROR(__xludf.DUMMYFUNCTION("""COMPUTED_VALUE"""),34.19)</f>
        <v>34.19</v>
      </c>
      <c r="F81" s="1">
        <f>IFERROR(__xludf.DUMMYFUNCTION("""COMPUTED_VALUE"""),2576263.0)</f>
        <v>2576263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IFERROR(__xludf.DUMMYFUNCTION("""COMPUTED_VALUE"""),34.47)</f>
        <v>34.47</v>
      </c>
      <c r="C82" s="1">
        <f>IFERROR(__xludf.DUMMYFUNCTION("""COMPUTED_VALUE"""),34.5)</f>
        <v>34.5</v>
      </c>
      <c r="D82" s="1">
        <f>IFERROR(__xludf.DUMMYFUNCTION("""COMPUTED_VALUE"""),33.95)</f>
        <v>33.95</v>
      </c>
      <c r="E82" s="1">
        <f>IFERROR(__xludf.DUMMYFUNCTION("""COMPUTED_VALUE"""),34.28)</f>
        <v>34.28</v>
      </c>
      <c r="F82" s="1">
        <f>IFERROR(__xludf.DUMMYFUNCTION("""COMPUTED_VALUE"""),1693409.0)</f>
        <v>1693409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IFERROR(__xludf.DUMMYFUNCTION("""COMPUTED_VALUE"""),34.25)</f>
        <v>34.25</v>
      </c>
      <c r="C83" s="1">
        <f>IFERROR(__xludf.DUMMYFUNCTION("""COMPUTED_VALUE"""),34.58)</f>
        <v>34.58</v>
      </c>
      <c r="D83" s="1">
        <f>IFERROR(__xludf.DUMMYFUNCTION("""COMPUTED_VALUE"""),33.45)</f>
        <v>33.45</v>
      </c>
      <c r="E83" s="1">
        <f>IFERROR(__xludf.DUMMYFUNCTION("""COMPUTED_VALUE"""),33.48)</f>
        <v>33.48</v>
      </c>
      <c r="F83" s="1">
        <f>IFERROR(__xludf.DUMMYFUNCTION("""COMPUTED_VALUE"""),1318887.0)</f>
        <v>1318887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IFERROR(__xludf.DUMMYFUNCTION("""COMPUTED_VALUE"""),33.59)</f>
        <v>33.59</v>
      </c>
      <c r="C84" s="1">
        <f>IFERROR(__xludf.DUMMYFUNCTION("""COMPUTED_VALUE"""),34.17)</f>
        <v>34.17</v>
      </c>
      <c r="D84" s="1">
        <f>IFERROR(__xludf.DUMMYFUNCTION("""COMPUTED_VALUE"""),32.88)</f>
        <v>32.88</v>
      </c>
      <c r="E84" s="1">
        <f>IFERROR(__xludf.DUMMYFUNCTION("""COMPUTED_VALUE"""),33.16)</f>
        <v>33.16</v>
      </c>
      <c r="F84" s="1">
        <f>IFERROR(__xludf.DUMMYFUNCTION("""COMPUTED_VALUE"""),1576053.0)</f>
        <v>1576053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IFERROR(__xludf.DUMMYFUNCTION("""COMPUTED_VALUE"""),32.91)</f>
        <v>32.91</v>
      </c>
      <c r="C85" s="1">
        <f>IFERROR(__xludf.DUMMYFUNCTION("""COMPUTED_VALUE"""),32.91)</f>
        <v>32.91</v>
      </c>
      <c r="D85" s="1">
        <f>IFERROR(__xludf.DUMMYFUNCTION("""COMPUTED_VALUE"""),32.1)</f>
        <v>32.1</v>
      </c>
      <c r="E85" s="1">
        <f>IFERROR(__xludf.DUMMYFUNCTION("""COMPUTED_VALUE"""),32.33)</f>
        <v>32.33</v>
      </c>
      <c r="F85" s="1">
        <f>IFERROR(__xludf.DUMMYFUNCTION("""COMPUTED_VALUE"""),2031643.0)</f>
        <v>2031643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IFERROR(__xludf.DUMMYFUNCTION("""COMPUTED_VALUE"""),32.23)</f>
        <v>32.23</v>
      </c>
      <c r="C86" s="1">
        <f>IFERROR(__xludf.DUMMYFUNCTION("""COMPUTED_VALUE"""),32.45)</f>
        <v>32.45</v>
      </c>
      <c r="D86" s="1">
        <f>IFERROR(__xludf.DUMMYFUNCTION("""COMPUTED_VALUE"""),31.7)</f>
        <v>31.7</v>
      </c>
      <c r="E86" s="1">
        <f>IFERROR(__xludf.DUMMYFUNCTION("""COMPUTED_VALUE"""),32.2)</f>
        <v>32.2</v>
      </c>
      <c r="F86" s="1">
        <f>IFERROR(__xludf.DUMMYFUNCTION("""COMPUTED_VALUE"""),1215425.0)</f>
        <v>1215425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IFERROR(__xludf.DUMMYFUNCTION("""COMPUTED_VALUE"""),32.0)</f>
        <v>32</v>
      </c>
      <c r="C87" s="1">
        <f>IFERROR(__xludf.DUMMYFUNCTION("""COMPUTED_VALUE"""),32.14)</f>
        <v>32.14</v>
      </c>
      <c r="D87" s="1">
        <f>IFERROR(__xludf.DUMMYFUNCTION("""COMPUTED_VALUE"""),26.82)</f>
        <v>26.82</v>
      </c>
      <c r="E87" s="1">
        <f>IFERROR(__xludf.DUMMYFUNCTION("""COMPUTED_VALUE"""),31.01)</f>
        <v>31.01</v>
      </c>
      <c r="F87" s="1">
        <f>IFERROR(__xludf.DUMMYFUNCTION("""COMPUTED_VALUE"""),2213730.0)</f>
        <v>2213730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IFERROR(__xludf.DUMMYFUNCTION("""COMPUTED_VALUE"""),31.04)</f>
        <v>31.04</v>
      </c>
      <c r="C88" s="1">
        <f>IFERROR(__xludf.DUMMYFUNCTION("""COMPUTED_VALUE"""),31.6)</f>
        <v>31.6</v>
      </c>
      <c r="D88" s="1">
        <f>IFERROR(__xludf.DUMMYFUNCTION("""COMPUTED_VALUE"""),30.36)</f>
        <v>30.36</v>
      </c>
      <c r="E88" s="1">
        <f>IFERROR(__xludf.DUMMYFUNCTION("""COMPUTED_VALUE"""),30.44)</f>
        <v>30.44</v>
      </c>
      <c r="F88" s="1">
        <f>IFERROR(__xludf.DUMMYFUNCTION("""COMPUTED_VALUE"""),2020773.0)</f>
        <v>2020773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IFERROR(__xludf.DUMMYFUNCTION("""COMPUTED_VALUE"""),31.48)</f>
        <v>31.48</v>
      </c>
      <c r="C89" s="1">
        <f>IFERROR(__xludf.DUMMYFUNCTION("""COMPUTED_VALUE"""),31.85)</f>
        <v>31.85</v>
      </c>
      <c r="D89" s="1">
        <f>IFERROR(__xludf.DUMMYFUNCTION("""COMPUTED_VALUE"""),30.62)</f>
        <v>30.62</v>
      </c>
      <c r="E89" s="1">
        <f>IFERROR(__xludf.DUMMYFUNCTION("""COMPUTED_VALUE"""),31.01)</f>
        <v>31.01</v>
      </c>
      <c r="F89" s="1">
        <f>IFERROR(__xludf.DUMMYFUNCTION("""COMPUTED_VALUE"""),1530174.0)</f>
        <v>1530174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IFERROR(__xludf.DUMMYFUNCTION("""COMPUTED_VALUE"""),30.88)</f>
        <v>30.88</v>
      </c>
      <c r="C90" s="1">
        <f>IFERROR(__xludf.DUMMYFUNCTION("""COMPUTED_VALUE"""),31.7)</f>
        <v>31.7</v>
      </c>
      <c r="D90" s="1">
        <f>IFERROR(__xludf.DUMMYFUNCTION("""COMPUTED_VALUE"""),30.61)</f>
        <v>30.61</v>
      </c>
      <c r="E90" s="1">
        <f>IFERROR(__xludf.DUMMYFUNCTION("""COMPUTED_VALUE"""),31.41)</f>
        <v>31.41</v>
      </c>
      <c r="F90" s="1">
        <f>IFERROR(__xludf.DUMMYFUNCTION("""COMPUTED_VALUE"""),1207938.0)</f>
        <v>1207938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IFERROR(__xludf.DUMMYFUNCTION("""COMPUTED_VALUE"""),32.4)</f>
        <v>32.4</v>
      </c>
      <c r="C91" s="1">
        <f>IFERROR(__xludf.DUMMYFUNCTION("""COMPUTED_VALUE"""),33.48)</f>
        <v>33.48</v>
      </c>
      <c r="D91" s="1">
        <f>IFERROR(__xludf.DUMMYFUNCTION("""COMPUTED_VALUE"""),32.09)</f>
        <v>32.09</v>
      </c>
      <c r="E91" s="1">
        <f>IFERROR(__xludf.DUMMYFUNCTION("""COMPUTED_VALUE"""),32.65)</f>
        <v>32.65</v>
      </c>
      <c r="F91" s="1">
        <f>IFERROR(__xludf.DUMMYFUNCTION("""COMPUTED_VALUE"""),2867919.0)</f>
        <v>2867919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IFERROR(__xludf.DUMMYFUNCTION("""COMPUTED_VALUE"""),32.68)</f>
        <v>32.68</v>
      </c>
      <c r="C92" s="1">
        <f>IFERROR(__xludf.DUMMYFUNCTION("""COMPUTED_VALUE"""),33.4)</f>
        <v>33.4</v>
      </c>
      <c r="D92" s="1">
        <f>IFERROR(__xludf.DUMMYFUNCTION("""COMPUTED_VALUE"""),32.64)</f>
        <v>32.64</v>
      </c>
      <c r="E92" s="1">
        <f>IFERROR(__xludf.DUMMYFUNCTION("""COMPUTED_VALUE"""),32.9)</f>
        <v>32.9</v>
      </c>
      <c r="F92" s="1">
        <f>IFERROR(__xludf.DUMMYFUNCTION("""COMPUTED_VALUE"""),1425876.0)</f>
        <v>1425876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IFERROR(__xludf.DUMMYFUNCTION("""COMPUTED_VALUE"""),32.6)</f>
        <v>32.6</v>
      </c>
      <c r="C93" s="1">
        <f>IFERROR(__xludf.DUMMYFUNCTION("""COMPUTED_VALUE"""),32.75)</f>
        <v>32.75</v>
      </c>
      <c r="D93" s="1">
        <f>IFERROR(__xludf.DUMMYFUNCTION("""COMPUTED_VALUE"""),31.81)</f>
        <v>31.81</v>
      </c>
      <c r="E93" s="1">
        <f>IFERROR(__xludf.DUMMYFUNCTION("""COMPUTED_VALUE"""),31.9)</f>
        <v>31.9</v>
      </c>
      <c r="F93" s="1">
        <f>IFERROR(__xludf.DUMMYFUNCTION("""COMPUTED_VALUE"""),1341749.0)</f>
        <v>1341749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IFERROR(__xludf.DUMMYFUNCTION("""COMPUTED_VALUE"""),31.92)</f>
        <v>31.92</v>
      </c>
      <c r="C94" s="1">
        <f>IFERROR(__xludf.DUMMYFUNCTION("""COMPUTED_VALUE"""),32.51)</f>
        <v>32.51</v>
      </c>
      <c r="D94" s="1">
        <f>IFERROR(__xludf.DUMMYFUNCTION("""COMPUTED_VALUE"""),31.49)</f>
        <v>31.49</v>
      </c>
      <c r="E94" s="1">
        <f>IFERROR(__xludf.DUMMYFUNCTION("""COMPUTED_VALUE"""),32.5)</f>
        <v>32.5</v>
      </c>
      <c r="F94" s="1">
        <f>IFERROR(__xludf.DUMMYFUNCTION("""COMPUTED_VALUE"""),1471573.0)</f>
        <v>1471573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IFERROR(__xludf.DUMMYFUNCTION("""COMPUTED_VALUE"""),32.71)</f>
        <v>32.71</v>
      </c>
      <c r="C95" s="1">
        <f>IFERROR(__xludf.DUMMYFUNCTION("""COMPUTED_VALUE"""),32.8)</f>
        <v>32.8</v>
      </c>
      <c r="D95" s="1">
        <f>IFERROR(__xludf.DUMMYFUNCTION("""COMPUTED_VALUE"""),32.17)</f>
        <v>32.17</v>
      </c>
      <c r="E95" s="1">
        <f>IFERROR(__xludf.DUMMYFUNCTION("""COMPUTED_VALUE"""),32.39)</f>
        <v>32.39</v>
      </c>
      <c r="F95" s="1">
        <f>IFERROR(__xludf.DUMMYFUNCTION("""COMPUTED_VALUE"""),1592862.0)</f>
        <v>1592862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IFERROR(__xludf.DUMMYFUNCTION("""COMPUTED_VALUE"""),32.32)</f>
        <v>32.32</v>
      </c>
      <c r="C96" s="1">
        <f>IFERROR(__xludf.DUMMYFUNCTION("""COMPUTED_VALUE"""),32.53)</f>
        <v>32.53</v>
      </c>
      <c r="D96" s="1">
        <f>IFERROR(__xludf.DUMMYFUNCTION("""COMPUTED_VALUE"""),31.9)</f>
        <v>31.9</v>
      </c>
      <c r="E96" s="1">
        <f>IFERROR(__xludf.DUMMYFUNCTION("""COMPUTED_VALUE"""),32.44)</f>
        <v>32.44</v>
      </c>
      <c r="F96" s="1">
        <f>IFERROR(__xludf.DUMMYFUNCTION("""COMPUTED_VALUE"""),1345697.0)</f>
        <v>1345697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IFERROR(__xludf.DUMMYFUNCTION("""COMPUTED_VALUE"""),31.99)</f>
        <v>31.99</v>
      </c>
      <c r="C97" s="1">
        <f>IFERROR(__xludf.DUMMYFUNCTION("""COMPUTED_VALUE"""),32.61)</f>
        <v>32.61</v>
      </c>
      <c r="D97" s="1">
        <f>IFERROR(__xludf.DUMMYFUNCTION("""COMPUTED_VALUE"""),31.63)</f>
        <v>31.63</v>
      </c>
      <c r="E97" s="1">
        <f>IFERROR(__xludf.DUMMYFUNCTION("""COMPUTED_VALUE"""),31.99)</f>
        <v>31.99</v>
      </c>
      <c r="F97" s="1">
        <f>IFERROR(__xludf.DUMMYFUNCTION("""COMPUTED_VALUE"""),2561446.0)</f>
        <v>2561446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IFERROR(__xludf.DUMMYFUNCTION("""COMPUTED_VALUE"""),31.6)</f>
        <v>31.6</v>
      </c>
      <c r="C98" s="1">
        <f>IFERROR(__xludf.DUMMYFUNCTION("""COMPUTED_VALUE"""),32.3)</f>
        <v>32.3</v>
      </c>
      <c r="D98" s="1">
        <f>IFERROR(__xludf.DUMMYFUNCTION("""COMPUTED_VALUE"""),31.45)</f>
        <v>31.45</v>
      </c>
      <c r="E98" s="1">
        <f>IFERROR(__xludf.DUMMYFUNCTION("""COMPUTED_VALUE"""),32.3)</f>
        <v>32.3</v>
      </c>
      <c r="F98" s="1">
        <f>IFERROR(__xludf.DUMMYFUNCTION("""COMPUTED_VALUE"""),2797204.0)</f>
        <v>2797204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IFERROR(__xludf.DUMMYFUNCTION("""COMPUTED_VALUE"""),32.29)</f>
        <v>32.29</v>
      </c>
      <c r="C99" s="1">
        <f>IFERROR(__xludf.DUMMYFUNCTION("""COMPUTED_VALUE"""),32.93)</f>
        <v>32.93</v>
      </c>
      <c r="D99" s="1">
        <f>IFERROR(__xludf.DUMMYFUNCTION("""COMPUTED_VALUE"""),31.68)</f>
        <v>31.68</v>
      </c>
      <c r="E99" s="1">
        <f>IFERROR(__xludf.DUMMYFUNCTION("""COMPUTED_VALUE"""),31.68)</f>
        <v>31.68</v>
      </c>
      <c r="F99" s="1">
        <f>IFERROR(__xludf.DUMMYFUNCTION("""COMPUTED_VALUE"""),1700697.0)</f>
        <v>1700697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IFERROR(__xludf.DUMMYFUNCTION("""COMPUTED_VALUE"""),31.16)</f>
        <v>31.16</v>
      </c>
      <c r="C100" s="1">
        <f>IFERROR(__xludf.DUMMYFUNCTION("""COMPUTED_VALUE"""),31.82)</f>
        <v>31.82</v>
      </c>
      <c r="D100" s="1">
        <f>IFERROR(__xludf.DUMMYFUNCTION("""COMPUTED_VALUE"""),30.74)</f>
        <v>30.74</v>
      </c>
      <c r="E100" s="1">
        <f>IFERROR(__xludf.DUMMYFUNCTION("""COMPUTED_VALUE"""),31.62)</f>
        <v>31.62</v>
      </c>
      <c r="F100" s="1">
        <f>IFERROR(__xludf.DUMMYFUNCTION("""COMPUTED_VALUE"""),2126633.0)</f>
        <v>2126633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IFERROR(__xludf.DUMMYFUNCTION("""COMPUTED_VALUE"""),31.79)</f>
        <v>31.79</v>
      </c>
      <c r="C101" s="1">
        <f>IFERROR(__xludf.DUMMYFUNCTION("""COMPUTED_VALUE"""),32.12)</f>
        <v>32.12</v>
      </c>
      <c r="D101" s="1">
        <f>IFERROR(__xludf.DUMMYFUNCTION("""COMPUTED_VALUE"""),31.63)</f>
        <v>31.63</v>
      </c>
      <c r="E101" s="1">
        <f>IFERROR(__xludf.DUMMYFUNCTION("""COMPUTED_VALUE"""),31.94)</f>
        <v>31.94</v>
      </c>
      <c r="F101" s="1">
        <f>IFERROR(__xludf.DUMMYFUNCTION("""COMPUTED_VALUE"""),2713909.0)</f>
        <v>2713909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IFERROR(__xludf.DUMMYFUNCTION("""COMPUTED_VALUE"""),32.29)</f>
        <v>32.29</v>
      </c>
      <c r="C102" s="1">
        <f>IFERROR(__xludf.DUMMYFUNCTION("""COMPUTED_VALUE"""),33.38)</f>
        <v>33.38</v>
      </c>
      <c r="D102" s="1">
        <f>IFERROR(__xludf.DUMMYFUNCTION("""COMPUTED_VALUE"""),32.17)</f>
        <v>32.17</v>
      </c>
      <c r="E102" s="1">
        <f>IFERROR(__xludf.DUMMYFUNCTION("""COMPUTED_VALUE"""),33.32)</f>
        <v>33.32</v>
      </c>
      <c r="F102" s="1">
        <f>IFERROR(__xludf.DUMMYFUNCTION("""COMPUTED_VALUE"""),1170036.0)</f>
        <v>1170036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IFERROR(__xludf.DUMMYFUNCTION("""COMPUTED_VALUE"""),33.21)</f>
        <v>33.21</v>
      </c>
      <c r="C103" s="1">
        <f>IFERROR(__xludf.DUMMYFUNCTION("""COMPUTED_VALUE"""),33.65)</f>
        <v>33.65</v>
      </c>
      <c r="D103" s="1">
        <f>IFERROR(__xludf.DUMMYFUNCTION("""COMPUTED_VALUE"""),33.07)</f>
        <v>33.07</v>
      </c>
      <c r="E103" s="1">
        <f>IFERROR(__xludf.DUMMYFUNCTION("""COMPUTED_VALUE"""),33.54)</f>
        <v>33.54</v>
      </c>
      <c r="F103" s="1">
        <f>IFERROR(__xludf.DUMMYFUNCTION("""COMPUTED_VALUE"""),1204308.0)</f>
        <v>1204308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IFERROR(__xludf.DUMMYFUNCTION("""COMPUTED_VALUE"""),33.24)</f>
        <v>33.24</v>
      </c>
      <c r="C104" s="1">
        <f>IFERROR(__xludf.DUMMYFUNCTION("""COMPUTED_VALUE"""),34.06)</f>
        <v>34.06</v>
      </c>
      <c r="D104" s="1">
        <f>IFERROR(__xludf.DUMMYFUNCTION("""COMPUTED_VALUE"""),33.0)</f>
        <v>33</v>
      </c>
      <c r="E104" s="1">
        <f>IFERROR(__xludf.DUMMYFUNCTION("""COMPUTED_VALUE"""),33.36)</f>
        <v>33.36</v>
      </c>
      <c r="F104" s="1">
        <f>IFERROR(__xludf.DUMMYFUNCTION("""COMPUTED_VALUE"""),1826972.0)</f>
        <v>1826972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IFERROR(__xludf.DUMMYFUNCTION("""COMPUTED_VALUE"""),33.66)</f>
        <v>33.66</v>
      </c>
      <c r="C105" s="1">
        <f>IFERROR(__xludf.DUMMYFUNCTION("""COMPUTED_VALUE"""),34.04)</f>
        <v>34.04</v>
      </c>
      <c r="D105" s="1">
        <f>IFERROR(__xludf.DUMMYFUNCTION("""COMPUTED_VALUE"""),33.2)</f>
        <v>33.2</v>
      </c>
      <c r="E105" s="1">
        <f>IFERROR(__xludf.DUMMYFUNCTION("""COMPUTED_VALUE"""),33.98)</f>
        <v>33.98</v>
      </c>
      <c r="F105" s="1">
        <f>IFERROR(__xludf.DUMMYFUNCTION("""COMPUTED_VALUE"""),1164438.0)</f>
        <v>1164438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IFERROR(__xludf.DUMMYFUNCTION("""COMPUTED_VALUE"""),33.94)</f>
        <v>33.94</v>
      </c>
      <c r="C106" s="1">
        <f>IFERROR(__xludf.DUMMYFUNCTION("""COMPUTED_VALUE"""),34.5)</f>
        <v>34.5</v>
      </c>
      <c r="D106" s="1">
        <f>IFERROR(__xludf.DUMMYFUNCTION("""COMPUTED_VALUE"""),33.82)</f>
        <v>33.82</v>
      </c>
      <c r="E106" s="1">
        <f>IFERROR(__xludf.DUMMYFUNCTION("""COMPUTED_VALUE"""),34.48)</f>
        <v>34.48</v>
      </c>
      <c r="F106" s="1">
        <f>IFERROR(__xludf.DUMMYFUNCTION("""COMPUTED_VALUE"""),844606.0)</f>
        <v>844606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IFERROR(__xludf.DUMMYFUNCTION("""COMPUTED_VALUE"""),34.16)</f>
        <v>34.16</v>
      </c>
      <c r="C107" s="1">
        <f>IFERROR(__xludf.DUMMYFUNCTION("""COMPUTED_VALUE"""),34.31)</f>
        <v>34.31</v>
      </c>
      <c r="D107" s="1">
        <f>IFERROR(__xludf.DUMMYFUNCTION("""COMPUTED_VALUE"""),32.77)</f>
        <v>32.77</v>
      </c>
      <c r="E107" s="1">
        <f>IFERROR(__xludf.DUMMYFUNCTION("""COMPUTED_VALUE"""),32.96)</f>
        <v>32.96</v>
      </c>
      <c r="F107" s="1">
        <f>IFERROR(__xludf.DUMMYFUNCTION("""COMPUTED_VALUE"""),964828.0)</f>
        <v>964828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IFERROR(__xludf.DUMMYFUNCTION("""COMPUTED_VALUE"""),32.96)</f>
        <v>32.96</v>
      </c>
      <c r="C108" s="1">
        <f>IFERROR(__xludf.DUMMYFUNCTION("""COMPUTED_VALUE"""),33.37)</f>
        <v>33.37</v>
      </c>
      <c r="D108" s="1">
        <f>IFERROR(__xludf.DUMMYFUNCTION("""COMPUTED_VALUE"""),32.44)</f>
        <v>32.44</v>
      </c>
      <c r="E108" s="1">
        <f>IFERROR(__xludf.DUMMYFUNCTION("""COMPUTED_VALUE"""),32.44)</f>
        <v>32.44</v>
      </c>
      <c r="F108" s="1">
        <f>IFERROR(__xludf.DUMMYFUNCTION("""COMPUTED_VALUE"""),592235.0)</f>
        <v>592235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IFERROR(__xludf.DUMMYFUNCTION("""COMPUTED_VALUE"""),33.57)</f>
        <v>33.57</v>
      </c>
      <c r="C109" s="1">
        <f>IFERROR(__xludf.DUMMYFUNCTION("""COMPUTED_VALUE"""),34.37)</f>
        <v>34.37</v>
      </c>
      <c r="D109" s="1">
        <f>IFERROR(__xludf.DUMMYFUNCTION("""COMPUTED_VALUE"""),33.22)</f>
        <v>33.22</v>
      </c>
      <c r="E109" s="1">
        <f>IFERROR(__xludf.DUMMYFUNCTION("""COMPUTED_VALUE"""),33.7)</f>
        <v>33.7</v>
      </c>
      <c r="F109" s="1">
        <f>IFERROR(__xludf.DUMMYFUNCTION("""COMPUTED_VALUE"""),2966535.0)</f>
        <v>2966535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IFERROR(__xludf.DUMMYFUNCTION("""COMPUTED_VALUE"""),33.77)</f>
        <v>33.77</v>
      </c>
      <c r="C110" s="1">
        <f>IFERROR(__xludf.DUMMYFUNCTION("""COMPUTED_VALUE"""),35.09)</f>
        <v>35.09</v>
      </c>
      <c r="D110" s="1">
        <f>IFERROR(__xludf.DUMMYFUNCTION("""COMPUTED_VALUE"""),33.77)</f>
        <v>33.77</v>
      </c>
      <c r="E110" s="1">
        <f>IFERROR(__xludf.DUMMYFUNCTION("""COMPUTED_VALUE"""),35.05)</f>
        <v>35.05</v>
      </c>
      <c r="F110" s="1">
        <f>IFERROR(__xludf.DUMMYFUNCTION("""COMPUTED_VALUE"""),2427554.0)</f>
        <v>2427554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IFERROR(__xludf.DUMMYFUNCTION("""COMPUTED_VALUE"""),35.33)</f>
        <v>35.33</v>
      </c>
      <c r="C111" s="1">
        <f>IFERROR(__xludf.DUMMYFUNCTION("""COMPUTED_VALUE"""),36.1)</f>
        <v>36.1</v>
      </c>
      <c r="D111" s="1">
        <f>IFERROR(__xludf.DUMMYFUNCTION("""COMPUTED_VALUE"""),34.93)</f>
        <v>34.93</v>
      </c>
      <c r="E111" s="1">
        <f>IFERROR(__xludf.DUMMYFUNCTION("""COMPUTED_VALUE"""),35.1)</f>
        <v>35.1</v>
      </c>
      <c r="F111" s="1">
        <f>IFERROR(__xludf.DUMMYFUNCTION("""COMPUTED_VALUE"""),3348631.0)</f>
        <v>3348631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IFERROR(__xludf.DUMMYFUNCTION("""COMPUTED_VALUE"""),34.92)</f>
        <v>34.92</v>
      </c>
      <c r="C112" s="1">
        <f>IFERROR(__xludf.DUMMYFUNCTION("""COMPUTED_VALUE"""),36.2)</f>
        <v>36.2</v>
      </c>
      <c r="D112" s="1">
        <f>IFERROR(__xludf.DUMMYFUNCTION("""COMPUTED_VALUE"""),34.77)</f>
        <v>34.77</v>
      </c>
      <c r="E112" s="1">
        <f>IFERROR(__xludf.DUMMYFUNCTION("""COMPUTED_VALUE"""),35.99)</f>
        <v>35.99</v>
      </c>
      <c r="F112" s="1">
        <f>IFERROR(__xludf.DUMMYFUNCTION("""COMPUTED_VALUE"""),2106649.0)</f>
        <v>2106649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IFERROR(__xludf.DUMMYFUNCTION("""COMPUTED_VALUE"""),36.06)</f>
        <v>36.06</v>
      </c>
      <c r="C113" s="1">
        <f>IFERROR(__xludf.DUMMYFUNCTION("""COMPUTED_VALUE"""),36.25)</f>
        <v>36.25</v>
      </c>
      <c r="D113" s="1">
        <f>IFERROR(__xludf.DUMMYFUNCTION("""COMPUTED_VALUE"""),35.49)</f>
        <v>35.49</v>
      </c>
      <c r="E113" s="1">
        <f>IFERROR(__xludf.DUMMYFUNCTION("""COMPUTED_VALUE"""),35.81)</f>
        <v>35.81</v>
      </c>
      <c r="F113" s="1">
        <f>IFERROR(__xludf.DUMMYFUNCTION("""COMPUTED_VALUE"""),1052089.0)</f>
        <v>1052089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IFERROR(__xludf.DUMMYFUNCTION("""COMPUTED_VALUE"""),35.96)</f>
        <v>35.96</v>
      </c>
      <c r="C114" s="1">
        <f>IFERROR(__xludf.DUMMYFUNCTION("""COMPUTED_VALUE"""),36.7)</f>
        <v>36.7</v>
      </c>
      <c r="D114" s="1">
        <f>IFERROR(__xludf.DUMMYFUNCTION("""COMPUTED_VALUE"""),35.95)</f>
        <v>35.95</v>
      </c>
      <c r="E114" s="1">
        <f>IFERROR(__xludf.DUMMYFUNCTION("""COMPUTED_VALUE"""),36.66)</f>
        <v>36.66</v>
      </c>
      <c r="F114" s="1">
        <f>IFERROR(__xludf.DUMMYFUNCTION("""COMPUTED_VALUE"""),1068282.0)</f>
        <v>1068282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IFERROR(__xludf.DUMMYFUNCTION("""COMPUTED_VALUE"""),36.4)</f>
        <v>36.4</v>
      </c>
      <c r="C115" s="1">
        <f>IFERROR(__xludf.DUMMYFUNCTION("""COMPUTED_VALUE"""),36.52)</f>
        <v>36.52</v>
      </c>
      <c r="D115" s="1">
        <f>IFERROR(__xludf.DUMMYFUNCTION("""COMPUTED_VALUE"""),35.39)</f>
        <v>35.39</v>
      </c>
      <c r="E115" s="1">
        <f>IFERROR(__xludf.DUMMYFUNCTION("""COMPUTED_VALUE"""),35.55)</f>
        <v>35.55</v>
      </c>
      <c r="F115" s="1">
        <f>IFERROR(__xludf.DUMMYFUNCTION("""COMPUTED_VALUE"""),1377663.0)</f>
        <v>1377663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IFERROR(__xludf.DUMMYFUNCTION("""COMPUTED_VALUE"""),35.81)</f>
        <v>35.81</v>
      </c>
      <c r="C116" s="1">
        <f>IFERROR(__xludf.DUMMYFUNCTION("""COMPUTED_VALUE"""),36.55)</f>
        <v>36.55</v>
      </c>
      <c r="D116" s="1">
        <f>IFERROR(__xludf.DUMMYFUNCTION("""COMPUTED_VALUE"""),35.62)</f>
        <v>35.62</v>
      </c>
      <c r="E116" s="1">
        <f>IFERROR(__xludf.DUMMYFUNCTION("""COMPUTED_VALUE"""),36.37)</f>
        <v>36.37</v>
      </c>
      <c r="F116" s="1">
        <f>IFERROR(__xludf.DUMMYFUNCTION("""COMPUTED_VALUE"""),2910109.0)</f>
        <v>2910109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IFERROR(__xludf.DUMMYFUNCTION("""COMPUTED_VALUE"""),36.3)</f>
        <v>36.3</v>
      </c>
      <c r="C117" s="1">
        <f>IFERROR(__xludf.DUMMYFUNCTION("""COMPUTED_VALUE"""),37.06)</f>
        <v>37.06</v>
      </c>
      <c r="D117" s="1">
        <f>IFERROR(__xludf.DUMMYFUNCTION("""COMPUTED_VALUE"""),35.97)</f>
        <v>35.97</v>
      </c>
      <c r="E117" s="1">
        <f>IFERROR(__xludf.DUMMYFUNCTION("""COMPUTED_VALUE"""),36.85)</f>
        <v>36.85</v>
      </c>
      <c r="F117" s="1">
        <f>IFERROR(__xludf.DUMMYFUNCTION("""COMPUTED_VALUE"""),1626392.0)</f>
        <v>1626392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IFERROR(__xludf.DUMMYFUNCTION("""COMPUTED_VALUE"""),37.05)</f>
        <v>37.05</v>
      </c>
      <c r="C118" s="1">
        <f>IFERROR(__xludf.DUMMYFUNCTION("""COMPUTED_VALUE"""),37.13)</f>
        <v>37.13</v>
      </c>
      <c r="D118" s="1">
        <f>IFERROR(__xludf.DUMMYFUNCTION("""COMPUTED_VALUE"""),36.28)</f>
        <v>36.28</v>
      </c>
      <c r="E118" s="1">
        <f>IFERROR(__xludf.DUMMYFUNCTION("""COMPUTED_VALUE"""),36.55)</f>
        <v>36.55</v>
      </c>
      <c r="F118" s="1">
        <f>IFERROR(__xludf.DUMMYFUNCTION("""COMPUTED_VALUE"""),992159.0)</f>
        <v>992159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IFERROR(__xludf.DUMMYFUNCTION("""COMPUTED_VALUE"""),36.7)</f>
        <v>36.7</v>
      </c>
      <c r="C119" s="1">
        <f>IFERROR(__xludf.DUMMYFUNCTION("""COMPUTED_VALUE"""),37.05)</f>
        <v>37.05</v>
      </c>
      <c r="D119" s="1">
        <f>IFERROR(__xludf.DUMMYFUNCTION("""COMPUTED_VALUE"""),35.4)</f>
        <v>35.4</v>
      </c>
      <c r="E119" s="1">
        <f>IFERROR(__xludf.DUMMYFUNCTION("""COMPUTED_VALUE"""),35.51)</f>
        <v>35.51</v>
      </c>
      <c r="F119" s="1">
        <f>IFERROR(__xludf.DUMMYFUNCTION("""COMPUTED_VALUE"""),1236564.0)</f>
        <v>1236564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IFERROR(__xludf.DUMMYFUNCTION("""COMPUTED_VALUE"""),35.43)</f>
        <v>35.43</v>
      </c>
      <c r="C120" s="1">
        <f>IFERROR(__xludf.DUMMYFUNCTION("""COMPUTED_VALUE"""),35.54)</f>
        <v>35.54</v>
      </c>
      <c r="D120" s="1">
        <f>IFERROR(__xludf.DUMMYFUNCTION("""COMPUTED_VALUE"""),34.72)</f>
        <v>34.72</v>
      </c>
      <c r="E120" s="1">
        <f>IFERROR(__xludf.DUMMYFUNCTION("""COMPUTED_VALUE"""),35.0)</f>
        <v>35</v>
      </c>
      <c r="F120" s="1">
        <f>IFERROR(__xludf.DUMMYFUNCTION("""COMPUTED_VALUE"""),1094984.0)</f>
        <v>1094984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IFERROR(__xludf.DUMMYFUNCTION("""COMPUTED_VALUE"""),35.41)</f>
        <v>35.41</v>
      </c>
      <c r="C121" s="1">
        <f>IFERROR(__xludf.DUMMYFUNCTION("""COMPUTED_VALUE"""),35.41)</f>
        <v>35.41</v>
      </c>
      <c r="D121" s="1">
        <f>IFERROR(__xludf.DUMMYFUNCTION("""COMPUTED_VALUE"""),34.44)</f>
        <v>34.44</v>
      </c>
      <c r="E121" s="1">
        <f>IFERROR(__xludf.DUMMYFUNCTION("""COMPUTED_VALUE"""),34.62)</f>
        <v>34.62</v>
      </c>
      <c r="F121" s="1">
        <f>IFERROR(__xludf.DUMMYFUNCTION("""COMPUTED_VALUE"""),1031470.0)</f>
        <v>1031470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IFERROR(__xludf.DUMMYFUNCTION("""COMPUTED_VALUE"""),34.8)</f>
        <v>34.8</v>
      </c>
      <c r="C122" s="1">
        <f>IFERROR(__xludf.DUMMYFUNCTION("""COMPUTED_VALUE"""),36.0)</f>
        <v>36</v>
      </c>
      <c r="D122" s="1">
        <f>IFERROR(__xludf.DUMMYFUNCTION("""COMPUTED_VALUE"""),34.46)</f>
        <v>34.46</v>
      </c>
      <c r="E122" s="1">
        <f>IFERROR(__xludf.DUMMYFUNCTION("""COMPUTED_VALUE"""),35.44)</f>
        <v>35.44</v>
      </c>
      <c r="F122" s="1">
        <f>IFERROR(__xludf.DUMMYFUNCTION("""COMPUTED_VALUE"""),1548163.0)</f>
        <v>1548163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IFERROR(__xludf.DUMMYFUNCTION("""COMPUTED_VALUE"""),35.59)</f>
        <v>35.59</v>
      </c>
      <c r="C123" s="1">
        <f>IFERROR(__xludf.DUMMYFUNCTION("""COMPUTED_VALUE"""),35.64)</f>
        <v>35.64</v>
      </c>
      <c r="D123" s="1">
        <f>IFERROR(__xludf.DUMMYFUNCTION("""COMPUTED_VALUE"""),34.74)</f>
        <v>34.74</v>
      </c>
      <c r="E123" s="1">
        <f>IFERROR(__xludf.DUMMYFUNCTION("""COMPUTED_VALUE"""),35.0)</f>
        <v>35</v>
      </c>
      <c r="F123" s="1">
        <f>IFERROR(__xludf.DUMMYFUNCTION("""COMPUTED_VALUE"""),488054.0)</f>
        <v>488054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IFERROR(__xludf.DUMMYFUNCTION("""COMPUTED_VALUE"""),34.69)</f>
        <v>34.69</v>
      </c>
      <c r="C124" s="1">
        <f>IFERROR(__xludf.DUMMYFUNCTION("""COMPUTED_VALUE"""),34.69)</f>
        <v>34.69</v>
      </c>
      <c r="D124" s="1">
        <f>IFERROR(__xludf.DUMMYFUNCTION("""COMPUTED_VALUE"""),33.87)</f>
        <v>33.87</v>
      </c>
      <c r="E124" s="1">
        <f>IFERROR(__xludf.DUMMYFUNCTION("""COMPUTED_VALUE"""),33.97)</f>
        <v>33.97</v>
      </c>
      <c r="F124" s="1">
        <f>IFERROR(__xludf.DUMMYFUNCTION("""COMPUTED_VALUE"""),1080600.0)</f>
        <v>1080600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IFERROR(__xludf.DUMMYFUNCTION("""COMPUTED_VALUE"""),34.03)</f>
        <v>34.03</v>
      </c>
      <c r="C125" s="1">
        <f>IFERROR(__xludf.DUMMYFUNCTION("""COMPUTED_VALUE"""),34.6)</f>
        <v>34.6</v>
      </c>
      <c r="D125" s="1">
        <f>IFERROR(__xludf.DUMMYFUNCTION("""COMPUTED_VALUE"""),33.91)</f>
        <v>33.91</v>
      </c>
      <c r="E125" s="1">
        <f>IFERROR(__xludf.DUMMYFUNCTION("""COMPUTED_VALUE"""),34.21)</f>
        <v>34.21</v>
      </c>
      <c r="F125" s="1">
        <f>IFERROR(__xludf.DUMMYFUNCTION("""COMPUTED_VALUE"""),968895.0)</f>
        <v>968895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IFERROR(__xludf.DUMMYFUNCTION("""COMPUTED_VALUE"""),34.09)</f>
        <v>34.09</v>
      </c>
      <c r="C126" s="1">
        <f>IFERROR(__xludf.DUMMYFUNCTION("""COMPUTED_VALUE"""),34.09)</f>
        <v>34.09</v>
      </c>
      <c r="D126" s="1">
        <f>IFERROR(__xludf.DUMMYFUNCTION("""COMPUTED_VALUE"""),32.99)</f>
        <v>32.99</v>
      </c>
      <c r="E126" s="1">
        <f>IFERROR(__xludf.DUMMYFUNCTION("""COMPUTED_VALUE"""),33.74)</f>
        <v>33.74</v>
      </c>
      <c r="F126" s="1">
        <f>IFERROR(__xludf.DUMMYFUNCTION("""COMPUTED_VALUE"""),953108.0)</f>
        <v>953108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IFERROR(__xludf.DUMMYFUNCTION("""COMPUTED_VALUE"""),33.9)</f>
        <v>33.9</v>
      </c>
      <c r="C127" s="1">
        <f>IFERROR(__xludf.DUMMYFUNCTION("""COMPUTED_VALUE"""),34.1)</f>
        <v>34.1</v>
      </c>
      <c r="D127" s="1">
        <f>IFERROR(__xludf.DUMMYFUNCTION("""COMPUTED_VALUE"""),33.41)</f>
        <v>33.41</v>
      </c>
      <c r="E127" s="1">
        <f>IFERROR(__xludf.DUMMYFUNCTION("""COMPUTED_VALUE"""),33.43)</f>
        <v>33.43</v>
      </c>
      <c r="F127" s="1">
        <f>IFERROR(__xludf.DUMMYFUNCTION("""COMPUTED_VALUE"""),376523.0)</f>
        <v>376523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IFERROR(__xludf.DUMMYFUNCTION("""COMPUTED_VALUE"""),33.64)</f>
        <v>33.64</v>
      </c>
      <c r="C128" s="1">
        <f>IFERROR(__xludf.DUMMYFUNCTION("""COMPUTED_VALUE"""),34.3)</f>
        <v>34.3</v>
      </c>
      <c r="D128" s="1">
        <f>IFERROR(__xludf.DUMMYFUNCTION("""COMPUTED_VALUE"""),33.34)</f>
        <v>33.34</v>
      </c>
      <c r="E128" s="1">
        <f>IFERROR(__xludf.DUMMYFUNCTION("""COMPUTED_VALUE"""),33.53)</f>
        <v>33.53</v>
      </c>
      <c r="F128" s="1">
        <f>IFERROR(__xludf.DUMMYFUNCTION("""COMPUTED_VALUE"""),468544.0)</f>
        <v>468544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IFERROR(__xludf.DUMMYFUNCTION("""COMPUTED_VALUE"""),33.56)</f>
        <v>33.56</v>
      </c>
      <c r="C129" s="1">
        <f>IFERROR(__xludf.DUMMYFUNCTION("""COMPUTED_VALUE"""),34.4)</f>
        <v>34.4</v>
      </c>
      <c r="D129" s="1">
        <f>IFERROR(__xludf.DUMMYFUNCTION("""COMPUTED_VALUE"""),33.24)</f>
        <v>33.24</v>
      </c>
      <c r="E129" s="1">
        <f>IFERROR(__xludf.DUMMYFUNCTION("""COMPUTED_VALUE"""),34.33)</f>
        <v>34.33</v>
      </c>
      <c r="F129" s="1">
        <f>IFERROR(__xludf.DUMMYFUNCTION("""COMPUTED_VALUE"""),488497.0)</f>
        <v>488497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IFERROR(__xludf.DUMMYFUNCTION("""COMPUTED_VALUE"""),34.59)</f>
        <v>34.59</v>
      </c>
      <c r="C130" s="1">
        <f>IFERROR(__xludf.DUMMYFUNCTION("""COMPUTED_VALUE"""),35.2)</f>
        <v>35.2</v>
      </c>
      <c r="D130" s="1">
        <f>IFERROR(__xludf.DUMMYFUNCTION("""COMPUTED_VALUE"""),34.44)</f>
        <v>34.44</v>
      </c>
      <c r="E130" s="1">
        <f>IFERROR(__xludf.DUMMYFUNCTION("""COMPUTED_VALUE"""),34.7)</f>
        <v>34.7</v>
      </c>
      <c r="F130" s="1">
        <f>IFERROR(__xludf.DUMMYFUNCTION("""COMPUTED_VALUE"""),797713.0)</f>
        <v>797713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IFERROR(__xludf.DUMMYFUNCTION("""COMPUTED_VALUE"""),34.68)</f>
        <v>34.68</v>
      </c>
      <c r="C131" s="1">
        <f>IFERROR(__xludf.DUMMYFUNCTION("""COMPUTED_VALUE"""),35.04)</f>
        <v>35.04</v>
      </c>
      <c r="D131" s="1">
        <f>IFERROR(__xludf.DUMMYFUNCTION("""COMPUTED_VALUE"""),34.59)</f>
        <v>34.59</v>
      </c>
      <c r="E131" s="1">
        <f>IFERROR(__xludf.DUMMYFUNCTION("""COMPUTED_VALUE"""),34.82)</f>
        <v>34.82</v>
      </c>
      <c r="F131" s="1">
        <f>IFERROR(__xludf.DUMMYFUNCTION("""COMPUTED_VALUE"""),420074.0)</f>
        <v>420074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IFERROR(__xludf.DUMMYFUNCTION("""COMPUTED_VALUE"""),34.57)</f>
        <v>34.57</v>
      </c>
      <c r="C132" s="1">
        <f>IFERROR(__xludf.DUMMYFUNCTION("""COMPUTED_VALUE"""),34.78)</f>
        <v>34.78</v>
      </c>
      <c r="D132" s="1">
        <f>IFERROR(__xludf.DUMMYFUNCTION("""COMPUTED_VALUE"""),34.28)</f>
        <v>34.28</v>
      </c>
      <c r="E132" s="1">
        <f>IFERROR(__xludf.DUMMYFUNCTION("""COMPUTED_VALUE"""),34.5)</f>
        <v>34.5</v>
      </c>
      <c r="F132" s="1">
        <f>IFERROR(__xludf.DUMMYFUNCTION("""COMPUTED_VALUE"""),465801.0)</f>
        <v>465801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IFERROR(__xludf.DUMMYFUNCTION("""COMPUTED_VALUE"""),34.74)</f>
        <v>34.74</v>
      </c>
      <c r="C133" s="1">
        <f>IFERROR(__xludf.DUMMYFUNCTION("""COMPUTED_VALUE"""),35.87)</f>
        <v>35.87</v>
      </c>
      <c r="D133" s="1">
        <f>IFERROR(__xludf.DUMMYFUNCTION("""COMPUTED_VALUE"""),34.73)</f>
        <v>34.73</v>
      </c>
      <c r="E133" s="1">
        <f>IFERROR(__xludf.DUMMYFUNCTION("""COMPUTED_VALUE"""),35.6)</f>
        <v>35.6</v>
      </c>
      <c r="F133" s="1">
        <f>IFERROR(__xludf.DUMMYFUNCTION("""COMPUTED_VALUE"""),545508.0)</f>
        <v>545508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IFERROR(__xludf.DUMMYFUNCTION("""COMPUTED_VALUE"""),35.6)</f>
        <v>35.6</v>
      </c>
      <c r="C134" s="1">
        <f>IFERROR(__xludf.DUMMYFUNCTION("""COMPUTED_VALUE"""),35.64)</f>
        <v>35.64</v>
      </c>
      <c r="D134" s="1">
        <f>IFERROR(__xludf.DUMMYFUNCTION("""COMPUTED_VALUE"""),34.92)</f>
        <v>34.92</v>
      </c>
      <c r="E134" s="1">
        <f>IFERROR(__xludf.DUMMYFUNCTION("""COMPUTED_VALUE"""),35.03)</f>
        <v>35.03</v>
      </c>
      <c r="F134" s="1">
        <f>IFERROR(__xludf.DUMMYFUNCTION("""COMPUTED_VALUE"""),807738.0)</f>
        <v>807738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IFERROR(__xludf.DUMMYFUNCTION("""COMPUTED_VALUE"""),34.86)</f>
        <v>34.86</v>
      </c>
      <c r="C135" s="1">
        <f>IFERROR(__xludf.DUMMYFUNCTION("""COMPUTED_VALUE"""),35.13)</f>
        <v>35.13</v>
      </c>
      <c r="D135" s="1">
        <f>IFERROR(__xludf.DUMMYFUNCTION("""COMPUTED_VALUE"""),34.6)</f>
        <v>34.6</v>
      </c>
      <c r="E135" s="1">
        <f>IFERROR(__xludf.DUMMYFUNCTION("""COMPUTED_VALUE"""),34.95)</f>
        <v>34.95</v>
      </c>
      <c r="F135" s="1">
        <f>IFERROR(__xludf.DUMMYFUNCTION("""COMPUTED_VALUE"""),715589.0)</f>
        <v>715589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IFERROR(__xludf.DUMMYFUNCTION("""COMPUTED_VALUE"""),34.86)</f>
        <v>34.86</v>
      </c>
      <c r="C136" s="1">
        <f>IFERROR(__xludf.DUMMYFUNCTION("""COMPUTED_VALUE"""),35.08)</f>
        <v>35.08</v>
      </c>
      <c r="D136" s="1">
        <f>IFERROR(__xludf.DUMMYFUNCTION("""COMPUTED_VALUE"""),34.08)</f>
        <v>34.08</v>
      </c>
      <c r="E136" s="1">
        <f>IFERROR(__xludf.DUMMYFUNCTION("""COMPUTED_VALUE"""),34.12)</f>
        <v>34.12</v>
      </c>
      <c r="F136" s="1">
        <f>IFERROR(__xludf.DUMMYFUNCTION("""COMPUTED_VALUE"""),862221.0)</f>
        <v>862221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IFERROR(__xludf.DUMMYFUNCTION("""COMPUTED_VALUE"""),34.15)</f>
        <v>34.15</v>
      </c>
      <c r="C137" s="1">
        <f>IFERROR(__xludf.DUMMYFUNCTION("""COMPUTED_VALUE"""),34.3)</f>
        <v>34.3</v>
      </c>
      <c r="D137" s="1">
        <f>IFERROR(__xludf.DUMMYFUNCTION("""COMPUTED_VALUE"""),33.65)</f>
        <v>33.65</v>
      </c>
      <c r="E137" s="1">
        <f>IFERROR(__xludf.DUMMYFUNCTION("""COMPUTED_VALUE"""),34.08)</f>
        <v>34.08</v>
      </c>
      <c r="F137" s="1">
        <f>IFERROR(__xludf.DUMMYFUNCTION("""COMPUTED_VALUE"""),597032.0)</f>
        <v>597032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IFERROR(__xludf.DUMMYFUNCTION("""COMPUTED_VALUE"""),33.72)</f>
        <v>33.72</v>
      </c>
      <c r="C138" s="1">
        <f>IFERROR(__xludf.DUMMYFUNCTION("""COMPUTED_VALUE"""),34.27)</f>
        <v>34.27</v>
      </c>
      <c r="D138" s="1">
        <f>IFERROR(__xludf.DUMMYFUNCTION("""COMPUTED_VALUE"""),33.36)</f>
        <v>33.36</v>
      </c>
      <c r="E138" s="1">
        <f>IFERROR(__xludf.DUMMYFUNCTION("""COMPUTED_VALUE"""),34.22)</f>
        <v>34.22</v>
      </c>
      <c r="F138" s="1">
        <f>IFERROR(__xludf.DUMMYFUNCTION("""COMPUTED_VALUE"""),689026.0)</f>
        <v>689026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IFERROR(__xludf.DUMMYFUNCTION("""COMPUTED_VALUE"""),34.23)</f>
        <v>34.23</v>
      </c>
      <c r="C139" s="1">
        <f>IFERROR(__xludf.DUMMYFUNCTION("""COMPUTED_VALUE"""),34.32)</f>
        <v>34.32</v>
      </c>
      <c r="D139" s="1">
        <f>IFERROR(__xludf.DUMMYFUNCTION("""COMPUTED_VALUE"""),33.64)</f>
        <v>33.64</v>
      </c>
      <c r="E139" s="1">
        <f>IFERROR(__xludf.DUMMYFUNCTION("""COMPUTED_VALUE"""),33.81)</f>
        <v>33.81</v>
      </c>
      <c r="F139" s="1">
        <f>IFERROR(__xludf.DUMMYFUNCTION("""COMPUTED_VALUE"""),827539.0)</f>
        <v>827539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IFERROR(__xludf.DUMMYFUNCTION("""COMPUTED_VALUE"""),34.21)</f>
        <v>34.21</v>
      </c>
      <c r="C140" s="1">
        <f>IFERROR(__xludf.DUMMYFUNCTION("""COMPUTED_VALUE"""),34.51)</f>
        <v>34.51</v>
      </c>
      <c r="D140" s="1">
        <f>IFERROR(__xludf.DUMMYFUNCTION("""COMPUTED_VALUE"""),34.01)</f>
        <v>34.01</v>
      </c>
      <c r="E140" s="1">
        <f>IFERROR(__xludf.DUMMYFUNCTION("""COMPUTED_VALUE"""),34.23)</f>
        <v>34.23</v>
      </c>
      <c r="F140" s="1">
        <f>IFERROR(__xludf.DUMMYFUNCTION("""COMPUTED_VALUE"""),841855.0)</f>
        <v>841855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IFERROR(__xludf.DUMMYFUNCTION("""COMPUTED_VALUE"""),34.13)</f>
        <v>34.13</v>
      </c>
      <c r="C141" s="1">
        <f>IFERROR(__xludf.DUMMYFUNCTION("""COMPUTED_VALUE"""),34.75)</f>
        <v>34.75</v>
      </c>
      <c r="D141" s="1">
        <f>IFERROR(__xludf.DUMMYFUNCTION("""COMPUTED_VALUE"""),33.85)</f>
        <v>33.85</v>
      </c>
      <c r="E141" s="1">
        <f>IFERROR(__xludf.DUMMYFUNCTION("""COMPUTED_VALUE"""),34.5)</f>
        <v>34.5</v>
      </c>
      <c r="F141" s="1">
        <f>IFERROR(__xludf.DUMMYFUNCTION("""COMPUTED_VALUE"""),590484.0)</f>
        <v>590484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IFERROR(__xludf.DUMMYFUNCTION("""COMPUTED_VALUE"""),34.5)</f>
        <v>34.5</v>
      </c>
      <c r="C142" s="1">
        <f>IFERROR(__xludf.DUMMYFUNCTION("""COMPUTED_VALUE"""),35.67)</f>
        <v>35.67</v>
      </c>
      <c r="D142" s="1">
        <f>IFERROR(__xludf.DUMMYFUNCTION("""COMPUTED_VALUE"""),34.42)</f>
        <v>34.42</v>
      </c>
      <c r="E142" s="1">
        <f>IFERROR(__xludf.DUMMYFUNCTION("""COMPUTED_VALUE"""),35.36)</f>
        <v>35.36</v>
      </c>
      <c r="F142" s="1">
        <f>IFERROR(__xludf.DUMMYFUNCTION("""COMPUTED_VALUE"""),1631394.0)</f>
        <v>1631394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IFERROR(__xludf.DUMMYFUNCTION("""COMPUTED_VALUE"""),35.63)</f>
        <v>35.63</v>
      </c>
      <c r="C143" s="1">
        <f>IFERROR(__xludf.DUMMYFUNCTION("""COMPUTED_VALUE"""),35.78)</f>
        <v>35.78</v>
      </c>
      <c r="D143" s="1">
        <f>IFERROR(__xludf.DUMMYFUNCTION("""COMPUTED_VALUE"""),34.26)</f>
        <v>34.26</v>
      </c>
      <c r="E143" s="1">
        <f>IFERROR(__xludf.DUMMYFUNCTION("""COMPUTED_VALUE"""),34.43)</f>
        <v>34.43</v>
      </c>
      <c r="F143" s="1">
        <f>IFERROR(__xludf.DUMMYFUNCTION("""COMPUTED_VALUE"""),960298.0)</f>
        <v>960298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IFERROR(__xludf.DUMMYFUNCTION("""COMPUTED_VALUE"""),34.47)</f>
        <v>34.47</v>
      </c>
      <c r="C144" s="1">
        <f>IFERROR(__xludf.DUMMYFUNCTION("""COMPUTED_VALUE"""),34.97)</f>
        <v>34.97</v>
      </c>
      <c r="D144" s="1">
        <f>IFERROR(__xludf.DUMMYFUNCTION("""COMPUTED_VALUE"""),33.85)</f>
        <v>33.85</v>
      </c>
      <c r="E144" s="1">
        <f>IFERROR(__xludf.DUMMYFUNCTION("""COMPUTED_VALUE"""),33.9)</f>
        <v>33.9</v>
      </c>
      <c r="F144" s="1">
        <f>IFERROR(__xludf.DUMMYFUNCTION("""COMPUTED_VALUE"""),738836.0)</f>
        <v>738836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IFERROR(__xludf.DUMMYFUNCTION("""COMPUTED_VALUE"""),31.85)</f>
        <v>31.85</v>
      </c>
      <c r="C145" s="1">
        <f>IFERROR(__xludf.DUMMYFUNCTION("""COMPUTED_VALUE"""),32.64)</f>
        <v>32.64</v>
      </c>
      <c r="D145" s="1">
        <f>IFERROR(__xludf.DUMMYFUNCTION("""COMPUTED_VALUE"""),31.55)</f>
        <v>31.55</v>
      </c>
      <c r="E145" s="1">
        <f>IFERROR(__xludf.DUMMYFUNCTION("""COMPUTED_VALUE"""),31.95)</f>
        <v>31.95</v>
      </c>
      <c r="F145" s="1">
        <f>IFERROR(__xludf.DUMMYFUNCTION("""COMPUTED_VALUE"""),3218938.0)</f>
        <v>3218938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IFERROR(__xludf.DUMMYFUNCTION("""COMPUTED_VALUE"""),31.78)</f>
        <v>31.78</v>
      </c>
      <c r="C146" s="1">
        <f>IFERROR(__xludf.DUMMYFUNCTION("""COMPUTED_VALUE"""),32.17)</f>
        <v>32.17</v>
      </c>
      <c r="D146" s="1">
        <f>IFERROR(__xludf.DUMMYFUNCTION("""COMPUTED_VALUE"""),30.85)</f>
        <v>30.85</v>
      </c>
      <c r="E146" s="1">
        <f>IFERROR(__xludf.DUMMYFUNCTION("""COMPUTED_VALUE"""),31.08)</f>
        <v>31.08</v>
      </c>
      <c r="F146" s="1">
        <f>IFERROR(__xludf.DUMMYFUNCTION("""COMPUTED_VALUE"""),4979299.0)</f>
        <v>4979299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IFERROR(__xludf.DUMMYFUNCTION("""COMPUTED_VALUE"""),29.13)</f>
        <v>29.13</v>
      </c>
      <c r="C147" s="1">
        <f>IFERROR(__xludf.DUMMYFUNCTION("""COMPUTED_VALUE"""),30.5)</f>
        <v>30.5</v>
      </c>
      <c r="D147" s="1">
        <f>IFERROR(__xludf.DUMMYFUNCTION("""COMPUTED_VALUE"""),29.06)</f>
        <v>29.06</v>
      </c>
      <c r="E147" s="1">
        <f>IFERROR(__xludf.DUMMYFUNCTION("""COMPUTED_VALUE"""),29.87)</f>
        <v>29.87</v>
      </c>
      <c r="F147" s="1">
        <f>IFERROR(__xludf.DUMMYFUNCTION("""COMPUTED_VALUE"""),4238667.0)</f>
        <v>4238667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IFERROR(__xludf.DUMMYFUNCTION("""COMPUTED_VALUE"""),29.7)</f>
        <v>29.7</v>
      </c>
      <c r="C148" s="1">
        <f>IFERROR(__xludf.DUMMYFUNCTION("""COMPUTED_VALUE"""),30.17)</f>
        <v>30.17</v>
      </c>
      <c r="D148" s="1">
        <f>IFERROR(__xludf.DUMMYFUNCTION("""COMPUTED_VALUE"""),29.54)</f>
        <v>29.54</v>
      </c>
      <c r="E148" s="1">
        <f>IFERROR(__xludf.DUMMYFUNCTION("""COMPUTED_VALUE"""),30.06)</f>
        <v>30.06</v>
      </c>
      <c r="F148" s="1">
        <f>IFERROR(__xludf.DUMMYFUNCTION("""COMPUTED_VALUE"""),1909899.0)</f>
        <v>1909899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IFERROR(__xludf.DUMMYFUNCTION("""COMPUTED_VALUE"""),30.06)</f>
        <v>30.06</v>
      </c>
      <c r="C149" s="1">
        <f>IFERROR(__xludf.DUMMYFUNCTION("""COMPUTED_VALUE"""),31.02)</f>
        <v>31.02</v>
      </c>
      <c r="D149" s="1">
        <f>IFERROR(__xludf.DUMMYFUNCTION("""COMPUTED_VALUE"""),29.97)</f>
        <v>29.97</v>
      </c>
      <c r="E149" s="1">
        <f>IFERROR(__xludf.DUMMYFUNCTION("""COMPUTED_VALUE"""),30.96)</f>
        <v>30.96</v>
      </c>
      <c r="F149" s="1">
        <f>IFERROR(__xludf.DUMMYFUNCTION("""COMPUTED_VALUE"""),2002972.0)</f>
        <v>2002972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IFERROR(__xludf.DUMMYFUNCTION("""COMPUTED_VALUE"""),30.89)</f>
        <v>30.89</v>
      </c>
      <c r="C150" s="1">
        <f>IFERROR(__xludf.DUMMYFUNCTION("""COMPUTED_VALUE"""),31.09)</f>
        <v>31.09</v>
      </c>
      <c r="D150" s="1">
        <f>IFERROR(__xludf.DUMMYFUNCTION("""COMPUTED_VALUE"""),30.63)</f>
        <v>30.63</v>
      </c>
      <c r="E150" s="1">
        <f>IFERROR(__xludf.DUMMYFUNCTION("""COMPUTED_VALUE"""),30.76)</f>
        <v>30.76</v>
      </c>
      <c r="F150" s="1">
        <f>IFERROR(__xludf.DUMMYFUNCTION("""COMPUTED_VALUE"""),727785.0)</f>
        <v>727785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IFERROR(__xludf.DUMMYFUNCTION("""COMPUTED_VALUE"""),30.55)</f>
        <v>30.55</v>
      </c>
      <c r="C151" s="1">
        <f>IFERROR(__xludf.DUMMYFUNCTION("""COMPUTED_VALUE"""),30.98)</f>
        <v>30.98</v>
      </c>
      <c r="D151" s="1">
        <f>IFERROR(__xludf.DUMMYFUNCTION("""COMPUTED_VALUE"""),30.3)</f>
        <v>30.3</v>
      </c>
      <c r="E151" s="1">
        <f>IFERROR(__xludf.DUMMYFUNCTION("""COMPUTED_VALUE"""),30.81)</f>
        <v>30.81</v>
      </c>
      <c r="F151" s="1">
        <f>IFERROR(__xludf.DUMMYFUNCTION("""COMPUTED_VALUE"""),554611.0)</f>
        <v>554611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IFERROR(__xludf.DUMMYFUNCTION("""COMPUTED_VALUE"""),31.03)</f>
        <v>31.03</v>
      </c>
      <c r="C152" s="1">
        <f>IFERROR(__xludf.DUMMYFUNCTION("""COMPUTED_VALUE"""),31.21)</f>
        <v>31.21</v>
      </c>
      <c r="D152" s="1">
        <f>IFERROR(__xludf.DUMMYFUNCTION("""COMPUTED_VALUE"""),30.87)</f>
        <v>30.87</v>
      </c>
      <c r="E152" s="1">
        <f>IFERROR(__xludf.DUMMYFUNCTION("""COMPUTED_VALUE"""),31.1)</f>
        <v>31.1</v>
      </c>
      <c r="F152" s="1">
        <f>IFERROR(__xludf.DUMMYFUNCTION("""COMPUTED_VALUE"""),1085259.0)</f>
        <v>1085259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IFERROR(__xludf.DUMMYFUNCTION("""COMPUTED_VALUE"""),30.72)</f>
        <v>30.72</v>
      </c>
      <c r="C153" s="1">
        <f>IFERROR(__xludf.DUMMYFUNCTION("""COMPUTED_VALUE"""),30.91)</f>
        <v>30.91</v>
      </c>
      <c r="D153" s="1">
        <f>IFERROR(__xludf.DUMMYFUNCTION("""COMPUTED_VALUE"""),30.24)</f>
        <v>30.24</v>
      </c>
      <c r="E153" s="1">
        <f>IFERROR(__xludf.DUMMYFUNCTION("""COMPUTED_VALUE"""),30.47)</f>
        <v>30.47</v>
      </c>
      <c r="F153" s="1">
        <f>IFERROR(__xludf.DUMMYFUNCTION("""COMPUTED_VALUE"""),1056273.0)</f>
        <v>1056273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IFERROR(__xludf.DUMMYFUNCTION("""COMPUTED_VALUE"""),30.06)</f>
        <v>30.06</v>
      </c>
      <c r="C154" s="1">
        <f>IFERROR(__xludf.DUMMYFUNCTION("""COMPUTED_VALUE"""),30.09)</f>
        <v>30.09</v>
      </c>
      <c r="D154" s="1">
        <f>IFERROR(__xludf.DUMMYFUNCTION("""COMPUTED_VALUE"""),29.77)</f>
        <v>29.77</v>
      </c>
      <c r="E154" s="1">
        <f>IFERROR(__xludf.DUMMYFUNCTION("""COMPUTED_VALUE"""),29.9)</f>
        <v>29.9</v>
      </c>
      <c r="F154" s="1">
        <f>IFERROR(__xludf.DUMMYFUNCTION("""COMPUTED_VALUE"""),1034317.0)</f>
        <v>1034317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IFERROR(__xludf.DUMMYFUNCTION("""COMPUTED_VALUE"""),29.58)</f>
        <v>29.58</v>
      </c>
      <c r="C155" s="1">
        <f>IFERROR(__xludf.DUMMYFUNCTION("""COMPUTED_VALUE"""),30.39)</f>
        <v>30.39</v>
      </c>
      <c r="D155" s="1">
        <f>IFERROR(__xludf.DUMMYFUNCTION("""COMPUTED_VALUE"""),29.46)</f>
        <v>29.46</v>
      </c>
      <c r="E155" s="1">
        <f>IFERROR(__xludf.DUMMYFUNCTION("""COMPUTED_VALUE"""),30.07)</f>
        <v>30.07</v>
      </c>
      <c r="F155" s="1">
        <f>IFERROR(__xludf.DUMMYFUNCTION("""COMPUTED_VALUE"""),604114.0)</f>
        <v>604114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IFERROR(__xludf.DUMMYFUNCTION("""COMPUTED_VALUE"""),29.99)</f>
        <v>29.99</v>
      </c>
      <c r="C156" s="1">
        <f>IFERROR(__xludf.DUMMYFUNCTION("""COMPUTED_VALUE"""),30.21)</f>
        <v>30.21</v>
      </c>
      <c r="D156" s="1">
        <f>IFERROR(__xludf.DUMMYFUNCTION("""COMPUTED_VALUE"""),29.73)</f>
        <v>29.73</v>
      </c>
      <c r="E156" s="1">
        <f>IFERROR(__xludf.DUMMYFUNCTION("""COMPUTED_VALUE"""),29.85)</f>
        <v>29.85</v>
      </c>
      <c r="F156" s="1">
        <f>IFERROR(__xludf.DUMMYFUNCTION("""COMPUTED_VALUE"""),637662.0)</f>
        <v>637662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IFERROR(__xludf.DUMMYFUNCTION("""COMPUTED_VALUE"""),29.85)</f>
        <v>29.85</v>
      </c>
      <c r="C157" s="1">
        <f>IFERROR(__xludf.DUMMYFUNCTION("""COMPUTED_VALUE"""),30.37)</f>
        <v>30.37</v>
      </c>
      <c r="D157" s="1">
        <f>IFERROR(__xludf.DUMMYFUNCTION("""COMPUTED_VALUE"""),29.54)</f>
        <v>29.54</v>
      </c>
      <c r="E157" s="1">
        <f>IFERROR(__xludf.DUMMYFUNCTION("""COMPUTED_VALUE"""),30.2)</f>
        <v>30.2</v>
      </c>
      <c r="F157" s="1">
        <f>IFERROR(__xludf.DUMMYFUNCTION("""COMPUTED_VALUE"""),565886.0)</f>
        <v>565886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IFERROR(__xludf.DUMMYFUNCTION("""COMPUTED_VALUE"""),30.5)</f>
        <v>30.5</v>
      </c>
      <c r="C158" s="1">
        <f>IFERROR(__xludf.DUMMYFUNCTION("""COMPUTED_VALUE"""),30.79)</f>
        <v>30.79</v>
      </c>
      <c r="D158" s="1">
        <f>IFERROR(__xludf.DUMMYFUNCTION("""COMPUTED_VALUE"""),30.1)</f>
        <v>30.1</v>
      </c>
      <c r="E158" s="1">
        <f>IFERROR(__xludf.DUMMYFUNCTION("""COMPUTED_VALUE"""),30.51)</f>
        <v>30.51</v>
      </c>
      <c r="F158" s="1">
        <f>IFERROR(__xludf.DUMMYFUNCTION("""COMPUTED_VALUE"""),600836.0)</f>
        <v>600836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IFERROR(__xludf.DUMMYFUNCTION("""COMPUTED_VALUE"""),30.38)</f>
        <v>30.38</v>
      </c>
      <c r="C159" s="1">
        <f>IFERROR(__xludf.DUMMYFUNCTION("""COMPUTED_VALUE"""),30.75)</f>
        <v>30.75</v>
      </c>
      <c r="D159" s="1">
        <f>IFERROR(__xludf.DUMMYFUNCTION("""COMPUTED_VALUE"""),30.25)</f>
        <v>30.25</v>
      </c>
      <c r="E159" s="1">
        <f>IFERROR(__xludf.DUMMYFUNCTION("""COMPUTED_VALUE"""),30.39)</f>
        <v>30.39</v>
      </c>
      <c r="F159" s="1">
        <f>IFERROR(__xludf.DUMMYFUNCTION("""COMPUTED_VALUE"""),662210.0)</f>
        <v>662210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IFERROR(__xludf.DUMMYFUNCTION("""COMPUTED_VALUE"""),30.19)</f>
        <v>30.19</v>
      </c>
      <c r="C160" s="1">
        <f>IFERROR(__xludf.DUMMYFUNCTION("""COMPUTED_VALUE"""),30.43)</f>
        <v>30.43</v>
      </c>
      <c r="D160" s="1">
        <f>IFERROR(__xludf.DUMMYFUNCTION("""COMPUTED_VALUE"""),29.75)</f>
        <v>29.75</v>
      </c>
      <c r="E160" s="1">
        <f>IFERROR(__xludf.DUMMYFUNCTION("""COMPUTED_VALUE"""),30.02)</f>
        <v>30.02</v>
      </c>
      <c r="F160" s="1">
        <f>IFERROR(__xludf.DUMMYFUNCTION("""COMPUTED_VALUE"""),531267.0)</f>
        <v>531267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IFERROR(__xludf.DUMMYFUNCTION("""COMPUTED_VALUE"""),29.86)</f>
        <v>29.86</v>
      </c>
      <c r="C161" s="1">
        <f>IFERROR(__xludf.DUMMYFUNCTION("""COMPUTED_VALUE"""),30.02)</f>
        <v>30.02</v>
      </c>
      <c r="D161" s="1">
        <f>IFERROR(__xludf.DUMMYFUNCTION("""COMPUTED_VALUE"""),29.63)</f>
        <v>29.63</v>
      </c>
      <c r="E161" s="1">
        <f>IFERROR(__xludf.DUMMYFUNCTION("""COMPUTED_VALUE"""),29.95)</f>
        <v>29.95</v>
      </c>
      <c r="F161" s="1">
        <f>IFERROR(__xludf.DUMMYFUNCTION("""COMPUTED_VALUE"""),399890.0)</f>
        <v>399890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IFERROR(__xludf.DUMMYFUNCTION("""COMPUTED_VALUE"""),30.13)</f>
        <v>30.13</v>
      </c>
      <c r="C162" s="1">
        <f>IFERROR(__xludf.DUMMYFUNCTION("""COMPUTED_VALUE"""),30.35)</f>
        <v>30.35</v>
      </c>
      <c r="D162" s="1">
        <f>IFERROR(__xludf.DUMMYFUNCTION("""COMPUTED_VALUE"""),29.68)</f>
        <v>29.68</v>
      </c>
      <c r="E162" s="1">
        <f>IFERROR(__xludf.DUMMYFUNCTION("""COMPUTED_VALUE"""),29.77)</f>
        <v>29.77</v>
      </c>
      <c r="F162" s="1">
        <f>IFERROR(__xludf.DUMMYFUNCTION("""COMPUTED_VALUE"""),851038.0)</f>
        <v>851038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IFERROR(__xludf.DUMMYFUNCTION("""COMPUTED_VALUE"""),29.51)</f>
        <v>29.51</v>
      </c>
      <c r="C163" s="1">
        <f>IFERROR(__xludf.DUMMYFUNCTION("""COMPUTED_VALUE"""),29.65)</f>
        <v>29.65</v>
      </c>
      <c r="D163" s="1">
        <f>IFERROR(__xludf.DUMMYFUNCTION("""COMPUTED_VALUE"""),29.05)</f>
        <v>29.05</v>
      </c>
      <c r="E163" s="1">
        <f>IFERROR(__xludf.DUMMYFUNCTION("""COMPUTED_VALUE"""),29.2)</f>
        <v>29.2</v>
      </c>
      <c r="F163" s="1">
        <f>IFERROR(__xludf.DUMMYFUNCTION("""COMPUTED_VALUE"""),1514517.0)</f>
        <v>1514517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IFERROR(__xludf.DUMMYFUNCTION("""COMPUTED_VALUE"""),28.89)</f>
        <v>28.89</v>
      </c>
      <c r="C164" s="1">
        <f>IFERROR(__xludf.DUMMYFUNCTION("""COMPUTED_VALUE"""),29.49)</f>
        <v>29.49</v>
      </c>
      <c r="D164" s="1">
        <f>IFERROR(__xludf.DUMMYFUNCTION("""COMPUTED_VALUE"""),28.89)</f>
        <v>28.89</v>
      </c>
      <c r="E164" s="1">
        <f>IFERROR(__xludf.DUMMYFUNCTION("""COMPUTED_VALUE"""),29.28)</f>
        <v>29.28</v>
      </c>
      <c r="F164" s="1">
        <f>IFERROR(__xludf.DUMMYFUNCTION("""COMPUTED_VALUE"""),632207.0)</f>
        <v>632207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IFERROR(__xludf.DUMMYFUNCTION("""COMPUTED_VALUE"""),29.29)</f>
        <v>29.29</v>
      </c>
      <c r="C165" s="1">
        <f>IFERROR(__xludf.DUMMYFUNCTION("""COMPUTED_VALUE"""),29.61)</f>
        <v>29.61</v>
      </c>
      <c r="D165" s="1">
        <f>IFERROR(__xludf.DUMMYFUNCTION("""COMPUTED_VALUE"""),28.8)</f>
        <v>28.8</v>
      </c>
      <c r="E165" s="1">
        <f>IFERROR(__xludf.DUMMYFUNCTION("""COMPUTED_VALUE"""),28.9)</f>
        <v>28.9</v>
      </c>
      <c r="F165" s="1">
        <f>IFERROR(__xludf.DUMMYFUNCTION("""COMPUTED_VALUE"""),1013460.0)</f>
        <v>1013460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IFERROR(__xludf.DUMMYFUNCTION("""COMPUTED_VALUE"""),29.19)</f>
        <v>29.19</v>
      </c>
      <c r="C166" s="1">
        <f>IFERROR(__xludf.DUMMYFUNCTION("""COMPUTED_VALUE"""),29.48)</f>
        <v>29.48</v>
      </c>
      <c r="D166" s="1">
        <f>IFERROR(__xludf.DUMMYFUNCTION("""COMPUTED_VALUE"""),28.79)</f>
        <v>28.79</v>
      </c>
      <c r="E166" s="1">
        <f>IFERROR(__xludf.DUMMYFUNCTION("""COMPUTED_VALUE"""),29.11)</f>
        <v>29.11</v>
      </c>
      <c r="F166" s="1">
        <f>IFERROR(__xludf.DUMMYFUNCTION("""COMPUTED_VALUE"""),910572.0)</f>
        <v>910572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IFERROR(__xludf.DUMMYFUNCTION("""COMPUTED_VALUE"""),29.11)</f>
        <v>29.11</v>
      </c>
      <c r="C167" s="1">
        <f>IFERROR(__xludf.DUMMYFUNCTION("""COMPUTED_VALUE"""),29.23)</f>
        <v>29.23</v>
      </c>
      <c r="D167" s="1">
        <f>IFERROR(__xludf.DUMMYFUNCTION("""COMPUTED_VALUE"""),28.63)</f>
        <v>28.63</v>
      </c>
      <c r="E167" s="1">
        <f>IFERROR(__xludf.DUMMYFUNCTION("""COMPUTED_VALUE"""),28.69)</f>
        <v>28.69</v>
      </c>
      <c r="F167" s="1">
        <f>IFERROR(__xludf.DUMMYFUNCTION("""COMPUTED_VALUE"""),717023.0)</f>
        <v>717023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IFERROR(__xludf.DUMMYFUNCTION("""COMPUTED_VALUE"""),28.57)</f>
        <v>28.57</v>
      </c>
      <c r="C168" s="1">
        <f>IFERROR(__xludf.DUMMYFUNCTION("""COMPUTED_VALUE"""),28.68)</f>
        <v>28.68</v>
      </c>
      <c r="D168" s="1">
        <f>IFERROR(__xludf.DUMMYFUNCTION("""COMPUTED_VALUE"""),28.2)</f>
        <v>28.2</v>
      </c>
      <c r="E168" s="1">
        <f>IFERROR(__xludf.DUMMYFUNCTION("""COMPUTED_VALUE"""),28.25)</f>
        <v>28.25</v>
      </c>
      <c r="F168" s="1">
        <f>IFERROR(__xludf.DUMMYFUNCTION("""COMPUTED_VALUE"""),701041.0)</f>
        <v>701041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IFERROR(__xludf.DUMMYFUNCTION("""COMPUTED_VALUE"""),28.46)</f>
        <v>28.46</v>
      </c>
      <c r="C169" s="1">
        <f>IFERROR(__xludf.DUMMYFUNCTION("""COMPUTED_VALUE"""),28.82)</f>
        <v>28.82</v>
      </c>
      <c r="D169" s="1">
        <f>IFERROR(__xludf.DUMMYFUNCTION("""COMPUTED_VALUE"""),28.43)</f>
        <v>28.43</v>
      </c>
      <c r="E169" s="1">
        <f>IFERROR(__xludf.DUMMYFUNCTION("""COMPUTED_VALUE"""),28.73)</f>
        <v>28.73</v>
      </c>
      <c r="F169" s="1">
        <f>IFERROR(__xludf.DUMMYFUNCTION("""COMPUTED_VALUE"""),1342384.0)</f>
        <v>1342384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IFERROR(__xludf.DUMMYFUNCTION("""COMPUTED_VALUE"""),29.26)</f>
        <v>29.26</v>
      </c>
      <c r="C170" s="1">
        <f>IFERROR(__xludf.DUMMYFUNCTION("""COMPUTED_VALUE"""),29.84)</f>
        <v>29.84</v>
      </c>
      <c r="D170" s="1">
        <f>IFERROR(__xludf.DUMMYFUNCTION("""COMPUTED_VALUE"""),28.78)</f>
        <v>28.78</v>
      </c>
      <c r="E170" s="1">
        <f>IFERROR(__xludf.DUMMYFUNCTION("""COMPUTED_VALUE"""),29.73)</f>
        <v>29.73</v>
      </c>
      <c r="F170" s="1">
        <f>IFERROR(__xludf.DUMMYFUNCTION("""COMPUTED_VALUE"""),1120687.0)</f>
        <v>1120687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IFERROR(__xludf.DUMMYFUNCTION("""COMPUTED_VALUE"""),30.0)</f>
        <v>30</v>
      </c>
      <c r="C171" s="1">
        <f>IFERROR(__xludf.DUMMYFUNCTION("""COMPUTED_VALUE"""),30.42)</f>
        <v>30.42</v>
      </c>
      <c r="D171" s="1">
        <f>IFERROR(__xludf.DUMMYFUNCTION("""COMPUTED_VALUE"""),29.78)</f>
        <v>29.78</v>
      </c>
      <c r="E171" s="1">
        <f>IFERROR(__xludf.DUMMYFUNCTION("""COMPUTED_VALUE"""),30.26)</f>
        <v>30.26</v>
      </c>
      <c r="F171" s="1">
        <f>IFERROR(__xludf.DUMMYFUNCTION("""COMPUTED_VALUE"""),995906.0)</f>
        <v>995906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IFERROR(__xludf.DUMMYFUNCTION("""COMPUTED_VALUE"""),30.17)</f>
        <v>30.17</v>
      </c>
      <c r="C172" s="1">
        <f>IFERROR(__xludf.DUMMYFUNCTION("""COMPUTED_VALUE"""),30.33)</f>
        <v>30.33</v>
      </c>
      <c r="D172" s="1">
        <f>IFERROR(__xludf.DUMMYFUNCTION("""COMPUTED_VALUE"""),29.44)</f>
        <v>29.44</v>
      </c>
      <c r="E172" s="1">
        <f>IFERROR(__xludf.DUMMYFUNCTION("""COMPUTED_VALUE"""),29.49)</f>
        <v>29.49</v>
      </c>
      <c r="F172" s="1">
        <f>IFERROR(__xludf.DUMMYFUNCTION("""COMPUTED_VALUE"""),861521.0)</f>
        <v>861521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IFERROR(__xludf.DUMMYFUNCTION("""COMPUTED_VALUE"""),29.5)</f>
        <v>29.5</v>
      </c>
      <c r="C173" s="1">
        <f>IFERROR(__xludf.DUMMYFUNCTION("""COMPUTED_VALUE"""),29.79)</f>
        <v>29.79</v>
      </c>
      <c r="D173" s="1">
        <f>IFERROR(__xludf.DUMMYFUNCTION("""COMPUTED_VALUE"""),29.43)</f>
        <v>29.43</v>
      </c>
      <c r="E173" s="1">
        <f>IFERROR(__xludf.DUMMYFUNCTION("""COMPUTED_VALUE"""),29.49)</f>
        <v>29.49</v>
      </c>
      <c r="F173" s="1">
        <f>IFERROR(__xludf.DUMMYFUNCTION("""COMPUTED_VALUE"""),666313.0)</f>
        <v>666313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IFERROR(__xludf.DUMMYFUNCTION("""COMPUTED_VALUE"""),29.92)</f>
        <v>29.92</v>
      </c>
      <c r="C174" s="1">
        <f>IFERROR(__xludf.DUMMYFUNCTION("""COMPUTED_VALUE"""),29.98)</f>
        <v>29.98</v>
      </c>
      <c r="D174" s="1">
        <f>IFERROR(__xludf.DUMMYFUNCTION("""COMPUTED_VALUE"""),29.3)</f>
        <v>29.3</v>
      </c>
      <c r="E174" s="1">
        <f>IFERROR(__xludf.DUMMYFUNCTION("""COMPUTED_VALUE"""),29.37)</f>
        <v>29.37</v>
      </c>
      <c r="F174" s="1">
        <f>IFERROR(__xludf.DUMMYFUNCTION("""COMPUTED_VALUE"""),970224.0)</f>
        <v>970224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IFERROR(__xludf.DUMMYFUNCTION("""COMPUTED_VALUE"""),29.3)</f>
        <v>29.3</v>
      </c>
      <c r="C175" s="1">
        <f>IFERROR(__xludf.DUMMYFUNCTION("""COMPUTED_VALUE"""),29.55)</f>
        <v>29.55</v>
      </c>
      <c r="D175" s="1">
        <f>IFERROR(__xludf.DUMMYFUNCTION("""COMPUTED_VALUE"""),29.1)</f>
        <v>29.1</v>
      </c>
      <c r="E175" s="1">
        <f>IFERROR(__xludf.DUMMYFUNCTION("""COMPUTED_VALUE"""),29.31)</f>
        <v>29.31</v>
      </c>
      <c r="F175" s="1">
        <f>IFERROR(__xludf.DUMMYFUNCTION("""COMPUTED_VALUE"""),1497735.0)</f>
        <v>1497735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IFERROR(__xludf.DUMMYFUNCTION("""COMPUTED_VALUE"""),29.62)</f>
        <v>29.62</v>
      </c>
      <c r="C176" s="1">
        <f>IFERROR(__xludf.DUMMYFUNCTION("""COMPUTED_VALUE"""),30.02)</f>
        <v>30.02</v>
      </c>
      <c r="D176" s="1">
        <f>IFERROR(__xludf.DUMMYFUNCTION("""COMPUTED_VALUE"""),29.15)</f>
        <v>29.15</v>
      </c>
      <c r="E176" s="1">
        <f>IFERROR(__xludf.DUMMYFUNCTION("""COMPUTED_VALUE"""),29.8)</f>
        <v>29.8</v>
      </c>
      <c r="F176" s="1">
        <f>IFERROR(__xludf.DUMMYFUNCTION("""COMPUTED_VALUE"""),1173043.0)</f>
        <v>1173043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IFERROR(__xludf.DUMMYFUNCTION("""COMPUTED_VALUE"""),29.75)</f>
        <v>29.75</v>
      </c>
      <c r="C177" s="1">
        <f>IFERROR(__xludf.DUMMYFUNCTION("""COMPUTED_VALUE"""),30.02)</f>
        <v>30.02</v>
      </c>
      <c r="D177" s="1">
        <f>IFERROR(__xludf.DUMMYFUNCTION("""COMPUTED_VALUE"""),29.49)</f>
        <v>29.49</v>
      </c>
      <c r="E177" s="1">
        <f>IFERROR(__xludf.DUMMYFUNCTION("""COMPUTED_VALUE"""),29.65)</f>
        <v>29.65</v>
      </c>
      <c r="F177" s="1">
        <f>IFERROR(__xludf.DUMMYFUNCTION("""COMPUTED_VALUE"""),1238298.0)</f>
        <v>1238298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IFERROR(__xludf.DUMMYFUNCTION("""COMPUTED_VALUE"""),29.64)</f>
        <v>29.64</v>
      </c>
      <c r="C178" s="1">
        <f>IFERROR(__xludf.DUMMYFUNCTION("""COMPUTED_VALUE"""),30.93)</f>
        <v>30.93</v>
      </c>
      <c r="D178" s="1">
        <f>IFERROR(__xludf.DUMMYFUNCTION("""COMPUTED_VALUE"""),29.64)</f>
        <v>29.64</v>
      </c>
      <c r="E178" s="1">
        <f>IFERROR(__xludf.DUMMYFUNCTION("""COMPUTED_VALUE"""),30.8)</f>
        <v>30.8</v>
      </c>
      <c r="F178" s="1">
        <f>IFERROR(__xludf.DUMMYFUNCTION("""COMPUTED_VALUE"""),2731965.0)</f>
        <v>2731965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IFERROR(__xludf.DUMMYFUNCTION("""COMPUTED_VALUE"""),30.78)</f>
        <v>30.78</v>
      </c>
      <c r="C179" s="1">
        <f>IFERROR(__xludf.DUMMYFUNCTION("""COMPUTED_VALUE"""),31.13)</f>
        <v>31.13</v>
      </c>
      <c r="D179" s="1">
        <f>IFERROR(__xludf.DUMMYFUNCTION("""COMPUTED_VALUE"""),30.44)</f>
        <v>30.44</v>
      </c>
      <c r="E179" s="1">
        <f>IFERROR(__xludf.DUMMYFUNCTION("""COMPUTED_VALUE"""),31.04)</f>
        <v>31.04</v>
      </c>
      <c r="F179" s="1">
        <f>IFERROR(__xludf.DUMMYFUNCTION("""COMPUTED_VALUE"""),1350879.0)</f>
        <v>1350879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IFERROR(__xludf.DUMMYFUNCTION("""COMPUTED_VALUE"""),31.27)</f>
        <v>31.27</v>
      </c>
      <c r="C180" s="1">
        <f>IFERROR(__xludf.DUMMYFUNCTION("""COMPUTED_VALUE"""),31.96)</f>
        <v>31.96</v>
      </c>
      <c r="D180" s="1">
        <f>IFERROR(__xludf.DUMMYFUNCTION("""COMPUTED_VALUE"""),31.17)</f>
        <v>31.17</v>
      </c>
      <c r="E180" s="1">
        <f>IFERROR(__xludf.DUMMYFUNCTION("""COMPUTED_VALUE"""),31.73)</f>
        <v>31.73</v>
      </c>
      <c r="F180" s="1">
        <f>IFERROR(__xludf.DUMMYFUNCTION("""COMPUTED_VALUE"""),1542190.0)</f>
        <v>1542190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IFERROR(__xludf.DUMMYFUNCTION("""COMPUTED_VALUE"""),31.88)</f>
        <v>31.88</v>
      </c>
      <c r="C181" s="1">
        <f>IFERROR(__xludf.DUMMYFUNCTION("""COMPUTED_VALUE"""),32.29)</f>
        <v>32.29</v>
      </c>
      <c r="D181" s="1">
        <f>IFERROR(__xludf.DUMMYFUNCTION("""COMPUTED_VALUE"""),31.76)</f>
        <v>31.76</v>
      </c>
      <c r="E181" s="1">
        <f>IFERROR(__xludf.DUMMYFUNCTION("""COMPUTED_VALUE"""),32.01)</f>
        <v>32.01</v>
      </c>
      <c r="F181" s="1">
        <f>IFERROR(__xludf.DUMMYFUNCTION("""COMPUTED_VALUE"""),1613452.0)</f>
        <v>1613452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IFERROR(__xludf.DUMMYFUNCTION("""COMPUTED_VALUE"""),32.09)</f>
        <v>32.09</v>
      </c>
      <c r="C182" s="1">
        <f>IFERROR(__xludf.DUMMYFUNCTION("""COMPUTED_VALUE"""),32.65)</f>
        <v>32.65</v>
      </c>
      <c r="D182" s="1">
        <f>IFERROR(__xludf.DUMMYFUNCTION("""COMPUTED_VALUE"""),31.7)</f>
        <v>31.7</v>
      </c>
      <c r="E182" s="1">
        <f>IFERROR(__xludf.DUMMYFUNCTION("""COMPUTED_VALUE"""),32.09)</f>
        <v>32.09</v>
      </c>
      <c r="F182" s="1">
        <f>IFERROR(__xludf.DUMMYFUNCTION("""COMPUTED_VALUE"""),1530919.0)</f>
        <v>1530919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IFERROR(__xludf.DUMMYFUNCTION("""COMPUTED_VALUE"""),31.91)</f>
        <v>31.91</v>
      </c>
      <c r="C183" s="1">
        <f>IFERROR(__xludf.DUMMYFUNCTION("""COMPUTED_VALUE"""),32.39)</f>
        <v>32.39</v>
      </c>
      <c r="D183" s="1">
        <f>IFERROR(__xludf.DUMMYFUNCTION("""COMPUTED_VALUE"""),31.75)</f>
        <v>31.75</v>
      </c>
      <c r="E183" s="1">
        <f>IFERROR(__xludf.DUMMYFUNCTION("""COMPUTED_VALUE"""),31.86)</f>
        <v>31.86</v>
      </c>
      <c r="F183" s="1">
        <f>IFERROR(__xludf.DUMMYFUNCTION("""COMPUTED_VALUE"""),1403769.0)</f>
        <v>1403769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IFERROR(__xludf.DUMMYFUNCTION("""COMPUTED_VALUE"""),31.62)</f>
        <v>31.62</v>
      </c>
      <c r="C184" s="1">
        <f>IFERROR(__xludf.DUMMYFUNCTION("""COMPUTED_VALUE"""),32.22)</f>
        <v>32.22</v>
      </c>
      <c r="D184" s="1">
        <f>IFERROR(__xludf.DUMMYFUNCTION("""COMPUTED_VALUE"""),31.54)</f>
        <v>31.54</v>
      </c>
      <c r="E184" s="1">
        <f>IFERROR(__xludf.DUMMYFUNCTION("""COMPUTED_VALUE"""),31.75)</f>
        <v>31.75</v>
      </c>
      <c r="F184" s="1">
        <f>IFERROR(__xludf.DUMMYFUNCTION("""COMPUTED_VALUE"""),1029258.0)</f>
        <v>1029258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IFERROR(__xludf.DUMMYFUNCTION("""COMPUTED_VALUE"""),32.11)</f>
        <v>32.11</v>
      </c>
      <c r="C185" s="1">
        <f>IFERROR(__xludf.DUMMYFUNCTION("""COMPUTED_VALUE"""),32.47)</f>
        <v>32.47</v>
      </c>
      <c r="D185" s="1">
        <f>IFERROR(__xludf.DUMMYFUNCTION("""COMPUTED_VALUE"""),31.91)</f>
        <v>31.91</v>
      </c>
      <c r="E185" s="1">
        <f>IFERROR(__xludf.DUMMYFUNCTION("""COMPUTED_VALUE"""),32.36)</f>
        <v>32.36</v>
      </c>
      <c r="F185" s="1">
        <f>IFERROR(__xludf.DUMMYFUNCTION("""COMPUTED_VALUE"""),1041995.0)</f>
        <v>1041995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IFERROR(__xludf.DUMMYFUNCTION("""COMPUTED_VALUE"""),32.31)</f>
        <v>32.31</v>
      </c>
      <c r="C186" s="1">
        <f>IFERROR(__xludf.DUMMYFUNCTION("""COMPUTED_VALUE"""),32.5)</f>
        <v>32.5</v>
      </c>
      <c r="D186" s="1">
        <f>IFERROR(__xludf.DUMMYFUNCTION("""COMPUTED_VALUE"""),31.95)</f>
        <v>31.95</v>
      </c>
      <c r="E186" s="1">
        <f>IFERROR(__xludf.DUMMYFUNCTION("""COMPUTED_VALUE"""),32.25)</f>
        <v>32.25</v>
      </c>
      <c r="F186" s="1">
        <f>IFERROR(__xludf.DUMMYFUNCTION("""COMPUTED_VALUE"""),2087401.0)</f>
        <v>2087401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IFERROR(__xludf.DUMMYFUNCTION("""COMPUTED_VALUE"""),32.36)</f>
        <v>32.36</v>
      </c>
      <c r="C187" s="1">
        <f>IFERROR(__xludf.DUMMYFUNCTION("""COMPUTED_VALUE"""),32.37)</f>
        <v>32.37</v>
      </c>
      <c r="D187" s="1">
        <f>IFERROR(__xludf.DUMMYFUNCTION("""COMPUTED_VALUE"""),31.7)</f>
        <v>31.7</v>
      </c>
      <c r="E187" s="1">
        <f>IFERROR(__xludf.DUMMYFUNCTION("""COMPUTED_VALUE"""),32.03)</f>
        <v>32.03</v>
      </c>
      <c r="F187" s="1">
        <f>IFERROR(__xludf.DUMMYFUNCTION("""COMPUTED_VALUE"""),760991.0)</f>
        <v>760991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IFERROR(__xludf.DUMMYFUNCTION("""COMPUTED_VALUE"""),31.98)</f>
        <v>31.98</v>
      </c>
      <c r="C188" s="1">
        <f>IFERROR(__xludf.DUMMYFUNCTION("""COMPUTED_VALUE"""),33.17)</f>
        <v>33.17</v>
      </c>
      <c r="D188" s="1">
        <f>IFERROR(__xludf.DUMMYFUNCTION("""COMPUTED_VALUE"""),31.89)</f>
        <v>31.89</v>
      </c>
      <c r="E188" s="1">
        <f>IFERROR(__xludf.DUMMYFUNCTION("""COMPUTED_VALUE"""),33.08)</f>
        <v>33.08</v>
      </c>
      <c r="F188" s="1">
        <f>IFERROR(__xludf.DUMMYFUNCTION("""COMPUTED_VALUE"""),1216365.0)</f>
        <v>1216365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IFERROR(__xludf.DUMMYFUNCTION("""COMPUTED_VALUE"""),33.53)</f>
        <v>33.53</v>
      </c>
      <c r="C189" s="1">
        <f>IFERROR(__xludf.DUMMYFUNCTION("""COMPUTED_VALUE"""),33.84)</f>
        <v>33.84</v>
      </c>
      <c r="D189" s="1">
        <f>IFERROR(__xludf.DUMMYFUNCTION("""COMPUTED_VALUE"""),32.99)</f>
        <v>32.99</v>
      </c>
      <c r="E189" s="1">
        <f>IFERROR(__xludf.DUMMYFUNCTION("""COMPUTED_VALUE"""),33.15)</f>
        <v>33.15</v>
      </c>
      <c r="F189" s="1">
        <f>IFERROR(__xludf.DUMMYFUNCTION("""COMPUTED_VALUE"""),1932917.0)</f>
        <v>1932917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IFERROR(__xludf.DUMMYFUNCTION("""COMPUTED_VALUE"""),33.25)</f>
        <v>33.25</v>
      </c>
      <c r="C190" s="1">
        <f>IFERROR(__xludf.DUMMYFUNCTION("""COMPUTED_VALUE"""),33.59)</f>
        <v>33.59</v>
      </c>
      <c r="D190" s="1">
        <f>IFERROR(__xludf.DUMMYFUNCTION("""COMPUTED_VALUE"""),32.83)</f>
        <v>32.83</v>
      </c>
      <c r="E190" s="1">
        <f>IFERROR(__xludf.DUMMYFUNCTION("""COMPUTED_VALUE"""),33.48)</f>
        <v>33.48</v>
      </c>
      <c r="F190" s="1">
        <f>IFERROR(__xludf.DUMMYFUNCTION("""COMPUTED_VALUE"""),1294447.0)</f>
        <v>1294447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IFERROR(__xludf.DUMMYFUNCTION("""COMPUTED_VALUE"""),33.35)</f>
        <v>33.35</v>
      </c>
      <c r="C191" s="1">
        <f>IFERROR(__xludf.DUMMYFUNCTION("""COMPUTED_VALUE"""),33.7)</f>
        <v>33.7</v>
      </c>
      <c r="D191" s="1">
        <f>IFERROR(__xludf.DUMMYFUNCTION("""COMPUTED_VALUE"""),32.42)</f>
        <v>32.42</v>
      </c>
      <c r="E191" s="1">
        <f>IFERROR(__xludf.DUMMYFUNCTION("""COMPUTED_VALUE"""),32.65)</f>
        <v>32.65</v>
      </c>
      <c r="F191" s="1">
        <f>IFERROR(__xludf.DUMMYFUNCTION("""COMPUTED_VALUE"""),939906.0)</f>
        <v>939906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IFERROR(__xludf.DUMMYFUNCTION("""COMPUTED_VALUE"""),32.95)</f>
        <v>32.95</v>
      </c>
      <c r="C192" s="1">
        <f>IFERROR(__xludf.DUMMYFUNCTION("""COMPUTED_VALUE"""),33.41)</f>
        <v>33.41</v>
      </c>
      <c r="D192" s="1">
        <f>IFERROR(__xludf.DUMMYFUNCTION("""COMPUTED_VALUE"""),32.9)</f>
        <v>32.9</v>
      </c>
      <c r="E192" s="1">
        <f>IFERROR(__xludf.DUMMYFUNCTION("""COMPUTED_VALUE"""),33.11)</f>
        <v>33.11</v>
      </c>
      <c r="F192" s="1">
        <f>IFERROR(__xludf.DUMMYFUNCTION("""COMPUTED_VALUE"""),1040604.0)</f>
        <v>1040604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IFERROR(__xludf.DUMMYFUNCTION("""COMPUTED_VALUE"""),32.96)</f>
        <v>32.96</v>
      </c>
      <c r="C193" s="1">
        <f>IFERROR(__xludf.DUMMYFUNCTION("""COMPUTED_VALUE"""),33.29)</f>
        <v>33.29</v>
      </c>
      <c r="D193" s="1">
        <f>IFERROR(__xludf.DUMMYFUNCTION("""COMPUTED_VALUE"""),32.14)</f>
        <v>32.14</v>
      </c>
      <c r="E193" s="1">
        <f>IFERROR(__xludf.DUMMYFUNCTION("""COMPUTED_VALUE"""),32.38)</f>
        <v>32.38</v>
      </c>
      <c r="F193" s="1">
        <f>IFERROR(__xludf.DUMMYFUNCTION("""COMPUTED_VALUE"""),662048.0)</f>
        <v>662048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IFERROR(__xludf.DUMMYFUNCTION("""COMPUTED_VALUE"""),32.53)</f>
        <v>32.53</v>
      </c>
      <c r="C194" s="1">
        <f>IFERROR(__xludf.DUMMYFUNCTION("""COMPUTED_VALUE"""),32.66)</f>
        <v>32.66</v>
      </c>
      <c r="D194" s="1">
        <f>IFERROR(__xludf.DUMMYFUNCTION("""COMPUTED_VALUE"""),32.3)</f>
        <v>32.3</v>
      </c>
      <c r="E194" s="1">
        <f>IFERROR(__xludf.DUMMYFUNCTION("""COMPUTED_VALUE"""),32.38)</f>
        <v>32.38</v>
      </c>
      <c r="F194" s="1">
        <f>IFERROR(__xludf.DUMMYFUNCTION("""COMPUTED_VALUE"""),1085553.0)</f>
        <v>1085553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IFERROR(__xludf.DUMMYFUNCTION("""COMPUTED_VALUE"""),32.47)</f>
        <v>32.47</v>
      </c>
      <c r="C195" s="1">
        <f>IFERROR(__xludf.DUMMYFUNCTION("""COMPUTED_VALUE"""),32.82)</f>
        <v>32.82</v>
      </c>
      <c r="D195" s="1">
        <f>IFERROR(__xludf.DUMMYFUNCTION("""COMPUTED_VALUE"""),32.28)</f>
        <v>32.28</v>
      </c>
      <c r="E195" s="1">
        <f>IFERROR(__xludf.DUMMYFUNCTION("""COMPUTED_VALUE"""),32.56)</f>
        <v>32.56</v>
      </c>
      <c r="F195" s="1">
        <f>IFERROR(__xludf.DUMMYFUNCTION("""COMPUTED_VALUE"""),1044761.0)</f>
        <v>1044761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IFERROR(__xludf.DUMMYFUNCTION("""COMPUTED_VALUE"""),32.64)</f>
        <v>32.64</v>
      </c>
      <c r="C196" s="1">
        <f>IFERROR(__xludf.DUMMYFUNCTION("""COMPUTED_VALUE"""),32.91)</f>
        <v>32.91</v>
      </c>
      <c r="D196" s="1">
        <f>IFERROR(__xludf.DUMMYFUNCTION("""COMPUTED_VALUE"""),32.46)</f>
        <v>32.46</v>
      </c>
      <c r="E196" s="1">
        <f>IFERROR(__xludf.DUMMYFUNCTION("""COMPUTED_VALUE"""),32.49)</f>
        <v>32.49</v>
      </c>
      <c r="F196" s="1">
        <f>IFERROR(__xludf.DUMMYFUNCTION("""COMPUTED_VALUE"""),886523.0)</f>
        <v>886523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IFERROR(__xludf.DUMMYFUNCTION("""COMPUTED_VALUE"""),32.49)</f>
        <v>32.49</v>
      </c>
      <c r="C197" s="1">
        <f>IFERROR(__xludf.DUMMYFUNCTION("""COMPUTED_VALUE"""),32.63)</f>
        <v>32.63</v>
      </c>
      <c r="D197" s="1">
        <f>IFERROR(__xludf.DUMMYFUNCTION("""COMPUTED_VALUE"""),32.12)</f>
        <v>32.12</v>
      </c>
      <c r="E197" s="1">
        <f>IFERROR(__xludf.DUMMYFUNCTION("""COMPUTED_VALUE"""),32.56)</f>
        <v>32.56</v>
      </c>
      <c r="F197" s="1">
        <f>IFERROR(__xludf.DUMMYFUNCTION("""COMPUTED_VALUE"""),1334312.0)</f>
        <v>1334312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IFERROR(__xludf.DUMMYFUNCTION("""COMPUTED_VALUE"""),32.78)</f>
        <v>32.78</v>
      </c>
      <c r="C198" s="1">
        <f>IFERROR(__xludf.DUMMYFUNCTION("""COMPUTED_VALUE"""),32.89)</f>
        <v>32.89</v>
      </c>
      <c r="D198" s="1">
        <f>IFERROR(__xludf.DUMMYFUNCTION("""COMPUTED_VALUE"""),32.59)</f>
        <v>32.59</v>
      </c>
      <c r="E198" s="1">
        <f>IFERROR(__xludf.DUMMYFUNCTION("""COMPUTED_VALUE"""),32.64)</f>
        <v>32.64</v>
      </c>
      <c r="F198" s="1">
        <f>IFERROR(__xludf.DUMMYFUNCTION("""COMPUTED_VALUE"""),884378.0)</f>
        <v>884378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IFERROR(__xludf.DUMMYFUNCTION("""COMPUTED_VALUE"""),32.59)</f>
        <v>32.59</v>
      </c>
      <c r="C199" s="1">
        <f>IFERROR(__xludf.DUMMYFUNCTION("""COMPUTED_VALUE"""),33.27)</f>
        <v>33.27</v>
      </c>
      <c r="D199" s="1">
        <f>IFERROR(__xludf.DUMMYFUNCTION("""COMPUTED_VALUE"""),32.54)</f>
        <v>32.54</v>
      </c>
      <c r="E199" s="1">
        <f>IFERROR(__xludf.DUMMYFUNCTION("""COMPUTED_VALUE"""),32.77)</f>
        <v>32.77</v>
      </c>
      <c r="F199" s="1">
        <f>IFERROR(__xludf.DUMMYFUNCTION("""COMPUTED_VALUE"""),1133026.0)</f>
        <v>1133026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IFERROR(__xludf.DUMMYFUNCTION("""COMPUTED_VALUE"""),33.01)</f>
        <v>33.01</v>
      </c>
      <c r="C200" s="1">
        <f>IFERROR(__xludf.DUMMYFUNCTION("""COMPUTED_VALUE"""),33.2)</f>
        <v>33.2</v>
      </c>
      <c r="D200" s="1">
        <f>IFERROR(__xludf.DUMMYFUNCTION("""COMPUTED_VALUE"""),32.69)</f>
        <v>32.69</v>
      </c>
      <c r="E200" s="1">
        <f>IFERROR(__xludf.DUMMYFUNCTION("""COMPUTED_VALUE"""),33.05)</f>
        <v>33.05</v>
      </c>
      <c r="F200" s="1">
        <f>IFERROR(__xludf.DUMMYFUNCTION("""COMPUTED_VALUE"""),1012678.0)</f>
        <v>1012678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IFERROR(__xludf.DUMMYFUNCTION("""COMPUTED_VALUE"""),32.95)</f>
        <v>32.95</v>
      </c>
      <c r="C201" s="1">
        <f>IFERROR(__xludf.DUMMYFUNCTION("""COMPUTED_VALUE"""),33.26)</f>
        <v>33.26</v>
      </c>
      <c r="D201" s="1">
        <f>IFERROR(__xludf.DUMMYFUNCTION("""COMPUTED_VALUE"""),32.62)</f>
        <v>32.62</v>
      </c>
      <c r="E201" s="1">
        <f>IFERROR(__xludf.DUMMYFUNCTION("""COMPUTED_VALUE"""),32.88)</f>
        <v>32.88</v>
      </c>
      <c r="F201" s="1">
        <f>IFERROR(__xludf.DUMMYFUNCTION("""COMPUTED_VALUE"""),692794.0)</f>
        <v>692794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IFERROR(__xludf.DUMMYFUNCTION("""COMPUTED_VALUE"""),32.57)</f>
        <v>32.57</v>
      </c>
      <c r="C202" s="1">
        <f>IFERROR(__xludf.DUMMYFUNCTION("""COMPUTED_VALUE"""),32.93)</f>
        <v>32.93</v>
      </c>
      <c r="D202" s="1">
        <f>IFERROR(__xludf.DUMMYFUNCTION("""COMPUTED_VALUE"""),32.03)</f>
        <v>32.03</v>
      </c>
      <c r="E202" s="1">
        <f>IFERROR(__xludf.DUMMYFUNCTION("""COMPUTED_VALUE"""),32.32)</f>
        <v>32.32</v>
      </c>
      <c r="F202" s="1">
        <f>IFERROR(__xludf.DUMMYFUNCTION("""COMPUTED_VALUE"""),1110691.0)</f>
        <v>1110691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IFERROR(__xludf.DUMMYFUNCTION("""COMPUTED_VALUE"""),32.43)</f>
        <v>32.43</v>
      </c>
      <c r="C203" s="1">
        <f>IFERROR(__xludf.DUMMYFUNCTION("""COMPUTED_VALUE"""),32.87)</f>
        <v>32.87</v>
      </c>
      <c r="D203" s="1">
        <f>IFERROR(__xludf.DUMMYFUNCTION("""COMPUTED_VALUE"""),32.33)</f>
        <v>32.33</v>
      </c>
      <c r="E203" s="1">
        <f>IFERROR(__xludf.DUMMYFUNCTION("""COMPUTED_VALUE"""),32.4)</f>
        <v>32.4</v>
      </c>
      <c r="F203" s="1">
        <f>IFERROR(__xludf.DUMMYFUNCTION("""COMPUTED_VALUE"""),807677.0)</f>
        <v>807677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IFERROR(__xludf.DUMMYFUNCTION("""COMPUTED_VALUE"""),32.58)</f>
        <v>32.58</v>
      </c>
      <c r="C204" s="1">
        <f>IFERROR(__xludf.DUMMYFUNCTION("""COMPUTED_VALUE"""),32.81)</f>
        <v>32.81</v>
      </c>
      <c r="D204" s="1">
        <f>IFERROR(__xludf.DUMMYFUNCTION("""COMPUTED_VALUE"""),32.15)</f>
        <v>32.15</v>
      </c>
      <c r="E204" s="1">
        <f>IFERROR(__xludf.DUMMYFUNCTION("""COMPUTED_VALUE"""),32.53)</f>
        <v>32.53</v>
      </c>
      <c r="F204" s="1">
        <f>IFERROR(__xludf.DUMMYFUNCTION("""COMPUTED_VALUE"""),739676.0)</f>
        <v>739676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IFERROR(__xludf.DUMMYFUNCTION("""COMPUTED_VALUE"""),32.52)</f>
        <v>32.52</v>
      </c>
      <c r="C205" s="1">
        <f>IFERROR(__xludf.DUMMYFUNCTION("""COMPUTED_VALUE"""),32.67)</f>
        <v>32.67</v>
      </c>
      <c r="D205" s="1">
        <f>IFERROR(__xludf.DUMMYFUNCTION("""COMPUTED_VALUE"""),32.25)</f>
        <v>32.25</v>
      </c>
      <c r="E205" s="1">
        <f>IFERROR(__xludf.DUMMYFUNCTION("""COMPUTED_VALUE"""),32.43)</f>
        <v>32.43</v>
      </c>
      <c r="F205" s="1">
        <f>IFERROR(__xludf.DUMMYFUNCTION("""COMPUTED_VALUE"""),668822.0)</f>
        <v>668822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IFERROR(__xludf.DUMMYFUNCTION("""COMPUTED_VALUE"""),32.62)</f>
        <v>32.62</v>
      </c>
      <c r="C206" s="1">
        <f>IFERROR(__xludf.DUMMYFUNCTION("""COMPUTED_VALUE"""),33.34)</f>
        <v>33.34</v>
      </c>
      <c r="D206" s="1">
        <f>IFERROR(__xludf.DUMMYFUNCTION("""COMPUTED_VALUE"""),32.46)</f>
        <v>32.46</v>
      </c>
      <c r="E206" s="1">
        <f>IFERROR(__xludf.DUMMYFUNCTION("""COMPUTED_VALUE"""),32.79)</f>
        <v>32.79</v>
      </c>
      <c r="F206" s="1">
        <f>IFERROR(__xludf.DUMMYFUNCTION("""COMPUTED_VALUE"""),1203112.0)</f>
        <v>1203112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IFERROR(__xludf.DUMMYFUNCTION("""COMPUTED_VALUE"""),32.61)</f>
        <v>32.61</v>
      </c>
      <c r="C207" s="1">
        <f>IFERROR(__xludf.DUMMYFUNCTION("""COMPUTED_VALUE"""),32.97)</f>
        <v>32.97</v>
      </c>
      <c r="D207" s="1">
        <f>IFERROR(__xludf.DUMMYFUNCTION("""COMPUTED_VALUE"""),32.3)</f>
        <v>32.3</v>
      </c>
      <c r="E207" s="1">
        <f>IFERROR(__xludf.DUMMYFUNCTION("""COMPUTED_VALUE"""),32.76)</f>
        <v>32.76</v>
      </c>
      <c r="F207" s="1">
        <f>IFERROR(__xludf.DUMMYFUNCTION("""COMPUTED_VALUE"""),884145.0)</f>
        <v>884145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IFERROR(__xludf.DUMMYFUNCTION("""COMPUTED_VALUE"""),32.56)</f>
        <v>32.56</v>
      </c>
      <c r="C208" s="1">
        <f>IFERROR(__xludf.DUMMYFUNCTION("""COMPUTED_VALUE"""),33.09)</f>
        <v>33.09</v>
      </c>
      <c r="D208" s="1">
        <f>IFERROR(__xludf.DUMMYFUNCTION("""COMPUTED_VALUE"""),32.16)</f>
        <v>32.16</v>
      </c>
      <c r="E208" s="1">
        <f>IFERROR(__xludf.DUMMYFUNCTION("""COMPUTED_VALUE"""),32.74)</f>
        <v>32.74</v>
      </c>
      <c r="F208" s="1">
        <f>IFERROR(__xludf.DUMMYFUNCTION("""COMPUTED_VALUE"""),1344120.0)</f>
        <v>1344120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IFERROR(__xludf.DUMMYFUNCTION("""COMPUTED_VALUE"""),32.94)</f>
        <v>32.94</v>
      </c>
      <c r="C209" s="1">
        <f>IFERROR(__xludf.DUMMYFUNCTION("""COMPUTED_VALUE"""),33.17)</f>
        <v>33.17</v>
      </c>
      <c r="D209" s="1">
        <f>IFERROR(__xludf.DUMMYFUNCTION("""COMPUTED_VALUE"""),32.55)</f>
        <v>32.55</v>
      </c>
      <c r="E209" s="1">
        <f>IFERROR(__xludf.DUMMYFUNCTION("""COMPUTED_VALUE"""),32.8)</f>
        <v>32.8</v>
      </c>
      <c r="F209" s="1">
        <f>IFERROR(__xludf.DUMMYFUNCTION("""COMPUTED_VALUE"""),933233.0)</f>
        <v>933233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IFERROR(__xludf.DUMMYFUNCTION("""COMPUTED_VALUE"""),32.83)</f>
        <v>32.83</v>
      </c>
      <c r="C210" s="1">
        <f>IFERROR(__xludf.DUMMYFUNCTION("""COMPUTED_VALUE"""),33.16)</f>
        <v>33.16</v>
      </c>
      <c r="D210" s="1">
        <f>IFERROR(__xludf.DUMMYFUNCTION("""COMPUTED_VALUE"""),32.74)</f>
        <v>32.74</v>
      </c>
      <c r="E210" s="1">
        <f>IFERROR(__xludf.DUMMYFUNCTION("""COMPUTED_VALUE"""),32.77)</f>
        <v>32.77</v>
      </c>
      <c r="F210" s="1">
        <f>IFERROR(__xludf.DUMMYFUNCTION("""COMPUTED_VALUE"""),794990.0)</f>
        <v>794990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IFERROR(__xludf.DUMMYFUNCTION("""COMPUTED_VALUE"""),32.88)</f>
        <v>32.88</v>
      </c>
      <c r="C211" s="1">
        <f>IFERROR(__xludf.DUMMYFUNCTION("""COMPUTED_VALUE"""),33.48)</f>
        <v>33.48</v>
      </c>
      <c r="D211" s="1">
        <f>IFERROR(__xludf.DUMMYFUNCTION("""COMPUTED_VALUE"""),32.37)</f>
        <v>32.37</v>
      </c>
      <c r="E211" s="1">
        <f>IFERROR(__xludf.DUMMYFUNCTION("""COMPUTED_VALUE"""),32.62)</f>
        <v>32.62</v>
      </c>
      <c r="F211" s="1">
        <f>IFERROR(__xludf.DUMMYFUNCTION("""COMPUTED_VALUE"""),943583.0)</f>
        <v>943583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IFERROR(__xludf.DUMMYFUNCTION("""COMPUTED_VALUE"""),32.87)</f>
        <v>32.87</v>
      </c>
      <c r="C212" s="1">
        <f>IFERROR(__xludf.DUMMYFUNCTION("""COMPUTED_VALUE"""),33.21)</f>
        <v>33.21</v>
      </c>
      <c r="D212" s="1">
        <f>IFERROR(__xludf.DUMMYFUNCTION("""COMPUTED_VALUE"""),32.67)</f>
        <v>32.67</v>
      </c>
      <c r="E212" s="1">
        <f>IFERROR(__xludf.DUMMYFUNCTION("""COMPUTED_VALUE"""),32.93)</f>
        <v>32.93</v>
      </c>
      <c r="F212" s="1">
        <f>IFERROR(__xludf.DUMMYFUNCTION("""COMPUTED_VALUE"""),902074.0)</f>
        <v>902074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IFERROR(__xludf.DUMMYFUNCTION("""COMPUTED_VALUE"""),32.95)</f>
        <v>32.95</v>
      </c>
      <c r="C213" s="1">
        <f>IFERROR(__xludf.DUMMYFUNCTION("""COMPUTED_VALUE"""),33.34)</f>
        <v>33.34</v>
      </c>
      <c r="D213" s="1">
        <f>IFERROR(__xludf.DUMMYFUNCTION("""COMPUTED_VALUE"""),32.41)</f>
        <v>32.41</v>
      </c>
      <c r="E213" s="1">
        <f>IFERROR(__xludf.DUMMYFUNCTION("""COMPUTED_VALUE"""),32.92)</f>
        <v>32.92</v>
      </c>
      <c r="F213" s="1">
        <f>IFERROR(__xludf.DUMMYFUNCTION("""COMPUTED_VALUE"""),1225941.0)</f>
        <v>1225941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IFERROR(__xludf.DUMMYFUNCTION("""COMPUTED_VALUE"""),32.5)</f>
        <v>32.5</v>
      </c>
      <c r="C214" s="1">
        <f>IFERROR(__xludf.DUMMYFUNCTION("""COMPUTED_VALUE"""),33.16)</f>
        <v>33.16</v>
      </c>
      <c r="D214" s="1">
        <f>IFERROR(__xludf.DUMMYFUNCTION("""COMPUTED_VALUE"""),30.7)</f>
        <v>30.7</v>
      </c>
      <c r="E214" s="1">
        <f>IFERROR(__xludf.DUMMYFUNCTION("""COMPUTED_VALUE"""),31.91)</f>
        <v>31.91</v>
      </c>
      <c r="F214" s="1">
        <f>IFERROR(__xludf.DUMMYFUNCTION("""COMPUTED_VALUE"""),4872236.0)</f>
        <v>4872236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IFERROR(__xludf.DUMMYFUNCTION("""COMPUTED_VALUE"""),31.75)</f>
        <v>31.75</v>
      </c>
      <c r="C215" s="1">
        <f>IFERROR(__xludf.DUMMYFUNCTION("""COMPUTED_VALUE"""),31.75)</f>
        <v>31.75</v>
      </c>
      <c r="D215" s="1">
        <f>IFERROR(__xludf.DUMMYFUNCTION("""COMPUTED_VALUE"""),31.19)</f>
        <v>31.19</v>
      </c>
      <c r="E215" s="1">
        <f>IFERROR(__xludf.DUMMYFUNCTION("""COMPUTED_VALUE"""),31.46)</f>
        <v>31.46</v>
      </c>
      <c r="F215" s="1">
        <f>IFERROR(__xludf.DUMMYFUNCTION("""COMPUTED_VALUE"""),1880978.0)</f>
        <v>1880978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IFERROR(__xludf.DUMMYFUNCTION("""COMPUTED_VALUE"""),31.23)</f>
        <v>31.23</v>
      </c>
      <c r="C216" s="1">
        <f>IFERROR(__xludf.DUMMYFUNCTION("""COMPUTED_VALUE"""),32.2)</f>
        <v>32.2</v>
      </c>
      <c r="D216" s="1">
        <f>IFERROR(__xludf.DUMMYFUNCTION("""COMPUTED_VALUE"""),30.85)</f>
        <v>30.85</v>
      </c>
      <c r="E216" s="1">
        <f>IFERROR(__xludf.DUMMYFUNCTION("""COMPUTED_VALUE"""),31.39)</f>
        <v>31.39</v>
      </c>
      <c r="F216" s="1">
        <f>IFERROR(__xludf.DUMMYFUNCTION("""COMPUTED_VALUE"""),1898647.0)</f>
        <v>1898647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IFERROR(__xludf.DUMMYFUNCTION("""COMPUTED_VALUE"""),31.37)</f>
        <v>31.37</v>
      </c>
      <c r="C217" s="1">
        <f>IFERROR(__xludf.DUMMYFUNCTION("""COMPUTED_VALUE"""),32.26)</f>
        <v>32.26</v>
      </c>
      <c r="D217" s="1">
        <f>IFERROR(__xludf.DUMMYFUNCTION("""COMPUTED_VALUE"""),31.25)</f>
        <v>31.25</v>
      </c>
      <c r="E217" s="1">
        <f>IFERROR(__xludf.DUMMYFUNCTION("""COMPUTED_VALUE"""),31.61)</f>
        <v>31.61</v>
      </c>
      <c r="F217" s="1">
        <f>IFERROR(__xludf.DUMMYFUNCTION("""COMPUTED_VALUE"""),1719023.0)</f>
        <v>1719023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IFERROR(__xludf.DUMMYFUNCTION("""COMPUTED_VALUE"""),31.67)</f>
        <v>31.67</v>
      </c>
      <c r="C218" s="1">
        <f>IFERROR(__xludf.DUMMYFUNCTION("""COMPUTED_VALUE"""),31.75)</f>
        <v>31.75</v>
      </c>
      <c r="D218" s="1">
        <f>IFERROR(__xludf.DUMMYFUNCTION("""COMPUTED_VALUE"""),31.07)</f>
        <v>31.07</v>
      </c>
      <c r="E218" s="1">
        <f>IFERROR(__xludf.DUMMYFUNCTION("""COMPUTED_VALUE"""),31.65)</f>
        <v>31.65</v>
      </c>
      <c r="F218" s="1">
        <f>IFERROR(__xludf.DUMMYFUNCTION("""COMPUTED_VALUE"""),1029597.0)</f>
        <v>1029597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IFERROR(__xludf.DUMMYFUNCTION("""COMPUTED_VALUE"""),31.52)</f>
        <v>31.52</v>
      </c>
      <c r="C219" s="1">
        <f>IFERROR(__xludf.DUMMYFUNCTION("""COMPUTED_VALUE"""),32.3)</f>
        <v>32.3</v>
      </c>
      <c r="D219" s="1">
        <f>IFERROR(__xludf.DUMMYFUNCTION("""COMPUTED_VALUE"""),31.25)</f>
        <v>31.25</v>
      </c>
      <c r="E219" s="1">
        <f>IFERROR(__xludf.DUMMYFUNCTION("""COMPUTED_VALUE"""),32.1)</f>
        <v>32.1</v>
      </c>
      <c r="F219" s="1">
        <f>IFERROR(__xludf.DUMMYFUNCTION("""COMPUTED_VALUE"""),2427324.0)</f>
        <v>2427324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IFERROR(__xludf.DUMMYFUNCTION("""COMPUTED_VALUE"""),32.01)</f>
        <v>32.01</v>
      </c>
      <c r="C220" s="1">
        <f>IFERROR(__xludf.DUMMYFUNCTION("""COMPUTED_VALUE"""),32.16)</f>
        <v>32.16</v>
      </c>
      <c r="D220" s="1">
        <f>IFERROR(__xludf.DUMMYFUNCTION("""COMPUTED_VALUE"""),31.56)</f>
        <v>31.56</v>
      </c>
      <c r="E220" s="1">
        <f>IFERROR(__xludf.DUMMYFUNCTION("""COMPUTED_VALUE"""),31.84)</f>
        <v>31.84</v>
      </c>
      <c r="F220" s="1">
        <f>IFERROR(__xludf.DUMMYFUNCTION("""COMPUTED_VALUE"""),2144034.0)</f>
        <v>2144034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IFERROR(__xludf.DUMMYFUNCTION("""COMPUTED_VALUE"""),32.1)</f>
        <v>32.1</v>
      </c>
      <c r="C221" s="1">
        <f>IFERROR(__xludf.DUMMYFUNCTION("""COMPUTED_VALUE"""),32.8)</f>
        <v>32.8</v>
      </c>
      <c r="D221" s="1">
        <f>IFERROR(__xludf.DUMMYFUNCTION("""COMPUTED_VALUE"""),32.01)</f>
        <v>32.01</v>
      </c>
      <c r="E221" s="1">
        <f>IFERROR(__xludf.DUMMYFUNCTION("""COMPUTED_VALUE"""),32.57)</f>
        <v>32.57</v>
      </c>
      <c r="F221" s="1">
        <f>IFERROR(__xludf.DUMMYFUNCTION("""COMPUTED_VALUE"""),2279085.0)</f>
        <v>2279085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IFERROR(__xludf.DUMMYFUNCTION("""COMPUTED_VALUE"""),32.43)</f>
        <v>32.43</v>
      </c>
      <c r="C222" s="1">
        <f>IFERROR(__xludf.DUMMYFUNCTION("""COMPUTED_VALUE"""),33.57)</f>
        <v>33.57</v>
      </c>
      <c r="D222" s="1">
        <f>IFERROR(__xludf.DUMMYFUNCTION("""COMPUTED_VALUE"""),32.42)</f>
        <v>32.42</v>
      </c>
      <c r="E222" s="1">
        <f>IFERROR(__xludf.DUMMYFUNCTION("""COMPUTED_VALUE"""),32.77)</f>
        <v>32.77</v>
      </c>
      <c r="F222" s="1">
        <f>IFERROR(__xludf.DUMMYFUNCTION("""COMPUTED_VALUE"""),1908822.0)</f>
        <v>1908822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IFERROR(__xludf.DUMMYFUNCTION("""COMPUTED_VALUE"""),32.83)</f>
        <v>32.83</v>
      </c>
      <c r="C223" s="1">
        <f>IFERROR(__xludf.DUMMYFUNCTION("""COMPUTED_VALUE"""),33.11)</f>
        <v>33.11</v>
      </c>
      <c r="D223" s="1">
        <f>IFERROR(__xludf.DUMMYFUNCTION("""COMPUTED_VALUE"""),32.54)</f>
        <v>32.54</v>
      </c>
      <c r="E223" s="1">
        <f>IFERROR(__xludf.DUMMYFUNCTION("""COMPUTED_VALUE"""),32.76)</f>
        <v>32.76</v>
      </c>
      <c r="F223" s="1">
        <f>IFERROR(__xludf.DUMMYFUNCTION("""COMPUTED_VALUE"""),2423739.0)</f>
        <v>2423739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IFERROR(__xludf.DUMMYFUNCTION("""COMPUTED_VALUE"""),33.0)</f>
        <v>33</v>
      </c>
      <c r="C224" s="1">
        <f>IFERROR(__xludf.DUMMYFUNCTION("""COMPUTED_VALUE"""),33.87)</f>
        <v>33.87</v>
      </c>
      <c r="D224" s="1">
        <f>IFERROR(__xludf.DUMMYFUNCTION("""COMPUTED_VALUE"""),32.93)</f>
        <v>32.93</v>
      </c>
      <c r="E224" s="1">
        <f>IFERROR(__xludf.DUMMYFUNCTION("""COMPUTED_VALUE"""),33.43)</f>
        <v>33.43</v>
      </c>
      <c r="F224" s="1">
        <f>IFERROR(__xludf.DUMMYFUNCTION("""COMPUTED_VALUE"""),1249542.0)</f>
        <v>1249542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IFERROR(__xludf.DUMMYFUNCTION("""COMPUTED_VALUE"""),33.4)</f>
        <v>33.4</v>
      </c>
      <c r="C225" s="1">
        <f>IFERROR(__xludf.DUMMYFUNCTION("""COMPUTED_VALUE"""),33.4)</f>
        <v>33.4</v>
      </c>
      <c r="D225" s="1">
        <f>IFERROR(__xludf.DUMMYFUNCTION("""COMPUTED_VALUE"""),32.94)</f>
        <v>32.94</v>
      </c>
      <c r="E225" s="1">
        <f>IFERROR(__xludf.DUMMYFUNCTION("""COMPUTED_VALUE"""),33.29)</f>
        <v>33.29</v>
      </c>
      <c r="F225" s="1">
        <f>IFERROR(__xludf.DUMMYFUNCTION("""COMPUTED_VALUE"""),930975.0)</f>
        <v>930975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IFERROR(__xludf.DUMMYFUNCTION("""COMPUTED_VALUE"""),33.09)</f>
        <v>33.09</v>
      </c>
      <c r="C226" s="1">
        <f>IFERROR(__xludf.DUMMYFUNCTION("""COMPUTED_VALUE"""),33.64)</f>
        <v>33.64</v>
      </c>
      <c r="D226" s="1">
        <f>IFERROR(__xludf.DUMMYFUNCTION("""COMPUTED_VALUE"""),32.99)</f>
        <v>32.99</v>
      </c>
      <c r="E226" s="1">
        <f>IFERROR(__xludf.DUMMYFUNCTION("""COMPUTED_VALUE"""),33.28)</f>
        <v>33.28</v>
      </c>
      <c r="F226" s="1">
        <f>IFERROR(__xludf.DUMMYFUNCTION("""COMPUTED_VALUE"""),886237.0)</f>
        <v>886237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IFERROR(__xludf.DUMMYFUNCTION("""COMPUTED_VALUE"""),32.95)</f>
        <v>32.95</v>
      </c>
      <c r="C227" s="1">
        <f>IFERROR(__xludf.DUMMYFUNCTION("""COMPUTED_VALUE"""),33.22)</f>
        <v>33.22</v>
      </c>
      <c r="D227" s="1">
        <f>IFERROR(__xludf.DUMMYFUNCTION("""COMPUTED_VALUE"""),32.69)</f>
        <v>32.69</v>
      </c>
      <c r="E227" s="1">
        <f>IFERROR(__xludf.DUMMYFUNCTION("""COMPUTED_VALUE"""),32.89)</f>
        <v>32.89</v>
      </c>
      <c r="F227" s="1">
        <f>IFERROR(__xludf.DUMMYFUNCTION("""COMPUTED_VALUE"""),782919.0)</f>
        <v>782919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IFERROR(__xludf.DUMMYFUNCTION("""COMPUTED_VALUE"""),32.99)</f>
        <v>32.99</v>
      </c>
      <c r="C228" s="1">
        <f>IFERROR(__xludf.DUMMYFUNCTION("""COMPUTED_VALUE"""),33.51)</f>
        <v>33.51</v>
      </c>
      <c r="D228" s="1">
        <f>IFERROR(__xludf.DUMMYFUNCTION("""COMPUTED_VALUE"""),32.88)</f>
        <v>32.88</v>
      </c>
      <c r="E228" s="1">
        <f>IFERROR(__xludf.DUMMYFUNCTION("""COMPUTED_VALUE"""),33.12)</f>
        <v>33.12</v>
      </c>
      <c r="F228" s="1">
        <f>IFERROR(__xludf.DUMMYFUNCTION("""COMPUTED_VALUE"""),1000390.0)</f>
        <v>1000390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IFERROR(__xludf.DUMMYFUNCTION("""COMPUTED_VALUE"""),32.83)</f>
        <v>32.83</v>
      </c>
      <c r="C229" s="1">
        <f>IFERROR(__xludf.DUMMYFUNCTION("""COMPUTED_VALUE"""),33.36)</f>
        <v>33.36</v>
      </c>
      <c r="D229" s="1">
        <f>IFERROR(__xludf.DUMMYFUNCTION("""COMPUTED_VALUE"""),32.7)</f>
        <v>32.7</v>
      </c>
      <c r="E229" s="1">
        <f>IFERROR(__xludf.DUMMYFUNCTION("""COMPUTED_VALUE"""),32.82)</f>
        <v>32.82</v>
      </c>
      <c r="F229" s="1">
        <f>IFERROR(__xludf.DUMMYFUNCTION("""COMPUTED_VALUE"""),582405.0)</f>
        <v>582405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IFERROR(__xludf.DUMMYFUNCTION("""COMPUTED_VALUE"""),32.66)</f>
        <v>32.66</v>
      </c>
      <c r="C230" s="1">
        <f>IFERROR(__xludf.DUMMYFUNCTION("""COMPUTED_VALUE"""),32.94)</f>
        <v>32.94</v>
      </c>
      <c r="D230" s="1">
        <f>IFERROR(__xludf.DUMMYFUNCTION("""COMPUTED_VALUE"""),32.28)</f>
        <v>32.28</v>
      </c>
      <c r="E230" s="1">
        <f>IFERROR(__xludf.DUMMYFUNCTION("""COMPUTED_VALUE"""),32.83)</f>
        <v>32.83</v>
      </c>
      <c r="F230" s="1">
        <f>IFERROR(__xludf.DUMMYFUNCTION("""COMPUTED_VALUE"""),1141905.0)</f>
        <v>1141905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IFERROR(__xludf.DUMMYFUNCTION("""COMPUTED_VALUE"""),32.26)</f>
        <v>32.26</v>
      </c>
      <c r="C231" s="1">
        <f>IFERROR(__xludf.DUMMYFUNCTION("""COMPUTED_VALUE"""),32.82)</f>
        <v>32.82</v>
      </c>
      <c r="D231" s="1">
        <f>IFERROR(__xludf.DUMMYFUNCTION("""COMPUTED_VALUE"""),32.01)</f>
        <v>32.01</v>
      </c>
      <c r="E231" s="1">
        <f>IFERROR(__xludf.DUMMYFUNCTION("""COMPUTED_VALUE"""),32.65)</f>
        <v>32.65</v>
      </c>
      <c r="F231" s="1">
        <f>IFERROR(__xludf.DUMMYFUNCTION("""COMPUTED_VALUE"""),2848211.0)</f>
        <v>2848211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IFERROR(__xludf.DUMMYFUNCTION("""COMPUTED_VALUE"""),32.93)</f>
        <v>32.93</v>
      </c>
      <c r="C232" s="1">
        <f>IFERROR(__xludf.DUMMYFUNCTION("""COMPUTED_VALUE"""),33.6)</f>
        <v>33.6</v>
      </c>
      <c r="D232" s="1">
        <f>IFERROR(__xludf.DUMMYFUNCTION("""COMPUTED_VALUE"""),32.9)</f>
        <v>32.9</v>
      </c>
      <c r="E232" s="1">
        <f>IFERROR(__xludf.DUMMYFUNCTION("""COMPUTED_VALUE"""),33.19)</f>
        <v>33.19</v>
      </c>
      <c r="F232" s="1">
        <f>IFERROR(__xludf.DUMMYFUNCTION("""COMPUTED_VALUE"""),1374551.0)</f>
        <v>1374551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IFERROR(__xludf.DUMMYFUNCTION("""COMPUTED_VALUE"""),33.27)</f>
        <v>33.27</v>
      </c>
      <c r="C233" s="1">
        <f>IFERROR(__xludf.DUMMYFUNCTION("""COMPUTED_VALUE"""),33.91)</f>
        <v>33.91</v>
      </c>
      <c r="D233" s="1">
        <f>IFERROR(__xludf.DUMMYFUNCTION("""COMPUTED_VALUE"""),33.02)</f>
        <v>33.02</v>
      </c>
      <c r="E233" s="1">
        <f>IFERROR(__xludf.DUMMYFUNCTION("""COMPUTED_VALUE"""),33.59)</f>
        <v>33.59</v>
      </c>
      <c r="F233" s="1">
        <f>IFERROR(__xludf.DUMMYFUNCTION("""COMPUTED_VALUE"""),1082666.0)</f>
        <v>1082666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IFERROR(__xludf.DUMMYFUNCTION("""COMPUTED_VALUE"""),33.49)</f>
        <v>33.49</v>
      </c>
      <c r="C234" s="1">
        <f>IFERROR(__xludf.DUMMYFUNCTION("""COMPUTED_VALUE"""),33.76)</f>
        <v>33.76</v>
      </c>
      <c r="D234" s="1">
        <f>IFERROR(__xludf.DUMMYFUNCTION("""COMPUTED_VALUE"""),33.22)</f>
        <v>33.22</v>
      </c>
      <c r="E234" s="1">
        <f>IFERROR(__xludf.DUMMYFUNCTION("""COMPUTED_VALUE"""),33.67)</f>
        <v>33.67</v>
      </c>
      <c r="F234" s="1">
        <f>IFERROR(__xludf.DUMMYFUNCTION("""COMPUTED_VALUE"""),909945.0)</f>
        <v>909945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IFERROR(__xludf.DUMMYFUNCTION("""COMPUTED_VALUE"""),33.52)</f>
        <v>33.52</v>
      </c>
      <c r="C235" s="1">
        <f>IFERROR(__xludf.DUMMYFUNCTION("""COMPUTED_VALUE"""),33.97)</f>
        <v>33.97</v>
      </c>
      <c r="D235" s="1">
        <f>IFERROR(__xludf.DUMMYFUNCTION("""COMPUTED_VALUE"""),33.39)</f>
        <v>33.39</v>
      </c>
      <c r="E235" s="1">
        <f>IFERROR(__xludf.DUMMYFUNCTION("""COMPUTED_VALUE"""),33.86)</f>
        <v>33.86</v>
      </c>
      <c r="F235" s="1">
        <f>IFERROR(__xludf.DUMMYFUNCTION("""COMPUTED_VALUE"""),685650.0)</f>
        <v>685650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IFERROR(__xludf.DUMMYFUNCTION("""COMPUTED_VALUE"""),34.13)</f>
        <v>34.13</v>
      </c>
      <c r="C236" s="1">
        <f>IFERROR(__xludf.DUMMYFUNCTION("""COMPUTED_VALUE"""),34.4)</f>
        <v>34.4</v>
      </c>
      <c r="D236" s="1">
        <f>IFERROR(__xludf.DUMMYFUNCTION("""COMPUTED_VALUE"""),33.98)</f>
        <v>33.98</v>
      </c>
      <c r="E236" s="1">
        <f>IFERROR(__xludf.DUMMYFUNCTION("""COMPUTED_VALUE"""),34.17)</f>
        <v>34.17</v>
      </c>
      <c r="F236" s="1">
        <f>IFERROR(__xludf.DUMMYFUNCTION("""COMPUTED_VALUE"""),898982.0)</f>
        <v>898982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IFERROR(__xludf.DUMMYFUNCTION("""COMPUTED_VALUE"""),34.14)</f>
        <v>34.14</v>
      </c>
      <c r="C237" s="1">
        <f>IFERROR(__xludf.DUMMYFUNCTION("""COMPUTED_VALUE"""),34.68)</f>
        <v>34.68</v>
      </c>
      <c r="D237" s="1">
        <f>IFERROR(__xludf.DUMMYFUNCTION("""COMPUTED_VALUE"""),33.76)</f>
        <v>33.76</v>
      </c>
      <c r="E237" s="1">
        <f>IFERROR(__xludf.DUMMYFUNCTION("""COMPUTED_VALUE"""),33.91)</f>
        <v>33.91</v>
      </c>
      <c r="F237" s="1">
        <f>IFERROR(__xludf.DUMMYFUNCTION("""COMPUTED_VALUE"""),937144.0)</f>
        <v>937144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IFERROR(__xludf.DUMMYFUNCTION("""COMPUTED_VALUE"""),34.29)</f>
        <v>34.29</v>
      </c>
      <c r="C238" s="1">
        <f>IFERROR(__xludf.DUMMYFUNCTION("""COMPUTED_VALUE"""),36.1)</f>
        <v>36.1</v>
      </c>
      <c r="D238" s="1">
        <f>IFERROR(__xludf.DUMMYFUNCTION("""COMPUTED_VALUE"""),32.5)</f>
        <v>32.5</v>
      </c>
      <c r="E238" s="1">
        <f>IFERROR(__xludf.DUMMYFUNCTION("""COMPUTED_VALUE"""),34.82)</f>
        <v>34.82</v>
      </c>
      <c r="F238" s="1">
        <f>IFERROR(__xludf.DUMMYFUNCTION("""COMPUTED_VALUE"""),4093057.0)</f>
        <v>4093057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IFERROR(__xludf.DUMMYFUNCTION("""COMPUTED_VALUE"""),35.21)</f>
        <v>35.21</v>
      </c>
      <c r="C239" s="1">
        <f>IFERROR(__xludf.DUMMYFUNCTION("""COMPUTED_VALUE"""),35.37)</f>
        <v>35.37</v>
      </c>
      <c r="D239" s="1">
        <f>IFERROR(__xludf.DUMMYFUNCTION("""COMPUTED_VALUE"""),34.8)</f>
        <v>34.8</v>
      </c>
      <c r="E239" s="1">
        <f>IFERROR(__xludf.DUMMYFUNCTION("""COMPUTED_VALUE"""),35.02)</f>
        <v>35.02</v>
      </c>
      <c r="F239" s="1">
        <f>IFERROR(__xludf.DUMMYFUNCTION("""COMPUTED_VALUE"""),1363203.0)</f>
        <v>1363203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IFERROR(__xludf.DUMMYFUNCTION("""COMPUTED_VALUE"""),35.15)</f>
        <v>35.15</v>
      </c>
      <c r="C240" s="1">
        <f>IFERROR(__xludf.DUMMYFUNCTION("""COMPUTED_VALUE"""),35.15)</f>
        <v>35.15</v>
      </c>
      <c r="D240" s="1">
        <f>IFERROR(__xludf.DUMMYFUNCTION("""COMPUTED_VALUE"""),34.24)</f>
        <v>34.24</v>
      </c>
      <c r="E240" s="1">
        <f>IFERROR(__xludf.DUMMYFUNCTION("""COMPUTED_VALUE"""),34.73)</f>
        <v>34.73</v>
      </c>
      <c r="F240" s="1">
        <f>IFERROR(__xludf.DUMMYFUNCTION("""COMPUTED_VALUE"""),1846301.0)</f>
        <v>1846301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IFERROR(__xludf.DUMMYFUNCTION("""COMPUTED_VALUE"""),33.76)</f>
        <v>33.76</v>
      </c>
      <c r="C241" s="1">
        <f>IFERROR(__xludf.DUMMYFUNCTION("""COMPUTED_VALUE"""),35.36)</f>
        <v>35.36</v>
      </c>
      <c r="D241" s="1">
        <f>IFERROR(__xludf.DUMMYFUNCTION("""COMPUTED_VALUE"""),33.74)</f>
        <v>33.74</v>
      </c>
      <c r="E241" s="1">
        <f>IFERROR(__xludf.DUMMYFUNCTION("""COMPUTED_VALUE"""),34.61)</f>
        <v>34.61</v>
      </c>
      <c r="F241" s="1">
        <f>IFERROR(__xludf.DUMMYFUNCTION("""COMPUTED_VALUE"""),2139464.0)</f>
        <v>2139464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IFERROR(__xludf.DUMMYFUNCTION("""COMPUTED_VALUE"""),34.66)</f>
        <v>34.66</v>
      </c>
      <c r="C242" s="1">
        <f>IFERROR(__xludf.DUMMYFUNCTION("""COMPUTED_VALUE"""),35.39)</f>
        <v>35.39</v>
      </c>
      <c r="D242" s="1">
        <f>IFERROR(__xludf.DUMMYFUNCTION("""COMPUTED_VALUE"""),34.42)</f>
        <v>34.42</v>
      </c>
      <c r="E242" s="1">
        <f>IFERROR(__xludf.DUMMYFUNCTION("""COMPUTED_VALUE"""),34.9)</f>
        <v>34.9</v>
      </c>
      <c r="F242" s="1">
        <f>IFERROR(__xludf.DUMMYFUNCTION("""COMPUTED_VALUE"""),870413.0)</f>
        <v>870413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IFERROR(__xludf.DUMMYFUNCTION("""COMPUTED_VALUE"""),34.96)</f>
        <v>34.96</v>
      </c>
      <c r="C243" s="1">
        <f>IFERROR(__xludf.DUMMYFUNCTION("""COMPUTED_VALUE"""),35.36)</f>
        <v>35.36</v>
      </c>
      <c r="D243" s="1">
        <f>IFERROR(__xludf.DUMMYFUNCTION("""COMPUTED_VALUE"""),34.96)</f>
        <v>34.96</v>
      </c>
      <c r="E243" s="1">
        <f>IFERROR(__xludf.DUMMYFUNCTION("""COMPUTED_VALUE"""),35.19)</f>
        <v>35.19</v>
      </c>
      <c r="F243" s="1">
        <f>IFERROR(__xludf.DUMMYFUNCTION("""COMPUTED_VALUE"""),808830.0)</f>
        <v>808830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IFERROR(__xludf.DUMMYFUNCTION("""COMPUTED_VALUE"""),35.15)</f>
        <v>35.15</v>
      </c>
      <c r="C244" s="1">
        <f>IFERROR(__xludf.DUMMYFUNCTION("""COMPUTED_VALUE"""),35.29)</f>
        <v>35.29</v>
      </c>
      <c r="D244" s="1">
        <f>IFERROR(__xludf.DUMMYFUNCTION("""COMPUTED_VALUE"""),34.78)</f>
        <v>34.78</v>
      </c>
      <c r="E244" s="1">
        <f>IFERROR(__xludf.DUMMYFUNCTION("""COMPUTED_VALUE"""),35.12)</f>
        <v>35.12</v>
      </c>
      <c r="F244" s="1">
        <f>IFERROR(__xludf.DUMMYFUNCTION("""COMPUTED_VALUE"""),1150509.0)</f>
        <v>1150509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IFERROR(__xludf.DUMMYFUNCTION("""COMPUTED_VALUE"""),35.25)</f>
        <v>35.25</v>
      </c>
      <c r="C245" s="1">
        <f>IFERROR(__xludf.DUMMYFUNCTION("""COMPUTED_VALUE"""),35.4)</f>
        <v>35.4</v>
      </c>
      <c r="D245" s="1">
        <f>IFERROR(__xludf.DUMMYFUNCTION("""COMPUTED_VALUE"""),34.95)</f>
        <v>34.95</v>
      </c>
      <c r="E245" s="1">
        <f>IFERROR(__xludf.DUMMYFUNCTION("""COMPUTED_VALUE"""),35.28)</f>
        <v>35.28</v>
      </c>
      <c r="F245" s="1">
        <f>IFERROR(__xludf.DUMMYFUNCTION("""COMPUTED_VALUE"""),807085.0)</f>
        <v>807085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IFERROR(__xludf.DUMMYFUNCTION("""COMPUTED_VALUE"""),35.43)</f>
        <v>35.43</v>
      </c>
      <c r="C246" s="1">
        <f>IFERROR(__xludf.DUMMYFUNCTION("""COMPUTED_VALUE"""),35.5)</f>
        <v>35.5</v>
      </c>
      <c r="D246" s="1">
        <f>IFERROR(__xludf.DUMMYFUNCTION("""COMPUTED_VALUE"""),34.92)</f>
        <v>34.92</v>
      </c>
      <c r="E246" s="1">
        <f>IFERROR(__xludf.DUMMYFUNCTION("""COMPUTED_VALUE"""),35.18)</f>
        <v>35.18</v>
      </c>
      <c r="F246" s="1">
        <f>IFERROR(__xludf.DUMMYFUNCTION("""COMPUTED_VALUE"""),678209.0)</f>
        <v>678209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IFERROR(__xludf.DUMMYFUNCTION("""COMPUTED_VALUE"""),35.16)</f>
        <v>35.16</v>
      </c>
      <c r="C247" s="1">
        <f>IFERROR(__xludf.DUMMYFUNCTION("""COMPUTED_VALUE"""),35.93)</f>
        <v>35.93</v>
      </c>
      <c r="D247" s="1">
        <f>IFERROR(__xludf.DUMMYFUNCTION("""COMPUTED_VALUE"""),35.08)</f>
        <v>35.08</v>
      </c>
      <c r="E247" s="1">
        <f>IFERROR(__xludf.DUMMYFUNCTION("""COMPUTED_VALUE"""),35.6)</f>
        <v>35.6</v>
      </c>
      <c r="F247" s="1">
        <f>IFERROR(__xludf.DUMMYFUNCTION("""COMPUTED_VALUE"""),897199.0)</f>
        <v>897199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IFERROR(__xludf.DUMMYFUNCTION("""COMPUTED_VALUE"""),35.75)</f>
        <v>35.75</v>
      </c>
      <c r="C248" s="1">
        <f>IFERROR(__xludf.DUMMYFUNCTION("""COMPUTED_VALUE"""),36.02)</f>
        <v>36.02</v>
      </c>
      <c r="D248" s="1">
        <f>IFERROR(__xludf.DUMMYFUNCTION("""COMPUTED_VALUE"""),35.66)</f>
        <v>35.66</v>
      </c>
      <c r="E248" s="1">
        <f>IFERROR(__xludf.DUMMYFUNCTION("""COMPUTED_VALUE"""),35.7)</f>
        <v>35.7</v>
      </c>
      <c r="F248" s="1">
        <f>IFERROR(__xludf.DUMMYFUNCTION("""COMPUTED_VALUE"""),558116.0)</f>
        <v>558116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IFERROR(__xludf.DUMMYFUNCTION("""COMPUTED_VALUE"""),35.75)</f>
        <v>35.75</v>
      </c>
      <c r="C249" s="1">
        <f>IFERROR(__xludf.DUMMYFUNCTION("""COMPUTED_VALUE"""),36.19)</f>
        <v>36.19</v>
      </c>
      <c r="D249" s="1">
        <f>IFERROR(__xludf.DUMMYFUNCTION("""COMPUTED_VALUE"""),35.6)</f>
        <v>35.6</v>
      </c>
      <c r="E249" s="1">
        <f>IFERROR(__xludf.DUMMYFUNCTION("""COMPUTED_VALUE"""),35.99)</f>
        <v>35.99</v>
      </c>
      <c r="F249" s="1">
        <f>IFERROR(__xludf.DUMMYFUNCTION("""COMPUTED_VALUE"""),709050.0)</f>
        <v>709050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IFERROR(__xludf.DUMMYFUNCTION("""COMPUTED_VALUE"""),36.0)</f>
        <v>36</v>
      </c>
      <c r="C250" s="1">
        <f>IFERROR(__xludf.DUMMYFUNCTION("""COMPUTED_VALUE"""),36.09)</f>
        <v>36.09</v>
      </c>
      <c r="D250" s="1">
        <f>IFERROR(__xludf.DUMMYFUNCTION("""COMPUTED_VALUE"""),35.43)</f>
        <v>35.43</v>
      </c>
      <c r="E250" s="1">
        <f>IFERROR(__xludf.DUMMYFUNCTION("""COMPUTED_VALUE"""),35.56)</f>
        <v>35.56</v>
      </c>
      <c r="F250" s="1">
        <f>IFERROR(__xludf.DUMMYFUNCTION("""COMPUTED_VALUE"""),718823.0)</f>
        <v>718823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IFERROR(__xludf.DUMMYFUNCTION("""COMPUTED_VALUE"""),35.57)</f>
        <v>35.57</v>
      </c>
      <c r="C251" s="1">
        <f>IFERROR(__xludf.DUMMYFUNCTION("""COMPUTED_VALUE"""),36.0)</f>
        <v>36</v>
      </c>
      <c r="D251" s="1">
        <f>IFERROR(__xludf.DUMMYFUNCTION("""COMPUTED_VALUE"""),35.47)</f>
        <v>35.47</v>
      </c>
      <c r="E251" s="1">
        <f>IFERROR(__xludf.DUMMYFUNCTION("""COMPUTED_VALUE"""),35.81)</f>
        <v>35.81</v>
      </c>
      <c r="F251" s="1">
        <f>IFERROR(__xludf.DUMMYFUNCTION("""COMPUTED_VALUE"""),806799.0)</f>
        <v>806799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IFERROR(__xludf.DUMMYFUNCTION("""COMPUTED_VALUE"""),35.8)</f>
        <v>35.8</v>
      </c>
      <c r="C252" s="1">
        <f>IFERROR(__xludf.DUMMYFUNCTION("""COMPUTED_VALUE"""),35.87)</f>
        <v>35.87</v>
      </c>
      <c r="D252" s="1">
        <f>IFERROR(__xludf.DUMMYFUNCTION("""COMPUTED_VALUE"""),35.42)</f>
        <v>35.42</v>
      </c>
      <c r="E252" s="1">
        <f>IFERROR(__xludf.DUMMYFUNCTION("""COMPUTED_VALUE"""),35.72)</f>
        <v>35.72</v>
      </c>
      <c r="F252" s="1">
        <f>IFERROR(__xludf.DUMMYFUNCTION("""COMPUTED_VALUE"""),615699.0)</f>
        <v>615699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IFERROR(__xludf.DUMMYFUNCTION("""COMPUTED_VALUE"""),35.61)</f>
        <v>35.61</v>
      </c>
      <c r="C253" s="1">
        <f>IFERROR(__xludf.DUMMYFUNCTION("""COMPUTED_VALUE"""),35.68)</f>
        <v>35.68</v>
      </c>
      <c r="D253" s="1">
        <f>IFERROR(__xludf.DUMMYFUNCTION("""COMPUTED_VALUE"""),35.25)</f>
        <v>35.25</v>
      </c>
      <c r="E253" s="1">
        <f>IFERROR(__xludf.DUMMYFUNCTION("""COMPUTED_VALUE"""),35.54)</f>
        <v>35.54</v>
      </c>
      <c r="F253" s="1">
        <f>IFERROR(__xludf.DUMMYFUNCTION("""COMPUTED_VALUE"""),735497.0)</f>
        <v>735497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IFERROR(__xludf.DUMMYFUNCTION("""COMPUTED_VALUE"""),35.63)</f>
        <v>35.63</v>
      </c>
      <c r="C254" s="1">
        <f>IFERROR(__xludf.DUMMYFUNCTION("""COMPUTED_VALUE"""),35.91)</f>
        <v>35.91</v>
      </c>
      <c r="D254" s="1">
        <f>IFERROR(__xludf.DUMMYFUNCTION("""COMPUTED_VALUE"""),35.35)</f>
        <v>35.35</v>
      </c>
      <c r="E254" s="1">
        <f>IFERROR(__xludf.DUMMYFUNCTION("""COMPUTED_VALUE"""),35.84)</f>
        <v>35.84</v>
      </c>
      <c r="F254" s="1">
        <f>IFERROR(__xludf.DUMMYFUNCTION("""COMPUTED_VALUE"""),1111798.0)</f>
        <v>1111798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IFERROR(__xludf.DUMMYFUNCTION("""COMPUTED_VALUE"""),35.84)</f>
        <v>35.84</v>
      </c>
      <c r="C255" s="1">
        <f>IFERROR(__xludf.DUMMYFUNCTION("""COMPUTED_VALUE"""),36.25)</f>
        <v>36.25</v>
      </c>
      <c r="D255" s="1">
        <f>IFERROR(__xludf.DUMMYFUNCTION("""COMPUTED_VALUE"""),35.81)</f>
        <v>35.81</v>
      </c>
      <c r="E255" s="1">
        <f>IFERROR(__xludf.DUMMYFUNCTION("""COMPUTED_VALUE"""),36.2)</f>
        <v>36.2</v>
      </c>
      <c r="F255" s="1">
        <f>IFERROR(__xludf.DUMMYFUNCTION("""COMPUTED_VALUE"""),1192324.0)</f>
        <v>1192324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IFERROR(__xludf.DUMMYFUNCTION("""COMPUTED_VALUE"""),36.04)</f>
        <v>36.04</v>
      </c>
      <c r="C256" s="1">
        <f>IFERROR(__xludf.DUMMYFUNCTION("""COMPUTED_VALUE"""),36.76)</f>
        <v>36.76</v>
      </c>
      <c r="D256" s="1">
        <f>IFERROR(__xludf.DUMMYFUNCTION("""COMPUTED_VALUE"""),35.98)</f>
        <v>35.98</v>
      </c>
      <c r="E256" s="1">
        <f>IFERROR(__xludf.DUMMYFUNCTION("""COMPUTED_VALUE"""),36.65)</f>
        <v>36.65</v>
      </c>
      <c r="F256" s="1">
        <f>IFERROR(__xludf.DUMMYFUNCTION("""COMPUTED_VALUE"""),1060196.0)</f>
        <v>1060196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IFERROR(__xludf.DUMMYFUNCTION("""COMPUTED_VALUE"""),36.19)</f>
        <v>36.19</v>
      </c>
      <c r="C257" s="1">
        <f>IFERROR(__xludf.DUMMYFUNCTION("""COMPUTED_VALUE"""),36.6)</f>
        <v>36.6</v>
      </c>
      <c r="D257" s="1">
        <f>IFERROR(__xludf.DUMMYFUNCTION("""COMPUTED_VALUE"""),35.91)</f>
        <v>35.91</v>
      </c>
      <c r="E257" s="1">
        <f>IFERROR(__xludf.DUMMYFUNCTION("""COMPUTED_VALUE"""),36.34)</f>
        <v>36.34</v>
      </c>
      <c r="F257" s="1">
        <f>IFERROR(__xludf.DUMMYFUNCTION("""COMPUTED_VALUE"""),1404904.0)</f>
        <v>1404904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IFERROR(__xludf.DUMMYFUNCTION("""COMPUTED_VALUE"""),36.42)</f>
        <v>36.42</v>
      </c>
      <c r="C258" s="1">
        <f>IFERROR(__xludf.DUMMYFUNCTION("""COMPUTED_VALUE"""),36.79)</f>
        <v>36.79</v>
      </c>
      <c r="D258" s="1">
        <f>IFERROR(__xludf.DUMMYFUNCTION("""COMPUTED_VALUE"""),36.28)</f>
        <v>36.28</v>
      </c>
      <c r="E258" s="1">
        <f>IFERROR(__xludf.DUMMYFUNCTION("""COMPUTED_VALUE"""),36.58)</f>
        <v>36.58</v>
      </c>
      <c r="F258" s="1">
        <f>IFERROR(__xludf.DUMMYFUNCTION("""COMPUTED_VALUE"""),1054840.0)</f>
        <v>1054840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IFERROR(__xludf.DUMMYFUNCTION("""COMPUTED_VALUE"""),36.38)</f>
        <v>36.38</v>
      </c>
      <c r="C259" s="1">
        <f>IFERROR(__xludf.DUMMYFUNCTION("""COMPUTED_VALUE"""),36.74)</f>
        <v>36.74</v>
      </c>
      <c r="D259" s="1">
        <f>IFERROR(__xludf.DUMMYFUNCTION("""COMPUTED_VALUE"""),36.12)</f>
        <v>36.12</v>
      </c>
      <c r="E259" s="1">
        <f>IFERROR(__xludf.DUMMYFUNCTION("""COMPUTED_VALUE"""),36.61)</f>
        <v>36.61</v>
      </c>
      <c r="F259" s="1">
        <f>IFERROR(__xludf.DUMMYFUNCTION("""COMPUTED_VALUE"""),682566.0)</f>
        <v>682566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IFERROR(__xludf.DUMMYFUNCTION("""COMPUTED_VALUE"""),36.7)</f>
        <v>36.7</v>
      </c>
      <c r="C260" s="1">
        <f>IFERROR(__xludf.DUMMYFUNCTION("""COMPUTED_VALUE"""),37.37)</f>
        <v>37.37</v>
      </c>
      <c r="D260" s="1">
        <f>IFERROR(__xludf.DUMMYFUNCTION("""COMPUTED_VALUE"""),36.59)</f>
        <v>36.59</v>
      </c>
      <c r="E260" s="1">
        <f>IFERROR(__xludf.DUMMYFUNCTION("""COMPUTED_VALUE"""),37.15)</f>
        <v>37.15</v>
      </c>
      <c r="F260" s="1">
        <f>IFERROR(__xludf.DUMMYFUNCTION("""COMPUTED_VALUE"""),976351.0)</f>
        <v>976351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IFERROR(__xludf.DUMMYFUNCTION("""COMPUTED_VALUE"""),37.34)</f>
        <v>37.34</v>
      </c>
      <c r="C261" s="1">
        <f>IFERROR(__xludf.DUMMYFUNCTION("""COMPUTED_VALUE"""),38.11)</f>
        <v>38.11</v>
      </c>
      <c r="D261" s="1">
        <f>IFERROR(__xludf.DUMMYFUNCTION("""COMPUTED_VALUE"""),37.19)</f>
        <v>37.19</v>
      </c>
      <c r="E261" s="1">
        <f>IFERROR(__xludf.DUMMYFUNCTION("""COMPUTED_VALUE"""),37.99)</f>
        <v>37.99</v>
      </c>
      <c r="F261" s="1">
        <f>IFERROR(__xludf.DUMMYFUNCTION("""COMPUTED_VALUE"""),1296328.0)</f>
        <v>1296328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IFERROR(__xludf.DUMMYFUNCTION("""COMPUTED_VALUE"""),37.95)</f>
        <v>37.95</v>
      </c>
      <c r="C262" s="1">
        <f>IFERROR(__xludf.DUMMYFUNCTION("""COMPUTED_VALUE"""),38.16)</f>
        <v>38.16</v>
      </c>
      <c r="D262" s="1">
        <f>IFERROR(__xludf.DUMMYFUNCTION("""COMPUTED_VALUE"""),37.54)</f>
        <v>37.54</v>
      </c>
      <c r="E262" s="1">
        <f>IFERROR(__xludf.DUMMYFUNCTION("""COMPUTED_VALUE"""),37.65)</f>
        <v>37.65</v>
      </c>
      <c r="F262" s="1">
        <f>IFERROR(__xludf.DUMMYFUNCTION("""COMPUTED_VALUE"""),1013086.0)</f>
        <v>1013086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IFERROR(__xludf.DUMMYFUNCTION("""COMPUTED_VALUE"""),37.67)</f>
        <v>37.67</v>
      </c>
      <c r="C263" s="1">
        <f>IFERROR(__xludf.DUMMYFUNCTION("""COMPUTED_VALUE"""),37.92)</f>
        <v>37.92</v>
      </c>
      <c r="D263" s="1">
        <f>IFERROR(__xludf.DUMMYFUNCTION("""COMPUTED_VALUE"""),37.19)</f>
        <v>37.19</v>
      </c>
      <c r="E263" s="1">
        <f>IFERROR(__xludf.DUMMYFUNCTION("""COMPUTED_VALUE"""),37.49)</f>
        <v>37.49</v>
      </c>
      <c r="F263" s="1">
        <f>IFERROR(__xludf.DUMMYFUNCTION("""COMPUTED_VALUE"""),865810.0)</f>
        <v>865810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IFERROR(__xludf.DUMMYFUNCTION("""COMPUTED_VALUE"""),37.48)</f>
        <v>37.48</v>
      </c>
      <c r="C264" s="1">
        <f>IFERROR(__xludf.DUMMYFUNCTION("""COMPUTED_VALUE"""),38.13)</f>
        <v>38.13</v>
      </c>
      <c r="D264" s="1">
        <f>IFERROR(__xludf.DUMMYFUNCTION("""COMPUTED_VALUE"""),37.44)</f>
        <v>37.44</v>
      </c>
      <c r="E264" s="1">
        <f>IFERROR(__xludf.DUMMYFUNCTION("""COMPUTED_VALUE"""),38.1)</f>
        <v>38.1</v>
      </c>
      <c r="F264" s="1">
        <f>IFERROR(__xludf.DUMMYFUNCTION("""COMPUTED_VALUE"""),839295.0)</f>
        <v>839295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IFERROR(__xludf.DUMMYFUNCTION("""COMPUTED_VALUE"""),37.99)</f>
        <v>37.99</v>
      </c>
      <c r="C265" s="1">
        <f>IFERROR(__xludf.DUMMYFUNCTION("""COMPUTED_VALUE"""),38.07)</f>
        <v>38.07</v>
      </c>
      <c r="D265" s="1">
        <f>IFERROR(__xludf.DUMMYFUNCTION("""COMPUTED_VALUE"""),36.79)</f>
        <v>36.79</v>
      </c>
      <c r="E265" s="1">
        <f>IFERROR(__xludf.DUMMYFUNCTION("""COMPUTED_VALUE"""),37.04)</f>
        <v>37.04</v>
      </c>
      <c r="F265" s="1">
        <f>IFERROR(__xludf.DUMMYFUNCTION("""COMPUTED_VALUE"""),962540.0)</f>
        <v>962540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IFERROR(__xludf.DUMMYFUNCTION("""COMPUTED_VALUE"""),37.0)</f>
        <v>37</v>
      </c>
      <c r="C266" s="1">
        <f>IFERROR(__xludf.DUMMYFUNCTION("""COMPUTED_VALUE"""),37.68)</f>
        <v>37.68</v>
      </c>
      <c r="D266" s="1">
        <f>IFERROR(__xludf.DUMMYFUNCTION("""COMPUTED_VALUE"""),36.91)</f>
        <v>36.91</v>
      </c>
      <c r="E266" s="1">
        <f>IFERROR(__xludf.DUMMYFUNCTION("""COMPUTED_VALUE"""),37.49)</f>
        <v>37.49</v>
      </c>
      <c r="F266" s="1">
        <f>IFERROR(__xludf.DUMMYFUNCTION("""COMPUTED_VALUE"""),744617.0)</f>
        <v>744617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IFERROR(__xludf.DUMMYFUNCTION("""COMPUTED_VALUE"""),37.66)</f>
        <v>37.66</v>
      </c>
      <c r="C267" s="1">
        <f>IFERROR(__xludf.DUMMYFUNCTION("""COMPUTED_VALUE"""),38.05)</f>
        <v>38.05</v>
      </c>
      <c r="D267" s="1">
        <f>IFERROR(__xludf.DUMMYFUNCTION("""COMPUTED_VALUE"""),37.15)</f>
        <v>37.15</v>
      </c>
      <c r="E267" s="1">
        <f>IFERROR(__xludf.DUMMYFUNCTION("""COMPUTED_VALUE"""),37.22)</f>
        <v>37.22</v>
      </c>
      <c r="F267" s="1">
        <f>IFERROR(__xludf.DUMMYFUNCTION("""COMPUTED_VALUE"""),759347.0)</f>
        <v>759347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IFERROR(__xludf.DUMMYFUNCTION("""COMPUTED_VALUE"""),37.27)</f>
        <v>37.27</v>
      </c>
      <c r="C268" s="1">
        <f>IFERROR(__xludf.DUMMYFUNCTION("""COMPUTED_VALUE"""),37.93)</f>
        <v>37.93</v>
      </c>
      <c r="D268" s="1">
        <f>IFERROR(__xludf.DUMMYFUNCTION("""COMPUTED_VALUE"""),37.11)</f>
        <v>37.11</v>
      </c>
      <c r="E268" s="1">
        <f>IFERROR(__xludf.DUMMYFUNCTION("""COMPUTED_VALUE"""),37.68)</f>
        <v>37.68</v>
      </c>
      <c r="F268" s="1">
        <f>IFERROR(__xludf.DUMMYFUNCTION("""COMPUTED_VALUE"""),1098592.0)</f>
        <v>1098592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IFERROR(__xludf.DUMMYFUNCTION("""COMPUTED_VALUE"""),37.47)</f>
        <v>37.47</v>
      </c>
      <c r="C269" s="1">
        <f>IFERROR(__xludf.DUMMYFUNCTION("""COMPUTED_VALUE"""),38.03)</f>
        <v>38.03</v>
      </c>
      <c r="D269" s="1">
        <f>IFERROR(__xludf.DUMMYFUNCTION("""COMPUTED_VALUE"""),37.36)</f>
        <v>37.36</v>
      </c>
      <c r="E269" s="1">
        <f>IFERROR(__xludf.DUMMYFUNCTION("""COMPUTED_VALUE"""),37.72)</f>
        <v>37.72</v>
      </c>
      <c r="F269" s="1">
        <f>IFERROR(__xludf.DUMMYFUNCTION("""COMPUTED_VALUE"""),941015.0)</f>
        <v>941015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IFERROR(__xludf.DUMMYFUNCTION("""COMPUTED_VALUE"""),37.78)</f>
        <v>37.78</v>
      </c>
      <c r="C270" s="1">
        <f>IFERROR(__xludf.DUMMYFUNCTION("""COMPUTED_VALUE"""),37.84)</f>
        <v>37.84</v>
      </c>
      <c r="D270" s="1">
        <f>IFERROR(__xludf.DUMMYFUNCTION("""COMPUTED_VALUE"""),37.41)</f>
        <v>37.41</v>
      </c>
      <c r="E270" s="1">
        <f>IFERROR(__xludf.DUMMYFUNCTION("""COMPUTED_VALUE"""),37.55)</f>
        <v>37.55</v>
      </c>
      <c r="F270" s="1">
        <f>IFERROR(__xludf.DUMMYFUNCTION("""COMPUTED_VALUE"""),832946.0)</f>
        <v>832946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IFERROR(__xludf.DUMMYFUNCTION("""COMPUTED_VALUE"""),37.54)</f>
        <v>37.54</v>
      </c>
      <c r="C271" s="1">
        <f>IFERROR(__xludf.DUMMYFUNCTION("""COMPUTED_VALUE"""),38.95)</f>
        <v>38.95</v>
      </c>
      <c r="D271" s="1">
        <f>IFERROR(__xludf.DUMMYFUNCTION("""COMPUTED_VALUE"""),37.46)</f>
        <v>37.46</v>
      </c>
      <c r="E271" s="1">
        <f>IFERROR(__xludf.DUMMYFUNCTION("""COMPUTED_VALUE"""),38.5)</f>
        <v>38.5</v>
      </c>
      <c r="F271" s="1">
        <f>IFERROR(__xludf.DUMMYFUNCTION("""COMPUTED_VALUE"""),1154233.0)</f>
        <v>1154233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IFERROR(__xludf.DUMMYFUNCTION("""COMPUTED_VALUE"""),38.58)</f>
        <v>38.58</v>
      </c>
      <c r="C272" s="1">
        <f>IFERROR(__xludf.DUMMYFUNCTION("""COMPUTED_VALUE"""),38.67)</f>
        <v>38.67</v>
      </c>
      <c r="D272" s="1">
        <f>IFERROR(__xludf.DUMMYFUNCTION("""COMPUTED_VALUE"""),38.16)</f>
        <v>38.16</v>
      </c>
      <c r="E272" s="1">
        <f>IFERROR(__xludf.DUMMYFUNCTION("""COMPUTED_VALUE"""),38.31)</f>
        <v>38.31</v>
      </c>
      <c r="F272" s="1">
        <f>IFERROR(__xludf.DUMMYFUNCTION("""COMPUTED_VALUE"""),676026.0)</f>
        <v>676026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IFERROR(__xludf.DUMMYFUNCTION("""COMPUTED_VALUE"""),38.35)</f>
        <v>38.35</v>
      </c>
      <c r="C273" s="1">
        <f>IFERROR(__xludf.DUMMYFUNCTION("""COMPUTED_VALUE"""),38.6)</f>
        <v>38.6</v>
      </c>
      <c r="D273" s="1">
        <f>IFERROR(__xludf.DUMMYFUNCTION("""COMPUTED_VALUE"""),38.09)</f>
        <v>38.09</v>
      </c>
      <c r="E273" s="1">
        <f>IFERROR(__xludf.DUMMYFUNCTION("""COMPUTED_VALUE"""),38.35)</f>
        <v>38.35</v>
      </c>
      <c r="F273" s="1">
        <f>IFERROR(__xludf.DUMMYFUNCTION("""COMPUTED_VALUE"""),721320.0)</f>
        <v>721320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IFERROR(__xludf.DUMMYFUNCTION("""COMPUTED_VALUE"""),38.52)</f>
        <v>38.52</v>
      </c>
      <c r="C274" s="1">
        <f>IFERROR(__xludf.DUMMYFUNCTION("""COMPUTED_VALUE"""),38.7)</f>
        <v>38.7</v>
      </c>
      <c r="D274" s="1">
        <f>IFERROR(__xludf.DUMMYFUNCTION("""COMPUTED_VALUE"""),37.8)</f>
        <v>37.8</v>
      </c>
      <c r="E274" s="1">
        <f>IFERROR(__xludf.DUMMYFUNCTION("""COMPUTED_VALUE"""),37.81)</f>
        <v>37.81</v>
      </c>
      <c r="F274" s="1">
        <f>IFERROR(__xludf.DUMMYFUNCTION("""COMPUTED_VALUE"""),1119921.0)</f>
        <v>1119921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IFERROR(__xludf.DUMMYFUNCTION("""COMPUTED_VALUE"""),37.87)</f>
        <v>37.87</v>
      </c>
      <c r="C275" s="1">
        <f>IFERROR(__xludf.DUMMYFUNCTION("""COMPUTED_VALUE"""),37.87)</f>
        <v>37.87</v>
      </c>
      <c r="D275" s="1">
        <f>IFERROR(__xludf.DUMMYFUNCTION("""COMPUTED_VALUE"""),36.89)</f>
        <v>36.89</v>
      </c>
      <c r="E275" s="1">
        <f>IFERROR(__xludf.DUMMYFUNCTION("""COMPUTED_VALUE"""),36.95)</f>
        <v>36.95</v>
      </c>
      <c r="F275" s="1">
        <f>IFERROR(__xludf.DUMMYFUNCTION("""COMPUTED_VALUE"""),1108551.0)</f>
        <v>1108551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IFERROR(__xludf.DUMMYFUNCTION("""COMPUTED_VALUE"""),36.98)</f>
        <v>36.98</v>
      </c>
      <c r="C276" s="1">
        <f>IFERROR(__xludf.DUMMYFUNCTION("""COMPUTED_VALUE"""),37.03)</f>
        <v>37.03</v>
      </c>
      <c r="D276" s="1">
        <f>IFERROR(__xludf.DUMMYFUNCTION("""COMPUTED_VALUE"""),36.65)</f>
        <v>36.65</v>
      </c>
      <c r="E276" s="1">
        <f>IFERROR(__xludf.DUMMYFUNCTION("""COMPUTED_VALUE"""),36.88)</f>
        <v>36.88</v>
      </c>
      <c r="F276" s="1">
        <f>IFERROR(__xludf.DUMMYFUNCTION("""COMPUTED_VALUE"""),1024807.0)</f>
        <v>1024807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IFERROR(__xludf.DUMMYFUNCTION("""COMPUTED_VALUE"""),36.86)</f>
        <v>36.86</v>
      </c>
      <c r="C277" s="1">
        <f>IFERROR(__xludf.DUMMYFUNCTION("""COMPUTED_VALUE"""),37.15)</f>
        <v>37.15</v>
      </c>
      <c r="D277" s="1">
        <f>IFERROR(__xludf.DUMMYFUNCTION("""COMPUTED_VALUE"""),36.59)</f>
        <v>36.59</v>
      </c>
      <c r="E277" s="1">
        <f>IFERROR(__xludf.DUMMYFUNCTION("""COMPUTED_VALUE"""),36.99)</f>
        <v>36.99</v>
      </c>
      <c r="F277" s="1">
        <f>IFERROR(__xludf.DUMMYFUNCTION("""COMPUTED_VALUE"""),812772.0)</f>
        <v>812772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IFERROR(__xludf.DUMMYFUNCTION("""COMPUTED_VALUE"""),37.05)</f>
        <v>37.05</v>
      </c>
      <c r="C278" s="1">
        <f>IFERROR(__xludf.DUMMYFUNCTION("""COMPUTED_VALUE"""),37.32)</f>
        <v>37.32</v>
      </c>
      <c r="D278" s="1">
        <f>IFERROR(__xludf.DUMMYFUNCTION("""COMPUTED_VALUE"""),36.69)</f>
        <v>36.69</v>
      </c>
      <c r="E278" s="1">
        <f>IFERROR(__xludf.DUMMYFUNCTION("""COMPUTED_VALUE"""),36.69)</f>
        <v>36.69</v>
      </c>
      <c r="F278" s="1">
        <f>IFERROR(__xludf.DUMMYFUNCTION("""COMPUTED_VALUE"""),1116463.0)</f>
        <v>1116463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IFERROR(__xludf.DUMMYFUNCTION("""COMPUTED_VALUE"""),36.79)</f>
        <v>36.79</v>
      </c>
      <c r="C279" s="1">
        <f>IFERROR(__xludf.DUMMYFUNCTION("""COMPUTED_VALUE"""),37.0)</f>
        <v>37</v>
      </c>
      <c r="D279" s="1">
        <f>IFERROR(__xludf.DUMMYFUNCTION("""COMPUTED_VALUE"""),36.68)</f>
        <v>36.68</v>
      </c>
      <c r="E279" s="1">
        <f>IFERROR(__xludf.DUMMYFUNCTION("""COMPUTED_VALUE"""),36.75)</f>
        <v>36.75</v>
      </c>
      <c r="F279" s="1">
        <f>IFERROR(__xludf.DUMMYFUNCTION("""COMPUTED_VALUE"""),1423346.0)</f>
        <v>1423346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IFERROR(__xludf.DUMMYFUNCTION("""COMPUTED_VALUE"""),38.22)</f>
        <v>38.22</v>
      </c>
      <c r="C280" s="1">
        <f>IFERROR(__xludf.DUMMYFUNCTION("""COMPUTED_VALUE"""),39.18)</f>
        <v>39.18</v>
      </c>
      <c r="D280" s="1">
        <f>IFERROR(__xludf.DUMMYFUNCTION("""COMPUTED_VALUE"""),37.67)</f>
        <v>37.67</v>
      </c>
      <c r="E280" s="1">
        <f>IFERROR(__xludf.DUMMYFUNCTION("""COMPUTED_VALUE"""),37.78)</f>
        <v>37.78</v>
      </c>
      <c r="F280" s="1">
        <f>IFERROR(__xludf.DUMMYFUNCTION("""COMPUTED_VALUE"""),2505303.0)</f>
        <v>2505303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IFERROR(__xludf.DUMMYFUNCTION("""COMPUTED_VALUE"""),37.75)</f>
        <v>37.75</v>
      </c>
      <c r="C281" s="1">
        <f>IFERROR(__xludf.DUMMYFUNCTION("""COMPUTED_VALUE"""),37.92)</f>
        <v>37.92</v>
      </c>
      <c r="D281" s="1">
        <f>IFERROR(__xludf.DUMMYFUNCTION("""COMPUTED_VALUE"""),37.08)</f>
        <v>37.08</v>
      </c>
      <c r="E281" s="1">
        <f>IFERROR(__xludf.DUMMYFUNCTION("""COMPUTED_VALUE"""),37.13)</f>
        <v>37.13</v>
      </c>
      <c r="F281" s="1">
        <f>IFERROR(__xludf.DUMMYFUNCTION("""COMPUTED_VALUE"""),1473512.0)</f>
        <v>1473512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IFERROR(__xludf.DUMMYFUNCTION("""COMPUTED_VALUE"""),37.04)</f>
        <v>37.04</v>
      </c>
      <c r="C282" s="1">
        <f>IFERROR(__xludf.DUMMYFUNCTION("""COMPUTED_VALUE"""),37.42)</f>
        <v>37.42</v>
      </c>
      <c r="D282" s="1">
        <f>IFERROR(__xludf.DUMMYFUNCTION("""COMPUTED_VALUE"""),37.0)</f>
        <v>37</v>
      </c>
      <c r="E282" s="1">
        <f>IFERROR(__xludf.DUMMYFUNCTION("""COMPUTED_VALUE"""),37.32)</f>
        <v>37.32</v>
      </c>
      <c r="F282" s="1">
        <f>IFERROR(__xludf.DUMMYFUNCTION("""COMPUTED_VALUE"""),1175545.0)</f>
        <v>1175545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IFERROR(__xludf.DUMMYFUNCTION("""COMPUTED_VALUE"""),37.24)</f>
        <v>37.24</v>
      </c>
      <c r="C283" s="1">
        <f>IFERROR(__xludf.DUMMYFUNCTION("""COMPUTED_VALUE"""),37.41)</f>
        <v>37.41</v>
      </c>
      <c r="D283" s="1">
        <f>IFERROR(__xludf.DUMMYFUNCTION("""COMPUTED_VALUE"""),37.02)</f>
        <v>37.02</v>
      </c>
      <c r="E283" s="1">
        <f>IFERROR(__xludf.DUMMYFUNCTION("""COMPUTED_VALUE"""),37.32)</f>
        <v>37.32</v>
      </c>
      <c r="F283" s="1">
        <f>IFERROR(__xludf.DUMMYFUNCTION("""COMPUTED_VALUE"""),519617.0)</f>
        <v>519617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IFERROR(__xludf.DUMMYFUNCTION("""COMPUTED_VALUE"""),37.17)</f>
        <v>37.17</v>
      </c>
      <c r="C284" s="1">
        <f>IFERROR(__xludf.DUMMYFUNCTION("""COMPUTED_VALUE"""),37.62)</f>
        <v>37.62</v>
      </c>
      <c r="D284" s="1">
        <f>IFERROR(__xludf.DUMMYFUNCTION("""COMPUTED_VALUE"""),37.16)</f>
        <v>37.16</v>
      </c>
      <c r="E284" s="1">
        <f>IFERROR(__xludf.DUMMYFUNCTION("""COMPUTED_VALUE"""),37.41)</f>
        <v>37.41</v>
      </c>
      <c r="F284" s="1">
        <f>IFERROR(__xludf.DUMMYFUNCTION("""COMPUTED_VALUE"""),431773.0)</f>
        <v>431773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IFERROR(__xludf.DUMMYFUNCTION("""COMPUTED_VALUE"""),37.48)</f>
        <v>37.48</v>
      </c>
      <c r="C285" s="1">
        <f>IFERROR(__xludf.DUMMYFUNCTION("""COMPUTED_VALUE"""),37.93)</f>
        <v>37.93</v>
      </c>
      <c r="D285" s="1">
        <f>IFERROR(__xludf.DUMMYFUNCTION("""COMPUTED_VALUE"""),37.31)</f>
        <v>37.31</v>
      </c>
      <c r="E285" s="1">
        <f>IFERROR(__xludf.DUMMYFUNCTION("""COMPUTED_VALUE"""),37.78)</f>
        <v>37.78</v>
      </c>
      <c r="F285" s="1">
        <f>IFERROR(__xludf.DUMMYFUNCTION("""COMPUTED_VALUE"""),649235.0)</f>
        <v>649235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IFERROR(__xludf.DUMMYFUNCTION("""COMPUTED_VALUE"""),37.81)</f>
        <v>37.81</v>
      </c>
      <c r="C286" s="1">
        <f>IFERROR(__xludf.DUMMYFUNCTION("""COMPUTED_VALUE"""),38.27)</f>
        <v>38.27</v>
      </c>
      <c r="D286" s="1">
        <f>IFERROR(__xludf.DUMMYFUNCTION("""COMPUTED_VALUE"""),37.67)</f>
        <v>37.67</v>
      </c>
      <c r="E286" s="1">
        <f>IFERROR(__xludf.DUMMYFUNCTION("""COMPUTED_VALUE"""),37.71)</f>
        <v>37.71</v>
      </c>
      <c r="F286" s="1">
        <f>IFERROR(__xludf.DUMMYFUNCTION("""COMPUTED_VALUE"""),786147.0)</f>
        <v>786147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IFERROR(__xludf.DUMMYFUNCTION("""COMPUTED_VALUE"""),37.74)</f>
        <v>37.74</v>
      </c>
      <c r="C287" s="1">
        <f>IFERROR(__xludf.DUMMYFUNCTION("""COMPUTED_VALUE"""),38.0)</f>
        <v>38</v>
      </c>
      <c r="D287" s="1">
        <f>IFERROR(__xludf.DUMMYFUNCTION("""COMPUTED_VALUE"""),37.45)</f>
        <v>37.45</v>
      </c>
      <c r="E287" s="1">
        <f>IFERROR(__xludf.DUMMYFUNCTION("""COMPUTED_VALUE"""),37.82)</f>
        <v>37.82</v>
      </c>
      <c r="F287" s="1">
        <f>IFERROR(__xludf.DUMMYFUNCTION("""COMPUTED_VALUE"""),705237.0)</f>
        <v>705237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IFERROR(__xludf.DUMMYFUNCTION("""COMPUTED_VALUE"""),37.49)</f>
        <v>37.49</v>
      </c>
      <c r="C288" s="1">
        <f>IFERROR(__xludf.DUMMYFUNCTION("""COMPUTED_VALUE"""),37.68)</f>
        <v>37.68</v>
      </c>
      <c r="D288" s="1">
        <f>IFERROR(__xludf.DUMMYFUNCTION("""COMPUTED_VALUE"""),36.28)</f>
        <v>36.28</v>
      </c>
      <c r="E288" s="1">
        <f>IFERROR(__xludf.DUMMYFUNCTION("""COMPUTED_VALUE"""),36.33)</f>
        <v>36.33</v>
      </c>
      <c r="F288" s="1">
        <f>IFERROR(__xludf.DUMMYFUNCTION("""COMPUTED_VALUE"""),992743.0)</f>
        <v>992743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IFERROR(__xludf.DUMMYFUNCTION("""COMPUTED_VALUE"""),36.4)</f>
        <v>36.4</v>
      </c>
      <c r="C289" s="1">
        <f>IFERROR(__xludf.DUMMYFUNCTION("""COMPUTED_VALUE"""),36.69)</f>
        <v>36.69</v>
      </c>
      <c r="D289" s="1">
        <f>IFERROR(__xludf.DUMMYFUNCTION("""COMPUTED_VALUE"""),35.79)</f>
        <v>35.79</v>
      </c>
      <c r="E289" s="1">
        <f>IFERROR(__xludf.DUMMYFUNCTION("""COMPUTED_VALUE"""),35.91)</f>
        <v>35.91</v>
      </c>
      <c r="F289" s="1">
        <f>IFERROR(__xludf.DUMMYFUNCTION("""COMPUTED_VALUE"""),804352.0)</f>
        <v>804352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IFERROR(__xludf.DUMMYFUNCTION("""COMPUTED_VALUE"""),36.03)</f>
        <v>36.03</v>
      </c>
      <c r="C290" s="1">
        <f>IFERROR(__xludf.DUMMYFUNCTION("""COMPUTED_VALUE"""),36.57)</f>
        <v>36.57</v>
      </c>
      <c r="D290" s="1">
        <f>IFERROR(__xludf.DUMMYFUNCTION("""COMPUTED_VALUE"""),35.72)</f>
        <v>35.72</v>
      </c>
      <c r="E290" s="1">
        <f>IFERROR(__xludf.DUMMYFUNCTION("""COMPUTED_VALUE"""),36.0)</f>
        <v>36</v>
      </c>
      <c r="F290" s="1">
        <f>IFERROR(__xludf.DUMMYFUNCTION("""COMPUTED_VALUE"""),792982.0)</f>
        <v>792982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IFERROR(__xludf.DUMMYFUNCTION("""COMPUTED_VALUE"""),36.14)</f>
        <v>36.14</v>
      </c>
      <c r="C291" s="1">
        <f>IFERROR(__xludf.DUMMYFUNCTION("""COMPUTED_VALUE"""),37.07)</f>
        <v>37.07</v>
      </c>
      <c r="D291" s="1">
        <f>IFERROR(__xludf.DUMMYFUNCTION("""COMPUTED_VALUE"""),36.01)</f>
        <v>36.01</v>
      </c>
      <c r="E291" s="1">
        <f>IFERROR(__xludf.DUMMYFUNCTION("""COMPUTED_VALUE"""),37.03)</f>
        <v>37.03</v>
      </c>
      <c r="F291" s="1">
        <f>IFERROR(__xludf.DUMMYFUNCTION("""COMPUTED_VALUE"""),683309.0)</f>
        <v>683309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IFERROR(__xludf.DUMMYFUNCTION("""COMPUTED_VALUE"""),37.05)</f>
        <v>37.05</v>
      </c>
      <c r="C292" s="1">
        <f>IFERROR(__xludf.DUMMYFUNCTION("""COMPUTED_VALUE"""),37.22)</f>
        <v>37.22</v>
      </c>
      <c r="D292" s="1">
        <f>IFERROR(__xludf.DUMMYFUNCTION("""COMPUTED_VALUE"""),36.36)</f>
        <v>36.36</v>
      </c>
      <c r="E292" s="1">
        <f>IFERROR(__xludf.DUMMYFUNCTION("""COMPUTED_VALUE"""),36.44)</f>
        <v>36.44</v>
      </c>
      <c r="F292" s="1">
        <f>IFERROR(__xludf.DUMMYFUNCTION("""COMPUTED_VALUE"""),1358516.0)</f>
        <v>1358516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IFERROR(__xludf.DUMMYFUNCTION("""COMPUTED_VALUE"""),36.56)</f>
        <v>36.56</v>
      </c>
      <c r="C293" s="1">
        <f>IFERROR(__xludf.DUMMYFUNCTION("""COMPUTED_VALUE"""),36.82)</f>
        <v>36.82</v>
      </c>
      <c r="D293" s="1">
        <f>IFERROR(__xludf.DUMMYFUNCTION("""COMPUTED_VALUE"""),36.12)</f>
        <v>36.12</v>
      </c>
      <c r="E293" s="1">
        <f>IFERROR(__xludf.DUMMYFUNCTION("""COMPUTED_VALUE"""),36.25)</f>
        <v>36.25</v>
      </c>
      <c r="F293" s="1">
        <f>IFERROR(__xludf.DUMMYFUNCTION("""COMPUTED_VALUE"""),607168.0)</f>
        <v>607168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IFERROR(__xludf.DUMMYFUNCTION("""COMPUTED_VALUE"""),36.21)</f>
        <v>36.21</v>
      </c>
      <c r="C294" s="1">
        <f>IFERROR(__xludf.DUMMYFUNCTION("""COMPUTED_VALUE"""),37.09)</f>
        <v>37.09</v>
      </c>
      <c r="D294" s="1">
        <f>IFERROR(__xludf.DUMMYFUNCTION("""COMPUTED_VALUE"""),36.21)</f>
        <v>36.21</v>
      </c>
      <c r="E294" s="1">
        <f>IFERROR(__xludf.DUMMYFUNCTION("""COMPUTED_VALUE"""),36.93)</f>
        <v>36.93</v>
      </c>
      <c r="F294" s="1">
        <f>IFERROR(__xludf.DUMMYFUNCTION("""COMPUTED_VALUE"""),693025.0)</f>
        <v>693025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IFERROR(__xludf.DUMMYFUNCTION("""COMPUTED_VALUE"""),37.23)</f>
        <v>37.23</v>
      </c>
      <c r="C295" s="1">
        <f>IFERROR(__xludf.DUMMYFUNCTION("""COMPUTED_VALUE"""),38.81)</f>
        <v>38.81</v>
      </c>
      <c r="D295" s="1">
        <f>IFERROR(__xludf.DUMMYFUNCTION("""COMPUTED_VALUE"""),37.23)</f>
        <v>37.23</v>
      </c>
      <c r="E295" s="1">
        <f>IFERROR(__xludf.DUMMYFUNCTION("""COMPUTED_VALUE"""),38.19)</f>
        <v>38.19</v>
      </c>
      <c r="F295" s="1">
        <f>IFERROR(__xludf.DUMMYFUNCTION("""COMPUTED_VALUE"""),1196282.0)</f>
        <v>1196282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IFERROR(__xludf.DUMMYFUNCTION("""COMPUTED_VALUE"""),38.32)</f>
        <v>38.32</v>
      </c>
      <c r="C296" s="1">
        <f>IFERROR(__xludf.DUMMYFUNCTION("""COMPUTED_VALUE"""),39.26)</f>
        <v>39.26</v>
      </c>
      <c r="D296" s="1">
        <f>IFERROR(__xludf.DUMMYFUNCTION("""COMPUTED_VALUE"""),38.06)</f>
        <v>38.06</v>
      </c>
      <c r="E296" s="1">
        <f>IFERROR(__xludf.DUMMYFUNCTION("""COMPUTED_VALUE"""),38.63)</f>
        <v>38.63</v>
      </c>
      <c r="F296" s="1">
        <f>IFERROR(__xludf.DUMMYFUNCTION("""COMPUTED_VALUE"""),1269294.0)</f>
        <v>1269294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IFERROR(__xludf.DUMMYFUNCTION("""COMPUTED_VALUE"""),38.6)</f>
        <v>38.6</v>
      </c>
      <c r="C297" s="1">
        <f>IFERROR(__xludf.DUMMYFUNCTION("""COMPUTED_VALUE"""),38.72)</f>
        <v>38.72</v>
      </c>
      <c r="D297" s="1">
        <f>IFERROR(__xludf.DUMMYFUNCTION("""COMPUTED_VALUE"""),37.5)</f>
        <v>37.5</v>
      </c>
      <c r="E297" s="1">
        <f>IFERROR(__xludf.DUMMYFUNCTION("""COMPUTED_VALUE"""),37.6)</f>
        <v>37.6</v>
      </c>
      <c r="F297" s="1">
        <f>IFERROR(__xludf.DUMMYFUNCTION("""COMPUTED_VALUE"""),780519.0)</f>
        <v>780519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IFERROR(__xludf.DUMMYFUNCTION("""COMPUTED_VALUE"""),37.75)</f>
        <v>37.75</v>
      </c>
      <c r="C298" s="1">
        <f>IFERROR(__xludf.DUMMYFUNCTION("""COMPUTED_VALUE"""),38.61)</f>
        <v>38.61</v>
      </c>
      <c r="D298" s="1">
        <f>IFERROR(__xludf.DUMMYFUNCTION("""COMPUTED_VALUE"""),37.32)</f>
        <v>37.32</v>
      </c>
      <c r="E298" s="1">
        <f>IFERROR(__xludf.DUMMYFUNCTION("""COMPUTED_VALUE"""),38.37)</f>
        <v>38.37</v>
      </c>
      <c r="F298" s="1">
        <f>IFERROR(__xludf.DUMMYFUNCTION("""COMPUTED_VALUE"""),811222.0)</f>
        <v>811222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IFERROR(__xludf.DUMMYFUNCTION("""COMPUTED_VALUE"""),38.59)</f>
        <v>38.59</v>
      </c>
      <c r="C299" s="1">
        <f>IFERROR(__xludf.DUMMYFUNCTION("""COMPUTED_VALUE"""),39.0)</f>
        <v>39</v>
      </c>
      <c r="D299" s="1">
        <f>IFERROR(__xludf.DUMMYFUNCTION("""COMPUTED_VALUE"""),38.25)</f>
        <v>38.25</v>
      </c>
      <c r="E299" s="1">
        <f>IFERROR(__xludf.DUMMYFUNCTION("""COMPUTED_VALUE"""),38.92)</f>
        <v>38.92</v>
      </c>
      <c r="F299" s="1">
        <f>IFERROR(__xludf.DUMMYFUNCTION("""COMPUTED_VALUE"""),550567.0)</f>
        <v>550567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IFERROR(__xludf.DUMMYFUNCTION("""COMPUTED_VALUE"""),38.53)</f>
        <v>38.53</v>
      </c>
      <c r="C300" s="1">
        <f>IFERROR(__xludf.DUMMYFUNCTION("""COMPUTED_VALUE"""),38.7)</f>
        <v>38.7</v>
      </c>
      <c r="D300" s="1">
        <f>IFERROR(__xludf.DUMMYFUNCTION("""COMPUTED_VALUE"""),37.83)</f>
        <v>37.83</v>
      </c>
      <c r="E300" s="1">
        <f>IFERROR(__xludf.DUMMYFUNCTION("""COMPUTED_VALUE"""),38.18)</f>
        <v>38.18</v>
      </c>
      <c r="F300" s="1">
        <f>IFERROR(__xludf.DUMMYFUNCTION("""COMPUTED_VALUE"""),461775.0)</f>
        <v>461775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IFERROR(__xludf.DUMMYFUNCTION("""COMPUTED_VALUE"""),38.04)</f>
        <v>38.04</v>
      </c>
      <c r="C301" s="1">
        <f>IFERROR(__xludf.DUMMYFUNCTION("""COMPUTED_VALUE"""),38.56)</f>
        <v>38.56</v>
      </c>
      <c r="D301" s="1">
        <f>IFERROR(__xludf.DUMMYFUNCTION("""COMPUTED_VALUE"""),37.87)</f>
        <v>37.87</v>
      </c>
      <c r="E301" s="1">
        <f>IFERROR(__xludf.DUMMYFUNCTION("""COMPUTED_VALUE"""),38.42)</f>
        <v>38.42</v>
      </c>
      <c r="F301" s="1">
        <f>IFERROR(__xludf.DUMMYFUNCTION("""COMPUTED_VALUE"""),472718.0)</f>
        <v>472718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IFERROR(__xludf.DUMMYFUNCTION("""COMPUTED_VALUE"""),38.25)</f>
        <v>38.25</v>
      </c>
      <c r="C302" s="1">
        <f>IFERROR(__xludf.DUMMYFUNCTION("""COMPUTED_VALUE"""),38.65)</f>
        <v>38.65</v>
      </c>
      <c r="D302" s="1">
        <f>IFERROR(__xludf.DUMMYFUNCTION("""COMPUTED_VALUE"""),37.95)</f>
        <v>37.95</v>
      </c>
      <c r="E302" s="1">
        <f>IFERROR(__xludf.DUMMYFUNCTION("""COMPUTED_VALUE"""),38.11)</f>
        <v>38.11</v>
      </c>
      <c r="F302" s="1">
        <f>IFERROR(__xludf.DUMMYFUNCTION("""COMPUTED_VALUE"""),428329.0)</f>
        <v>428329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IFERROR(__xludf.DUMMYFUNCTION("""COMPUTED_VALUE"""),37.36)</f>
        <v>37.36</v>
      </c>
      <c r="C303" s="1">
        <f>IFERROR(__xludf.DUMMYFUNCTION("""COMPUTED_VALUE"""),37.91)</f>
        <v>37.91</v>
      </c>
      <c r="D303" s="1">
        <f>IFERROR(__xludf.DUMMYFUNCTION("""COMPUTED_VALUE"""),37.01)</f>
        <v>37.01</v>
      </c>
      <c r="E303" s="1">
        <f>IFERROR(__xludf.DUMMYFUNCTION("""COMPUTED_VALUE"""),37.63)</f>
        <v>37.63</v>
      </c>
      <c r="F303" s="1">
        <f>IFERROR(__xludf.DUMMYFUNCTION("""COMPUTED_VALUE"""),339549.0)</f>
        <v>339549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IFERROR(__xludf.DUMMYFUNCTION("""COMPUTED_VALUE"""),37.49)</f>
        <v>37.49</v>
      </c>
      <c r="C304" s="1">
        <f>IFERROR(__xludf.DUMMYFUNCTION("""COMPUTED_VALUE"""),38.15)</f>
        <v>38.15</v>
      </c>
      <c r="D304" s="1">
        <f>IFERROR(__xludf.DUMMYFUNCTION("""COMPUTED_VALUE"""),37.49)</f>
        <v>37.49</v>
      </c>
      <c r="E304" s="1">
        <f>IFERROR(__xludf.DUMMYFUNCTION("""COMPUTED_VALUE"""),37.73)</f>
        <v>37.73</v>
      </c>
      <c r="F304" s="1">
        <f>IFERROR(__xludf.DUMMYFUNCTION("""COMPUTED_VALUE"""),669740.0)</f>
        <v>669740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IFERROR(__xludf.DUMMYFUNCTION("""COMPUTED_VALUE"""),38.19)</f>
        <v>38.19</v>
      </c>
      <c r="C305" s="1">
        <f>IFERROR(__xludf.DUMMYFUNCTION("""COMPUTED_VALUE"""),38.63)</f>
        <v>38.63</v>
      </c>
      <c r="D305" s="1">
        <f>IFERROR(__xludf.DUMMYFUNCTION("""COMPUTED_VALUE"""),37.93)</f>
        <v>37.93</v>
      </c>
      <c r="E305" s="1">
        <f>IFERROR(__xludf.DUMMYFUNCTION("""COMPUTED_VALUE"""),38.36)</f>
        <v>38.36</v>
      </c>
      <c r="F305" s="1">
        <f>IFERROR(__xludf.DUMMYFUNCTION("""COMPUTED_VALUE"""),752456.0)</f>
        <v>752456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IFERROR(__xludf.DUMMYFUNCTION("""COMPUTED_VALUE"""),38.69)</f>
        <v>38.69</v>
      </c>
      <c r="C306" s="1">
        <f>IFERROR(__xludf.DUMMYFUNCTION("""COMPUTED_VALUE"""),39.42)</f>
        <v>39.42</v>
      </c>
      <c r="D306" s="1">
        <f>IFERROR(__xludf.DUMMYFUNCTION("""COMPUTED_VALUE"""),38.46)</f>
        <v>38.46</v>
      </c>
      <c r="E306" s="1">
        <f>IFERROR(__xludf.DUMMYFUNCTION("""COMPUTED_VALUE"""),39.39)</f>
        <v>39.39</v>
      </c>
      <c r="F306" s="1">
        <f>IFERROR(__xludf.DUMMYFUNCTION("""COMPUTED_VALUE"""),1420546.0)</f>
        <v>1420546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IFERROR(__xludf.DUMMYFUNCTION("""COMPUTED_VALUE"""),39.66)</f>
        <v>39.66</v>
      </c>
      <c r="C307" s="1">
        <f>IFERROR(__xludf.DUMMYFUNCTION("""COMPUTED_VALUE"""),40.0)</f>
        <v>40</v>
      </c>
      <c r="D307" s="1">
        <f>IFERROR(__xludf.DUMMYFUNCTION("""COMPUTED_VALUE"""),38.9)</f>
        <v>38.9</v>
      </c>
      <c r="E307" s="1">
        <f>IFERROR(__xludf.DUMMYFUNCTION("""COMPUTED_VALUE"""),38.96)</f>
        <v>38.96</v>
      </c>
      <c r="F307" s="1">
        <f>IFERROR(__xludf.DUMMYFUNCTION("""COMPUTED_VALUE"""),782385.0)</f>
        <v>782385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IFERROR(__xludf.DUMMYFUNCTION("""COMPUTED_VALUE"""),38.92)</f>
        <v>38.92</v>
      </c>
      <c r="C308" s="1">
        <f>IFERROR(__xludf.DUMMYFUNCTION("""COMPUTED_VALUE"""),39.61)</f>
        <v>39.61</v>
      </c>
      <c r="D308" s="1">
        <f>IFERROR(__xludf.DUMMYFUNCTION("""COMPUTED_VALUE"""),38.76)</f>
        <v>38.76</v>
      </c>
      <c r="E308" s="1">
        <f>IFERROR(__xludf.DUMMYFUNCTION("""COMPUTED_VALUE"""),39.07)</f>
        <v>39.07</v>
      </c>
      <c r="F308" s="1">
        <f>IFERROR(__xludf.DUMMYFUNCTION("""COMPUTED_VALUE"""),636482.0)</f>
        <v>636482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IFERROR(__xludf.DUMMYFUNCTION("""COMPUTED_VALUE"""),38.92)</f>
        <v>38.92</v>
      </c>
      <c r="C309" s="1">
        <f>IFERROR(__xludf.DUMMYFUNCTION("""COMPUTED_VALUE"""),38.92)</f>
        <v>38.92</v>
      </c>
      <c r="D309" s="1">
        <f>IFERROR(__xludf.DUMMYFUNCTION("""COMPUTED_VALUE"""),38.31)</f>
        <v>38.31</v>
      </c>
      <c r="E309" s="1">
        <f>IFERROR(__xludf.DUMMYFUNCTION("""COMPUTED_VALUE"""),38.54)</f>
        <v>38.54</v>
      </c>
      <c r="F309" s="1">
        <f>IFERROR(__xludf.DUMMYFUNCTION("""COMPUTED_VALUE"""),717909.0)</f>
        <v>717909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IFERROR(__xludf.DUMMYFUNCTION("""COMPUTED_VALUE"""),38.76)</f>
        <v>38.76</v>
      </c>
      <c r="C310" s="1">
        <f>IFERROR(__xludf.DUMMYFUNCTION("""COMPUTED_VALUE"""),39.1)</f>
        <v>39.1</v>
      </c>
      <c r="D310" s="1">
        <f>IFERROR(__xludf.DUMMYFUNCTION("""COMPUTED_VALUE"""),38.54)</f>
        <v>38.54</v>
      </c>
      <c r="E310" s="1">
        <f>IFERROR(__xludf.DUMMYFUNCTION("""COMPUTED_VALUE"""),38.6)</f>
        <v>38.6</v>
      </c>
      <c r="F310" s="1">
        <f>IFERROR(__xludf.DUMMYFUNCTION("""COMPUTED_VALUE"""),606353.0)</f>
        <v>606353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IFERROR(__xludf.DUMMYFUNCTION("""COMPUTED_VALUE"""),38.72)</f>
        <v>38.72</v>
      </c>
      <c r="C311" s="1">
        <f>IFERROR(__xludf.DUMMYFUNCTION("""COMPUTED_VALUE"""),38.89)</f>
        <v>38.89</v>
      </c>
      <c r="D311" s="1">
        <f>IFERROR(__xludf.DUMMYFUNCTION("""COMPUTED_VALUE"""),38.45)</f>
        <v>38.45</v>
      </c>
      <c r="E311" s="1">
        <f>IFERROR(__xludf.DUMMYFUNCTION("""COMPUTED_VALUE"""),38.72)</f>
        <v>38.72</v>
      </c>
      <c r="F311" s="1">
        <f>IFERROR(__xludf.DUMMYFUNCTION("""COMPUTED_VALUE"""),582699.0)</f>
        <v>582699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IFERROR(__xludf.DUMMYFUNCTION("""COMPUTED_VALUE"""),38.74)</f>
        <v>38.74</v>
      </c>
      <c r="C312" s="1">
        <f>IFERROR(__xludf.DUMMYFUNCTION("""COMPUTED_VALUE"""),39.02)</f>
        <v>39.02</v>
      </c>
      <c r="D312" s="1">
        <f>IFERROR(__xludf.DUMMYFUNCTION("""COMPUTED_VALUE"""),38.66)</f>
        <v>38.66</v>
      </c>
      <c r="E312" s="1">
        <f>IFERROR(__xludf.DUMMYFUNCTION("""COMPUTED_VALUE"""),38.68)</f>
        <v>38.68</v>
      </c>
      <c r="F312" s="1">
        <f>IFERROR(__xludf.DUMMYFUNCTION("""COMPUTED_VALUE"""),426386.0)</f>
        <v>426386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IFERROR(__xludf.DUMMYFUNCTION("""COMPUTED_VALUE"""),38.91)</f>
        <v>38.91</v>
      </c>
      <c r="C313" s="1">
        <f>IFERROR(__xludf.DUMMYFUNCTION("""COMPUTED_VALUE"""),38.91)</f>
        <v>38.91</v>
      </c>
      <c r="D313" s="1">
        <f>IFERROR(__xludf.DUMMYFUNCTION("""COMPUTED_VALUE"""),38.47)</f>
        <v>38.47</v>
      </c>
      <c r="E313" s="1">
        <f>IFERROR(__xludf.DUMMYFUNCTION("""COMPUTED_VALUE"""),38.68)</f>
        <v>38.68</v>
      </c>
      <c r="F313" s="1">
        <f>IFERROR(__xludf.DUMMYFUNCTION("""COMPUTED_VALUE"""),518982.0)</f>
        <v>518982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IFERROR(__xludf.DUMMYFUNCTION("""COMPUTED_VALUE"""),38.86)</f>
        <v>38.86</v>
      </c>
      <c r="C314" s="1">
        <f>IFERROR(__xludf.DUMMYFUNCTION("""COMPUTED_VALUE"""),39.04)</f>
        <v>39.04</v>
      </c>
      <c r="D314" s="1">
        <f>IFERROR(__xludf.DUMMYFUNCTION("""COMPUTED_VALUE"""),38.51)</f>
        <v>38.51</v>
      </c>
      <c r="E314" s="1">
        <f>IFERROR(__xludf.DUMMYFUNCTION("""COMPUTED_VALUE"""),38.53)</f>
        <v>38.53</v>
      </c>
      <c r="F314" s="1">
        <f>IFERROR(__xludf.DUMMYFUNCTION("""COMPUTED_VALUE"""),856512.0)</f>
        <v>856512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IFERROR(__xludf.DUMMYFUNCTION("""COMPUTED_VALUE"""),38.54)</f>
        <v>38.54</v>
      </c>
      <c r="C315" s="1">
        <f>IFERROR(__xludf.DUMMYFUNCTION("""COMPUTED_VALUE"""),38.79)</f>
        <v>38.79</v>
      </c>
      <c r="D315" s="1">
        <f>IFERROR(__xludf.DUMMYFUNCTION("""COMPUTED_VALUE"""),38.17)</f>
        <v>38.17</v>
      </c>
      <c r="E315" s="1">
        <f>IFERROR(__xludf.DUMMYFUNCTION("""COMPUTED_VALUE"""),38.38)</f>
        <v>38.38</v>
      </c>
      <c r="F315" s="1">
        <f>IFERROR(__xludf.DUMMYFUNCTION("""COMPUTED_VALUE"""),846128.0)</f>
        <v>846128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IFERROR(__xludf.DUMMYFUNCTION("""COMPUTED_VALUE"""),38.62)</f>
        <v>38.62</v>
      </c>
      <c r="C316" s="1">
        <f>IFERROR(__xludf.DUMMYFUNCTION("""COMPUTED_VALUE"""),39.99)</f>
        <v>39.99</v>
      </c>
      <c r="D316" s="1">
        <f>IFERROR(__xludf.DUMMYFUNCTION("""COMPUTED_VALUE"""),38.32)</f>
        <v>38.32</v>
      </c>
      <c r="E316" s="1">
        <f>IFERROR(__xludf.DUMMYFUNCTION("""COMPUTED_VALUE"""),39.62)</f>
        <v>39.62</v>
      </c>
      <c r="F316" s="1">
        <f>IFERROR(__xludf.DUMMYFUNCTION("""COMPUTED_VALUE"""),2329393.0)</f>
        <v>2329393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IFERROR(__xludf.DUMMYFUNCTION("""COMPUTED_VALUE"""),39.75)</f>
        <v>39.75</v>
      </c>
      <c r="C317" s="1">
        <f>IFERROR(__xludf.DUMMYFUNCTION("""COMPUTED_VALUE"""),40.58)</f>
        <v>40.58</v>
      </c>
      <c r="D317" s="1">
        <f>IFERROR(__xludf.DUMMYFUNCTION("""COMPUTED_VALUE"""),39.73)</f>
        <v>39.73</v>
      </c>
      <c r="E317" s="1">
        <f>IFERROR(__xludf.DUMMYFUNCTION("""COMPUTED_VALUE"""),40.05)</f>
        <v>40.05</v>
      </c>
      <c r="F317" s="1">
        <f>IFERROR(__xludf.DUMMYFUNCTION("""COMPUTED_VALUE"""),1391252.0)</f>
        <v>1391252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IFERROR(__xludf.DUMMYFUNCTION("""COMPUTED_VALUE"""),40.05)</f>
        <v>40.05</v>
      </c>
      <c r="C318" s="1">
        <f>IFERROR(__xludf.DUMMYFUNCTION("""COMPUTED_VALUE"""),40.8)</f>
        <v>40.8</v>
      </c>
      <c r="D318" s="1">
        <f>IFERROR(__xludf.DUMMYFUNCTION("""COMPUTED_VALUE"""),39.92)</f>
        <v>39.92</v>
      </c>
      <c r="E318" s="1">
        <f>IFERROR(__xludf.DUMMYFUNCTION("""COMPUTED_VALUE"""),40.46)</f>
        <v>40.46</v>
      </c>
      <c r="F318" s="1">
        <f>IFERROR(__xludf.DUMMYFUNCTION("""COMPUTED_VALUE"""),1251303.0)</f>
        <v>1251303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IFERROR(__xludf.DUMMYFUNCTION("""COMPUTED_VALUE"""),40.54)</f>
        <v>40.54</v>
      </c>
      <c r="C319" s="1">
        <f>IFERROR(__xludf.DUMMYFUNCTION("""COMPUTED_VALUE"""),42.08)</f>
        <v>42.08</v>
      </c>
      <c r="D319" s="1">
        <f>IFERROR(__xludf.DUMMYFUNCTION("""COMPUTED_VALUE"""),40.54)</f>
        <v>40.54</v>
      </c>
      <c r="E319" s="1">
        <f>IFERROR(__xludf.DUMMYFUNCTION("""COMPUTED_VALUE"""),41.87)</f>
        <v>41.87</v>
      </c>
      <c r="F319" s="1">
        <f>IFERROR(__xludf.DUMMYFUNCTION("""COMPUTED_VALUE"""),1738835.0)</f>
        <v>1738835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IFERROR(__xludf.DUMMYFUNCTION("""COMPUTED_VALUE"""),41.8)</f>
        <v>41.8</v>
      </c>
      <c r="C320" s="1">
        <f>IFERROR(__xludf.DUMMYFUNCTION("""COMPUTED_VALUE"""),42.09)</f>
        <v>42.09</v>
      </c>
      <c r="D320" s="1">
        <f>IFERROR(__xludf.DUMMYFUNCTION("""COMPUTED_VALUE"""),41.24)</f>
        <v>41.24</v>
      </c>
      <c r="E320" s="1">
        <f>IFERROR(__xludf.DUMMYFUNCTION("""COMPUTED_VALUE"""),41.37)</f>
        <v>41.37</v>
      </c>
      <c r="F320" s="1">
        <f>IFERROR(__xludf.DUMMYFUNCTION("""COMPUTED_VALUE"""),1157271.0)</f>
        <v>1157271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IFERROR(__xludf.DUMMYFUNCTION("""COMPUTED_VALUE"""),41.52)</f>
        <v>41.52</v>
      </c>
      <c r="C321" s="1">
        <f>IFERROR(__xludf.DUMMYFUNCTION("""COMPUTED_VALUE"""),41.9)</f>
        <v>41.9</v>
      </c>
      <c r="D321" s="1">
        <f>IFERROR(__xludf.DUMMYFUNCTION("""COMPUTED_VALUE"""),40.97)</f>
        <v>40.97</v>
      </c>
      <c r="E321" s="1">
        <f>IFERROR(__xludf.DUMMYFUNCTION("""COMPUTED_VALUE"""),41.03)</f>
        <v>41.03</v>
      </c>
      <c r="F321" s="1">
        <f>IFERROR(__xludf.DUMMYFUNCTION("""COMPUTED_VALUE"""),613945.0)</f>
        <v>613945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IFERROR(__xludf.DUMMYFUNCTION("""COMPUTED_VALUE"""),41.15)</f>
        <v>41.15</v>
      </c>
      <c r="C322" s="1">
        <f>IFERROR(__xludf.DUMMYFUNCTION("""COMPUTED_VALUE"""),42.53)</f>
        <v>42.53</v>
      </c>
      <c r="D322" s="1">
        <f>IFERROR(__xludf.DUMMYFUNCTION("""COMPUTED_VALUE"""),41.15)</f>
        <v>41.15</v>
      </c>
      <c r="E322" s="1">
        <f>IFERROR(__xludf.DUMMYFUNCTION("""COMPUTED_VALUE"""),41.57)</f>
        <v>41.57</v>
      </c>
      <c r="F322" s="1">
        <f>IFERROR(__xludf.DUMMYFUNCTION("""COMPUTED_VALUE"""),1104991.0)</f>
        <v>1104991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IFERROR(__xludf.DUMMYFUNCTION("""COMPUTED_VALUE"""),41.37)</f>
        <v>41.37</v>
      </c>
      <c r="C323" s="1">
        <f>IFERROR(__xludf.DUMMYFUNCTION("""COMPUTED_VALUE"""),41.86)</f>
        <v>41.86</v>
      </c>
      <c r="D323" s="1">
        <f>IFERROR(__xludf.DUMMYFUNCTION("""COMPUTED_VALUE"""),41.18)</f>
        <v>41.18</v>
      </c>
      <c r="E323" s="1">
        <f>IFERROR(__xludf.DUMMYFUNCTION("""COMPUTED_VALUE"""),41.23)</f>
        <v>41.23</v>
      </c>
      <c r="F323" s="1">
        <f>IFERROR(__xludf.DUMMYFUNCTION("""COMPUTED_VALUE"""),850010.0)</f>
        <v>850010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IFERROR(__xludf.DUMMYFUNCTION("""COMPUTED_VALUE"""),41.33)</f>
        <v>41.33</v>
      </c>
      <c r="C324" s="1">
        <f>IFERROR(__xludf.DUMMYFUNCTION("""COMPUTED_VALUE"""),41.73)</f>
        <v>41.73</v>
      </c>
      <c r="D324" s="1">
        <f>IFERROR(__xludf.DUMMYFUNCTION("""COMPUTED_VALUE"""),41.33)</f>
        <v>41.33</v>
      </c>
      <c r="E324" s="1">
        <f>IFERROR(__xludf.DUMMYFUNCTION("""COMPUTED_VALUE"""),41.46)</f>
        <v>41.46</v>
      </c>
      <c r="F324" s="1">
        <f>IFERROR(__xludf.DUMMYFUNCTION("""COMPUTED_VALUE"""),552465.0)</f>
        <v>552465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IFERROR(__xludf.DUMMYFUNCTION("""COMPUTED_VALUE"""),41.32)</f>
        <v>41.32</v>
      </c>
      <c r="C325" s="1">
        <f>IFERROR(__xludf.DUMMYFUNCTION("""COMPUTED_VALUE"""),42.14)</f>
        <v>42.14</v>
      </c>
      <c r="D325" s="1">
        <f>IFERROR(__xludf.DUMMYFUNCTION("""COMPUTED_VALUE"""),41.29)</f>
        <v>41.29</v>
      </c>
      <c r="E325" s="1">
        <f>IFERROR(__xludf.DUMMYFUNCTION("""COMPUTED_VALUE"""),41.97)</f>
        <v>41.97</v>
      </c>
      <c r="F325" s="1">
        <f>IFERROR(__xludf.DUMMYFUNCTION("""COMPUTED_VALUE"""),1016650.0)</f>
        <v>1016650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IFERROR(__xludf.DUMMYFUNCTION("""COMPUTED_VALUE"""),41.97)</f>
        <v>41.97</v>
      </c>
      <c r="C326" s="1">
        <f>IFERROR(__xludf.DUMMYFUNCTION("""COMPUTED_VALUE"""),42.68)</f>
        <v>42.68</v>
      </c>
      <c r="D326" s="1">
        <f>IFERROR(__xludf.DUMMYFUNCTION("""COMPUTED_VALUE"""),41.84)</f>
        <v>41.84</v>
      </c>
      <c r="E326" s="1">
        <f>IFERROR(__xludf.DUMMYFUNCTION("""COMPUTED_VALUE"""),42.26)</f>
        <v>42.26</v>
      </c>
      <c r="F326" s="1">
        <f>IFERROR(__xludf.DUMMYFUNCTION("""COMPUTED_VALUE"""),704015.0)</f>
        <v>704015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IFERROR(__xludf.DUMMYFUNCTION("""COMPUTED_VALUE"""),41.76)</f>
        <v>41.76</v>
      </c>
      <c r="C327" s="1">
        <f>IFERROR(__xludf.DUMMYFUNCTION("""COMPUTED_VALUE"""),41.98)</f>
        <v>41.98</v>
      </c>
      <c r="D327" s="1">
        <f>IFERROR(__xludf.DUMMYFUNCTION("""COMPUTED_VALUE"""),41.37)</f>
        <v>41.37</v>
      </c>
      <c r="E327" s="1">
        <f>IFERROR(__xludf.DUMMYFUNCTION("""COMPUTED_VALUE"""),41.92)</f>
        <v>41.92</v>
      </c>
      <c r="F327" s="1">
        <f>IFERROR(__xludf.DUMMYFUNCTION("""COMPUTED_VALUE"""),743615.0)</f>
        <v>743615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IFERROR(__xludf.DUMMYFUNCTION("""COMPUTED_VALUE"""),41.96)</f>
        <v>41.96</v>
      </c>
      <c r="C328" s="1">
        <f>IFERROR(__xludf.DUMMYFUNCTION("""COMPUTED_VALUE"""),42.07)</f>
        <v>42.07</v>
      </c>
      <c r="D328" s="1">
        <f>IFERROR(__xludf.DUMMYFUNCTION("""COMPUTED_VALUE"""),41.2)</f>
        <v>41.2</v>
      </c>
      <c r="E328" s="1">
        <f>IFERROR(__xludf.DUMMYFUNCTION("""COMPUTED_VALUE"""),41.34)</f>
        <v>41.34</v>
      </c>
      <c r="F328" s="1">
        <f>IFERROR(__xludf.DUMMYFUNCTION("""COMPUTED_VALUE"""),765150.0)</f>
        <v>765150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IFERROR(__xludf.DUMMYFUNCTION("""COMPUTED_VALUE"""),41.76)</f>
        <v>41.76</v>
      </c>
      <c r="C329" s="1">
        <f>IFERROR(__xludf.DUMMYFUNCTION("""COMPUTED_VALUE"""),42.21)</f>
        <v>42.21</v>
      </c>
      <c r="D329" s="1">
        <f>IFERROR(__xludf.DUMMYFUNCTION("""COMPUTED_VALUE"""),41.61)</f>
        <v>41.61</v>
      </c>
      <c r="E329" s="1">
        <f>IFERROR(__xludf.DUMMYFUNCTION("""COMPUTED_VALUE"""),41.61)</f>
        <v>41.61</v>
      </c>
      <c r="F329" s="1">
        <f>IFERROR(__xludf.DUMMYFUNCTION("""COMPUTED_VALUE"""),1187705.0)</f>
        <v>1187705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IFERROR(__xludf.DUMMYFUNCTION("""COMPUTED_VALUE"""),41.84)</f>
        <v>41.84</v>
      </c>
      <c r="C330" s="1">
        <f>IFERROR(__xludf.DUMMYFUNCTION("""COMPUTED_VALUE"""),42.15)</f>
        <v>42.15</v>
      </c>
      <c r="D330" s="1">
        <f>IFERROR(__xludf.DUMMYFUNCTION("""COMPUTED_VALUE"""),41.79)</f>
        <v>41.79</v>
      </c>
      <c r="E330" s="1">
        <f>IFERROR(__xludf.DUMMYFUNCTION("""COMPUTED_VALUE"""),41.89)</f>
        <v>41.89</v>
      </c>
      <c r="F330" s="1">
        <f>IFERROR(__xludf.DUMMYFUNCTION("""COMPUTED_VALUE"""),789892.0)</f>
        <v>789892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IFERROR(__xludf.DUMMYFUNCTION("""COMPUTED_VALUE"""),41.9)</f>
        <v>41.9</v>
      </c>
      <c r="C331" s="1">
        <f>IFERROR(__xludf.DUMMYFUNCTION("""COMPUTED_VALUE"""),41.9)</f>
        <v>41.9</v>
      </c>
      <c r="D331" s="1">
        <f>IFERROR(__xludf.DUMMYFUNCTION("""COMPUTED_VALUE"""),41.13)</f>
        <v>41.13</v>
      </c>
      <c r="E331" s="1">
        <f>IFERROR(__xludf.DUMMYFUNCTION("""COMPUTED_VALUE"""),41.66)</f>
        <v>41.66</v>
      </c>
      <c r="F331" s="1">
        <f>IFERROR(__xludf.DUMMYFUNCTION("""COMPUTED_VALUE"""),461207.0)</f>
        <v>461207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IFERROR(__xludf.DUMMYFUNCTION("""COMPUTED_VALUE"""),41.76)</f>
        <v>41.76</v>
      </c>
      <c r="C332" s="1">
        <f>IFERROR(__xludf.DUMMYFUNCTION("""COMPUTED_VALUE"""),42.25)</f>
        <v>42.25</v>
      </c>
      <c r="D332" s="1">
        <f>IFERROR(__xludf.DUMMYFUNCTION("""COMPUTED_VALUE"""),41.74)</f>
        <v>41.74</v>
      </c>
      <c r="E332" s="1">
        <f>IFERROR(__xludf.DUMMYFUNCTION("""COMPUTED_VALUE"""),41.88)</f>
        <v>41.88</v>
      </c>
      <c r="F332" s="1">
        <f>IFERROR(__xludf.DUMMYFUNCTION("""COMPUTED_VALUE"""),850961.0)</f>
        <v>850961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IFERROR(__xludf.DUMMYFUNCTION("""COMPUTED_VALUE"""),41.9)</f>
        <v>41.9</v>
      </c>
      <c r="C333" s="1">
        <f>IFERROR(__xludf.DUMMYFUNCTION("""COMPUTED_VALUE"""),42.34)</f>
        <v>42.34</v>
      </c>
      <c r="D333" s="1">
        <f>IFERROR(__xludf.DUMMYFUNCTION("""COMPUTED_VALUE"""),41.76)</f>
        <v>41.76</v>
      </c>
      <c r="E333" s="1">
        <f>IFERROR(__xludf.DUMMYFUNCTION("""COMPUTED_VALUE"""),42.3)</f>
        <v>42.3</v>
      </c>
      <c r="F333" s="1">
        <f>IFERROR(__xludf.DUMMYFUNCTION("""COMPUTED_VALUE"""),432558.0)</f>
        <v>432558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IFERROR(__xludf.DUMMYFUNCTION("""COMPUTED_VALUE"""),42.13)</f>
        <v>42.13</v>
      </c>
      <c r="C334" s="1">
        <f>IFERROR(__xludf.DUMMYFUNCTION("""COMPUTED_VALUE"""),42.59)</f>
        <v>42.59</v>
      </c>
      <c r="D334" s="1">
        <f>IFERROR(__xludf.DUMMYFUNCTION("""COMPUTED_VALUE"""),42.07)</f>
        <v>42.07</v>
      </c>
      <c r="E334" s="1">
        <f>IFERROR(__xludf.DUMMYFUNCTION("""COMPUTED_VALUE"""),42.24)</f>
        <v>42.24</v>
      </c>
      <c r="F334" s="1">
        <f>IFERROR(__xludf.DUMMYFUNCTION("""COMPUTED_VALUE"""),512437.0)</f>
        <v>512437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IFERROR(__xludf.DUMMYFUNCTION("""COMPUTED_VALUE"""),42.34)</f>
        <v>42.34</v>
      </c>
      <c r="C335" s="1">
        <f>IFERROR(__xludf.DUMMYFUNCTION("""COMPUTED_VALUE"""),42.48)</f>
        <v>42.48</v>
      </c>
      <c r="D335" s="1">
        <f>IFERROR(__xludf.DUMMYFUNCTION("""COMPUTED_VALUE"""),41.82)</f>
        <v>41.82</v>
      </c>
      <c r="E335" s="1">
        <f>IFERROR(__xludf.DUMMYFUNCTION("""COMPUTED_VALUE"""),42.19)</f>
        <v>42.19</v>
      </c>
      <c r="F335" s="1">
        <f>IFERROR(__xludf.DUMMYFUNCTION("""COMPUTED_VALUE"""),838474.0)</f>
        <v>838474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IFERROR(__xludf.DUMMYFUNCTION("""COMPUTED_VALUE"""),42.28)</f>
        <v>42.28</v>
      </c>
      <c r="C336" s="1">
        <f>IFERROR(__xludf.DUMMYFUNCTION("""COMPUTED_VALUE"""),42.84)</f>
        <v>42.84</v>
      </c>
      <c r="D336" s="1">
        <f>IFERROR(__xludf.DUMMYFUNCTION("""COMPUTED_VALUE"""),42.16)</f>
        <v>42.16</v>
      </c>
      <c r="E336" s="1">
        <f>IFERROR(__xludf.DUMMYFUNCTION("""COMPUTED_VALUE"""),42.47)</f>
        <v>42.47</v>
      </c>
      <c r="F336" s="1">
        <f>IFERROR(__xludf.DUMMYFUNCTION("""COMPUTED_VALUE"""),689949.0)</f>
        <v>689949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IFERROR(__xludf.DUMMYFUNCTION("""COMPUTED_VALUE"""),42.08)</f>
        <v>42.08</v>
      </c>
      <c r="C337" s="1">
        <f>IFERROR(__xludf.DUMMYFUNCTION("""COMPUTED_VALUE"""),42.12)</f>
        <v>42.12</v>
      </c>
      <c r="D337" s="1">
        <f>IFERROR(__xludf.DUMMYFUNCTION("""COMPUTED_VALUE"""),40.53)</f>
        <v>40.53</v>
      </c>
      <c r="E337" s="1">
        <f>IFERROR(__xludf.DUMMYFUNCTION("""COMPUTED_VALUE"""),41.52)</f>
        <v>41.52</v>
      </c>
      <c r="F337" s="1">
        <f>IFERROR(__xludf.DUMMYFUNCTION("""COMPUTED_VALUE"""),1837628.0)</f>
        <v>1837628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IFERROR(__xludf.DUMMYFUNCTION("""COMPUTED_VALUE"""),41.77)</f>
        <v>41.77</v>
      </c>
      <c r="C338" s="1">
        <f>IFERROR(__xludf.DUMMYFUNCTION("""COMPUTED_VALUE"""),42.11)</f>
        <v>42.11</v>
      </c>
      <c r="D338" s="1">
        <f>IFERROR(__xludf.DUMMYFUNCTION("""COMPUTED_VALUE"""),40.24)</f>
        <v>40.24</v>
      </c>
      <c r="E338" s="1">
        <f>IFERROR(__xludf.DUMMYFUNCTION("""COMPUTED_VALUE"""),40.42)</f>
        <v>40.42</v>
      </c>
      <c r="F338" s="1">
        <f>IFERROR(__xludf.DUMMYFUNCTION("""COMPUTED_VALUE"""),1780157.0)</f>
        <v>1780157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IFERROR(__xludf.DUMMYFUNCTION("""COMPUTED_VALUE"""),40.25)</f>
        <v>40.25</v>
      </c>
      <c r="C339" s="1">
        <f>IFERROR(__xludf.DUMMYFUNCTION("""COMPUTED_VALUE"""),40.94)</f>
        <v>40.94</v>
      </c>
      <c r="D339" s="1">
        <f>IFERROR(__xludf.DUMMYFUNCTION("""COMPUTED_VALUE"""),40.13)</f>
        <v>40.13</v>
      </c>
      <c r="E339" s="1">
        <f>IFERROR(__xludf.DUMMYFUNCTION("""COMPUTED_VALUE"""),40.52)</f>
        <v>40.52</v>
      </c>
      <c r="F339" s="1">
        <f>IFERROR(__xludf.DUMMYFUNCTION("""COMPUTED_VALUE"""),783278.0)</f>
        <v>783278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IFERROR(__xludf.DUMMYFUNCTION("""COMPUTED_VALUE"""),40.83)</f>
        <v>40.83</v>
      </c>
      <c r="C340" s="1">
        <f>IFERROR(__xludf.DUMMYFUNCTION("""COMPUTED_VALUE"""),40.98)</f>
        <v>40.98</v>
      </c>
      <c r="D340" s="1">
        <f>IFERROR(__xludf.DUMMYFUNCTION("""COMPUTED_VALUE"""),40.28)</f>
        <v>40.28</v>
      </c>
      <c r="E340" s="1">
        <f>IFERROR(__xludf.DUMMYFUNCTION("""COMPUTED_VALUE"""),40.42)</f>
        <v>40.42</v>
      </c>
      <c r="F340" s="1">
        <f>IFERROR(__xludf.DUMMYFUNCTION("""COMPUTED_VALUE"""),898779.0)</f>
        <v>898779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IFERROR(__xludf.DUMMYFUNCTION("""COMPUTED_VALUE"""),40.38)</f>
        <v>40.38</v>
      </c>
      <c r="C341" s="1">
        <f>IFERROR(__xludf.DUMMYFUNCTION("""COMPUTED_VALUE"""),40.77)</f>
        <v>40.77</v>
      </c>
      <c r="D341" s="1">
        <f>IFERROR(__xludf.DUMMYFUNCTION("""COMPUTED_VALUE"""),40.28)</f>
        <v>40.28</v>
      </c>
      <c r="E341" s="1">
        <f>IFERROR(__xludf.DUMMYFUNCTION("""COMPUTED_VALUE"""),40.52)</f>
        <v>40.52</v>
      </c>
      <c r="F341" s="1">
        <f>IFERROR(__xludf.DUMMYFUNCTION("""COMPUTED_VALUE"""),503957.0)</f>
        <v>503957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IFERROR(__xludf.DUMMYFUNCTION("""COMPUTED_VALUE"""),40.57)</f>
        <v>40.57</v>
      </c>
      <c r="C342" s="1">
        <f>IFERROR(__xludf.DUMMYFUNCTION("""COMPUTED_VALUE"""),40.78)</f>
        <v>40.78</v>
      </c>
      <c r="D342" s="1">
        <f>IFERROR(__xludf.DUMMYFUNCTION("""COMPUTED_VALUE"""),40.38)</f>
        <v>40.38</v>
      </c>
      <c r="E342" s="1">
        <f>IFERROR(__xludf.DUMMYFUNCTION("""COMPUTED_VALUE"""),40.59)</f>
        <v>40.59</v>
      </c>
      <c r="F342" s="1">
        <f>IFERROR(__xludf.DUMMYFUNCTION("""COMPUTED_VALUE"""),677846.0)</f>
        <v>677846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IFERROR(__xludf.DUMMYFUNCTION("""COMPUTED_VALUE"""),40.52)</f>
        <v>40.52</v>
      </c>
      <c r="C343" s="1">
        <f>IFERROR(__xludf.DUMMYFUNCTION("""COMPUTED_VALUE"""),40.67)</f>
        <v>40.67</v>
      </c>
      <c r="D343" s="1">
        <f>IFERROR(__xludf.DUMMYFUNCTION("""COMPUTED_VALUE"""),39.95)</f>
        <v>39.95</v>
      </c>
      <c r="E343" s="1">
        <f>IFERROR(__xludf.DUMMYFUNCTION("""COMPUTED_VALUE"""),40.27)</f>
        <v>40.27</v>
      </c>
      <c r="F343" s="1">
        <f>IFERROR(__xludf.DUMMYFUNCTION("""COMPUTED_VALUE"""),568554.0)</f>
        <v>568554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IFERROR(__xludf.DUMMYFUNCTION("""COMPUTED_VALUE"""),40.19)</f>
        <v>40.19</v>
      </c>
      <c r="C344" s="1">
        <f>IFERROR(__xludf.DUMMYFUNCTION("""COMPUTED_VALUE"""),40.3)</f>
        <v>40.3</v>
      </c>
      <c r="D344" s="1">
        <f>IFERROR(__xludf.DUMMYFUNCTION("""COMPUTED_VALUE"""),39.64)</f>
        <v>39.64</v>
      </c>
      <c r="E344" s="1">
        <f>IFERROR(__xludf.DUMMYFUNCTION("""COMPUTED_VALUE"""),40.01)</f>
        <v>40.01</v>
      </c>
      <c r="F344" s="1">
        <f>IFERROR(__xludf.DUMMYFUNCTION("""COMPUTED_VALUE"""),763607.0)</f>
        <v>763607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IFERROR(__xludf.DUMMYFUNCTION("""COMPUTED_VALUE"""),40.07)</f>
        <v>40.07</v>
      </c>
      <c r="C345" s="1">
        <f>IFERROR(__xludf.DUMMYFUNCTION("""COMPUTED_VALUE"""),40.39)</f>
        <v>40.39</v>
      </c>
      <c r="D345" s="1">
        <f>IFERROR(__xludf.DUMMYFUNCTION("""COMPUTED_VALUE"""),39.44)</f>
        <v>39.44</v>
      </c>
      <c r="E345" s="1">
        <f>IFERROR(__xludf.DUMMYFUNCTION("""COMPUTED_VALUE"""),39.5)</f>
        <v>39.5</v>
      </c>
      <c r="F345" s="1">
        <f>IFERROR(__xludf.DUMMYFUNCTION("""COMPUTED_VALUE"""),1054375.0)</f>
        <v>1054375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IFERROR(__xludf.DUMMYFUNCTION("""COMPUTED_VALUE"""),39.4)</f>
        <v>39.4</v>
      </c>
      <c r="C346" s="1">
        <f>IFERROR(__xludf.DUMMYFUNCTION("""COMPUTED_VALUE"""),39.81)</f>
        <v>39.81</v>
      </c>
      <c r="D346" s="1">
        <f>IFERROR(__xludf.DUMMYFUNCTION("""COMPUTED_VALUE"""),39.24)</f>
        <v>39.24</v>
      </c>
      <c r="E346" s="1">
        <f>IFERROR(__xludf.DUMMYFUNCTION("""COMPUTED_VALUE"""),39.42)</f>
        <v>39.42</v>
      </c>
      <c r="F346" s="1">
        <f>IFERROR(__xludf.DUMMYFUNCTION("""COMPUTED_VALUE"""),616412.0)</f>
        <v>616412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IFERROR(__xludf.DUMMYFUNCTION("""COMPUTED_VALUE"""),39.25)</f>
        <v>39.25</v>
      </c>
      <c r="C347" s="1">
        <f>IFERROR(__xludf.DUMMYFUNCTION("""COMPUTED_VALUE"""),39.34)</f>
        <v>39.34</v>
      </c>
      <c r="D347" s="1">
        <f>IFERROR(__xludf.DUMMYFUNCTION("""COMPUTED_VALUE"""),38.56)</f>
        <v>38.56</v>
      </c>
      <c r="E347" s="1">
        <f>IFERROR(__xludf.DUMMYFUNCTION("""COMPUTED_VALUE"""),38.93)</f>
        <v>38.93</v>
      </c>
      <c r="F347" s="1">
        <f>IFERROR(__xludf.DUMMYFUNCTION("""COMPUTED_VALUE"""),1273669.0)</f>
        <v>1273669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IFERROR(__xludf.DUMMYFUNCTION("""COMPUTED_VALUE"""),39.01)</f>
        <v>39.01</v>
      </c>
      <c r="C348" s="1">
        <f>IFERROR(__xludf.DUMMYFUNCTION("""COMPUTED_VALUE"""),39.42)</f>
        <v>39.42</v>
      </c>
      <c r="D348" s="1">
        <f>IFERROR(__xludf.DUMMYFUNCTION("""COMPUTED_VALUE"""),38.72)</f>
        <v>38.72</v>
      </c>
      <c r="E348" s="1">
        <f>IFERROR(__xludf.DUMMYFUNCTION("""COMPUTED_VALUE"""),39.08)</f>
        <v>39.08</v>
      </c>
      <c r="F348" s="1">
        <f>IFERROR(__xludf.DUMMYFUNCTION("""COMPUTED_VALUE"""),808889.0)</f>
        <v>808889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IFERROR(__xludf.DUMMYFUNCTION("""COMPUTED_VALUE"""),39.22)</f>
        <v>39.22</v>
      </c>
      <c r="C349" s="1">
        <f>IFERROR(__xludf.DUMMYFUNCTION("""COMPUTED_VALUE"""),39.48)</f>
        <v>39.48</v>
      </c>
      <c r="D349" s="1">
        <f>IFERROR(__xludf.DUMMYFUNCTION("""COMPUTED_VALUE"""),38.58)</f>
        <v>38.58</v>
      </c>
      <c r="E349" s="1">
        <f>IFERROR(__xludf.DUMMYFUNCTION("""COMPUTED_VALUE"""),38.78)</f>
        <v>38.78</v>
      </c>
      <c r="F349" s="1">
        <f>IFERROR(__xludf.DUMMYFUNCTION("""COMPUTED_VALUE"""),623934.0)</f>
        <v>623934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IFERROR(__xludf.DUMMYFUNCTION("""COMPUTED_VALUE"""),38.79)</f>
        <v>38.79</v>
      </c>
      <c r="C350" s="1">
        <f>IFERROR(__xludf.DUMMYFUNCTION("""COMPUTED_VALUE"""),39.07)</f>
        <v>39.07</v>
      </c>
      <c r="D350" s="1">
        <f>IFERROR(__xludf.DUMMYFUNCTION("""COMPUTED_VALUE"""),38.38)</f>
        <v>38.38</v>
      </c>
      <c r="E350" s="1">
        <f>IFERROR(__xludf.DUMMYFUNCTION("""COMPUTED_VALUE"""),38.73)</f>
        <v>38.73</v>
      </c>
      <c r="F350" s="1">
        <f>IFERROR(__xludf.DUMMYFUNCTION("""COMPUTED_VALUE"""),409995.0)</f>
        <v>409995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IFERROR(__xludf.DUMMYFUNCTION("""COMPUTED_VALUE"""),38.24)</f>
        <v>38.24</v>
      </c>
      <c r="C351" s="1">
        <f>IFERROR(__xludf.DUMMYFUNCTION("""COMPUTED_VALUE"""),38.27)</f>
        <v>38.27</v>
      </c>
      <c r="D351" s="1">
        <f>IFERROR(__xludf.DUMMYFUNCTION("""COMPUTED_VALUE"""),37.99)</f>
        <v>37.99</v>
      </c>
      <c r="E351" s="1">
        <f>IFERROR(__xludf.DUMMYFUNCTION("""COMPUTED_VALUE"""),38.1)</f>
        <v>38.1</v>
      </c>
      <c r="F351" s="1">
        <f>IFERROR(__xludf.DUMMYFUNCTION("""COMPUTED_VALUE"""),331917.0)</f>
        <v>331917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IFERROR(__xludf.DUMMYFUNCTION("""COMPUTED_VALUE"""),38.11)</f>
        <v>38.11</v>
      </c>
      <c r="C352" s="1">
        <f>IFERROR(__xludf.DUMMYFUNCTION("""COMPUTED_VALUE"""),38.16)</f>
        <v>38.16</v>
      </c>
      <c r="D352" s="1">
        <f>IFERROR(__xludf.DUMMYFUNCTION("""COMPUTED_VALUE"""),37.67)</f>
        <v>37.67</v>
      </c>
      <c r="E352" s="1">
        <f>IFERROR(__xludf.DUMMYFUNCTION("""COMPUTED_VALUE"""),37.79)</f>
        <v>37.79</v>
      </c>
      <c r="F352" s="1">
        <f>IFERROR(__xludf.DUMMYFUNCTION("""COMPUTED_VALUE"""),430600.0)</f>
        <v>430600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IFERROR(__xludf.DUMMYFUNCTION("""COMPUTED_VALUE"""),37.61)</f>
        <v>37.61</v>
      </c>
      <c r="C353" s="1">
        <f>IFERROR(__xludf.DUMMYFUNCTION("""COMPUTED_VALUE"""),38.21)</f>
        <v>38.21</v>
      </c>
      <c r="D353" s="1">
        <f>IFERROR(__xludf.DUMMYFUNCTION("""COMPUTED_VALUE"""),37.61)</f>
        <v>37.61</v>
      </c>
      <c r="E353" s="1">
        <f>IFERROR(__xludf.DUMMYFUNCTION("""COMPUTED_VALUE"""),37.96)</f>
        <v>37.96</v>
      </c>
      <c r="F353" s="1">
        <f>IFERROR(__xludf.DUMMYFUNCTION("""COMPUTED_VALUE"""),452768.0)</f>
        <v>452768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IFERROR(__xludf.DUMMYFUNCTION("""COMPUTED_VALUE"""),37.77)</f>
        <v>37.77</v>
      </c>
      <c r="C354" s="1">
        <f>IFERROR(__xludf.DUMMYFUNCTION("""COMPUTED_VALUE"""),38.61)</f>
        <v>38.61</v>
      </c>
      <c r="D354" s="1">
        <f>IFERROR(__xludf.DUMMYFUNCTION("""COMPUTED_VALUE"""),37.77)</f>
        <v>37.77</v>
      </c>
      <c r="E354" s="1">
        <f>IFERROR(__xludf.DUMMYFUNCTION("""COMPUTED_VALUE"""),38.44)</f>
        <v>38.44</v>
      </c>
      <c r="F354" s="1">
        <f>IFERROR(__xludf.DUMMYFUNCTION("""COMPUTED_VALUE"""),386188.0)</f>
        <v>386188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IFERROR(__xludf.DUMMYFUNCTION("""COMPUTED_VALUE"""),38.45)</f>
        <v>38.45</v>
      </c>
      <c r="C355" s="1">
        <f>IFERROR(__xludf.DUMMYFUNCTION("""COMPUTED_VALUE"""),38.76)</f>
        <v>38.76</v>
      </c>
      <c r="D355" s="1">
        <f>IFERROR(__xludf.DUMMYFUNCTION("""COMPUTED_VALUE"""),38.34)</f>
        <v>38.34</v>
      </c>
      <c r="E355" s="1">
        <f>IFERROR(__xludf.DUMMYFUNCTION("""COMPUTED_VALUE"""),38.5)</f>
        <v>38.5</v>
      </c>
      <c r="F355" s="1">
        <f>IFERROR(__xludf.DUMMYFUNCTION("""COMPUTED_VALUE"""),275293.0)</f>
        <v>275293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IFERROR(__xludf.DUMMYFUNCTION("""COMPUTED_VALUE"""),38.71)</f>
        <v>38.71</v>
      </c>
      <c r="C356" s="1">
        <f>IFERROR(__xludf.DUMMYFUNCTION("""COMPUTED_VALUE"""),38.79)</f>
        <v>38.79</v>
      </c>
      <c r="D356" s="1">
        <f>IFERROR(__xludf.DUMMYFUNCTION("""COMPUTED_VALUE"""),38.43)</f>
        <v>38.43</v>
      </c>
      <c r="E356" s="1">
        <f>IFERROR(__xludf.DUMMYFUNCTION("""COMPUTED_VALUE"""),38.68)</f>
        <v>38.68</v>
      </c>
      <c r="F356" s="1">
        <f>IFERROR(__xludf.DUMMYFUNCTION("""COMPUTED_VALUE"""),486432.0)</f>
        <v>486432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IFERROR(__xludf.DUMMYFUNCTION("""COMPUTED_VALUE"""),38.61)</f>
        <v>38.61</v>
      </c>
      <c r="C357" s="1">
        <f>IFERROR(__xludf.DUMMYFUNCTION("""COMPUTED_VALUE"""),38.69)</f>
        <v>38.69</v>
      </c>
      <c r="D357" s="1">
        <f>IFERROR(__xludf.DUMMYFUNCTION("""COMPUTED_VALUE"""),38.01)</f>
        <v>38.01</v>
      </c>
      <c r="E357" s="1">
        <f>IFERROR(__xludf.DUMMYFUNCTION("""COMPUTED_VALUE"""),38.01)</f>
        <v>38.01</v>
      </c>
      <c r="F357" s="1">
        <f>IFERROR(__xludf.DUMMYFUNCTION("""COMPUTED_VALUE"""),287343.0)</f>
        <v>287343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IFERROR(__xludf.DUMMYFUNCTION("""COMPUTED_VALUE"""),37.95)</f>
        <v>37.95</v>
      </c>
      <c r="C358" s="1">
        <f>IFERROR(__xludf.DUMMYFUNCTION("""COMPUTED_VALUE"""),38.19)</f>
        <v>38.19</v>
      </c>
      <c r="D358" s="1">
        <f>IFERROR(__xludf.DUMMYFUNCTION("""COMPUTED_VALUE"""),37.49)</f>
        <v>37.49</v>
      </c>
      <c r="E358" s="1">
        <f>IFERROR(__xludf.DUMMYFUNCTION("""COMPUTED_VALUE"""),37.93)</f>
        <v>37.93</v>
      </c>
      <c r="F358" s="1">
        <f>IFERROR(__xludf.DUMMYFUNCTION("""COMPUTED_VALUE"""),447192.0)</f>
        <v>447192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IFERROR(__xludf.DUMMYFUNCTION("""COMPUTED_VALUE"""),37.59)</f>
        <v>37.59</v>
      </c>
      <c r="C359" s="1">
        <f>IFERROR(__xludf.DUMMYFUNCTION("""COMPUTED_VALUE"""),37.93)</f>
        <v>37.93</v>
      </c>
      <c r="D359" s="1">
        <f>IFERROR(__xludf.DUMMYFUNCTION("""COMPUTED_VALUE"""),37.32)</f>
        <v>37.32</v>
      </c>
      <c r="E359" s="1">
        <f>IFERROR(__xludf.DUMMYFUNCTION("""COMPUTED_VALUE"""),37.38)</f>
        <v>37.38</v>
      </c>
      <c r="F359" s="1">
        <f>IFERROR(__xludf.DUMMYFUNCTION("""COMPUTED_VALUE"""),357639.0)</f>
        <v>357639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IFERROR(__xludf.DUMMYFUNCTION("""COMPUTED_VALUE"""),37.35)</f>
        <v>37.35</v>
      </c>
      <c r="C360" s="1">
        <f>IFERROR(__xludf.DUMMYFUNCTION("""COMPUTED_VALUE"""),37.81)</f>
        <v>37.81</v>
      </c>
      <c r="D360" s="1">
        <f>IFERROR(__xludf.DUMMYFUNCTION("""COMPUTED_VALUE"""),37.25)</f>
        <v>37.25</v>
      </c>
      <c r="E360" s="1">
        <f>IFERROR(__xludf.DUMMYFUNCTION("""COMPUTED_VALUE"""),37.75)</f>
        <v>37.75</v>
      </c>
      <c r="F360" s="1">
        <f>IFERROR(__xludf.DUMMYFUNCTION("""COMPUTED_VALUE"""),680026.0)</f>
        <v>680026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IFERROR(__xludf.DUMMYFUNCTION("""COMPUTED_VALUE"""),38.09)</f>
        <v>38.09</v>
      </c>
      <c r="C361" s="1">
        <f>IFERROR(__xludf.DUMMYFUNCTION("""COMPUTED_VALUE"""),39.33)</f>
        <v>39.33</v>
      </c>
      <c r="D361" s="1">
        <f>IFERROR(__xludf.DUMMYFUNCTION("""COMPUTED_VALUE"""),37.74)</f>
        <v>37.74</v>
      </c>
      <c r="E361" s="1">
        <f>IFERROR(__xludf.DUMMYFUNCTION("""COMPUTED_VALUE"""),38.96)</f>
        <v>38.96</v>
      </c>
      <c r="F361" s="1">
        <f>IFERROR(__xludf.DUMMYFUNCTION("""COMPUTED_VALUE"""),1227263.0)</f>
        <v>1227263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IFERROR(__xludf.DUMMYFUNCTION("""COMPUTED_VALUE"""),38.84)</f>
        <v>38.84</v>
      </c>
      <c r="C362" s="1">
        <f>IFERROR(__xludf.DUMMYFUNCTION("""COMPUTED_VALUE"""),40.07)</f>
        <v>40.07</v>
      </c>
      <c r="D362" s="1">
        <f>IFERROR(__xludf.DUMMYFUNCTION("""COMPUTED_VALUE"""),38.75)</f>
        <v>38.75</v>
      </c>
      <c r="E362" s="1">
        <f>IFERROR(__xludf.DUMMYFUNCTION("""COMPUTED_VALUE"""),38.83)</f>
        <v>38.83</v>
      </c>
      <c r="F362" s="1">
        <f>IFERROR(__xludf.DUMMYFUNCTION("""COMPUTED_VALUE"""),716718.0)</f>
        <v>716718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IFERROR(__xludf.DUMMYFUNCTION("""COMPUTED_VALUE"""),38.83)</f>
        <v>38.83</v>
      </c>
      <c r="C363" s="1">
        <f>IFERROR(__xludf.DUMMYFUNCTION("""COMPUTED_VALUE"""),39.31)</f>
        <v>39.31</v>
      </c>
      <c r="D363" s="1">
        <f>IFERROR(__xludf.DUMMYFUNCTION("""COMPUTED_VALUE"""),38.67)</f>
        <v>38.67</v>
      </c>
      <c r="E363" s="1">
        <f>IFERROR(__xludf.DUMMYFUNCTION("""COMPUTED_VALUE"""),39.06)</f>
        <v>39.06</v>
      </c>
      <c r="F363" s="1">
        <f>IFERROR(__xludf.DUMMYFUNCTION("""COMPUTED_VALUE"""),607808.0)</f>
        <v>607808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IFERROR(__xludf.DUMMYFUNCTION("""COMPUTED_VALUE"""),38.9)</f>
        <v>38.9</v>
      </c>
      <c r="C364" s="1">
        <f>IFERROR(__xludf.DUMMYFUNCTION("""COMPUTED_VALUE"""),39.26)</f>
        <v>39.26</v>
      </c>
      <c r="D364" s="1">
        <f>IFERROR(__xludf.DUMMYFUNCTION("""COMPUTED_VALUE"""),38.82)</f>
        <v>38.82</v>
      </c>
      <c r="E364" s="1">
        <f>IFERROR(__xludf.DUMMYFUNCTION("""COMPUTED_VALUE"""),38.9)</f>
        <v>38.9</v>
      </c>
      <c r="F364" s="1">
        <f>IFERROR(__xludf.DUMMYFUNCTION("""COMPUTED_VALUE"""),588716.0)</f>
        <v>588716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IFERROR(__xludf.DUMMYFUNCTION("""COMPUTED_VALUE"""),38.94)</f>
        <v>38.94</v>
      </c>
      <c r="C365" s="1">
        <f>IFERROR(__xludf.DUMMYFUNCTION("""COMPUTED_VALUE"""),39.08)</f>
        <v>39.08</v>
      </c>
      <c r="D365" s="1">
        <f>IFERROR(__xludf.DUMMYFUNCTION("""COMPUTED_VALUE"""),38.74)</f>
        <v>38.74</v>
      </c>
      <c r="E365" s="1">
        <f>IFERROR(__xludf.DUMMYFUNCTION("""COMPUTED_VALUE"""),38.8)</f>
        <v>38.8</v>
      </c>
      <c r="F365" s="1">
        <f>IFERROR(__xludf.DUMMYFUNCTION("""COMPUTED_VALUE"""),369872.0)</f>
        <v>369872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IFERROR(__xludf.DUMMYFUNCTION("""COMPUTED_VALUE"""),39.11)</f>
        <v>39.11</v>
      </c>
      <c r="C366" s="1">
        <f>IFERROR(__xludf.DUMMYFUNCTION("""COMPUTED_VALUE"""),39.44)</f>
        <v>39.44</v>
      </c>
      <c r="D366" s="1">
        <f>IFERROR(__xludf.DUMMYFUNCTION("""COMPUTED_VALUE"""),38.94)</f>
        <v>38.94</v>
      </c>
      <c r="E366" s="1">
        <f>IFERROR(__xludf.DUMMYFUNCTION("""COMPUTED_VALUE"""),39.36)</f>
        <v>39.36</v>
      </c>
      <c r="F366" s="1">
        <f>IFERROR(__xludf.DUMMYFUNCTION("""COMPUTED_VALUE"""),665682.0)</f>
        <v>665682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IFERROR(__xludf.DUMMYFUNCTION("""COMPUTED_VALUE"""),39.07)</f>
        <v>39.07</v>
      </c>
      <c r="C367" s="1">
        <f>IFERROR(__xludf.DUMMYFUNCTION("""COMPUTED_VALUE"""),39.44)</f>
        <v>39.44</v>
      </c>
      <c r="D367" s="1">
        <f>IFERROR(__xludf.DUMMYFUNCTION("""COMPUTED_VALUE"""),39.05)</f>
        <v>39.05</v>
      </c>
      <c r="E367" s="1">
        <f>IFERROR(__xludf.DUMMYFUNCTION("""COMPUTED_VALUE"""),39.22)</f>
        <v>39.22</v>
      </c>
      <c r="F367" s="1">
        <f>IFERROR(__xludf.DUMMYFUNCTION("""COMPUTED_VALUE"""),757013.0)</f>
        <v>757013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IFERROR(__xludf.DUMMYFUNCTION("""COMPUTED_VALUE"""),39.17)</f>
        <v>39.17</v>
      </c>
      <c r="C368" s="1">
        <f>IFERROR(__xludf.DUMMYFUNCTION("""COMPUTED_VALUE"""),39.38)</f>
        <v>39.38</v>
      </c>
      <c r="D368" s="1">
        <f>IFERROR(__xludf.DUMMYFUNCTION("""COMPUTED_VALUE"""),38.97)</f>
        <v>38.97</v>
      </c>
      <c r="E368" s="1">
        <f>IFERROR(__xludf.DUMMYFUNCTION("""COMPUTED_VALUE"""),39.13)</f>
        <v>39.13</v>
      </c>
      <c r="F368" s="1">
        <f>IFERROR(__xludf.DUMMYFUNCTION("""COMPUTED_VALUE"""),439035.0)</f>
        <v>439035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IFERROR(__xludf.DUMMYFUNCTION("""COMPUTED_VALUE"""),39.32)</f>
        <v>39.32</v>
      </c>
      <c r="C369" s="1">
        <f>IFERROR(__xludf.DUMMYFUNCTION("""COMPUTED_VALUE"""),39.5)</f>
        <v>39.5</v>
      </c>
      <c r="D369" s="1">
        <f>IFERROR(__xludf.DUMMYFUNCTION("""COMPUTED_VALUE"""),39.07)</f>
        <v>39.07</v>
      </c>
      <c r="E369" s="1">
        <f>IFERROR(__xludf.DUMMYFUNCTION("""COMPUTED_VALUE"""),39.13)</f>
        <v>39.13</v>
      </c>
      <c r="F369" s="1">
        <f>IFERROR(__xludf.DUMMYFUNCTION("""COMPUTED_VALUE"""),828334.0)</f>
        <v>828334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IFERROR(__xludf.DUMMYFUNCTION("""COMPUTED_VALUE"""),39.07)</f>
        <v>39.07</v>
      </c>
      <c r="C370" s="1">
        <f>IFERROR(__xludf.DUMMYFUNCTION("""COMPUTED_VALUE"""),39.37)</f>
        <v>39.37</v>
      </c>
      <c r="D370" s="1">
        <f>IFERROR(__xludf.DUMMYFUNCTION("""COMPUTED_VALUE"""),38.95)</f>
        <v>38.95</v>
      </c>
      <c r="E370" s="1">
        <f>IFERROR(__xludf.DUMMYFUNCTION("""COMPUTED_VALUE"""),39.1)</f>
        <v>39.1</v>
      </c>
      <c r="F370" s="1">
        <f>IFERROR(__xludf.DUMMYFUNCTION("""COMPUTED_VALUE"""),562350.0)</f>
        <v>562350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IFERROR(__xludf.DUMMYFUNCTION("""COMPUTED_VALUE"""),39.26)</f>
        <v>39.26</v>
      </c>
      <c r="C371" s="1">
        <f>IFERROR(__xludf.DUMMYFUNCTION("""COMPUTED_VALUE"""),39.75)</f>
        <v>39.75</v>
      </c>
      <c r="D371" s="1">
        <f>IFERROR(__xludf.DUMMYFUNCTION("""COMPUTED_VALUE"""),39.08)</f>
        <v>39.08</v>
      </c>
      <c r="E371" s="1">
        <f>IFERROR(__xludf.DUMMYFUNCTION("""COMPUTED_VALUE"""),39.71)</f>
        <v>39.71</v>
      </c>
      <c r="F371" s="1">
        <f>IFERROR(__xludf.DUMMYFUNCTION("""COMPUTED_VALUE"""),554598.0)</f>
        <v>554598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IFERROR(__xludf.DUMMYFUNCTION("""COMPUTED_VALUE"""),39.55)</f>
        <v>39.55</v>
      </c>
      <c r="C372" s="1">
        <f>IFERROR(__xludf.DUMMYFUNCTION("""COMPUTED_VALUE"""),40.07)</f>
        <v>40.07</v>
      </c>
      <c r="D372" s="1">
        <f>IFERROR(__xludf.DUMMYFUNCTION("""COMPUTED_VALUE"""),39.34)</f>
        <v>39.34</v>
      </c>
      <c r="E372" s="1">
        <f>IFERROR(__xludf.DUMMYFUNCTION("""COMPUTED_VALUE"""),39.84)</f>
        <v>39.84</v>
      </c>
      <c r="F372" s="1">
        <f>IFERROR(__xludf.DUMMYFUNCTION("""COMPUTED_VALUE"""),643869.0)</f>
        <v>643869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IFERROR(__xludf.DUMMYFUNCTION("""COMPUTED_VALUE"""),39.59)</f>
        <v>39.59</v>
      </c>
      <c r="C373" s="1">
        <f>IFERROR(__xludf.DUMMYFUNCTION("""COMPUTED_VALUE"""),39.86)</f>
        <v>39.86</v>
      </c>
      <c r="D373" s="1">
        <f>IFERROR(__xludf.DUMMYFUNCTION("""COMPUTED_VALUE"""),39.04)</f>
        <v>39.04</v>
      </c>
      <c r="E373" s="1">
        <f>IFERROR(__xludf.DUMMYFUNCTION("""COMPUTED_VALUE"""),39.69)</f>
        <v>39.69</v>
      </c>
      <c r="F373" s="1">
        <f>IFERROR(__xludf.DUMMYFUNCTION("""COMPUTED_VALUE"""),547734.0)</f>
        <v>547734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IFERROR(__xludf.DUMMYFUNCTION("""COMPUTED_VALUE"""),39.81)</f>
        <v>39.81</v>
      </c>
      <c r="C374" s="1">
        <f>IFERROR(__xludf.DUMMYFUNCTION("""COMPUTED_VALUE"""),39.95)</f>
        <v>39.95</v>
      </c>
      <c r="D374" s="1">
        <f>IFERROR(__xludf.DUMMYFUNCTION("""COMPUTED_VALUE"""),39.19)</f>
        <v>39.19</v>
      </c>
      <c r="E374" s="1">
        <f>IFERROR(__xludf.DUMMYFUNCTION("""COMPUTED_VALUE"""),39.29)</f>
        <v>39.29</v>
      </c>
      <c r="F374" s="1">
        <f>IFERROR(__xludf.DUMMYFUNCTION("""COMPUTED_VALUE"""),1016396.0)</f>
        <v>1016396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IFERROR(__xludf.DUMMYFUNCTION("""COMPUTED_VALUE"""),39.34)</f>
        <v>39.34</v>
      </c>
      <c r="C375" s="1">
        <f>IFERROR(__xludf.DUMMYFUNCTION("""COMPUTED_VALUE"""),39.6)</f>
        <v>39.6</v>
      </c>
      <c r="D375" s="1">
        <f>IFERROR(__xludf.DUMMYFUNCTION("""COMPUTED_VALUE"""),39.14)</f>
        <v>39.14</v>
      </c>
      <c r="E375" s="1">
        <f>IFERROR(__xludf.DUMMYFUNCTION("""COMPUTED_VALUE"""),39.37)</f>
        <v>39.37</v>
      </c>
      <c r="F375" s="1">
        <f>IFERROR(__xludf.DUMMYFUNCTION("""COMPUTED_VALUE"""),576692.0)</f>
        <v>576692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IFERROR(__xludf.DUMMYFUNCTION("""COMPUTED_VALUE"""),39.41)</f>
        <v>39.41</v>
      </c>
      <c r="C376" s="1">
        <f>IFERROR(__xludf.DUMMYFUNCTION("""COMPUTED_VALUE"""),40.35)</f>
        <v>40.35</v>
      </c>
      <c r="D376" s="1">
        <f>IFERROR(__xludf.DUMMYFUNCTION("""COMPUTED_VALUE"""),39.41)</f>
        <v>39.41</v>
      </c>
      <c r="E376" s="1">
        <f>IFERROR(__xludf.DUMMYFUNCTION("""COMPUTED_VALUE"""),40.31)</f>
        <v>40.31</v>
      </c>
      <c r="F376" s="1">
        <f>IFERROR(__xludf.DUMMYFUNCTION("""COMPUTED_VALUE"""),589373.0)</f>
        <v>589373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IFERROR(__xludf.DUMMYFUNCTION("""COMPUTED_VALUE"""),40.32)</f>
        <v>40.32</v>
      </c>
      <c r="C377" s="1">
        <f>IFERROR(__xludf.DUMMYFUNCTION("""COMPUTED_VALUE"""),40.74)</f>
        <v>40.74</v>
      </c>
      <c r="D377" s="1">
        <f>IFERROR(__xludf.DUMMYFUNCTION("""COMPUTED_VALUE"""),40.08)</f>
        <v>40.08</v>
      </c>
      <c r="E377" s="1">
        <f>IFERROR(__xludf.DUMMYFUNCTION("""COMPUTED_VALUE"""),40.49)</f>
        <v>40.49</v>
      </c>
      <c r="F377" s="1">
        <f>IFERROR(__xludf.DUMMYFUNCTION("""COMPUTED_VALUE"""),415219.0)</f>
        <v>415219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IFERROR(__xludf.DUMMYFUNCTION("""COMPUTED_VALUE"""),40.5)</f>
        <v>40.5</v>
      </c>
      <c r="C378" s="1">
        <f>IFERROR(__xludf.DUMMYFUNCTION("""COMPUTED_VALUE"""),40.85)</f>
        <v>40.85</v>
      </c>
      <c r="D378" s="1">
        <f>IFERROR(__xludf.DUMMYFUNCTION("""COMPUTED_VALUE"""),40.06)</f>
        <v>40.06</v>
      </c>
      <c r="E378" s="1">
        <f>IFERROR(__xludf.DUMMYFUNCTION("""COMPUTED_VALUE"""),40.65)</f>
        <v>40.65</v>
      </c>
      <c r="F378" s="1">
        <f>IFERROR(__xludf.DUMMYFUNCTION("""COMPUTED_VALUE"""),629462.0)</f>
        <v>629462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IFERROR(__xludf.DUMMYFUNCTION("""COMPUTED_VALUE"""),40.69)</f>
        <v>40.69</v>
      </c>
      <c r="C379" s="1">
        <f>IFERROR(__xludf.DUMMYFUNCTION("""COMPUTED_VALUE"""),41.32)</f>
        <v>41.32</v>
      </c>
      <c r="D379" s="1">
        <f>IFERROR(__xludf.DUMMYFUNCTION("""COMPUTED_VALUE"""),40.56)</f>
        <v>40.56</v>
      </c>
      <c r="E379" s="1">
        <f>IFERROR(__xludf.DUMMYFUNCTION("""COMPUTED_VALUE"""),41.28)</f>
        <v>41.28</v>
      </c>
      <c r="F379" s="1">
        <f>IFERROR(__xludf.DUMMYFUNCTION("""COMPUTED_VALUE"""),501752.0)</f>
        <v>501752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IFERROR(__xludf.DUMMYFUNCTION("""COMPUTED_VALUE"""),41.25)</f>
        <v>41.25</v>
      </c>
      <c r="C380" s="1">
        <f>IFERROR(__xludf.DUMMYFUNCTION("""COMPUTED_VALUE"""),41.39)</f>
        <v>41.39</v>
      </c>
      <c r="D380" s="1">
        <f>IFERROR(__xludf.DUMMYFUNCTION("""COMPUTED_VALUE"""),40.68)</f>
        <v>40.68</v>
      </c>
      <c r="E380" s="1">
        <f>IFERROR(__xludf.DUMMYFUNCTION("""COMPUTED_VALUE"""),41.19)</f>
        <v>41.19</v>
      </c>
      <c r="F380" s="1">
        <f>IFERROR(__xludf.DUMMYFUNCTION("""COMPUTED_VALUE"""),536505.0)</f>
        <v>536505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IFERROR(__xludf.DUMMYFUNCTION("""COMPUTED_VALUE"""),41.06)</f>
        <v>41.06</v>
      </c>
      <c r="C381" s="1">
        <f>IFERROR(__xludf.DUMMYFUNCTION("""COMPUTED_VALUE"""),41.85)</f>
        <v>41.85</v>
      </c>
      <c r="D381" s="1">
        <f>IFERROR(__xludf.DUMMYFUNCTION("""COMPUTED_VALUE"""),41.0)</f>
        <v>41</v>
      </c>
      <c r="E381" s="1">
        <f>IFERROR(__xludf.DUMMYFUNCTION("""COMPUTED_VALUE"""),41.78)</f>
        <v>41.78</v>
      </c>
      <c r="F381" s="1">
        <f>IFERROR(__xludf.DUMMYFUNCTION("""COMPUTED_VALUE"""),498427.0)</f>
        <v>498427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IFERROR(__xludf.DUMMYFUNCTION("""COMPUTED_VALUE"""),41.96)</f>
        <v>41.96</v>
      </c>
      <c r="C382" s="1">
        <f>IFERROR(__xludf.DUMMYFUNCTION("""COMPUTED_VALUE"""),42.2)</f>
        <v>42.2</v>
      </c>
      <c r="D382" s="1">
        <f>IFERROR(__xludf.DUMMYFUNCTION("""COMPUTED_VALUE"""),41.68)</f>
        <v>41.68</v>
      </c>
      <c r="E382" s="1">
        <f>IFERROR(__xludf.DUMMYFUNCTION("""COMPUTED_VALUE"""),41.99)</f>
        <v>41.99</v>
      </c>
      <c r="F382" s="1">
        <f>IFERROR(__xludf.DUMMYFUNCTION("""COMPUTED_VALUE"""),525021.0)</f>
        <v>525021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IFERROR(__xludf.DUMMYFUNCTION("""COMPUTED_VALUE"""),41.74)</f>
        <v>41.74</v>
      </c>
      <c r="C383" s="1">
        <f>IFERROR(__xludf.DUMMYFUNCTION("""COMPUTED_VALUE"""),42.04)</f>
        <v>42.04</v>
      </c>
      <c r="D383" s="1">
        <f>IFERROR(__xludf.DUMMYFUNCTION("""COMPUTED_VALUE"""),41.56)</f>
        <v>41.56</v>
      </c>
      <c r="E383" s="1">
        <f>IFERROR(__xludf.DUMMYFUNCTION("""COMPUTED_VALUE"""),41.68)</f>
        <v>41.68</v>
      </c>
      <c r="F383" s="1">
        <f>IFERROR(__xludf.DUMMYFUNCTION("""COMPUTED_VALUE"""),487008.0)</f>
        <v>487008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IFERROR(__xludf.DUMMYFUNCTION("""COMPUTED_VALUE"""),41.22)</f>
        <v>41.22</v>
      </c>
      <c r="C384" s="1">
        <f>IFERROR(__xludf.DUMMYFUNCTION("""COMPUTED_VALUE"""),41.52)</f>
        <v>41.52</v>
      </c>
      <c r="D384" s="1">
        <f>IFERROR(__xludf.DUMMYFUNCTION("""COMPUTED_VALUE"""),40.37)</f>
        <v>40.37</v>
      </c>
      <c r="E384" s="1">
        <f>IFERROR(__xludf.DUMMYFUNCTION("""COMPUTED_VALUE"""),40.55)</f>
        <v>40.55</v>
      </c>
      <c r="F384" s="1">
        <f>IFERROR(__xludf.DUMMYFUNCTION("""COMPUTED_VALUE"""),577385.0)</f>
        <v>577385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IFERROR(__xludf.DUMMYFUNCTION("""COMPUTED_VALUE"""),40.43)</f>
        <v>40.43</v>
      </c>
      <c r="C385" s="1">
        <f>IFERROR(__xludf.DUMMYFUNCTION("""COMPUTED_VALUE"""),41.1)</f>
        <v>41.1</v>
      </c>
      <c r="D385" s="1">
        <f>IFERROR(__xludf.DUMMYFUNCTION("""COMPUTED_VALUE"""),40.41)</f>
        <v>40.41</v>
      </c>
      <c r="E385" s="1">
        <f>IFERROR(__xludf.DUMMYFUNCTION("""COMPUTED_VALUE"""),40.78)</f>
        <v>40.78</v>
      </c>
      <c r="F385" s="1">
        <f>IFERROR(__xludf.DUMMYFUNCTION("""COMPUTED_VALUE"""),576514.0)</f>
        <v>576514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IFERROR(__xludf.DUMMYFUNCTION("""COMPUTED_VALUE"""),40.88)</f>
        <v>40.88</v>
      </c>
      <c r="C386" s="1">
        <f>IFERROR(__xludf.DUMMYFUNCTION("""COMPUTED_VALUE"""),41.22)</f>
        <v>41.22</v>
      </c>
      <c r="D386" s="1">
        <f>IFERROR(__xludf.DUMMYFUNCTION("""COMPUTED_VALUE"""),40.46)</f>
        <v>40.46</v>
      </c>
      <c r="E386" s="1">
        <f>IFERROR(__xludf.DUMMYFUNCTION("""COMPUTED_VALUE"""),40.65)</f>
        <v>40.65</v>
      </c>
      <c r="F386" s="1">
        <f>IFERROR(__xludf.DUMMYFUNCTION("""COMPUTED_VALUE"""),481567.0)</f>
        <v>481567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IFERROR(__xludf.DUMMYFUNCTION("""COMPUTED_VALUE"""),40.95)</f>
        <v>40.95</v>
      </c>
      <c r="C387" s="1">
        <f>IFERROR(__xludf.DUMMYFUNCTION("""COMPUTED_VALUE"""),42.13)</f>
        <v>42.13</v>
      </c>
      <c r="D387" s="1">
        <f>IFERROR(__xludf.DUMMYFUNCTION("""COMPUTED_VALUE"""),40.95)</f>
        <v>40.95</v>
      </c>
      <c r="E387" s="1">
        <f>IFERROR(__xludf.DUMMYFUNCTION("""COMPUTED_VALUE"""),41.57)</f>
        <v>41.57</v>
      </c>
      <c r="F387" s="1">
        <f>IFERROR(__xludf.DUMMYFUNCTION("""COMPUTED_VALUE"""),1497051.0)</f>
        <v>1497051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IFERROR(__xludf.DUMMYFUNCTION("""COMPUTED_VALUE"""),41.66)</f>
        <v>41.66</v>
      </c>
      <c r="C388" s="1">
        <f>IFERROR(__xludf.DUMMYFUNCTION("""COMPUTED_VALUE"""),41.9)</f>
        <v>41.9</v>
      </c>
      <c r="D388" s="1">
        <f>IFERROR(__xludf.DUMMYFUNCTION("""COMPUTED_VALUE"""),40.99)</f>
        <v>40.99</v>
      </c>
      <c r="E388" s="1">
        <f>IFERROR(__xludf.DUMMYFUNCTION("""COMPUTED_VALUE"""),41.25)</f>
        <v>41.25</v>
      </c>
      <c r="F388" s="1">
        <f>IFERROR(__xludf.DUMMYFUNCTION("""COMPUTED_VALUE"""),803815.0)</f>
        <v>803815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IFERROR(__xludf.DUMMYFUNCTION("""COMPUTED_VALUE"""),41.27)</f>
        <v>41.27</v>
      </c>
      <c r="C389" s="1">
        <f>IFERROR(__xludf.DUMMYFUNCTION("""COMPUTED_VALUE"""),41.53)</f>
        <v>41.53</v>
      </c>
      <c r="D389" s="1">
        <f>IFERROR(__xludf.DUMMYFUNCTION("""COMPUTED_VALUE"""),40.67)</f>
        <v>40.67</v>
      </c>
      <c r="E389" s="1">
        <f>IFERROR(__xludf.DUMMYFUNCTION("""COMPUTED_VALUE"""),40.94)</f>
        <v>40.94</v>
      </c>
      <c r="F389" s="1">
        <f>IFERROR(__xludf.DUMMYFUNCTION("""COMPUTED_VALUE"""),823612.0)</f>
        <v>823612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IFERROR(__xludf.DUMMYFUNCTION("""COMPUTED_VALUE"""),41.27)</f>
        <v>41.27</v>
      </c>
      <c r="C390" s="1">
        <f>IFERROR(__xludf.DUMMYFUNCTION("""COMPUTED_VALUE"""),41.48)</f>
        <v>41.48</v>
      </c>
      <c r="D390" s="1">
        <f>IFERROR(__xludf.DUMMYFUNCTION("""COMPUTED_VALUE"""),40.86)</f>
        <v>40.86</v>
      </c>
      <c r="E390" s="1">
        <f>IFERROR(__xludf.DUMMYFUNCTION("""COMPUTED_VALUE"""),41.16)</f>
        <v>41.16</v>
      </c>
      <c r="F390" s="1">
        <f>IFERROR(__xludf.DUMMYFUNCTION("""COMPUTED_VALUE"""),724440.0)</f>
        <v>724440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IFERROR(__xludf.DUMMYFUNCTION("""COMPUTED_VALUE"""),41.31)</f>
        <v>41.31</v>
      </c>
      <c r="C391" s="1">
        <f>IFERROR(__xludf.DUMMYFUNCTION("""COMPUTED_VALUE"""),41.34)</f>
        <v>41.34</v>
      </c>
      <c r="D391" s="1">
        <f>IFERROR(__xludf.DUMMYFUNCTION("""COMPUTED_VALUE"""),40.69)</f>
        <v>40.69</v>
      </c>
      <c r="E391" s="1">
        <f>IFERROR(__xludf.DUMMYFUNCTION("""COMPUTED_VALUE"""),41.14)</f>
        <v>41.14</v>
      </c>
      <c r="F391" s="1">
        <f>IFERROR(__xludf.DUMMYFUNCTION("""COMPUTED_VALUE"""),371717.0)</f>
        <v>371717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IFERROR(__xludf.DUMMYFUNCTION("""COMPUTED_VALUE"""),41.19)</f>
        <v>41.19</v>
      </c>
      <c r="C392" s="1">
        <f>IFERROR(__xludf.DUMMYFUNCTION("""COMPUTED_VALUE"""),41.78)</f>
        <v>41.78</v>
      </c>
      <c r="D392" s="1">
        <f>IFERROR(__xludf.DUMMYFUNCTION("""COMPUTED_VALUE"""),41.15)</f>
        <v>41.15</v>
      </c>
      <c r="E392" s="1">
        <f>IFERROR(__xludf.DUMMYFUNCTION("""COMPUTED_VALUE"""),41.75)</f>
        <v>41.75</v>
      </c>
      <c r="F392" s="1">
        <f>IFERROR(__xludf.DUMMYFUNCTION("""COMPUTED_VALUE"""),302634.0)</f>
        <v>302634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IFERROR(__xludf.DUMMYFUNCTION("""COMPUTED_VALUE"""),41.66)</f>
        <v>41.66</v>
      </c>
      <c r="C393" s="1">
        <f>IFERROR(__xludf.DUMMYFUNCTION("""COMPUTED_VALUE"""),42.06)</f>
        <v>42.06</v>
      </c>
      <c r="D393" s="1">
        <f>IFERROR(__xludf.DUMMYFUNCTION("""COMPUTED_VALUE"""),41.34)</f>
        <v>41.34</v>
      </c>
      <c r="E393" s="1">
        <f>IFERROR(__xludf.DUMMYFUNCTION("""COMPUTED_VALUE"""),42.05)</f>
        <v>42.05</v>
      </c>
      <c r="F393" s="1">
        <f>IFERROR(__xludf.DUMMYFUNCTION("""COMPUTED_VALUE"""),269483.0)</f>
        <v>269483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IFERROR(__xludf.DUMMYFUNCTION("""COMPUTED_VALUE"""),41.62)</f>
        <v>41.62</v>
      </c>
      <c r="C394" s="1">
        <f>IFERROR(__xludf.DUMMYFUNCTION("""COMPUTED_VALUE"""),42.14)</f>
        <v>42.14</v>
      </c>
      <c r="D394" s="1">
        <f>IFERROR(__xludf.DUMMYFUNCTION("""COMPUTED_VALUE"""),41.44)</f>
        <v>41.44</v>
      </c>
      <c r="E394" s="1">
        <f>IFERROR(__xludf.DUMMYFUNCTION("""COMPUTED_VALUE"""),41.71)</f>
        <v>41.71</v>
      </c>
      <c r="F394" s="1">
        <f>IFERROR(__xludf.DUMMYFUNCTION("""COMPUTED_VALUE"""),696141.0)</f>
        <v>696141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IFERROR(__xludf.DUMMYFUNCTION("""COMPUTED_VALUE"""),41.81)</f>
        <v>41.81</v>
      </c>
      <c r="C395" s="1">
        <f>IFERROR(__xludf.DUMMYFUNCTION("""COMPUTED_VALUE"""),42.1)</f>
        <v>42.1</v>
      </c>
      <c r="D395" s="1">
        <f>IFERROR(__xludf.DUMMYFUNCTION("""COMPUTED_VALUE"""),40.97)</f>
        <v>40.97</v>
      </c>
      <c r="E395" s="1">
        <f>IFERROR(__xludf.DUMMYFUNCTION("""COMPUTED_VALUE"""),41.04)</f>
        <v>41.04</v>
      </c>
      <c r="F395" s="1">
        <f>IFERROR(__xludf.DUMMYFUNCTION("""COMPUTED_VALUE"""),464388.0)</f>
        <v>464388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IFERROR(__xludf.DUMMYFUNCTION("""COMPUTED_VALUE"""),40.85)</f>
        <v>40.85</v>
      </c>
      <c r="C396" s="1">
        <f>IFERROR(__xludf.DUMMYFUNCTION("""COMPUTED_VALUE"""),40.92)</f>
        <v>40.92</v>
      </c>
      <c r="D396" s="1">
        <f>IFERROR(__xludf.DUMMYFUNCTION("""COMPUTED_VALUE"""),39.17)</f>
        <v>39.17</v>
      </c>
      <c r="E396" s="1">
        <f>IFERROR(__xludf.DUMMYFUNCTION("""COMPUTED_VALUE"""),39.34)</f>
        <v>39.34</v>
      </c>
      <c r="F396" s="1">
        <f>IFERROR(__xludf.DUMMYFUNCTION("""COMPUTED_VALUE"""),892095.0)</f>
        <v>892095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IFERROR(__xludf.DUMMYFUNCTION("""COMPUTED_VALUE"""),39.36)</f>
        <v>39.36</v>
      </c>
      <c r="C397" s="1">
        <f>IFERROR(__xludf.DUMMYFUNCTION("""COMPUTED_VALUE"""),40.27)</f>
        <v>40.27</v>
      </c>
      <c r="D397" s="1">
        <f>IFERROR(__xludf.DUMMYFUNCTION("""COMPUTED_VALUE"""),39.26)</f>
        <v>39.26</v>
      </c>
      <c r="E397" s="1">
        <f>IFERROR(__xludf.DUMMYFUNCTION("""COMPUTED_VALUE"""),39.54)</f>
        <v>39.54</v>
      </c>
      <c r="F397" s="1">
        <f>IFERROR(__xludf.DUMMYFUNCTION("""COMPUTED_VALUE"""),810585.0)</f>
        <v>810585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IFERROR(__xludf.DUMMYFUNCTION("""COMPUTED_VALUE"""),39.17)</f>
        <v>39.17</v>
      </c>
      <c r="C398" s="1">
        <f>IFERROR(__xludf.DUMMYFUNCTION("""COMPUTED_VALUE"""),39.69)</f>
        <v>39.69</v>
      </c>
      <c r="D398" s="1">
        <f>IFERROR(__xludf.DUMMYFUNCTION("""COMPUTED_VALUE"""),38.69)</f>
        <v>38.69</v>
      </c>
      <c r="E398" s="1">
        <f>IFERROR(__xludf.DUMMYFUNCTION("""COMPUTED_VALUE"""),39.55)</f>
        <v>39.55</v>
      </c>
      <c r="F398" s="1">
        <f>IFERROR(__xludf.DUMMYFUNCTION("""COMPUTED_VALUE"""),714029.0)</f>
        <v>714029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IFERROR(__xludf.DUMMYFUNCTION("""COMPUTED_VALUE"""),39.81)</f>
        <v>39.81</v>
      </c>
      <c r="C399" s="1">
        <f>IFERROR(__xludf.DUMMYFUNCTION("""COMPUTED_VALUE"""),39.96)</f>
        <v>39.96</v>
      </c>
      <c r="D399" s="1">
        <f>IFERROR(__xludf.DUMMYFUNCTION("""COMPUTED_VALUE"""),38.12)</f>
        <v>38.12</v>
      </c>
      <c r="E399" s="1">
        <f>IFERROR(__xludf.DUMMYFUNCTION("""COMPUTED_VALUE"""),38.54)</f>
        <v>38.54</v>
      </c>
      <c r="F399" s="1">
        <f>IFERROR(__xludf.DUMMYFUNCTION("""COMPUTED_VALUE"""),970209.0)</f>
        <v>970209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IFERROR(__xludf.DUMMYFUNCTION("""COMPUTED_VALUE"""),38.42)</f>
        <v>38.42</v>
      </c>
      <c r="C400" s="1">
        <f>IFERROR(__xludf.DUMMYFUNCTION("""COMPUTED_VALUE"""),38.79)</f>
        <v>38.79</v>
      </c>
      <c r="D400" s="1">
        <f>IFERROR(__xludf.DUMMYFUNCTION("""COMPUTED_VALUE"""),37.43)</f>
        <v>37.43</v>
      </c>
      <c r="E400" s="1">
        <f>IFERROR(__xludf.DUMMYFUNCTION("""COMPUTED_VALUE"""),37.6)</f>
        <v>37.6</v>
      </c>
      <c r="F400" s="1">
        <f>IFERROR(__xludf.DUMMYFUNCTION("""COMPUTED_VALUE"""),1106837.0)</f>
        <v>1106837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IFERROR(__xludf.DUMMYFUNCTION("""COMPUTED_VALUE"""),38.56)</f>
        <v>38.56</v>
      </c>
      <c r="C401" s="1">
        <f>IFERROR(__xludf.DUMMYFUNCTION("""COMPUTED_VALUE"""),38.68)</f>
        <v>38.68</v>
      </c>
      <c r="D401" s="1">
        <f>IFERROR(__xludf.DUMMYFUNCTION("""COMPUTED_VALUE"""),35.43)</f>
        <v>35.43</v>
      </c>
      <c r="E401" s="1">
        <f>IFERROR(__xludf.DUMMYFUNCTION("""COMPUTED_VALUE"""),35.78)</f>
        <v>35.78</v>
      </c>
      <c r="F401" s="1">
        <f>IFERROR(__xludf.DUMMYFUNCTION("""COMPUTED_VALUE"""),3500098.0)</f>
        <v>3500098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IFERROR(__xludf.DUMMYFUNCTION("""COMPUTED_VALUE"""),35.37)</f>
        <v>35.37</v>
      </c>
      <c r="C402" s="1">
        <f>IFERROR(__xludf.DUMMYFUNCTION("""COMPUTED_VALUE"""),35.56)</f>
        <v>35.56</v>
      </c>
      <c r="D402" s="1">
        <f>IFERROR(__xludf.DUMMYFUNCTION("""COMPUTED_VALUE"""),33.97)</f>
        <v>33.97</v>
      </c>
      <c r="E402" s="1">
        <f>IFERROR(__xludf.DUMMYFUNCTION("""COMPUTED_VALUE"""),34.06)</f>
        <v>34.06</v>
      </c>
      <c r="F402" s="1">
        <f>IFERROR(__xludf.DUMMYFUNCTION("""COMPUTED_VALUE"""),2235832.0)</f>
        <v>2235832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IFERROR(__xludf.DUMMYFUNCTION("""COMPUTED_VALUE"""),34.29)</f>
        <v>34.29</v>
      </c>
      <c r="C403" s="1">
        <f>IFERROR(__xludf.DUMMYFUNCTION("""COMPUTED_VALUE"""),34.75)</f>
        <v>34.75</v>
      </c>
      <c r="D403" s="1">
        <f>IFERROR(__xludf.DUMMYFUNCTION("""COMPUTED_VALUE"""),32.48)</f>
        <v>32.48</v>
      </c>
      <c r="E403" s="1">
        <f>IFERROR(__xludf.DUMMYFUNCTION("""COMPUTED_VALUE"""),32.79)</f>
        <v>32.79</v>
      </c>
      <c r="F403" s="1">
        <f>IFERROR(__xludf.DUMMYFUNCTION("""COMPUTED_VALUE"""),1725732.0)</f>
        <v>1725732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IFERROR(__xludf.DUMMYFUNCTION("""COMPUTED_VALUE"""),31.92)</f>
        <v>31.92</v>
      </c>
      <c r="C404" s="1">
        <f>IFERROR(__xludf.DUMMYFUNCTION("""COMPUTED_VALUE"""),32.17)</f>
        <v>32.17</v>
      </c>
      <c r="D404" s="1">
        <f>IFERROR(__xludf.DUMMYFUNCTION("""COMPUTED_VALUE"""),28.79)</f>
        <v>28.79</v>
      </c>
      <c r="E404" s="1">
        <f>IFERROR(__xludf.DUMMYFUNCTION("""COMPUTED_VALUE"""),28.82)</f>
        <v>28.82</v>
      </c>
      <c r="F404" s="1">
        <f>IFERROR(__xludf.DUMMYFUNCTION("""COMPUTED_VALUE"""),1991865.0)</f>
        <v>1991865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IFERROR(__xludf.DUMMYFUNCTION("""COMPUTED_VALUE"""),29.22)</f>
        <v>29.22</v>
      </c>
      <c r="C405" s="1">
        <f>IFERROR(__xludf.DUMMYFUNCTION("""COMPUTED_VALUE"""),31.15)</f>
        <v>31.15</v>
      </c>
      <c r="D405" s="1">
        <f>IFERROR(__xludf.DUMMYFUNCTION("""COMPUTED_VALUE"""),28.88)</f>
        <v>28.88</v>
      </c>
      <c r="E405" s="1">
        <f>IFERROR(__xludf.DUMMYFUNCTION("""COMPUTED_VALUE"""),30.99)</f>
        <v>30.99</v>
      </c>
      <c r="F405" s="1">
        <f>IFERROR(__xludf.DUMMYFUNCTION("""COMPUTED_VALUE"""),3906943.0)</f>
        <v>3906943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IFERROR(__xludf.DUMMYFUNCTION("""COMPUTED_VALUE"""),30.7)</f>
        <v>30.7</v>
      </c>
      <c r="C406" s="1">
        <f>IFERROR(__xludf.DUMMYFUNCTION("""COMPUTED_VALUE"""),31.11)</f>
        <v>31.11</v>
      </c>
      <c r="D406" s="1">
        <f>IFERROR(__xludf.DUMMYFUNCTION("""COMPUTED_VALUE"""),29.83)</f>
        <v>29.83</v>
      </c>
      <c r="E406" s="1">
        <f>IFERROR(__xludf.DUMMYFUNCTION("""COMPUTED_VALUE"""),29.85)</f>
        <v>29.85</v>
      </c>
      <c r="F406" s="1">
        <f>IFERROR(__xludf.DUMMYFUNCTION("""COMPUTED_VALUE"""),1789416.0)</f>
        <v>1789416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IFERROR(__xludf.DUMMYFUNCTION("""COMPUTED_VALUE"""),29.94)</f>
        <v>29.94</v>
      </c>
      <c r="C407" s="1">
        <f>IFERROR(__xludf.DUMMYFUNCTION("""COMPUTED_VALUE"""),31.24)</f>
        <v>31.24</v>
      </c>
      <c r="D407" s="1">
        <f>IFERROR(__xludf.DUMMYFUNCTION("""COMPUTED_VALUE"""),29.5)</f>
        <v>29.5</v>
      </c>
      <c r="E407" s="1">
        <f>IFERROR(__xludf.DUMMYFUNCTION("""COMPUTED_VALUE"""),30.97)</f>
        <v>30.97</v>
      </c>
      <c r="F407" s="1">
        <f>IFERROR(__xludf.DUMMYFUNCTION("""COMPUTED_VALUE"""),663062.0)</f>
        <v>663062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IFERROR(__xludf.DUMMYFUNCTION("""COMPUTED_VALUE"""),31.17)</f>
        <v>31.17</v>
      </c>
      <c r="C408" s="1">
        <f>IFERROR(__xludf.DUMMYFUNCTION("""COMPUTED_VALUE"""),31.49)</f>
        <v>31.49</v>
      </c>
      <c r="D408" s="1">
        <f>IFERROR(__xludf.DUMMYFUNCTION("""COMPUTED_VALUE"""),30.77)</f>
        <v>30.77</v>
      </c>
      <c r="E408" s="1">
        <f>IFERROR(__xludf.DUMMYFUNCTION("""COMPUTED_VALUE"""),30.84)</f>
        <v>30.84</v>
      </c>
      <c r="F408" s="1">
        <f>IFERROR(__xludf.DUMMYFUNCTION("""COMPUTED_VALUE"""),663578.0)</f>
        <v>663578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IFERROR(__xludf.DUMMYFUNCTION("""COMPUTED_VALUE"""),31.05)</f>
        <v>31.05</v>
      </c>
      <c r="C409" s="1">
        <f>IFERROR(__xludf.DUMMYFUNCTION("""COMPUTED_VALUE"""),33.25)</f>
        <v>33.25</v>
      </c>
      <c r="D409" s="1">
        <f>IFERROR(__xludf.DUMMYFUNCTION("""COMPUTED_VALUE"""),31.0)</f>
        <v>31</v>
      </c>
      <c r="E409" s="1">
        <f>IFERROR(__xludf.DUMMYFUNCTION("""COMPUTED_VALUE"""),32.69)</f>
        <v>32.69</v>
      </c>
      <c r="F409" s="1">
        <f>IFERROR(__xludf.DUMMYFUNCTION("""COMPUTED_VALUE"""),1482213.0)</f>
        <v>1482213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IFERROR(__xludf.DUMMYFUNCTION("""COMPUTED_VALUE"""),32.84)</f>
        <v>32.84</v>
      </c>
      <c r="C410" s="1">
        <f>IFERROR(__xludf.DUMMYFUNCTION("""COMPUTED_VALUE"""),34.34)</f>
        <v>34.34</v>
      </c>
      <c r="D410" s="1">
        <f>IFERROR(__xludf.DUMMYFUNCTION("""COMPUTED_VALUE"""),32.51)</f>
        <v>32.51</v>
      </c>
      <c r="E410" s="1">
        <f>IFERROR(__xludf.DUMMYFUNCTION("""COMPUTED_VALUE"""),33.62)</f>
        <v>33.62</v>
      </c>
      <c r="F410" s="1">
        <f>IFERROR(__xludf.DUMMYFUNCTION("""COMPUTED_VALUE"""),2227312.0)</f>
        <v>2227312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IFERROR(__xludf.DUMMYFUNCTION("""COMPUTED_VALUE"""),33.71)</f>
        <v>33.71</v>
      </c>
      <c r="C411" s="1">
        <f>IFERROR(__xludf.DUMMYFUNCTION("""COMPUTED_VALUE"""),34.31)</f>
        <v>34.31</v>
      </c>
      <c r="D411" s="1">
        <f>IFERROR(__xludf.DUMMYFUNCTION("""COMPUTED_VALUE"""),33.05)</f>
        <v>33.05</v>
      </c>
      <c r="E411" s="1">
        <f>IFERROR(__xludf.DUMMYFUNCTION("""COMPUTED_VALUE"""),33.57)</f>
        <v>33.57</v>
      </c>
      <c r="F411" s="1">
        <f>IFERROR(__xludf.DUMMYFUNCTION("""COMPUTED_VALUE"""),1151294.0)</f>
        <v>1151294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IFERROR(__xludf.DUMMYFUNCTION("""COMPUTED_VALUE"""),32.6)</f>
        <v>32.6</v>
      </c>
      <c r="C412" s="1">
        <f>IFERROR(__xludf.DUMMYFUNCTION("""COMPUTED_VALUE"""),32.99)</f>
        <v>32.99</v>
      </c>
      <c r="D412" s="1">
        <f>IFERROR(__xludf.DUMMYFUNCTION("""COMPUTED_VALUE"""),31.36)</f>
        <v>31.36</v>
      </c>
      <c r="E412" s="1">
        <f>IFERROR(__xludf.DUMMYFUNCTION("""COMPUTED_VALUE"""),31.65)</f>
        <v>31.65</v>
      </c>
      <c r="F412" s="1">
        <f>IFERROR(__xludf.DUMMYFUNCTION("""COMPUTED_VALUE"""),1763412.0)</f>
        <v>1763412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IFERROR(__xludf.DUMMYFUNCTION("""COMPUTED_VALUE"""),31.32)</f>
        <v>31.32</v>
      </c>
      <c r="C413" s="1">
        <f>IFERROR(__xludf.DUMMYFUNCTION("""COMPUTED_VALUE"""),32.21)</f>
        <v>32.21</v>
      </c>
      <c r="D413" s="1">
        <f>IFERROR(__xludf.DUMMYFUNCTION("""COMPUTED_VALUE"""),31.14)</f>
        <v>31.14</v>
      </c>
      <c r="E413" s="1">
        <f>IFERROR(__xludf.DUMMYFUNCTION("""COMPUTED_VALUE"""),31.54)</f>
        <v>31.54</v>
      </c>
      <c r="F413" s="1">
        <f>IFERROR(__xludf.DUMMYFUNCTION("""COMPUTED_VALUE"""),930146.0)</f>
        <v>930146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IFERROR(__xludf.DUMMYFUNCTION("""COMPUTED_VALUE"""),32.18)</f>
        <v>32.18</v>
      </c>
      <c r="C414" s="1">
        <f>IFERROR(__xludf.DUMMYFUNCTION("""COMPUTED_VALUE"""),32.18)</f>
        <v>32.18</v>
      </c>
      <c r="D414" s="1">
        <f>IFERROR(__xludf.DUMMYFUNCTION("""COMPUTED_VALUE"""),30.38)</f>
        <v>30.38</v>
      </c>
      <c r="E414" s="1">
        <f>IFERROR(__xludf.DUMMYFUNCTION("""COMPUTED_VALUE"""),31.04)</f>
        <v>31.04</v>
      </c>
      <c r="F414" s="1">
        <f>IFERROR(__xludf.DUMMYFUNCTION("""COMPUTED_VALUE"""),948576.0)</f>
        <v>948576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IFERROR(__xludf.DUMMYFUNCTION("""COMPUTED_VALUE"""),31.24)</f>
        <v>31.24</v>
      </c>
      <c r="C415" s="1">
        <f>IFERROR(__xludf.DUMMYFUNCTION("""COMPUTED_VALUE"""),32.98)</f>
        <v>32.98</v>
      </c>
      <c r="D415" s="1">
        <f>IFERROR(__xludf.DUMMYFUNCTION("""COMPUTED_VALUE"""),31.06)</f>
        <v>31.06</v>
      </c>
      <c r="E415" s="1">
        <f>IFERROR(__xludf.DUMMYFUNCTION("""COMPUTED_VALUE"""),32.98)</f>
        <v>32.98</v>
      </c>
      <c r="F415" s="1">
        <f>IFERROR(__xludf.DUMMYFUNCTION("""COMPUTED_VALUE"""),1371168.0)</f>
        <v>1371168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IFERROR(__xludf.DUMMYFUNCTION("""COMPUTED_VALUE"""),32.82)</f>
        <v>32.82</v>
      </c>
      <c r="C416" s="1">
        <f>IFERROR(__xludf.DUMMYFUNCTION("""COMPUTED_VALUE"""),33.13)</f>
        <v>33.13</v>
      </c>
      <c r="D416" s="1">
        <f>IFERROR(__xludf.DUMMYFUNCTION("""COMPUTED_VALUE"""),32.39)</f>
        <v>32.39</v>
      </c>
      <c r="E416" s="1">
        <f>IFERROR(__xludf.DUMMYFUNCTION("""COMPUTED_VALUE"""),32.94)</f>
        <v>32.94</v>
      </c>
      <c r="F416" s="1">
        <f>IFERROR(__xludf.DUMMYFUNCTION("""COMPUTED_VALUE"""),781027.0)</f>
        <v>781027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IFERROR(__xludf.DUMMYFUNCTION("""COMPUTED_VALUE"""),33.1)</f>
        <v>33.1</v>
      </c>
      <c r="C417" s="1">
        <f>IFERROR(__xludf.DUMMYFUNCTION("""COMPUTED_VALUE"""),33.14)</f>
        <v>33.14</v>
      </c>
      <c r="D417" s="1">
        <f>IFERROR(__xludf.DUMMYFUNCTION("""COMPUTED_VALUE"""),32.02)</f>
        <v>32.02</v>
      </c>
      <c r="E417" s="1">
        <f>IFERROR(__xludf.DUMMYFUNCTION("""COMPUTED_VALUE"""),32.33)</f>
        <v>32.33</v>
      </c>
      <c r="F417" s="1">
        <f>IFERROR(__xludf.DUMMYFUNCTION("""COMPUTED_VALUE"""),762719.0)</f>
        <v>762719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IFERROR(__xludf.DUMMYFUNCTION("""COMPUTED_VALUE"""),32.1)</f>
        <v>32.1</v>
      </c>
      <c r="C418" s="1">
        <f>IFERROR(__xludf.DUMMYFUNCTION("""COMPUTED_VALUE"""),33.34)</f>
        <v>33.34</v>
      </c>
      <c r="D418" s="1">
        <f>IFERROR(__xludf.DUMMYFUNCTION("""COMPUTED_VALUE"""),31.71)</f>
        <v>31.71</v>
      </c>
      <c r="E418" s="1">
        <f>IFERROR(__xludf.DUMMYFUNCTION("""COMPUTED_VALUE"""),33.26)</f>
        <v>33.26</v>
      </c>
      <c r="F418" s="1">
        <f>IFERROR(__xludf.DUMMYFUNCTION("""COMPUTED_VALUE"""),565557.0)</f>
        <v>565557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IFERROR(__xludf.DUMMYFUNCTION("""COMPUTED_VALUE"""),33.63)</f>
        <v>33.63</v>
      </c>
      <c r="C419" s="1">
        <f>IFERROR(__xludf.DUMMYFUNCTION("""COMPUTED_VALUE"""),34.21)</f>
        <v>34.21</v>
      </c>
      <c r="D419" s="1">
        <f>IFERROR(__xludf.DUMMYFUNCTION("""COMPUTED_VALUE"""),33.52)</f>
        <v>33.52</v>
      </c>
      <c r="E419" s="1">
        <f>IFERROR(__xludf.DUMMYFUNCTION("""COMPUTED_VALUE"""),33.72)</f>
        <v>33.72</v>
      </c>
      <c r="F419" s="1">
        <f>IFERROR(__xludf.DUMMYFUNCTION("""COMPUTED_VALUE"""),732274.0)</f>
        <v>732274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IFERROR(__xludf.DUMMYFUNCTION("""COMPUTED_VALUE"""),33.53)</f>
        <v>33.53</v>
      </c>
      <c r="C420" s="1">
        <f>IFERROR(__xludf.DUMMYFUNCTION("""COMPUTED_VALUE"""),34.01)</f>
        <v>34.01</v>
      </c>
      <c r="D420" s="1">
        <f>IFERROR(__xludf.DUMMYFUNCTION("""COMPUTED_VALUE"""),33.39)</f>
        <v>33.39</v>
      </c>
      <c r="E420" s="1">
        <f>IFERROR(__xludf.DUMMYFUNCTION("""COMPUTED_VALUE"""),33.73)</f>
        <v>33.73</v>
      </c>
      <c r="F420" s="1">
        <f>IFERROR(__xludf.DUMMYFUNCTION("""COMPUTED_VALUE"""),731748.0)</f>
        <v>731748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IFERROR(__xludf.DUMMYFUNCTION("""COMPUTED_VALUE"""),34.02)</f>
        <v>34.02</v>
      </c>
      <c r="C421" s="1">
        <f>IFERROR(__xludf.DUMMYFUNCTION("""COMPUTED_VALUE"""),34.2)</f>
        <v>34.2</v>
      </c>
      <c r="D421" s="1">
        <f>IFERROR(__xludf.DUMMYFUNCTION("""COMPUTED_VALUE"""),32.6)</f>
        <v>32.6</v>
      </c>
      <c r="E421" s="1">
        <f>IFERROR(__xludf.DUMMYFUNCTION("""COMPUTED_VALUE"""),33.12)</f>
        <v>33.12</v>
      </c>
      <c r="F421" s="1">
        <f>IFERROR(__xludf.DUMMYFUNCTION("""COMPUTED_VALUE"""),1527861.0)</f>
        <v>1527861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IFERROR(__xludf.DUMMYFUNCTION("""COMPUTED_VALUE"""),33.18)</f>
        <v>33.18</v>
      </c>
      <c r="C422" s="1">
        <f>IFERROR(__xludf.DUMMYFUNCTION("""COMPUTED_VALUE"""),33.64)</f>
        <v>33.64</v>
      </c>
      <c r="D422" s="1">
        <f>IFERROR(__xludf.DUMMYFUNCTION("""COMPUTED_VALUE"""),32.87)</f>
        <v>32.87</v>
      </c>
      <c r="E422" s="1">
        <f>IFERROR(__xludf.DUMMYFUNCTION("""COMPUTED_VALUE"""),33.02)</f>
        <v>33.02</v>
      </c>
      <c r="F422" s="1">
        <f>IFERROR(__xludf.DUMMYFUNCTION("""COMPUTED_VALUE"""),663464.0)</f>
        <v>663464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IFERROR(__xludf.DUMMYFUNCTION("""COMPUTED_VALUE"""),32.36)</f>
        <v>32.36</v>
      </c>
      <c r="C423" s="1">
        <f>IFERROR(__xludf.DUMMYFUNCTION("""COMPUTED_VALUE"""),32.67)</f>
        <v>32.67</v>
      </c>
      <c r="D423" s="1">
        <f>IFERROR(__xludf.DUMMYFUNCTION("""COMPUTED_VALUE"""),31.74)</f>
        <v>31.74</v>
      </c>
      <c r="E423" s="1">
        <f>IFERROR(__xludf.DUMMYFUNCTION("""COMPUTED_VALUE"""),31.76)</f>
        <v>31.76</v>
      </c>
      <c r="F423" s="1">
        <f>IFERROR(__xludf.DUMMYFUNCTION("""COMPUTED_VALUE"""),569748.0)</f>
        <v>569748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IFERROR(__xludf.DUMMYFUNCTION("""COMPUTED_VALUE"""),30.8)</f>
        <v>30.8</v>
      </c>
      <c r="C424" s="1">
        <f>IFERROR(__xludf.DUMMYFUNCTION("""COMPUTED_VALUE"""),31.65)</f>
        <v>31.65</v>
      </c>
      <c r="D424" s="1">
        <f>IFERROR(__xludf.DUMMYFUNCTION("""COMPUTED_VALUE"""),30.62)</f>
        <v>30.62</v>
      </c>
      <c r="E424" s="1">
        <f>IFERROR(__xludf.DUMMYFUNCTION("""COMPUTED_VALUE"""),31.52)</f>
        <v>31.52</v>
      </c>
      <c r="F424" s="1">
        <f>IFERROR(__xludf.DUMMYFUNCTION("""COMPUTED_VALUE"""),612108.0)</f>
        <v>612108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IFERROR(__xludf.DUMMYFUNCTION("""COMPUTED_VALUE"""),31.83)</f>
        <v>31.83</v>
      </c>
      <c r="C425" s="1">
        <f>IFERROR(__xludf.DUMMYFUNCTION("""COMPUTED_VALUE"""),32.3)</f>
        <v>32.3</v>
      </c>
      <c r="D425" s="1">
        <f>IFERROR(__xludf.DUMMYFUNCTION("""COMPUTED_VALUE"""),31.66)</f>
        <v>31.66</v>
      </c>
      <c r="E425" s="1">
        <f>IFERROR(__xludf.DUMMYFUNCTION("""COMPUTED_VALUE"""),31.85)</f>
        <v>31.85</v>
      </c>
      <c r="F425" s="1">
        <f>IFERROR(__xludf.DUMMYFUNCTION("""COMPUTED_VALUE"""),1286755.0)</f>
        <v>1286755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IFERROR(__xludf.DUMMYFUNCTION("""COMPUTED_VALUE"""),31.71)</f>
        <v>31.71</v>
      </c>
      <c r="C426" s="1">
        <f>IFERROR(__xludf.DUMMYFUNCTION("""COMPUTED_VALUE"""),32.32)</f>
        <v>32.32</v>
      </c>
      <c r="D426" s="1">
        <f>IFERROR(__xludf.DUMMYFUNCTION("""COMPUTED_VALUE"""),31.64)</f>
        <v>31.64</v>
      </c>
      <c r="E426" s="1">
        <f>IFERROR(__xludf.DUMMYFUNCTION("""COMPUTED_VALUE"""),32.1)</f>
        <v>32.1</v>
      </c>
      <c r="F426" s="1">
        <f>IFERROR(__xludf.DUMMYFUNCTION("""COMPUTED_VALUE"""),658034.0)</f>
        <v>658034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IFERROR(__xludf.DUMMYFUNCTION("""COMPUTED_VALUE"""),31.73)</f>
        <v>31.73</v>
      </c>
      <c r="C427" s="1">
        <f>IFERROR(__xludf.DUMMYFUNCTION("""COMPUTED_VALUE"""),31.91)</f>
        <v>31.91</v>
      </c>
      <c r="D427" s="1">
        <f>IFERROR(__xludf.DUMMYFUNCTION("""COMPUTED_VALUE"""),30.25)</f>
        <v>30.25</v>
      </c>
      <c r="E427" s="1">
        <f>IFERROR(__xludf.DUMMYFUNCTION("""COMPUTED_VALUE"""),30.29)</f>
        <v>30.29</v>
      </c>
      <c r="F427" s="1">
        <f>IFERROR(__xludf.DUMMYFUNCTION("""COMPUTED_VALUE"""),943874.0)</f>
        <v>943874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IFERROR(__xludf.DUMMYFUNCTION("""COMPUTED_VALUE"""),29.93)</f>
        <v>29.93</v>
      </c>
      <c r="C428" s="1">
        <f>IFERROR(__xludf.DUMMYFUNCTION("""COMPUTED_VALUE"""),30.61)</f>
        <v>30.61</v>
      </c>
      <c r="D428" s="1">
        <f>IFERROR(__xludf.DUMMYFUNCTION("""COMPUTED_VALUE"""),29.51)</f>
        <v>29.51</v>
      </c>
      <c r="E428" s="1">
        <f>IFERROR(__xludf.DUMMYFUNCTION("""COMPUTED_VALUE"""),29.91)</f>
        <v>29.91</v>
      </c>
      <c r="F428" s="1">
        <f>IFERROR(__xludf.DUMMYFUNCTION("""COMPUTED_VALUE"""),1171670.0)</f>
        <v>1171670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IFERROR(__xludf.DUMMYFUNCTION("""COMPUTED_VALUE"""),29.92)</f>
        <v>29.92</v>
      </c>
      <c r="C429" s="1">
        <f>IFERROR(__xludf.DUMMYFUNCTION("""COMPUTED_VALUE"""),31.21)</f>
        <v>31.21</v>
      </c>
      <c r="D429" s="1">
        <f>IFERROR(__xludf.DUMMYFUNCTION("""COMPUTED_VALUE"""),29.89)</f>
        <v>29.89</v>
      </c>
      <c r="E429" s="1">
        <f>IFERROR(__xludf.DUMMYFUNCTION("""COMPUTED_VALUE"""),31.14)</f>
        <v>31.14</v>
      </c>
      <c r="F429" s="1">
        <f>IFERROR(__xludf.DUMMYFUNCTION("""COMPUTED_VALUE"""),1042199.0)</f>
        <v>1042199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IFERROR(__xludf.DUMMYFUNCTION("""COMPUTED_VALUE"""),31.34)</f>
        <v>31.34</v>
      </c>
      <c r="C430" s="1">
        <f>IFERROR(__xludf.DUMMYFUNCTION("""COMPUTED_VALUE"""),31.92)</f>
        <v>31.92</v>
      </c>
      <c r="D430" s="1">
        <f>IFERROR(__xludf.DUMMYFUNCTION("""COMPUTED_VALUE"""),31.08)</f>
        <v>31.08</v>
      </c>
      <c r="E430" s="1">
        <f>IFERROR(__xludf.DUMMYFUNCTION("""COMPUTED_VALUE"""),31.52)</f>
        <v>31.52</v>
      </c>
      <c r="F430" s="1">
        <f>IFERROR(__xludf.DUMMYFUNCTION("""COMPUTED_VALUE"""),613341.0)</f>
        <v>613341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IFERROR(__xludf.DUMMYFUNCTION("""COMPUTED_VALUE"""),31.76)</f>
        <v>31.76</v>
      </c>
      <c r="C431" s="1">
        <f>IFERROR(__xludf.DUMMYFUNCTION("""COMPUTED_VALUE"""),31.95)</f>
        <v>31.95</v>
      </c>
      <c r="D431" s="1">
        <f>IFERROR(__xludf.DUMMYFUNCTION("""COMPUTED_VALUE"""),31.18)</f>
        <v>31.18</v>
      </c>
      <c r="E431" s="1">
        <f>IFERROR(__xludf.DUMMYFUNCTION("""COMPUTED_VALUE"""),31.65)</f>
        <v>31.65</v>
      </c>
      <c r="F431" s="1">
        <f>IFERROR(__xludf.DUMMYFUNCTION("""COMPUTED_VALUE"""),424677.0)</f>
        <v>424677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IFERROR(__xludf.DUMMYFUNCTION("""COMPUTED_VALUE"""),31.85)</f>
        <v>31.85</v>
      </c>
      <c r="C432" s="1">
        <f>IFERROR(__xludf.DUMMYFUNCTION("""COMPUTED_VALUE"""),31.96)</f>
        <v>31.96</v>
      </c>
      <c r="D432" s="1">
        <f>IFERROR(__xludf.DUMMYFUNCTION("""COMPUTED_VALUE"""),31.16)</f>
        <v>31.16</v>
      </c>
      <c r="E432" s="1">
        <f>IFERROR(__xludf.DUMMYFUNCTION("""COMPUTED_VALUE"""),31.47)</f>
        <v>31.47</v>
      </c>
      <c r="F432" s="1">
        <f>IFERROR(__xludf.DUMMYFUNCTION("""COMPUTED_VALUE"""),502815.0)</f>
        <v>502815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IFERROR(__xludf.DUMMYFUNCTION("""COMPUTED_VALUE"""),30.84)</f>
        <v>30.84</v>
      </c>
      <c r="C433" s="1">
        <f>IFERROR(__xludf.DUMMYFUNCTION("""COMPUTED_VALUE"""),30.88)</f>
        <v>30.88</v>
      </c>
      <c r="D433" s="1">
        <f>IFERROR(__xludf.DUMMYFUNCTION("""COMPUTED_VALUE"""),30.32)</f>
        <v>30.32</v>
      </c>
      <c r="E433" s="1">
        <f>IFERROR(__xludf.DUMMYFUNCTION("""COMPUTED_VALUE"""),30.46)</f>
        <v>30.46</v>
      </c>
      <c r="F433" s="1">
        <f>IFERROR(__xludf.DUMMYFUNCTION("""COMPUTED_VALUE"""),412558.0)</f>
        <v>412558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IFERROR(__xludf.DUMMYFUNCTION("""COMPUTED_VALUE"""),30.6)</f>
        <v>30.6</v>
      </c>
      <c r="C434" s="1">
        <f>IFERROR(__xludf.DUMMYFUNCTION("""COMPUTED_VALUE"""),30.96)</f>
        <v>30.96</v>
      </c>
      <c r="D434" s="1">
        <f>IFERROR(__xludf.DUMMYFUNCTION("""COMPUTED_VALUE"""),30.32)</f>
        <v>30.32</v>
      </c>
      <c r="E434" s="1">
        <f>IFERROR(__xludf.DUMMYFUNCTION("""COMPUTED_VALUE"""),30.46)</f>
        <v>30.46</v>
      </c>
      <c r="F434" s="1">
        <f>IFERROR(__xludf.DUMMYFUNCTION("""COMPUTED_VALUE"""),805366.0)</f>
        <v>805366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IFERROR(__xludf.DUMMYFUNCTION("""COMPUTED_VALUE"""),30.41)</f>
        <v>30.41</v>
      </c>
      <c r="C435" s="1">
        <f>IFERROR(__xludf.DUMMYFUNCTION("""COMPUTED_VALUE"""),30.65)</f>
        <v>30.65</v>
      </c>
      <c r="D435" s="1">
        <f>IFERROR(__xludf.DUMMYFUNCTION("""COMPUTED_VALUE"""),29.91)</f>
        <v>29.91</v>
      </c>
      <c r="E435" s="1">
        <f>IFERROR(__xludf.DUMMYFUNCTION("""COMPUTED_VALUE"""),30.0)</f>
        <v>30</v>
      </c>
      <c r="F435" s="1">
        <f>IFERROR(__xludf.DUMMYFUNCTION("""COMPUTED_VALUE"""),1609716.0)</f>
        <v>1609716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IFERROR(__xludf.DUMMYFUNCTION("""COMPUTED_VALUE"""),29.04)</f>
        <v>29.04</v>
      </c>
      <c r="C436" s="1">
        <f>IFERROR(__xludf.DUMMYFUNCTION("""COMPUTED_VALUE"""),29.69)</f>
        <v>29.69</v>
      </c>
      <c r="D436" s="1">
        <f>IFERROR(__xludf.DUMMYFUNCTION("""COMPUTED_VALUE"""),27.76)</f>
        <v>27.76</v>
      </c>
      <c r="E436" s="1">
        <f>IFERROR(__xludf.DUMMYFUNCTION("""COMPUTED_VALUE"""),28.54)</f>
        <v>28.54</v>
      </c>
      <c r="F436" s="1">
        <f>IFERROR(__xludf.DUMMYFUNCTION("""COMPUTED_VALUE"""),1433139.0)</f>
        <v>1433139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IFERROR(__xludf.DUMMYFUNCTION("""COMPUTED_VALUE"""),27.99)</f>
        <v>27.99</v>
      </c>
      <c r="C437" s="1">
        <f>IFERROR(__xludf.DUMMYFUNCTION("""COMPUTED_VALUE"""),29.92)</f>
        <v>29.92</v>
      </c>
      <c r="D437" s="1">
        <f>IFERROR(__xludf.DUMMYFUNCTION("""COMPUTED_VALUE"""),27.99)</f>
        <v>27.99</v>
      </c>
      <c r="E437" s="1">
        <f>IFERROR(__xludf.DUMMYFUNCTION("""COMPUTED_VALUE"""),29.63)</f>
        <v>29.63</v>
      </c>
      <c r="F437" s="1">
        <f>IFERROR(__xludf.DUMMYFUNCTION("""COMPUTED_VALUE"""),968437.0)</f>
        <v>968437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IFERROR(__xludf.DUMMYFUNCTION("""COMPUTED_VALUE"""),29.82)</f>
        <v>29.82</v>
      </c>
      <c r="C438" s="1">
        <f>IFERROR(__xludf.DUMMYFUNCTION("""COMPUTED_VALUE"""),29.91)</f>
        <v>29.91</v>
      </c>
      <c r="D438" s="1">
        <f>IFERROR(__xludf.DUMMYFUNCTION("""COMPUTED_VALUE"""),28.69)</f>
        <v>28.69</v>
      </c>
      <c r="E438" s="1">
        <f>IFERROR(__xludf.DUMMYFUNCTION("""COMPUTED_VALUE"""),29.08)</f>
        <v>29.08</v>
      </c>
      <c r="F438" s="1">
        <f>IFERROR(__xludf.DUMMYFUNCTION("""COMPUTED_VALUE"""),910699.0)</f>
        <v>910699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IFERROR(__xludf.DUMMYFUNCTION("""COMPUTED_VALUE"""),29.56)</f>
        <v>29.56</v>
      </c>
      <c r="C439" s="1">
        <f>IFERROR(__xludf.DUMMYFUNCTION("""COMPUTED_VALUE"""),30.44)</f>
        <v>30.44</v>
      </c>
      <c r="D439" s="1">
        <f>IFERROR(__xludf.DUMMYFUNCTION("""COMPUTED_VALUE"""),29.34)</f>
        <v>29.34</v>
      </c>
      <c r="E439" s="1">
        <f>IFERROR(__xludf.DUMMYFUNCTION("""COMPUTED_VALUE"""),29.49)</f>
        <v>29.49</v>
      </c>
      <c r="F439" s="1">
        <f>IFERROR(__xludf.DUMMYFUNCTION("""COMPUTED_VALUE"""),654173.0)</f>
        <v>654173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IFERROR(__xludf.DUMMYFUNCTION("""COMPUTED_VALUE"""),29.7)</f>
        <v>29.7</v>
      </c>
      <c r="C440" s="1">
        <f>IFERROR(__xludf.DUMMYFUNCTION("""COMPUTED_VALUE"""),29.74)</f>
        <v>29.74</v>
      </c>
      <c r="D440" s="1">
        <f>IFERROR(__xludf.DUMMYFUNCTION("""COMPUTED_VALUE"""),28.49)</f>
        <v>28.49</v>
      </c>
      <c r="E440" s="1">
        <f>IFERROR(__xludf.DUMMYFUNCTION("""COMPUTED_VALUE"""),28.5)</f>
        <v>28.5</v>
      </c>
      <c r="F440" s="1">
        <f>IFERROR(__xludf.DUMMYFUNCTION("""COMPUTED_VALUE"""),832708.0)</f>
        <v>832708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IFERROR(__xludf.DUMMYFUNCTION("""COMPUTED_VALUE"""),29.1)</f>
        <v>29.1</v>
      </c>
      <c r="C441" s="1">
        <f>IFERROR(__xludf.DUMMYFUNCTION("""COMPUTED_VALUE"""),29.23)</f>
        <v>29.23</v>
      </c>
      <c r="D441" s="1">
        <f>IFERROR(__xludf.DUMMYFUNCTION("""COMPUTED_VALUE"""),28.63)</f>
        <v>28.63</v>
      </c>
      <c r="E441" s="1">
        <f>IFERROR(__xludf.DUMMYFUNCTION("""COMPUTED_VALUE"""),29.23)</f>
        <v>29.23</v>
      </c>
      <c r="F441" s="1">
        <f>IFERROR(__xludf.DUMMYFUNCTION("""COMPUTED_VALUE"""),885405.0)</f>
        <v>885405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IFERROR(__xludf.DUMMYFUNCTION("""COMPUTED_VALUE"""),28.81)</f>
        <v>28.81</v>
      </c>
      <c r="C442" s="1">
        <f>IFERROR(__xludf.DUMMYFUNCTION("""COMPUTED_VALUE"""),29.16)</f>
        <v>29.16</v>
      </c>
      <c r="D442" s="1">
        <f>IFERROR(__xludf.DUMMYFUNCTION("""COMPUTED_VALUE"""),28.57)</f>
        <v>28.57</v>
      </c>
      <c r="E442" s="1">
        <f>IFERROR(__xludf.DUMMYFUNCTION("""COMPUTED_VALUE"""),28.62)</f>
        <v>28.62</v>
      </c>
      <c r="F442" s="1">
        <f>IFERROR(__xludf.DUMMYFUNCTION("""COMPUTED_VALUE"""),908803.0)</f>
        <v>908803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IFERROR(__xludf.DUMMYFUNCTION("""COMPUTED_VALUE"""),28.62)</f>
        <v>28.62</v>
      </c>
      <c r="C443" s="1">
        <f>IFERROR(__xludf.DUMMYFUNCTION("""COMPUTED_VALUE"""),29.52)</f>
        <v>29.52</v>
      </c>
      <c r="D443" s="1">
        <f>IFERROR(__xludf.DUMMYFUNCTION("""COMPUTED_VALUE"""),28.02)</f>
        <v>28.02</v>
      </c>
      <c r="E443" s="1">
        <f>IFERROR(__xludf.DUMMYFUNCTION("""COMPUTED_VALUE"""),28.03)</f>
        <v>28.03</v>
      </c>
      <c r="F443" s="1">
        <f>IFERROR(__xludf.DUMMYFUNCTION("""COMPUTED_VALUE"""),1225314.0)</f>
        <v>1225314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IFERROR(__xludf.DUMMYFUNCTION("""COMPUTED_VALUE"""),27.68)</f>
        <v>27.68</v>
      </c>
      <c r="C444" s="1">
        <f>IFERROR(__xludf.DUMMYFUNCTION("""COMPUTED_VALUE"""),27.97)</f>
        <v>27.97</v>
      </c>
      <c r="D444" s="1">
        <f>IFERROR(__xludf.DUMMYFUNCTION("""COMPUTED_VALUE"""),26.85)</f>
        <v>26.85</v>
      </c>
      <c r="E444" s="1">
        <f>IFERROR(__xludf.DUMMYFUNCTION("""COMPUTED_VALUE"""),27.77)</f>
        <v>27.77</v>
      </c>
      <c r="F444" s="1">
        <f>IFERROR(__xludf.DUMMYFUNCTION("""COMPUTED_VALUE"""),1253116.0)</f>
        <v>1253116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IFERROR(__xludf.DUMMYFUNCTION("""COMPUTED_VALUE"""),27.87)</f>
        <v>27.87</v>
      </c>
      <c r="C445" s="1">
        <f>IFERROR(__xludf.DUMMYFUNCTION("""COMPUTED_VALUE"""),29.08)</f>
        <v>29.08</v>
      </c>
      <c r="D445" s="1">
        <f>IFERROR(__xludf.DUMMYFUNCTION("""COMPUTED_VALUE"""),27.73)</f>
        <v>27.73</v>
      </c>
      <c r="E445" s="1">
        <f>IFERROR(__xludf.DUMMYFUNCTION("""COMPUTED_VALUE"""),28.95)</f>
        <v>28.95</v>
      </c>
      <c r="F445" s="1">
        <f>IFERROR(__xludf.DUMMYFUNCTION("""COMPUTED_VALUE"""),921058.0)</f>
        <v>921058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IFERROR(__xludf.DUMMYFUNCTION("""COMPUTED_VALUE"""),28.86)</f>
        <v>28.86</v>
      </c>
      <c r="C446" s="1">
        <f>IFERROR(__xludf.DUMMYFUNCTION("""COMPUTED_VALUE"""),29.13)</f>
        <v>29.13</v>
      </c>
      <c r="D446" s="1">
        <f>IFERROR(__xludf.DUMMYFUNCTION("""COMPUTED_VALUE"""),28.61)</f>
        <v>28.61</v>
      </c>
      <c r="E446" s="1">
        <f>IFERROR(__xludf.DUMMYFUNCTION("""COMPUTED_VALUE"""),29.05)</f>
        <v>29.05</v>
      </c>
      <c r="F446" s="1">
        <f>IFERROR(__xludf.DUMMYFUNCTION("""COMPUTED_VALUE"""),742194.0)</f>
        <v>742194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IFERROR(__xludf.DUMMYFUNCTION("""COMPUTED_VALUE"""),29.15)</f>
        <v>29.15</v>
      </c>
      <c r="C447" s="1">
        <f>IFERROR(__xludf.DUMMYFUNCTION("""COMPUTED_VALUE"""),29.25)</f>
        <v>29.25</v>
      </c>
      <c r="D447" s="1">
        <f>IFERROR(__xludf.DUMMYFUNCTION("""COMPUTED_VALUE"""),27.87)</f>
        <v>27.87</v>
      </c>
      <c r="E447" s="1">
        <f>IFERROR(__xludf.DUMMYFUNCTION("""COMPUTED_VALUE"""),27.93)</f>
        <v>27.93</v>
      </c>
      <c r="F447" s="1">
        <f>IFERROR(__xludf.DUMMYFUNCTION("""COMPUTED_VALUE"""),1014661.0)</f>
        <v>1014661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IFERROR(__xludf.DUMMYFUNCTION("""COMPUTED_VALUE"""),28.39)</f>
        <v>28.39</v>
      </c>
      <c r="C448" s="1">
        <f>IFERROR(__xludf.DUMMYFUNCTION("""COMPUTED_VALUE"""),29.24)</f>
        <v>29.24</v>
      </c>
      <c r="D448" s="1">
        <f>IFERROR(__xludf.DUMMYFUNCTION("""COMPUTED_VALUE"""),28.39)</f>
        <v>28.39</v>
      </c>
      <c r="E448" s="1">
        <f>IFERROR(__xludf.DUMMYFUNCTION("""COMPUTED_VALUE"""),29.01)</f>
        <v>29.01</v>
      </c>
      <c r="F448" s="1">
        <f>IFERROR(__xludf.DUMMYFUNCTION("""COMPUTED_VALUE"""),595665.0)</f>
        <v>595665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IFERROR(__xludf.DUMMYFUNCTION("""COMPUTED_VALUE"""),28.78)</f>
        <v>28.78</v>
      </c>
      <c r="C449" s="1">
        <f>IFERROR(__xludf.DUMMYFUNCTION("""COMPUTED_VALUE"""),29.32)</f>
        <v>29.32</v>
      </c>
      <c r="D449" s="1">
        <f>IFERROR(__xludf.DUMMYFUNCTION("""COMPUTED_VALUE"""),28.66)</f>
        <v>28.66</v>
      </c>
      <c r="E449" s="1">
        <f>IFERROR(__xludf.DUMMYFUNCTION("""COMPUTED_VALUE"""),28.83)</f>
        <v>28.83</v>
      </c>
      <c r="F449" s="1">
        <f>IFERROR(__xludf.DUMMYFUNCTION("""COMPUTED_VALUE"""),496650.0)</f>
        <v>496650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IFERROR(__xludf.DUMMYFUNCTION("""COMPUTED_VALUE"""),29.05)</f>
        <v>29.05</v>
      </c>
      <c r="C450" s="1">
        <f>IFERROR(__xludf.DUMMYFUNCTION("""COMPUTED_VALUE"""),30.0)</f>
        <v>30</v>
      </c>
      <c r="D450" s="1">
        <f>IFERROR(__xludf.DUMMYFUNCTION("""COMPUTED_VALUE"""),28.89)</f>
        <v>28.89</v>
      </c>
      <c r="E450" s="1">
        <f>IFERROR(__xludf.DUMMYFUNCTION("""COMPUTED_VALUE"""),29.35)</f>
        <v>29.35</v>
      </c>
      <c r="F450" s="1">
        <f>IFERROR(__xludf.DUMMYFUNCTION("""COMPUTED_VALUE"""),810205.0)</f>
        <v>810205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IFERROR(__xludf.DUMMYFUNCTION("""COMPUTED_VALUE"""),29.16)</f>
        <v>29.16</v>
      </c>
      <c r="C451" s="1">
        <f>IFERROR(__xludf.DUMMYFUNCTION("""COMPUTED_VALUE"""),29.38)</f>
        <v>29.38</v>
      </c>
      <c r="D451" s="1">
        <f>IFERROR(__xludf.DUMMYFUNCTION("""COMPUTED_VALUE"""),28.7)</f>
        <v>28.7</v>
      </c>
      <c r="E451" s="1">
        <f>IFERROR(__xludf.DUMMYFUNCTION("""COMPUTED_VALUE"""),29.19)</f>
        <v>29.19</v>
      </c>
      <c r="F451" s="1">
        <f>IFERROR(__xludf.DUMMYFUNCTION("""COMPUTED_VALUE"""),478679.0)</f>
        <v>478679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IFERROR(__xludf.DUMMYFUNCTION("""COMPUTED_VALUE"""),29.51)</f>
        <v>29.51</v>
      </c>
      <c r="C452" s="1">
        <f>IFERROR(__xludf.DUMMYFUNCTION("""COMPUTED_VALUE"""),29.55)</f>
        <v>29.55</v>
      </c>
      <c r="D452" s="1">
        <f>IFERROR(__xludf.DUMMYFUNCTION("""COMPUTED_VALUE"""),28.98)</f>
        <v>28.98</v>
      </c>
      <c r="E452" s="1">
        <f>IFERROR(__xludf.DUMMYFUNCTION("""COMPUTED_VALUE"""),29.55)</f>
        <v>29.55</v>
      </c>
      <c r="F452" s="1">
        <f>IFERROR(__xludf.DUMMYFUNCTION("""COMPUTED_VALUE"""),590512.0)</f>
        <v>590512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IFERROR(__xludf.DUMMYFUNCTION("""COMPUTED_VALUE"""),29.4)</f>
        <v>29.4</v>
      </c>
      <c r="C453" s="1">
        <f>IFERROR(__xludf.DUMMYFUNCTION("""COMPUTED_VALUE"""),29.7)</f>
        <v>29.7</v>
      </c>
      <c r="D453" s="1">
        <f>IFERROR(__xludf.DUMMYFUNCTION("""COMPUTED_VALUE"""),28.21)</f>
        <v>28.21</v>
      </c>
      <c r="E453" s="1">
        <f>IFERROR(__xludf.DUMMYFUNCTION("""COMPUTED_VALUE"""),28.32)</f>
        <v>28.32</v>
      </c>
      <c r="F453" s="1">
        <f>IFERROR(__xludf.DUMMYFUNCTION("""COMPUTED_VALUE"""),809627.0)</f>
        <v>809627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IFERROR(__xludf.DUMMYFUNCTION("""COMPUTED_VALUE"""),28.28)</f>
        <v>28.28</v>
      </c>
      <c r="C454" s="1">
        <f>IFERROR(__xludf.DUMMYFUNCTION("""COMPUTED_VALUE"""),29.13)</f>
        <v>29.13</v>
      </c>
      <c r="D454" s="1">
        <f>IFERROR(__xludf.DUMMYFUNCTION("""COMPUTED_VALUE"""),27.98)</f>
        <v>27.98</v>
      </c>
      <c r="E454" s="1">
        <f>IFERROR(__xludf.DUMMYFUNCTION("""COMPUTED_VALUE"""),29.0)</f>
        <v>29</v>
      </c>
      <c r="F454" s="1">
        <f>IFERROR(__xludf.DUMMYFUNCTION("""COMPUTED_VALUE"""),818117.0)</f>
        <v>818117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IFERROR(__xludf.DUMMYFUNCTION("""COMPUTED_VALUE"""),29.0)</f>
        <v>29</v>
      </c>
      <c r="C455" s="1">
        <f>IFERROR(__xludf.DUMMYFUNCTION("""COMPUTED_VALUE"""),29.33)</f>
        <v>29.33</v>
      </c>
      <c r="D455" s="1">
        <f>IFERROR(__xludf.DUMMYFUNCTION("""COMPUTED_VALUE"""),28.62)</f>
        <v>28.62</v>
      </c>
      <c r="E455" s="1">
        <f>IFERROR(__xludf.DUMMYFUNCTION("""COMPUTED_VALUE"""),28.71)</f>
        <v>28.71</v>
      </c>
      <c r="F455" s="1">
        <f>IFERROR(__xludf.DUMMYFUNCTION("""COMPUTED_VALUE"""),513823.0)</f>
        <v>513823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IFERROR(__xludf.DUMMYFUNCTION("""COMPUTED_VALUE"""),28.66)</f>
        <v>28.66</v>
      </c>
      <c r="C456" s="1">
        <f>IFERROR(__xludf.DUMMYFUNCTION("""COMPUTED_VALUE"""),29.11)</f>
        <v>29.11</v>
      </c>
      <c r="D456" s="1">
        <f>IFERROR(__xludf.DUMMYFUNCTION("""COMPUTED_VALUE"""),28.19)</f>
        <v>28.19</v>
      </c>
      <c r="E456" s="1">
        <f>IFERROR(__xludf.DUMMYFUNCTION("""COMPUTED_VALUE"""),29.07)</f>
        <v>29.07</v>
      </c>
      <c r="F456" s="1">
        <f>IFERROR(__xludf.DUMMYFUNCTION("""COMPUTED_VALUE"""),397407.0)</f>
        <v>397407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IFERROR(__xludf.DUMMYFUNCTION("""COMPUTED_VALUE"""),29.37)</f>
        <v>29.37</v>
      </c>
      <c r="C457" s="1">
        <f>IFERROR(__xludf.DUMMYFUNCTION("""COMPUTED_VALUE"""),29.87)</f>
        <v>29.87</v>
      </c>
      <c r="D457" s="1">
        <f>IFERROR(__xludf.DUMMYFUNCTION("""COMPUTED_VALUE"""),29.23)</f>
        <v>29.23</v>
      </c>
      <c r="E457" s="1">
        <f>IFERROR(__xludf.DUMMYFUNCTION("""COMPUTED_VALUE"""),29.64)</f>
        <v>29.64</v>
      </c>
      <c r="F457" s="1">
        <f>IFERROR(__xludf.DUMMYFUNCTION("""COMPUTED_VALUE"""),368688.0)</f>
        <v>368688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IFERROR(__xludf.DUMMYFUNCTION("""COMPUTED_VALUE"""),29.67)</f>
        <v>29.67</v>
      </c>
      <c r="C458" s="1">
        <f>IFERROR(__xludf.DUMMYFUNCTION("""COMPUTED_VALUE"""),31.54)</f>
        <v>31.54</v>
      </c>
      <c r="D458" s="1">
        <f>IFERROR(__xludf.DUMMYFUNCTION("""COMPUTED_VALUE"""),29.62)</f>
        <v>29.62</v>
      </c>
      <c r="E458" s="1">
        <f>IFERROR(__xludf.DUMMYFUNCTION("""COMPUTED_VALUE"""),31.49)</f>
        <v>31.49</v>
      </c>
      <c r="F458" s="1">
        <f>IFERROR(__xludf.DUMMYFUNCTION("""COMPUTED_VALUE"""),817919.0)</f>
        <v>817919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IFERROR(__xludf.DUMMYFUNCTION("""COMPUTED_VALUE"""),31.15)</f>
        <v>31.15</v>
      </c>
      <c r="C459" s="1">
        <f>IFERROR(__xludf.DUMMYFUNCTION("""COMPUTED_VALUE"""),31.54)</f>
        <v>31.54</v>
      </c>
      <c r="D459" s="1">
        <f>IFERROR(__xludf.DUMMYFUNCTION("""COMPUTED_VALUE"""),30.82)</f>
        <v>30.82</v>
      </c>
      <c r="E459" s="1">
        <f>IFERROR(__xludf.DUMMYFUNCTION("""COMPUTED_VALUE"""),31.36)</f>
        <v>31.36</v>
      </c>
      <c r="F459" s="1">
        <f>IFERROR(__xludf.DUMMYFUNCTION("""COMPUTED_VALUE"""),754399.0)</f>
        <v>754399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IFERROR(__xludf.DUMMYFUNCTION("""COMPUTED_VALUE"""),31.49)</f>
        <v>31.49</v>
      </c>
      <c r="C460" s="1">
        <f>IFERROR(__xludf.DUMMYFUNCTION("""COMPUTED_VALUE"""),31.69)</f>
        <v>31.69</v>
      </c>
      <c r="D460" s="1">
        <f>IFERROR(__xludf.DUMMYFUNCTION("""COMPUTED_VALUE"""),30.32)</f>
        <v>30.32</v>
      </c>
      <c r="E460" s="1">
        <f>IFERROR(__xludf.DUMMYFUNCTION("""COMPUTED_VALUE"""),30.78)</f>
        <v>30.78</v>
      </c>
      <c r="F460" s="1">
        <f>IFERROR(__xludf.DUMMYFUNCTION("""COMPUTED_VALUE"""),857548.0)</f>
        <v>857548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IFERROR(__xludf.DUMMYFUNCTION("""COMPUTED_VALUE"""),31.7)</f>
        <v>31.7</v>
      </c>
      <c r="C461" s="1">
        <f>IFERROR(__xludf.DUMMYFUNCTION("""COMPUTED_VALUE"""),33.15)</f>
        <v>33.15</v>
      </c>
      <c r="D461" s="1">
        <f>IFERROR(__xludf.DUMMYFUNCTION("""COMPUTED_VALUE"""),31.37)</f>
        <v>31.37</v>
      </c>
      <c r="E461" s="1">
        <f>IFERROR(__xludf.DUMMYFUNCTION("""COMPUTED_VALUE"""),32.29)</f>
        <v>32.29</v>
      </c>
      <c r="F461" s="1">
        <f>IFERROR(__xludf.DUMMYFUNCTION("""COMPUTED_VALUE"""),904942.0)</f>
        <v>904942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IFERROR(__xludf.DUMMYFUNCTION("""COMPUTED_VALUE"""),32.83)</f>
        <v>32.83</v>
      </c>
      <c r="C462" s="1">
        <f>IFERROR(__xludf.DUMMYFUNCTION("""COMPUTED_VALUE"""),33.65)</f>
        <v>33.65</v>
      </c>
      <c r="D462" s="1">
        <f>IFERROR(__xludf.DUMMYFUNCTION("""COMPUTED_VALUE"""),32.72)</f>
        <v>32.72</v>
      </c>
      <c r="E462" s="1">
        <f>IFERROR(__xludf.DUMMYFUNCTION("""COMPUTED_VALUE"""),33.57)</f>
        <v>33.57</v>
      </c>
      <c r="F462" s="1">
        <f>IFERROR(__xludf.DUMMYFUNCTION("""COMPUTED_VALUE"""),917184.0)</f>
        <v>917184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IFERROR(__xludf.DUMMYFUNCTION("""COMPUTED_VALUE"""),33.21)</f>
        <v>33.21</v>
      </c>
      <c r="C463" s="1">
        <f>IFERROR(__xludf.DUMMYFUNCTION("""COMPUTED_VALUE"""),33.37)</f>
        <v>33.37</v>
      </c>
      <c r="D463" s="1">
        <f>IFERROR(__xludf.DUMMYFUNCTION("""COMPUTED_VALUE"""),32.27)</f>
        <v>32.27</v>
      </c>
      <c r="E463" s="1">
        <f>IFERROR(__xludf.DUMMYFUNCTION("""COMPUTED_VALUE"""),32.28)</f>
        <v>32.28</v>
      </c>
      <c r="F463" s="1">
        <f>IFERROR(__xludf.DUMMYFUNCTION("""COMPUTED_VALUE"""),551743.0)</f>
        <v>551743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IFERROR(__xludf.DUMMYFUNCTION("""COMPUTED_VALUE"""),31.48)</f>
        <v>31.48</v>
      </c>
      <c r="C464" s="1">
        <f>IFERROR(__xludf.DUMMYFUNCTION("""COMPUTED_VALUE"""),31.92)</f>
        <v>31.92</v>
      </c>
      <c r="D464" s="1">
        <f>IFERROR(__xludf.DUMMYFUNCTION("""COMPUTED_VALUE"""),30.76)</f>
        <v>30.76</v>
      </c>
      <c r="E464" s="1">
        <f>IFERROR(__xludf.DUMMYFUNCTION("""COMPUTED_VALUE"""),31.03)</f>
        <v>31.03</v>
      </c>
      <c r="F464" s="1">
        <f>IFERROR(__xludf.DUMMYFUNCTION("""COMPUTED_VALUE"""),759713.0)</f>
        <v>759713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IFERROR(__xludf.DUMMYFUNCTION("""COMPUTED_VALUE"""),29.6)</f>
        <v>29.6</v>
      </c>
      <c r="C465" s="1">
        <f>IFERROR(__xludf.DUMMYFUNCTION("""COMPUTED_VALUE"""),30.53)</f>
        <v>30.53</v>
      </c>
      <c r="D465" s="1">
        <f>IFERROR(__xludf.DUMMYFUNCTION("""COMPUTED_VALUE"""),28.32)</f>
        <v>28.32</v>
      </c>
      <c r="E465" s="1">
        <f>IFERROR(__xludf.DUMMYFUNCTION("""COMPUTED_VALUE"""),29.92)</f>
        <v>29.92</v>
      </c>
      <c r="F465" s="1">
        <f>IFERROR(__xludf.DUMMYFUNCTION("""COMPUTED_VALUE"""),2224199.0)</f>
        <v>2224199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IFERROR(__xludf.DUMMYFUNCTION("""COMPUTED_VALUE"""),30.02)</f>
        <v>30.02</v>
      </c>
      <c r="C466" s="1">
        <f>IFERROR(__xludf.DUMMYFUNCTION("""COMPUTED_VALUE"""),30.31)</f>
        <v>30.31</v>
      </c>
      <c r="D466" s="1">
        <f>IFERROR(__xludf.DUMMYFUNCTION("""COMPUTED_VALUE"""),29.42)</f>
        <v>29.42</v>
      </c>
      <c r="E466" s="1">
        <f>IFERROR(__xludf.DUMMYFUNCTION("""COMPUTED_VALUE"""),29.47)</f>
        <v>29.47</v>
      </c>
      <c r="F466" s="1">
        <f>IFERROR(__xludf.DUMMYFUNCTION("""COMPUTED_VALUE"""),1184192.0)</f>
        <v>1184192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IFERROR(__xludf.DUMMYFUNCTION("""COMPUTED_VALUE"""),29.18)</f>
        <v>29.18</v>
      </c>
      <c r="C467" s="1">
        <f>IFERROR(__xludf.DUMMYFUNCTION("""COMPUTED_VALUE"""),29.64)</f>
        <v>29.64</v>
      </c>
      <c r="D467" s="1">
        <f>IFERROR(__xludf.DUMMYFUNCTION("""COMPUTED_VALUE"""),28.8)</f>
        <v>28.8</v>
      </c>
      <c r="E467" s="1">
        <f>IFERROR(__xludf.DUMMYFUNCTION("""COMPUTED_VALUE"""),28.99)</f>
        <v>28.99</v>
      </c>
      <c r="F467" s="1">
        <f>IFERROR(__xludf.DUMMYFUNCTION("""COMPUTED_VALUE"""),1340223.0)</f>
        <v>1340223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IFERROR(__xludf.DUMMYFUNCTION("""COMPUTED_VALUE"""),29.07)</f>
        <v>29.07</v>
      </c>
      <c r="C468" s="1">
        <f>IFERROR(__xludf.DUMMYFUNCTION("""COMPUTED_VALUE"""),29.7)</f>
        <v>29.7</v>
      </c>
      <c r="D468" s="1">
        <f>IFERROR(__xludf.DUMMYFUNCTION("""COMPUTED_VALUE"""),28.61)</f>
        <v>28.61</v>
      </c>
      <c r="E468" s="1">
        <f>IFERROR(__xludf.DUMMYFUNCTION("""COMPUTED_VALUE"""),29.63)</f>
        <v>29.63</v>
      </c>
      <c r="F468" s="1">
        <f>IFERROR(__xludf.DUMMYFUNCTION("""COMPUTED_VALUE"""),786844.0)</f>
        <v>786844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IFERROR(__xludf.DUMMYFUNCTION("""COMPUTED_VALUE"""),29.86)</f>
        <v>29.86</v>
      </c>
      <c r="C469" s="1">
        <f>IFERROR(__xludf.DUMMYFUNCTION("""COMPUTED_VALUE"""),30.5)</f>
        <v>30.5</v>
      </c>
      <c r="D469" s="1">
        <f>IFERROR(__xludf.DUMMYFUNCTION("""COMPUTED_VALUE"""),29.77)</f>
        <v>29.77</v>
      </c>
      <c r="E469" s="1">
        <f>IFERROR(__xludf.DUMMYFUNCTION("""COMPUTED_VALUE"""),30.29)</f>
        <v>30.29</v>
      </c>
      <c r="F469" s="1">
        <f>IFERROR(__xludf.DUMMYFUNCTION("""COMPUTED_VALUE"""),1346388.0)</f>
        <v>1346388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IFERROR(__xludf.DUMMYFUNCTION("""COMPUTED_VALUE"""),29.6)</f>
        <v>29.6</v>
      </c>
      <c r="C470" s="1">
        <f>IFERROR(__xludf.DUMMYFUNCTION("""COMPUTED_VALUE"""),29.8)</f>
        <v>29.8</v>
      </c>
      <c r="D470" s="1">
        <f>IFERROR(__xludf.DUMMYFUNCTION("""COMPUTED_VALUE"""),28.81)</f>
        <v>28.81</v>
      </c>
      <c r="E470" s="1">
        <f>IFERROR(__xludf.DUMMYFUNCTION("""COMPUTED_VALUE"""),29.06)</f>
        <v>29.06</v>
      </c>
      <c r="F470" s="1">
        <f>IFERROR(__xludf.DUMMYFUNCTION("""COMPUTED_VALUE"""),612258.0)</f>
        <v>612258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IFERROR(__xludf.DUMMYFUNCTION("""COMPUTED_VALUE"""),29.41)</f>
        <v>29.41</v>
      </c>
      <c r="C471" s="1">
        <f>IFERROR(__xludf.DUMMYFUNCTION("""COMPUTED_VALUE"""),29.51)</f>
        <v>29.51</v>
      </c>
      <c r="D471" s="1">
        <f>IFERROR(__xludf.DUMMYFUNCTION("""COMPUTED_VALUE"""),28.86)</f>
        <v>28.86</v>
      </c>
      <c r="E471" s="1">
        <f>IFERROR(__xludf.DUMMYFUNCTION("""COMPUTED_VALUE"""),29.25)</f>
        <v>29.25</v>
      </c>
      <c r="F471" s="1">
        <f>IFERROR(__xludf.DUMMYFUNCTION("""COMPUTED_VALUE"""),602517.0)</f>
        <v>602517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IFERROR(__xludf.DUMMYFUNCTION("""COMPUTED_VALUE"""),29.69)</f>
        <v>29.69</v>
      </c>
      <c r="C472" s="1">
        <f>IFERROR(__xludf.DUMMYFUNCTION("""COMPUTED_VALUE"""),30.08)</f>
        <v>30.08</v>
      </c>
      <c r="D472" s="1">
        <f>IFERROR(__xludf.DUMMYFUNCTION("""COMPUTED_VALUE"""),29.58)</f>
        <v>29.58</v>
      </c>
      <c r="E472" s="1">
        <f>IFERROR(__xludf.DUMMYFUNCTION("""COMPUTED_VALUE"""),29.86)</f>
        <v>29.86</v>
      </c>
      <c r="F472" s="1">
        <f>IFERROR(__xludf.DUMMYFUNCTION("""COMPUTED_VALUE"""),602224.0)</f>
        <v>602224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IFERROR(__xludf.DUMMYFUNCTION("""COMPUTED_VALUE"""),29.7)</f>
        <v>29.7</v>
      </c>
      <c r="C473" s="1">
        <f>IFERROR(__xludf.DUMMYFUNCTION("""COMPUTED_VALUE"""),29.83)</f>
        <v>29.83</v>
      </c>
      <c r="D473" s="1">
        <f>IFERROR(__xludf.DUMMYFUNCTION("""COMPUTED_VALUE"""),29.31)</f>
        <v>29.31</v>
      </c>
      <c r="E473" s="1">
        <f>IFERROR(__xludf.DUMMYFUNCTION("""COMPUTED_VALUE"""),29.53)</f>
        <v>29.53</v>
      </c>
      <c r="F473" s="1">
        <f>IFERROR(__xludf.DUMMYFUNCTION("""COMPUTED_VALUE"""),418736.0)</f>
        <v>418736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IFERROR(__xludf.DUMMYFUNCTION("""COMPUTED_VALUE"""),29.56)</f>
        <v>29.56</v>
      </c>
      <c r="C474" s="1">
        <f>IFERROR(__xludf.DUMMYFUNCTION("""COMPUTED_VALUE"""),29.82)</f>
        <v>29.82</v>
      </c>
      <c r="D474" s="1">
        <f>IFERROR(__xludf.DUMMYFUNCTION("""COMPUTED_VALUE"""),28.9)</f>
        <v>28.9</v>
      </c>
      <c r="E474" s="1">
        <f>IFERROR(__xludf.DUMMYFUNCTION("""COMPUTED_VALUE"""),29.03)</f>
        <v>29.03</v>
      </c>
      <c r="F474" s="1">
        <f>IFERROR(__xludf.DUMMYFUNCTION("""COMPUTED_VALUE"""),733474.0)</f>
        <v>733474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IFERROR(__xludf.DUMMYFUNCTION("""COMPUTED_VALUE"""),28.77)</f>
        <v>28.77</v>
      </c>
      <c r="C475" s="1">
        <f>IFERROR(__xludf.DUMMYFUNCTION("""COMPUTED_VALUE"""),29.48)</f>
        <v>29.48</v>
      </c>
      <c r="D475" s="1">
        <f>IFERROR(__xludf.DUMMYFUNCTION("""COMPUTED_VALUE"""),28.56)</f>
        <v>28.56</v>
      </c>
      <c r="E475" s="1">
        <f>IFERROR(__xludf.DUMMYFUNCTION("""COMPUTED_VALUE"""),29.02)</f>
        <v>29.02</v>
      </c>
      <c r="F475" s="1">
        <f>IFERROR(__xludf.DUMMYFUNCTION("""COMPUTED_VALUE"""),711756.0)</f>
        <v>711756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IFERROR(__xludf.DUMMYFUNCTION("""COMPUTED_VALUE"""),29.01)</f>
        <v>29.01</v>
      </c>
      <c r="C476" s="1">
        <f>IFERROR(__xludf.DUMMYFUNCTION("""COMPUTED_VALUE"""),29.08)</f>
        <v>29.08</v>
      </c>
      <c r="D476" s="1">
        <f>IFERROR(__xludf.DUMMYFUNCTION("""COMPUTED_VALUE"""),28.58)</f>
        <v>28.58</v>
      </c>
      <c r="E476" s="1">
        <f>IFERROR(__xludf.DUMMYFUNCTION("""COMPUTED_VALUE"""),28.92)</f>
        <v>28.92</v>
      </c>
      <c r="F476" s="1">
        <f>IFERROR(__xludf.DUMMYFUNCTION("""COMPUTED_VALUE"""),972409.0)</f>
        <v>972409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IFERROR(__xludf.DUMMYFUNCTION("""COMPUTED_VALUE"""),29.14)</f>
        <v>29.14</v>
      </c>
      <c r="C477" s="1">
        <f>IFERROR(__xludf.DUMMYFUNCTION("""COMPUTED_VALUE"""),29.14)</f>
        <v>29.14</v>
      </c>
      <c r="D477" s="1">
        <f>IFERROR(__xludf.DUMMYFUNCTION("""COMPUTED_VALUE"""),28.27)</f>
        <v>28.27</v>
      </c>
      <c r="E477" s="1">
        <f>IFERROR(__xludf.DUMMYFUNCTION("""COMPUTED_VALUE"""),28.31)</f>
        <v>28.31</v>
      </c>
      <c r="F477" s="1">
        <f>IFERROR(__xludf.DUMMYFUNCTION("""COMPUTED_VALUE"""),619935.0)</f>
        <v>619935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IFERROR(__xludf.DUMMYFUNCTION("""COMPUTED_VALUE"""),27.84)</f>
        <v>27.84</v>
      </c>
      <c r="C478" s="1">
        <f>IFERROR(__xludf.DUMMYFUNCTION("""COMPUTED_VALUE"""),28.16)</f>
        <v>28.16</v>
      </c>
      <c r="D478" s="1">
        <f>IFERROR(__xludf.DUMMYFUNCTION("""COMPUTED_VALUE"""),27.75)</f>
        <v>27.75</v>
      </c>
      <c r="E478" s="1">
        <f>IFERROR(__xludf.DUMMYFUNCTION("""COMPUTED_VALUE"""),28.03)</f>
        <v>28.03</v>
      </c>
      <c r="F478" s="1">
        <f>IFERROR(__xludf.DUMMYFUNCTION("""COMPUTED_VALUE"""),517097.0)</f>
        <v>517097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IFERROR(__xludf.DUMMYFUNCTION("""COMPUTED_VALUE"""),28.0)</f>
        <v>28</v>
      </c>
      <c r="C479" s="1">
        <f>IFERROR(__xludf.DUMMYFUNCTION("""COMPUTED_VALUE"""),28.36)</f>
        <v>28.36</v>
      </c>
      <c r="D479" s="1">
        <f>IFERROR(__xludf.DUMMYFUNCTION("""COMPUTED_VALUE"""),27.85)</f>
        <v>27.85</v>
      </c>
      <c r="E479" s="1">
        <f>IFERROR(__xludf.DUMMYFUNCTION("""COMPUTED_VALUE"""),28.02)</f>
        <v>28.02</v>
      </c>
      <c r="F479" s="1">
        <f>IFERROR(__xludf.DUMMYFUNCTION("""COMPUTED_VALUE"""),937728.0)</f>
        <v>937728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IFERROR(__xludf.DUMMYFUNCTION("""COMPUTED_VALUE"""),27.85)</f>
        <v>27.85</v>
      </c>
      <c r="C480" s="1">
        <f>IFERROR(__xludf.DUMMYFUNCTION("""COMPUTED_VALUE"""),28.08)</f>
        <v>28.08</v>
      </c>
      <c r="D480" s="1">
        <f>IFERROR(__xludf.DUMMYFUNCTION("""COMPUTED_VALUE"""),27.45)</f>
        <v>27.45</v>
      </c>
      <c r="E480" s="1">
        <f>IFERROR(__xludf.DUMMYFUNCTION("""COMPUTED_VALUE"""),27.73)</f>
        <v>27.73</v>
      </c>
      <c r="F480" s="1">
        <f>IFERROR(__xludf.DUMMYFUNCTION("""COMPUTED_VALUE"""),540665.0)</f>
        <v>540665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IFERROR(__xludf.DUMMYFUNCTION("""COMPUTED_VALUE"""),27.69)</f>
        <v>27.69</v>
      </c>
      <c r="C481" s="1">
        <f>IFERROR(__xludf.DUMMYFUNCTION("""COMPUTED_VALUE"""),27.69)</f>
        <v>27.69</v>
      </c>
      <c r="D481" s="1">
        <f>IFERROR(__xludf.DUMMYFUNCTION("""COMPUTED_VALUE"""),26.98)</f>
        <v>26.98</v>
      </c>
      <c r="E481" s="1">
        <f>IFERROR(__xludf.DUMMYFUNCTION("""COMPUTED_VALUE"""),27.03)</f>
        <v>27.03</v>
      </c>
      <c r="F481" s="1">
        <f>IFERROR(__xludf.DUMMYFUNCTION("""COMPUTED_VALUE"""),233576.0)</f>
        <v>233576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IFERROR(__xludf.DUMMYFUNCTION("""COMPUTED_VALUE"""),27.77)</f>
        <v>27.77</v>
      </c>
      <c r="C482" s="1">
        <f>IFERROR(__xludf.DUMMYFUNCTION("""COMPUTED_VALUE"""),28.22)</f>
        <v>28.22</v>
      </c>
      <c r="D482" s="1">
        <f>IFERROR(__xludf.DUMMYFUNCTION("""COMPUTED_VALUE"""),27.6)</f>
        <v>27.6</v>
      </c>
      <c r="E482" s="1">
        <f>IFERROR(__xludf.DUMMYFUNCTION("""COMPUTED_VALUE"""),27.76)</f>
        <v>27.76</v>
      </c>
      <c r="F482" s="1">
        <f>IFERROR(__xludf.DUMMYFUNCTION("""COMPUTED_VALUE"""),427103.0)</f>
        <v>427103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IFERROR(__xludf.DUMMYFUNCTION("""COMPUTED_VALUE"""),27.91)</f>
        <v>27.91</v>
      </c>
      <c r="C483" s="1">
        <f>IFERROR(__xludf.DUMMYFUNCTION("""COMPUTED_VALUE"""),28.0)</f>
        <v>28</v>
      </c>
      <c r="D483" s="1">
        <f>IFERROR(__xludf.DUMMYFUNCTION("""COMPUTED_VALUE"""),27.28)</f>
        <v>27.28</v>
      </c>
      <c r="E483" s="1">
        <f>IFERROR(__xludf.DUMMYFUNCTION("""COMPUTED_VALUE"""),27.3)</f>
        <v>27.3</v>
      </c>
      <c r="F483" s="1">
        <f>IFERROR(__xludf.DUMMYFUNCTION("""COMPUTED_VALUE"""),600973.0)</f>
        <v>600973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IFERROR(__xludf.DUMMYFUNCTION("""COMPUTED_VALUE"""),28.06)</f>
        <v>28.06</v>
      </c>
      <c r="C484" s="1">
        <f>IFERROR(__xludf.DUMMYFUNCTION("""COMPUTED_VALUE"""),28.54)</f>
        <v>28.54</v>
      </c>
      <c r="D484" s="1">
        <f>IFERROR(__xludf.DUMMYFUNCTION("""COMPUTED_VALUE"""),28.06)</f>
        <v>28.06</v>
      </c>
      <c r="E484" s="1">
        <f>IFERROR(__xludf.DUMMYFUNCTION("""COMPUTED_VALUE"""),28.35)</f>
        <v>28.35</v>
      </c>
      <c r="F484" s="1">
        <f>IFERROR(__xludf.DUMMYFUNCTION("""COMPUTED_VALUE"""),1490627.0)</f>
        <v>1490627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IFERROR(__xludf.DUMMYFUNCTION("""COMPUTED_VALUE"""),28.27)</f>
        <v>28.27</v>
      </c>
      <c r="C485" s="1">
        <f>IFERROR(__xludf.DUMMYFUNCTION("""COMPUTED_VALUE"""),28.66)</f>
        <v>28.66</v>
      </c>
      <c r="D485" s="1">
        <f>IFERROR(__xludf.DUMMYFUNCTION("""COMPUTED_VALUE"""),28.01)</f>
        <v>28.01</v>
      </c>
      <c r="E485" s="1">
        <f>IFERROR(__xludf.DUMMYFUNCTION("""COMPUTED_VALUE"""),28.46)</f>
        <v>28.46</v>
      </c>
      <c r="F485" s="1">
        <f>IFERROR(__xludf.DUMMYFUNCTION("""COMPUTED_VALUE"""),521257.0)</f>
        <v>521257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IFERROR(__xludf.DUMMYFUNCTION("""COMPUTED_VALUE"""),28.77)</f>
        <v>28.77</v>
      </c>
      <c r="C486" s="1">
        <f>IFERROR(__xludf.DUMMYFUNCTION("""COMPUTED_VALUE"""),28.77)</f>
        <v>28.77</v>
      </c>
      <c r="D486" s="1">
        <f>IFERROR(__xludf.DUMMYFUNCTION("""COMPUTED_VALUE"""),27.97)</f>
        <v>27.97</v>
      </c>
      <c r="E486" s="1">
        <f>IFERROR(__xludf.DUMMYFUNCTION("""COMPUTED_VALUE"""),28.03)</f>
        <v>28.03</v>
      </c>
      <c r="F486" s="1">
        <f>IFERROR(__xludf.DUMMYFUNCTION("""COMPUTED_VALUE"""),527413.0)</f>
        <v>527413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IFERROR(__xludf.DUMMYFUNCTION("""COMPUTED_VALUE"""),28.47)</f>
        <v>28.47</v>
      </c>
      <c r="C487" s="1">
        <f>IFERROR(__xludf.DUMMYFUNCTION("""COMPUTED_VALUE"""),28.47)</f>
        <v>28.47</v>
      </c>
      <c r="D487" s="1">
        <f>IFERROR(__xludf.DUMMYFUNCTION("""COMPUTED_VALUE"""),28.06)</f>
        <v>28.06</v>
      </c>
      <c r="E487" s="1">
        <f>IFERROR(__xludf.DUMMYFUNCTION("""COMPUTED_VALUE"""),28.21)</f>
        <v>28.21</v>
      </c>
      <c r="F487" s="1">
        <f>IFERROR(__xludf.DUMMYFUNCTION("""COMPUTED_VALUE"""),559965.0)</f>
        <v>559965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IFERROR(__xludf.DUMMYFUNCTION("""COMPUTED_VALUE"""),28.17)</f>
        <v>28.17</v>
      </c>
      <c r="C488" s="1">
        <f>IFERROR(__xludf.DUMMYFUNCTION("""COMPUTED_VALUE"""),29.03)</f>
        <v>29.03</v>
      </c>
      <c r="D488" s="1">
        <f>IFERROR(__xludf.DUMMYFUNCTION("""COMPUTED_VALUE"""),28.11)</f>
        <v>28.11</v>
      </c>
      <c r="E488" s="1">
        <f>IFERROR(__xludf.DUMMYFUNCTION("""COMPUTED_VALUE"""),28.87)</f>
        <v>28.87</v>
      </c>
      <c r="F488" s="1">
        <f>IFERROR(__xludf.DUMMYFUNCTION("""COMPUTED_VALUE"""),748251.0)</f>
        <v>748251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IFERROR(__xludf.DUMMYFUNCTION("""COMPUTED_VALUE"""),29.02)</f>
        <v>29.02</v>
      </c>
      <c r="C489" s="1">
        <f>IFERROR(__xludf.DUMMYFUNCTION("""COMPUTED_VALUE"""),29.02)</f>
        <v>29.02</v>
      </c>
      <c r="D489" s="1">
        <f>IFERROR(__xludf.DUMMYFUNCTION("""COMPUTED_VALUE"""),28.18)</f>
        <v>28.18</v>
      </c>
      <c r="E489" s="1">
        <f>IFERROR(__xludf.DUMMYFUNCTION("""COMPUTED_VALUE"""),28.27)</f>
        <v>28.27</v>
      </c>
      <c r="F489" s="1">
        <f>IFERROR(__xludf.DUMMYFUNCTION("""COMPUTED_VALUE"""),670915.0)</f>
        <v>670915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IFERROR(__xludf.DUMMYFUNCTION("""COMPUTED_VALUE"""),27.98)</f>
        <v>27.98</v>
      </c>
      <c r="C490" s="1">
        <f>IFERROR(__xludf.DUMMYFUNCTION("""COMPUTED_VALUE"""),28.27)</f>
        <v>28.27</v>
      </c>
      <c r="D490" s="1">
        <f>IFERROR(__xludf.DUMMYFUNCTION("""COMPUTED_VALUE"""),27.51)</f>
        <v>27.51</v>
      </c>
      <c r="E490" s="1">
        <f>IFERROR(__xludf.DUMMYFUNCTION("""COMPUTED_VALUE"""),27.61)</f>
        <v>27.61</v>
      </c>
      <c r="F490" s="1">
        <f>IFERROR(__xludf.DUMMYFUNCTION("""COMPUTED_VALUE"""),680994.0)</f>
        <v>680994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IFERROR(__xludf.DUMMYFUNCTION("""COMPUTED_VALUE"""),27.74)</f>
        <v>27.74</v>
      </c>
      <c r="C491" s="1">
        <f>IFERROR(__xludf.DUMMYFUNCTION("""COMPUTED_VALUE"""),28.07)</f>
        <v>28.07</v>
      </c>
      <c r="D491" s="1">
        <f>IFERROR(__xludf.DUMMYFUNCTION("""COMPUTED_VALUE"""),27.57)</f>
        <v>27.57</v>
      </c>
      <c r="E491" s="1">
        <f>IFERROR(__xludf.DUMMYFUNCTION("""COMPUTED_VALUE"""),27.7)</f>
        <v>27.7</v>
      </c>
      <c r="F491" s="1">
        <f>IFERROR(__xludf.DUMMYFUNCTION("""COMPUTED_VALUE"""),834942.0)</f>
        <v>834942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IFERROR(__xludf.DUMMYFUNCTION("""COMPUTED_VALUE"""),27.41)</f>
        <v>27.41</v>
      </c>
      <c r="C492" s="1">
        <f>IFERROR(__xludf.DUMMYFUNCTION("""COMPUTED_VALUE"""),27.43)</f>
        <v>27.43</v>
      </c>
      <c r="D492" s="1">
        <f>IFERROR(__xludf.DUMMYFUNCTION("""COMPUTED_VALUE"""),27.02)</f>
        <v>27.02</v>
      </c>
      <c r="E492" s="1">
        <f>IFERROR(__xludf.DUMMYFUNCTION("""COMPUTED_VALUE"""),27.19)</f>
        <v>27.19</v>
      </c>
      <c r="F492" s="1">
        <f>IFERROR(__xludf.DUMMYFUNCTION("""COMPUTED_VALUE"""),863893.0)</f>
        <v>863893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IFERROR(__xludf.DUMMYFUNCTION("""COMPUTED_VALUE"""),27.16)</f>
        <v>27.16</v>
      </c>
      <c r="C493" s="1">
        <f>IFERROR(__xludf.DUMMYFUNCTION("""COMPUTED_VALUE"""),27.5)</f>
        <v>27.5</v>
      </c>
      <c r="D493" s="1">
        <f>IFERROR(__xludf.DUMMYFUNCTION("""COMPUTED_VALUE"""),26.37)</f>
        <v>26.37</v>
      </c>
      <c r="E493" s="1">
        <f>IFERROR(__xludf.DUMMYFUNCTION("""COMPUTED_VALUE"""),26.49)</f>
        <v>26.49</v>
      </c>
      <c r="F493" s="1">
        <f>IFERROR(__xludf.DUMMYFUNCTION("""COMPUTED_VALUE"""),1021767.0)</f>
        <v>1021767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IFERROR(__xludf.DUMMYFUNCTION("""COMPUTED_VALUE"""),26.48)</f>
        <v>26.48</v>
      </c>
      <c r="C494" s="1">
        <f>IFERROR(__xludf.DUMMYFUNCTION("""COMPUTED_VALUE"""),27.0)</f>
        <v>27</v>
      </c>
      <c r="D494" s="1">
        <f>IFERROR(__xludf.DUMMYFUNCTION("""COMPUTED_VALUE"""),25.94)</f>
        <v>25.94</v>
      </c>
      <c r="E494" s="1">
        <f>IFERROR(__xludf.DUMMYFUNCTION("""COMPUTED_VALUE"""),25.95)</f>
        <v>25.95</v>
      </c>
      <c r="F494" s="1">
        <f>IFERROR(__xludf.DUMMYFUNCTION("""COMPUTED_VALUE"""),1458944.0)</f>
        <v>1458944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IFERROR(__xludf.DUMMYFUNCTION("""COMPUTED_VALUE"""),25.52)</f>
        <v>25.52</v>
      </c>
      <c r="C495" s="1">
        <f>IFERROR(__xludf.DUMMYFUNCTION("""COMPUTED_VALUE"""),26.62)</f>
        <v>26.62</v>
      </c>
      <c r="D495" s="1">
        <f>IFERROR(__xludf.DUMMYFUNCTION("""COMPUTED_VALUE"""),25.52)</f>
        <v>25.52</v>
      </c>
      <c r="E495" s="1">
        <f>IFERROR(__xludf.DUMMYFUNCTION("""COMPUTED_VALUE"""),26.47)</f>
        <v>26.47</v>
      </c>
      <c r="F495" s="1">
        <f>IFERROR(__xludf.DUMMYFUNCTION("""COMPUTED_VALUE"""),1118815.0)</f>
        <v>1118815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IFERROR(__xludf.DUMMYFUNCTION("""COMPUTED_VALUE"""),26.47)</f>
        <v>26.47</v>
      </c>
      <c r="C496" s="1">
        <f>IFERROR(__xludf.DUMMYFUNCTION("""COMPUTED_VALUE"""),26.87)</f>
        <v>26.87</v>
      </c>
      <c r="D496" s="1">
        <f>IFERROR(__xludf.DUMMYFUNCTION("""COMPUTED_VALUE"""),26.07)</f>
        <v>26.07</v>
      </c>
      <c r="E496" s="1">
        <f>IFERROR(__xludf.DUMMYFUNCTION("""COMPUTED_VALUE"""),26.38)</f>
        <v>26.38</v>
      </c>
      <c r="F496" s="1">
        <f>IFERROR(__xludf.DUMMYFUNCTION("""COMPUTED_VALUE"""),1090168.0)</f>
        <v>1090168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IFERROR(__xludf.DUMMYFUNCTION("""COMPUTED_VALUE"""),26.5)</f>
        <v>26.5</v>
      </c>
      <c r="C497" s="1">
        <f>IFERROR(__xludf.DUMMYFUNCTION("""COMPUTED_VALUE"""),26.96)</f>
        <v>26.96</v>
      </c>
      <c r="D497" s="1">
        <f>IFERROR(__xludf.DUMMYFUNCTION("""COMPUTED_VALUE"""),26.11)</f>
        <v>26.11</v>
      </c>
      <c r="E497" s="1">
        <f>IFERROR(__xludf.DUMMYFUNCTION("""COMPUTED_VALUE"""),26.2)</f>
        <v>26.2</v>
      </c>
      <c r="F497" s="1">
        <f>IFERROR(__xludf.DUMMYFUNCTION("""COMPUTED_VALUE"""),676779.0)</f>
        <v>676779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IFERROR(__xludf.DUMMYFUNCTION("""COMPUTED_VALUE"""),26.65)</f>
        <v>26.65</v>
      </c>
      <c r="C498" s="1">
        <f>IFERROR(__xludf.DUMMYFUNCTION("""COMPUTED_VALUE"""),27.15)</f>
        <v>27.15</v>
      </c>
      <c r="D498" s="1">
        <f>IFERROR(__xludf.DUMMYFUNCTION("""COMPUTED_VALUE"""),26.56)</f>
        <v>26.56</v>
      </c>
      <c r="E498" s="1">
        <f>IFERROR(__xludf.DUMMYFUNCTION("""COMPUTED_VALUE"""),26.96)</f>
        <v>26.96</v>
      </c>
      <c r="F498" s="1">
        <f>IFERROR(__xludf.DUMMYFUNCTION("""COMPUTED_VALUE"""),963396.0)</f>
        <v>963396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IFERROR(__xludf.DUMMYFUNCTION("""COMPUTED_VALUE"""),26.89)</f>
        <v>26.89</v>
      </c>
      <c r="C499" s="1">
        <f>IFERROR(__xludf.DUMMYFUNCTION("""COMPUTED_VALUE"""),27.1)</f>
        <v>27.1</v>
      </c>
      <c r="D499" s="1">
        <f>IFERROR(__xludf.DUMMYFUNCTION("""COMPUTED_VALUE"""),26.65)</f>
        <v>26.65</v>
      </c>
      <c r="E499" s="1">
        <f>IFERROR(__xludf.DUMMYFUNCTION("""COMPUTED_VALUE"""),27.04)</f>
        <v>27.04</v>
      </c>
      <c r="F499" s="1">
        <f>IFERROR(__xludf.DUMMYFUNCTION("""COMPUTED_VALUE"""),666162.0)</f>
        <v>666162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IFERROR(__xludf.DUMMYFUNCTION("""COMPUTED_VALUE"""),27.11)</f>
        <v>27.11</v>
      </c>
      <c r="C500" s="1">
        <f>IFERROR(__xludf.DUMMYFUNCTION("""COMPUTED_VALUE"""),27.63)</f>
        <v>27.63</v>
      </c>
      <c r="D500" s="1">
        <f>IFERROR(__xludf.DUMMYFUNCTION("""COMPUTED_VALUE"""),27.03)</f>
        <v>27.03</v>
      </c>
      <c r="E500" s="1">
        <f>IFERROR(__xludf.DUMMYFUNCTION("""COMPUTED_VALUE"""),27.47)</f>
        <v>27.47</v>
      </c>
      <c r="F500" s="1">
        <f>IFERROR(__xludf.DUMMYFUNCTION("""COMPUTED_VALUE"""),325875.0)</f>
        <v>325875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IFERROR(__xludf.DUMMYFUNCTION("""COMPUTED_VALUE"""),27.52)</f>
        <v>27.52</v>
      </c>
      <c r="C501" s="1">
        <f>IFERROR(__xludf.DUMMYFUNCTION("""COMPUTED_VALUE"""),27.75)</f>
        <v>27.75</v>
      </c>
      <c r="D501" s="1">
        <f>IFERROR(__xludf.DUMMYFUNCTION("""COMPUTED_VALUE"""),27.09)</f>
        <v>27.09</v>
      </c>
      <c r="E501" s="1">
        <f>IFERROR(__xludf.DUMMYFUNCTION("""COMPUTED_VALUE"""),27.25)</f>
        <v>27.25</v>
      </c>
      <c r="F501" s="1">
        <f>IFERROR(__xludf.DUMMYFUNCTION("""COMPUTED_VALUE"""),244376.0)</f>
        <v>244376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IFERROR(__xludf.DUMMYFUNCTION("""COMPUTED_VALUE"""),27.27)</f>
        <v>27.27</v>
      </c>
      <c r="C502" s="1">
        <f>IFERROR(__xludf.DUMMYFUNCTION("""COMPUTED_VALUE"""),27.7)</f>
        <v>27.7</v>
      </c>
      <c r="D502" s="1">
        <f>IFERROR(__xludf.DUMMYFUNCTION("""COMPUTED_VALUE"""),27.09)</f>
        <v>27.09</v>
      </c>
      <c r="E502" s="1">
        <f>IFERROR(__xludf.DUMMYFUNCTION("""COMPUTED_VALUE"""),27.5)</f>
        <v>27.5</v>
      </c>
      <c r="F502" s="1">
        <f>IFERROR(__xludf.DUMMYFUNCTION("""COMPUTED_VALUE"""),201936.0)</f>
        <v>201936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IFERROR(__xludf.DUMMYFUNCTION("""COMPUTED_VALUE"""),27.4)</f>
        <v>27.4</v>
      </c>
      <c r="C503" s="1">
        <f>IFERROR(__xludf.DUMMYFUNCTION("""COMPUTED_VALUE"""),27.5)</f>
        <v>27.5</v>
      </c>
      <c r="D503" s="1">
        <f>IFERROR(__xludf.DUMMYFUNCTION("""COMPUTED_VALUE"""),26.77)</f>
        <v>26.77</v>
      </c>
      <c r="E503" s="1">
        <f>IFERROR(__xludf.DUMMYFUNCTION("""COMPUTED_VALUE"""),26.87)</f>
        <v>26.87</v>
      </c>
      <c r="F503" s="1">
        <f>IFERROR(__xludf.DUMMYFUNCTION("""COMPUTED_VALUE"""),427221.0)</f>
        <v>427221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IFERROR(__xludf.DUMMYFUNCTION("""COMPUTED_VALUE"""),27.01)</f>
        <v>27.01</v>
      </c>
      <c r="C504" s="1">
        <f>IFERROR(__xludf.DUMMYFUNCTION("""COMPUTED_VALUE"""),27.24)</f>
        <v>27.24</v>
      </c>
      <c r="D504" s="1">
        <f>IFERROR(__xludf.DUMMYFUNCTION("""COMPUTED_VALUE"""),26.82)</f>
        <v>26.82</v>
      </c>
      <c r="E504" s="1">
        <f>IFERROR(__xludf.DUMMYFUNCTION("""COMPUTED_VALUE"""),27.15)</f>
        <v>27.15</v>
      </c>
      <c r="F504" s="1">
        <f>IFERROR(__xludf.DUMMYFUNCTION("""COMPUTED_VALUE"""),295690.0)</f>
        <v>295690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IFERROR(__xludf.DUMMYFUNCTION("""COMPUTED_VALUE"""),27.14)</f>
        <v>27.14</v>
      </c>
      <c r="C505" s="1">
        <f>IFERROR(__xludf.DUMMYFUNCTION("""COMPUTED_VALUE"""),27.47)</f>
        <v>27.47</v>
      </c>
      <c r="D505" s="1">
        <f>IFERROR(__xludf.DUMMYFUNCTION("""COMPUTED_VALUE"""),27.12)</f>
        <v>27.12</v>
      </c>
      <c r="E505" s="1">
        <f>IFERROR(__xludf.DUMMYFUNCTION("""COMPUTED_VALUE"""),27.33)</f>
        <v>27.33</v>
      </c>
      <c r="F505" s="1">
        <f>IFERROR(__xludf.DUMMYFUNCTION("""COMPUTED_VALUE"""),219423.0)</f>
        <v>219423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IFERROR(__xludf.DUMMYFUNCTION("""COMPUTED_VALUE"""),27.86)</f>
        <v>27.86</v>
      </c>
      <c r="C506" s="1">
        <f>IFERROR(__xludf.DUMMYFUNCTION("""COMPUTED_VALUE"""),28.24)</f>
        <v>28.24</v>
      </c>
      <c r="D506" s="1">
        <f>IFERROR(__xludf.DUMMYFUNCTION("""COMPUTED_VALUE"""),27.63)</f>
        <v>27.63</v>
      </c>
      <c r="E506" s="1">
        <f>IFERROR(__xludf.DUMMYFUNCTION("""COMPUTED_VALUE"""),27.75)</f>
        <v>27.75</v>
      </c>
      <c r="F506" s="1">
        <f>IFERROR(__xludf.DUMMYFUNCTION("""COMPUTED_VALUE"""),446076.0)</f>
        <v>446076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IFERROR(__xludf.DUMMYFUNCTION("""COMPUTED_VALUE"""),27.64)</f>
        <v>27.64</v>
      </c>
      <c r="C507" s="1">
        <f>IFERROR(__xludf.DUMMYFUNCTION("""COMPUTED_VALUE"""),27.79)</f>
        <v>27.79</v>
      </c>
      <c r="D507" s="1">
        <f>IFERROR(__xludf.DUMMYFUNCTION("""COMPUTED_VALUE"""),27.36)</f>
        <v>27.36</v>
      </c>
      <c r="E507" s="1">
        <f>IFERROR(__xludf.DUMMYFUNCTION("""COMPUTED_VALUE"""),27.39)</f>
        <v>27.39</v>
      </c>
      <c r="F507" s="1">
        <f>IFERROR(__xludf.DUMMYFUNCTION("""COMPUTED_VALUE"""),256029.0)</f>
        <v>256029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IFERROR(__xludf.DUMMYFUNCTION("""COMPUTED_VALUE"""),27.21)</f>
        <v>27.21</v>
      </c>
      <c r="C508" s="1">
        <f>IFERROR(__xludf.DUMMYFUNCTION("""COMPUTED_VALUE"""),27.63)</f>
        <v>27.63</v>
      </c>
      <c r="D508" s="1">
        <f>IFERROR(__xludf.DUMMYFUNCTION("""COMPUTED_VALUE"""),27.02)</f>
        <v>27.02</v>
      </c>
      <c r="E508" s="1">
        <f>IFERROR(__xludf.DUMMYFUNCTION("""COMPUTED_VALUE"""),27.43)</f>
        <v>27.43</v>
      </c>
      <c r="F508" s="1">
        <f>IFERROR(__xludf.DUMMYFUNCTION("""COMPUTED_VALUE"""),267408.0)</f>
        <v>267408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IFERROR(__xludf.DUMMYFUNCTION("""COMPUTED_VALUE"""),27.51)</f>
        <v>27.51</v>
      </c>
      <c r="C509" s="1">
        <f>IFERROR(__xludf.DUMMYFUNCTION("""COMPUTED_VALUE"""),27.95)</f>
        <v>27.95</v>
      </c>
      <c r="D509" s="1">
        <f>IFERROR(__xludf.DUMMYFUNCTION("""COMPUTED_VALUE"""),27.26)</f>
        <v>27.26</v>
      </c>
      <c r="E509" s="1">
        <f>IFERROR(__xludf.DUMMYFUNCTION("""COMPUTED_VALUE"""),27.82)</f>
        <v>27.82</v>
      </c>
      <c r="F509" s="1">
        <f>IFERROR(__xludf.DUMMYFUNCTION("""COMPUTED_VALUE"""),539469.0)</f>
        <v>539469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IFERROR(__xludf.DUMMYFUNCTION("""COMPUTED_VALUE"""),27.81)</f>
        <v>27.81</v>
      </c>
      <c r="C510" s="1">
        <f>IFERROR(__xludf.DUMMYFUNCTION("""COMPUTED_VALUE"""),27.91)</f>
        <v>27.91</v>
      </c>
      <c r="D510" s="1">
        <f>IFERROR(__xludf.DUMMYFUNCTION("""COMPUTED_VALUE"""),27.63)</f>
        <v>27.63</v>
      </c>
      <c r="E510" s="1">
        <f>IFERROR(__xludf.DUMMYFUNCTION("""COMPUTED_VALUE"""),27.68)</f>
        <v>27.68</v>
      </c>
      <c r="F510" s="1">
        <f>IFERROR(__xludf.DUMMYFUNCTION("""COMPUTED_VALUE"""),345782.0)</f>
        <v>345782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IFERROR(__xludf.DUMMYFUNCTION("""COMPUTED_VALUE"""),29.54)</f>
        <v>29.54</v>
      </c>
      <c r="C511" s="1">
        <f>IFERROR(__xludf.DUMMYFUNCTION("""COMPUTED_VALUE"""),34.05)</f>
        <v>34.05</v>
      </c>
      <c r="D511" s="1">
        <f>IFERROR(__xludf.DUMMYFUNCTION("""COMPUTED_VALUE"""),29.54)</f>
        <v>29.54</v>
      </c>
      <c r="E511" s="1">
        <f>IFERROR(__xludf.DUMMYFUNCTION("""COMPUTED_VALUE"""),32.47)</f>
        <v>32.47</v>
      </c>
      <c r="F511" s="1">
        <f>IFERROR(__xludf.DUMMYFUNCTION("""COMPUTED_VALUE"""),2542810.0)</f>
        <v>2542810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IFERROR(__xludf.DUMMYFUNCTION("""COMPUTED_VALUE"""),32.36)</f>
        <v>32.36</v>
      </c>
      <c r="C512" s="1">
        <f>IFERROR(__xludf.DUMMYFUNCTION("""COMPUTED_VALUE"""),32.5)</f>
        <v>32.5</v>
      </c>
      <c r="D512" s="1">
        <f>IFERROR(__xludf.DUMMYFUNCTION("""COMPUTED_VALUE"""),30.75)</f>
        <v>30.75</v>
      </c>
      <c r="E512" s="1">
        <f>IFERROR(__xludf.DUMMYFUNCTION("""COMPUTED_VALUE"""),31.34)</f>
        <v>31.34</v>
      </c>
      <c r="F512" s="1">
        <f>IFERROR(__xludf.DUMMYFUNCTION("""COMPUTED_VALUE"""),1604297.0)</f>
        <v>1604297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IFERROR(__xludf.DUMMYFUNCTION("""COMPUTED_VALUE"""),31.4)</f>
        <v>31.4</v>
      </c>
      <c r="C513" s="1">
        <f>IFERROR(__xludf.DUMMYFUNCTION("""COMPUTED_VALUE"""),31.49)</f>
        <v>31.49</v>
      </c>
      <c r="D513" s="1">
        <f>IFERROR(__xludf.DUMMYFUNCTION("""COMPUTED_VALUE"""),30.75)</f>
        <v>30.75</v>
      </c>
      <c r="E513" s="1">
        <f>IFERROR(__xludf.DUMMYFUNCTION("""COMPUTED_VALUE"""),31.01)</f>
        <v>31.01</v>
      </c>
      <c r="F513" s="1">
        <f>IFERROR(__xludf.DUMMYFUNCTION("""COMPUTED_VALUE"""),483907.0)</f>
        <v>483907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IFERROR(__xludf.DUMMYFUNCTION("""COMPUTED_VALUE"""),30.74)</f>
        <v>30.74</v>
      </c>
      <c r="C514" s="1">
        <f>IFERROR(__xludf.DUMMYFUNCTION("""COMPUTED_VALUE"""),32.23)</f>
        <v>32.23</v>
      </c>
      <c r="D514" s="1">
        <f>IFERROR(__xludf.DUMMYFUNCTION("""COMPUTED_VALUE"""),30.68)</f>
        <v>30.68</v>
      </c>
      <c r="E514" s="1">
        <f>IFERROR(__xludf.DUMMYFUNCTION("""COMPUTED_VALUE"""),32.05)</f>
        <v>32.05</v>
      </c>
      <c r="F514" s="1">
        <f>IFERROR(__xludf.DUMMYFUNCTION("""COMPUTED_VALUE"""),1375546.0)</f>
        <v>1375546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IFERROR(__xludf.DUMMYFUNCTION("""COMPUTED_VALUE"""),32.36)</f>
        <v>32.36</v>
      </c>
      <c r="C515" s="1">
        <f>IFERROR(__xludf.DUMMYFUNCTION("""COMPUTED_VALUE"""),32.99)</f>
        <v>32.99</v>
      </c>
      <c r="D515" s="1">
        <f>IFERROR(__xludf.DUMMYFUNCTION("""COMPUTED_VALUE"""),32.23)</f>
        <v>32.23</v>
      </c>
      <c r="E515" s="1">
        <f>IFERROR(__xludf.DUMMYFUNCTION("""COMPUTED_VALUE"""),32.5)</f>
        <v>32.5</v>
      </c>
      <c r="F515" s="1">
        <f>IFERROR(__xludf.DUMMYFUNCTION("""COMPUTED_VALUE"""),797284.0)</f>
        <v>797284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IFERROR(__xludf.DUMMYFUNCTION("""COMPUTED_VALUE"""),32.42)</f>
        <v>32.42</v>
      </c>
      <c r="C516" s="1">
        <f>IFERROR(__xludf.DUMMYFUNCTION("""COMPUTED_VALUE"""),32.96)</f>
        <v>32.96</v>
      </c>
      <c r="D516" s="1">
        <f>IFERROR(__xludf.DUMMYFUNCTION("""COMPUTED_VALUE"""),32.26)</f>
        <v>32.26</v>
      </c>
      <c r="E516" s="1">
        <f>IFERROR(__xludf.DUMMYFUNCTION("""COMPUTED_VALUE"""),32.8)</f>
        <v>32.8</v>
      </c>
      <c r="F516" s="1">
        <f>IFERROR(__xludf.DUMMYFUNCTION("""COMPUTED_VALUE"""),670518.0)</f>
        <v>670518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IFERROR(__xludf.DUMMYFUNCTION("""COMPUTED_VALUE"""),32.77)</f>
        <v>32.77</v>
      </c>
      <c r="C517" s="1">
        <f>IFERROR(__xludf.DUMMYFUNCTION("""COMPUTED_VALUE"""),33.11)</f>
        <v>33.11</v>
      </c>
      <c r="D517" s="1">
        <f>IFERROR(__xludf.DUMMYFUNCTION("""COMPUTED_VALUE"""),32.57)</f>
        <v>32.57</v>
      </c>
      <c r="E517" s="1">
        <f>IFERROR(__xludf.DUMMYFUNCTION("""COMPUTED_VALUE"""),32.9)</f>
        <v>32.9</v>
      </c>
      <c r="F517" s="1">
        <f>IFERROR(__xludf.DUMMYFUNCTION("""COMPUTED_VALUE"""),474632.0)</f>
        <v>474632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IFERROR(__xludf.DUMMYFUNCTION("""COMPUTED_VALUE"""),32.78)</f>
        <v>32.78</v>
      </c>
      <c r="C518" s="1">
        <f>IFERROR(__xludf.DUMMYFUNCTION("""COMPUTED_VALUE"""),33.03)</f>
        <v>33.03</v>
      </c>
      <c r="D518" s="1">
        <f>IFERROR(__xludf.DUMMYFUNCTION("""COMPUTED_VALUE"""),32.31)</f>
        <v>32.31</v>
      </c>
      <c r="E518" s="1">
        <f>IFERROR(__xludf.DUMMYFUNCTION("""COMPUTED_VALUE"""),33.01)</f>
        <v>33.01</v>
      </c>
      <c r="F518" s="1">
        <f>IFERROR(__xludf.DUMMYFUNCTION("""COMPUTED_VALUE"""),579721.0)</f>
        <v>579721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IFERROR(__xludf.DUMMYFUNCTION("""COMPUTED_VALUE"""),33.02)</f>
        <v>33.02</v>
      </c>
      <c r="C519" s="1">
        <f>IFERROR(__xludf.DUMMYFUNCTION("""COMPUTED_VALUE"""),33.75)</f>
        <v>33.75</v>
      </c>
      <c r="D519" s="1">
        <f>IFERROR(__xludf.DUMMYFUNCTION("""COMPUTED_VALUE"""),32.86)</f>
        <v>32.86</v>
      </c>
      <c r="E519" s="1">
        <f>IFERROR(__xludf.DUMMYFUNCTION("""COMPUTED_VALUE"""),33.05)</f>
        <v>33.05</v>
      </c>
      <c r="F519" s="1">
        <f>IFERROR(__xludf.DUMMYFUNCTION("""COMPUTED_VALUE"""),448096.0)</f>
        <v>448096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IFERROR(__xludf.DUMMYFUNCTION("""COMPUTED_VALUE"""),32.85)</f>
        <v>32.85</v>
      </c>
      <c r="C520" s="1">
        <f>IFERROR(__xludf.DUMMYFUNCTION("""COMPUTED_VALUE"""),33.46)</f>
        <v>33.46</v>
      </c>
      <c r="D520" s="1">
        <f>IFERROR(__xludf.DUMMYFUNCTION("""COMPUTED_VALUE"""),32.71)</f>
        <v>32.71</v>
      </c>
      <c r="E520" s="1">
        <f>IFERROR(__xludf.DUMMYFUNCTION("""COMPUTED_VALUE"""),33.33)</f>
        <v>33.33</v>
      </c>
      <c r="F520" s="1">
        <f>IFERROR(__xludf.DUMMYFUNCTION("""COMPUTED_VALUE"""),258138.0)</f>
        <v>258138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IFERROR(__xludf.DUMMYFUNCTION("""COMPUTED_VALUE"""),33.42)</f>
        <v>33.42</v>
      </c>
      <c r="C521" s="1">
        <f>IFERROR(__xludf.DUMMYFUNCTION("""COMPUTED_VALUE"""),34.0)</f>
        <v>34</v>
      </c>
      <c r="D521" s="1">
        <f>IFERROR(__xludf.DUMMYFUNCTION("""COMPUTED_VALUE"""),33.16)</f>
        <v>33.16</v>
      </c>
      <c r="E521" s="1">
        <f>IFERROR(__xludf.DUMMYFUNCTION("""COMPUTED_VALUE"""),33.5)</f>
        <v>33.5</v>
      </c>
      <c r="F521" s="1">
        <f>IFERROR(__xludf.DUMMYFUNCTION("""COMPUTED_VALUE"""),753114.0)</f>
        <v>753114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IFERROR(__xludf.DUMMYFUNCTION("""COMPUTED_VALUE"""),33.09)</f>
        <v>33.09</v>
      </c>
      <c r="C522" s="1">
        <f>IFERROR(__xludf.DUMMYFUNCTION("""COMPUTED_VALUE"""),33.36)</f>
        <v>33.36</v>
      </c>
      <c r="D522" s="1">
        <f>IFERROR(__xludf.DUMMYFUNCTION("""COMPUTED_VALUE"""),32.0)</f>
        <v>32</v>
      </c>
      <c r="E522" s="1">
        <f>IFERROR(__xludf.DUMMYFUNCTION("""COMPUTED_VALUE"""),33.24)</f>
        <v>33.24</v>
      </c>
      <c r="F522" s="1">
        <f>IFERROR(__xludf.DUMMYFUNCTION("""COMPUTED_VALUE"""),665807.0)</f>
        <v>665807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IFERROR(__xludf.DUMMYFUNCTION("""COMPUTED_VALUE"""),33.08)</f>
        <v>33.08</v>
      </c>
      <c r="C523" s="1">
        <f>IFERROR(__xludf.DUMMYFUNCTION("""COMPUTED_VALUE"""),33.73)</f>
        <v>33.73</v>
      </c>
      <c r="D523" s="1">
        <f>IFERROR(__xludf.DUMMYFUNCTION("""COMPUTED_VALUE"""),33.08)</f>
        <v>33.08</v>
      </c>
      <c r="E523" s="1">
        <f>IFERROR(__xludf.DUMMYFUNCTION("""COMPUTED_VALUE"""),33.62)</f>
        <v>33.62</v>
      </c>
      <c r="F523" s="1">
        <f>IFERROR(__xludf.DUMMYFUNCTION("""COMPUTED_VALUE"""),304574.0)</f>
        <v>304574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IFERROR(__xludf.DUMMYFUNCTION("""COMPUTED_VALUE"""),33.32)</f>
        <v>33.32</v>
      </c>
      <c r="C524" s="1">
        <f>IFERROR(__xludf.DUMMYFUNCTION("""COMPUTED_VALUE"""),33.7)</f>
        <v>33.7</v>
      </c>
      <c r="D524" s="1">
        <f>IFERROR(__xludf.DUMMYFUNCTION("""COMPUTED_VALUE"""),33.05)</f>
        <v>33.05</v>
      </c>
      <c r="E524" s="1">
        <f>IFERROR(__xludf.DUMMYFUNCTION("""COMPUTED_VALUE"""),33.44)</f>
        <v>33.44</v>
      </c>
      <c r="F524" s="1">
        <f>IFERROR(__xludf.DUMMYFUNCTION("""COMPUTED_VALUE"""),218474.0)</f>
        <v>218474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IFERROR(__xludf.DUMMYFUNCTION("""COMPUTED_VALUE"""),33.79)</f>
        <v>33.79</v>
      </c>
      <c r="C525" s="1">
        <f>IFERROR(__xludf.DUMMYFUNCTION("""COMPUTED_VALUE"""),33.95)</f>
        <v>33.95</v>
      </c>
      <c r="D525" s="1">
        <f>IFERROR(__xludf.DUMMYFUNCTION("""COMPUTED_VALUE"""),33.52)</f>
        <v>33.52</v>
      </c>
      <c r="E525" s="1">
        <f>IFERROR(__xludf.DUMMYFUNCTION("""COMPUTED_VALUE"""),33.77)</f>
        <v>33.77</v>
      </c>
      <c r="F525" s="1">
        <f>IFERROR(__xludf.DUMMYFUNCTION("""COMPUTED_VALUE"""),462217.0)</f>
        <v>462217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IFERROR(__xludf.DUMMYFUNCTION("""COMPUTED_VALUE"""),34.08)</f>
        <v>34.08</v>
      </c>
      <c r="C526" s="1">
        <f>IFERROR(__xludf.DUMMYFUNCTION("""COMPUTED_VALUE"""),34.58)</f>
        <v>34.58</v>
      </c>
      <c r="D526" s="1">
        <f>IFERROR(__xludf.DUMMYFUNCTION("""COMPUTED_VALUE"""),33.82)</f>
        <v>33.82</v>
      </c>
      <c r="E526" s="1">
        <f>IFERROR(__xludf.DUMMYFUNCTION("""COMPUTED_VALUE"""),34.46)</f>
        <v>34.46</v>
      </c>
      <c r="F526" s="1">
        <f>IFERROR(__xludf.DUMMYFUNCTION("""COMPUTED_VALUE"""),347949.0)</f>
        <v>347949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IFERROR(__xludf.DUMMYFUNCTION("""COMPUTED_VALUE"""),34.65)</f>
        <v>34.65</v>
      </c>
      <c r="C527" s="1">
        <f>IFERROR(__xludf.DUMMYFUNCTION("""COMPUTED_VALUE"""),34.8)</f>
        <v>34.8</v>
      </c>
      <c r="D527" s="1">
        <f>IFERROR(__xludf.DUMMYFUNCTION("""COMPUTED_VALUE"""),34.27)</f>
        <v>34.27</v>
      </c>
      <c r="E527" s="1">
        <f>IFERROR(__xludf.DUMMYFUNCTION("""COMPUTED_VALUE"""),34.47)</f>
        <v>34.47</v>
      </c>
      <c r="F527" s="1">
        <f>IFERROR(__xludf.DUMMYFUNCTION("""COMPUTED_VALUE"""),285160.0)</f>
        <v>285160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IFERROR(__xludf.DUMMYFUNCTION("""COMPUTED_VALUE"""),34.92)</f>
        <v>34.92</v>
      </c>
      <c r="C528" s="1">
        <f>IFERROR(__xludf.DUMMYFUNCTION("""COMPUTED_VALUE"""),35.59)</f>
        <v>35.59</v>
      </c>
      <c r="D528" s="1">
        <f>IFERROR(__xludf.DUMMYFUNCTION("""COMPUTED_VALUE"""),34.86)</f>
        <v>34.86</v>
      </c>
      <c r="E528" s="1">
        <f>IFERROR(__xludf.DUMMYFUNCTION("""COMPUTED_VALUE"""),34.95)</f>
        <v>34.95</v>
      </c>
      <c r="F528" s="1">
        <f>IFERROR(__xludf.DUMMYFUNCTION("""COMPUTED_VALUE"""),488739.0)</f>
        <v>488739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IFERROR(__xludf.DUMMYFUNCTION("""COMPUTED_VALUE"""),34.75)</f>
        <v>34.75</v>
      </c>
      <c r="C529" s="1">
        <f>IFERROR(__xludf.DUMMYFUNCTION("""COMPUTED_VALUE"""),35.18)</f>
        <v>35.18</v>
      </c>
      <c r="D529" s="1">
        <f>IFERROR(__xludf.DUMMYFUNCTION("""COMPUTED_VALUE"""),34.56)</f>
        <v>34.56</v>
      </c>
      <c r="E529" s="1">
        <f>IFERROR(__xludf.DUMMYFUNCTION("""COMPUTED_VALUE"""),35.12)</f>
        <v>35.12</v>
      </c>
      <c r="F529" s="1">
        <f>IFERROR(__xludf.DUMMYFUNCTION("""COMPUTED_VALUE"""),253315.0)</f>
        <v>253315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IFERROR(__xludf.DUMMYFUNCTION("""COMPUTED_VALUE"""),35.16)</f>
        <v>35.16</v>
      </c>
      <c r="C530" s="1">
        <f>IFERROR(__xludf.DUMMYFUNCTION("""COMPUTED_VALUE"""),35.19)</f>
        <v>35.19</v>
      </c>
      <c r="D530" s="1">
        <f>IFERROR(__xludf.DUMMYFUNCTION("""COMPUTED_VALUE"""),34.62)</f>
        <v>34.62</v>
      </c>
      <c r="E530" s="1">
        <f>IFERROR(__xludf.DUMMYFUNCTION("""COMPUTED_VALUE"""),34.74)</f>
        <v>34.74</v>
      </c>
      <c r="F530" s="1">
        <f>IFERROR(__xludf.DUMMYFUNCTION("""COMPUTED_VALUE"""),311120.0)</f>
        <v>311120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IFERROR(__xludf.DUMMYFUNCTION("""COMPUTED_VALUE"""),34.69)</f>
        <v>34.69</v>
      </c>
      <c r="C531" s="1">
        <f>IFERROR(__xludf.DUMMYFUNCTION("""COMPUTED_VALUE"""),34.87)</f>
        <v>34.87</v>
      </c>
      <c r="D531" s="1">
        <f>IFERROR(__xludf.DUMMYFUNCTION("""COMPUTED_VALUE"""),34.3)</f>
        <v>34.3</v>
      </c>
      <c r="E531" s="1">
        <f>IFERROR(__xludf.DUMMYFUNCTION("""COMPUTED_VALUE"""),34.68)</f>
        <v>34.68</v>
      </c>
      <c r="F531" s="1">
        <f>IFERROR(__xludf.DUMMYFUNCTION("""COMPUTED_VALUE"""),344608.0)</f>
        <v>344608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IFERROR(__xludf.DUMMYFUNCTION("""COMPUTED_VALUE"""),34.71)</f>
        <v>34.71</v>
      </c>
      <c r="C532" s="1">
        <f>IFERROR(__xludf.DUMMYFUNCTION("""COMPUTED_VALUE"""),35.24)</f>
        <v>35.24</v>
      </c>
      <c r="D532" s="1">
        <f>IFERROR(__xludf.DUMMYFUNCTION("""COMPUTED_VALUE"""),34.49)</f>
        <v>34.49</v>
      </c>
      <c r="E532" s="1">
        <f>IFERROR(__xludf.DUMMYFUNCTION("""COMPUTED_VALUE"""),34.81)</f>
        <v>34.81</v>
      </c>
      <c r="F532" s="1">
        <f>IFERROR(__xludf.DUMMYFUNCTION("""COMPUTED_VALUE"""),378535.0)</f>
        <v>378535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IFERROR(__xludf.DUMMYFUNCTION("""COMPUTED_VALUE"""),34.51)</f>
        <v>34.51</v>
      </c>
      <c r="C533" s="1">
        <f>IFERROR(__xludf.DUMMYFUNCTION("""COMPUTED_VALUE"""),34.57)</f>
        <v>34.57</v>
      </c>
      <c r="D533" s="1">
        <f>IFERROR(__xludf.DUMMYFUNCTION("""COMPUTED_VALUE"""),33.67)</f>
        <v>33.67</v>
      </c>
      <c r="E533" s="1">
        <f>IFERROR(__xludf.DUMMYFUNCTION("""COMPUTED_VALUE"""),33.77)</f>
        <v>33.77</v>
      </c>
      <c r="F533" s="1">
        <f>IFERROR(__xludf.DUMMYFUNCTION("""COMPUTED_VALUE"""),278443.0)</f>
        <v>278443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IFERROR(__xludf.DUMMYFUNCTION("""COMPUTED_VALUE"""),34.18)</f>
        <v>34.18</v>
      </c>
      <c r="C534" s="1">
        <f>IFERROR(__xludf.DUMMYFUNCTION("""COMPUTED_VALUE"""),34.56)</f>
        <v>34.56</v>
      </c>
      <c r="D534" s="1">
        <f>IFERROR(__xludf.DUMMYFUNCTION("""COMPUTED_VALUE"""),33.78)</f>
        <v>33.78</v>
      </c>
      <c r="E534" s="1">
        <f>IFERROR(__xludf.DUMMYFUNCTION("""COMPUTED_VALUE"""),33.9)</f>
        <v>33.9</v>
      </c>
      <c r="F534" s="1">
        <f>IFERROR(__xludf.DUMMYFUNCTION("""COMPUTED_VALUE"""),557911.0)</f>
        <v>557911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IFERROR(__xludf.DUMMYFUNCTION("""COMPUTED_VALUE"""),35.41)</f>
        <v>35.41</v>
      </c>
      <c r="C535" s="1">
        <f>IFERROR(__xludf.DUMMYFUNCTION("""COMPUTED_VALUE"""),37.09)</f>
        <v>37.09</v>
      </c>
      <c r="D535" s="1">
        <f>IFERROR(__xludf.DUMMYFUNCTION("""COMPUTED_VALUE"""),35.11)</f>
        <v>35.11</v>
      </c>
      <c r="E535" s="1">
        <f>IFERROR(__xludf.DUMMYFUNCTION("""COMPUTED_VALUE"""),35.23)</f>
        <v>35.23</v>
      </c>
      <c r="F535" s="1">
        <f>IFERROR(__xludf.DUMMYFUNCTION("""COMPUTED_VALUE"""),2136736.0)</f>
        <v>2136736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IFERROR(__xludf.DUMMYFUNCTION("""COMPUTED_VALUE"""),35.33)</f>
        <v>35.33</v>
      </c>
      <c r="C536" s="1">
        <f>IFERROR(__xludf.DUMMYFUNCTION("""COMPUTED_VALUE"""),35.64)</f>
        <v>35.64</v>
      </c>
      <c r="D536" s="1">
        <f>IFERROR(__xludf.DUMMYFUNCTION("""COMPUTED_VALUE"""),34.67)</f>
        <v>34.67</v>
      </c>
      <c r="E536" s="1">
        <f>IFERROR(__xludf.DUMMYFUNCTION("""COMPUTED_VALUE"""),35.62)</f>
        <v>35.62</v>
      </c>
      <c r="F536" s="1">
        <f>IFERROR(__xludf.DUMMYFUNCTION("""COMPUTED_VALUE"""),858249.0)</f>
        <v>858249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IFERROR(__xludf.DUMMYFUNCTION("""COMPUTED_VALUE"""),35.69)</f>
        <v>35.69</v>
      </c>
      <c r="C537" s="1">
        <f>IFERROR(__xludf.DUMMYFUNCTION("""COMPUTED_VALUE"""),36.34)</f>
        <v>36.34</v>
      </c>
      <c r="D537" s="1">
        <f>IFERROR(__xludf.DUMMYFUNCTION("""COMPUTED_VALUE"""),35.53)</f>
        <v>35.53</v>
      </c>
      <c r="E537" s="1">
        <f>IFERROR(__xludf.DUMMYFUNCTION("""COMPUTED_VALUE"""),36.25)</f>
        <v>36.25</v>
      </c>
      <c r="F537" s="1">
        <f>IFERROR(__xludf.DUMMYFUNCTION("""COMPUTED_VALUE"""),391173.0)</f>
        <v>391173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IFERROR(__xludf.DUMMYFUNCTION("""COMPUTED_VALUE"""),36.26)</f>
        <v>36.26</v>
      </c>
      <c r="C538" s="1">
        <f>IFERROR(__xludf.DUMMYFUNCTION("""COMPUTED_VALUE"""),36.35)</f>
        <v>36.35</v>
      </c>
      <c r="D538" s="1">
        <f>IFERROR(__xludf.DUMMYFUNCTION("""COMPUTED_VALUE"""),35.35)</f>
        <v>35.35</v>
      </c>
      <c r="E538" s="1">
        <f>IFERROR(__xludf.DUMMYFUNCTION("""COMPUTED_VALUE"""),35.75)</f>
        <v>35.75</v>
      </c>
      <c r="F538" s="1">
        <f>IFERROR(__xludf.DUMMYFUNCTION("""COMPUTED_VALUE"""),313911.0)</f>
        <v>313911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IFERROR(__xludf.DUMMYFUNCTION("""COMPUTED_VALUE"""),35.75)</f>
        <v>35.75</v>
      </c>
      <c r="C539" s="1">
        <f>IFERROR(__xludf.DUMMYFUNCTION("""COMPUTED_VALUE"""),35.89)</f>
        <v>35.89</v>
      </c>
      <c r="D539" s="1">
        <f>IFERROR(__xludf.DUMMYFUNCTION("""COMPUTED_VALUE"""),35.36)</f>
        <v>35.36</v>
      </c>
      <c r="E539" s="1">
        <f>IFERROR(__xludf.DUMMYFUNCTION("""COMPUTED_VALUE"""),35.48)</f>
        <v>35.48</v>
      </c>
      <c r="F539" s="1">
        <f>IFERROR(__xludf.DUMMYFUNCTION("""COMPUTED_VALUE"""),368115.0)</f>
        <v>368115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IFERROR(__xludf.DUMMYFUNCTION("""COMPUTED_VALUE"""),35.45)</f>
        <v>35.45</v>
      </c>
      <c r="C540" s="1">
        <f>IFERROR(__xludf.DUMMYFUNCTION("""COMPUTED_VALUE"""),35.49)</f>
        <v>35.49</v>
      </c>
      <c r="D540" s="1">
        <f>IFERROR(__xludf.DUMMYFUNCTION("""COMPUTED_VALUE"""),34.9)</f>
        <v>34.9</v>
      </c>
      <c r="E540" s="1">
        <f>IFERROR(__xludf.DUMMYFUNCTION("""COMPUTED_VALUE"""),34.98)</f>
        <v>34.98</v>
      </c>
      <c r="F540" s="1">
        <f>IFERROR(__xludf.DUMMYFUNCTION("""COMPUTED_VALUE"""),436184.0)</f>
        <v>436184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IFERROR(__xludf.DUMMYFUNCTION("""COMPUTED_VALUE"""),35.06)</f>
        <v>35.06</v>
      </c>
      <c r="C541" s="1">
        <f>IFERROR(__xludf.DUMMYFUNCTION("""COMPUTED_VALUE"""),35.76)</f>
        <v>35.76</v>
      </c>
      <c r="D541" s="1">
        <f>IFERROR(__xludf.DUMMYFUNCTION("""COMPUTED_VALUE"""),34.7)</f>
        <v>34.7</v>
      </c>
      <c r="E541" s="1">
        <f>IFERROR(__xludf.DUMMYFUNCTION("""COMPUTED_VALUE"""),35.74)</f>
        <v>35.74</v>
      </c>
      <c r="F541" s="1">
        <f>IFERROR(__xludf.DUMMYFUNCTION("""COMPUTED_VALUE"""),398035.0)</f>
        <v>398035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IFERROR(__xludf.DUMMYFUNCTION("""COMPUTED_VALUE"""),35.89)</f>
        <v>35.89</v>
      </c>
      <c r="C542" s="1">
        <f>IFERROR(__xludf.DUMMYFUNCTION("""COMPUTED_VALUE"""),36.29)</f>
        <v>36.29</v>
      </c>
      <c r="D542" s="1">
        <f>IFERROR(__xludf.DUMMYFUNCTION("""COMPUTED_VALUE"""),35.41)</f>
        <v>35.41</v>
      </c>
      <c r="E542" s="1">
        <f>IFERROR(__xludf.DUMMYFUNCTION("""COMPUTED_VALUE"""),36.25)</f>
        <v>36.25</v>
      </c>
      <c r="F542" s="1">
        <f>IFERROR(__xludf.DUMMYFUNCTION("""COMPUTED_VALUE"""),429524.0)</f>
        <v>429524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IFERROR(__xludf.DUMMYFUNCTION("""COMPUTED_VALUE"""),36.0)</f>
        <v>36</v>
      </c>
      <c r="C543" s="1">
        <f>IFERROR(__xludf.DUMMYFUNCTION("""COMPUTED_VALUE"""),36.44)</f>
        <v>36.44</v>
      </c>
      <c r="D543" s="1">
        <f>IFERROR(__xludf.DUMMYFUNCTION("""COMPUTED_VALUE"""),35.65)</f>
        <v>35.65</v>
      </c>
      <c r="E543" s="1">
        <f>IFERROR(__xludf.DUMMYFUNCTION("""COMPUTED_VALUE"""),36.02)</f>
        <v>36.02</v>
      </c>
      <c r="F543" s="1">
        <f>IFERROR(__xludf.DUMMYFUNCTION("""COMPUTED_VALUE"""),314238.0)</f>
        <v>314238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IFERROR(__xludf.DUMMYFUNCTION("""COMPUTED_VALUE"""),36.02)</f>
        <v>36.02</v>
      </c>
      <c r="C544" s="1">
        <f>IFERROR(__xludf.DUMMYFUNCTION("""COMPUTED_VALUE"""),36.02)</f>
        <v>36.02</v>
      </c>
      <c r="D544" s="1">
        <f>IFERROR(__xludf.DUMMYFUNCTION("""COMPUTED_VALUE"""),35.41)</f>
        <v>35.41</v>
      </c>
      <c r="E544" s="1">
        <f>IFERROR(__xludf.DUMMYFUNCTION("""COMPUTED_VALUE"""),35.77)</f>
        <v>35.77</v>
      </c>
      <c r="F544" s="1">
        <f>IFERROR(__xludf.DUMMYFUNCTION("""COMPUTED_VALUE"""),342401.0)</f>
        <v>342401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IFERROR(__xludf.DUMMYFUNCTION("""COMPUTED_VALUE"""),35.78)</f>
        <v>35.78</v>
      </c>
      <c r="C545" s="1">
        <f>IFERROR(__xludf.DUMMYFUNCTION("""COMPUTED_VALUE"""),35.97)</f>
        <v>35.97</v>
      </c>
      <c r="D545" s="1">
        <f>IFERROR(__xludf.DUMMYFUNCTION("""COMPUTED_VALUE"""),35.07)</f>
        <v>35.07</v>
      </c>
      <c r="E545" s="1">
        <f>IFERROR(__xludf.DUMMYFUNCTION("""COMPUTED_VALUE"""),35.13)</f>
        <v>35.13</v>
      </c>
      <c r="F545" s="1">
        <f>IFERROR(__xludf.DUMMYFUNCTION("""COMPUTED_VALUE"""),443178.0)</f>
        <v>443178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IFERROR(__xludf.DUMMYFUNCTION("""COMPUTED_VALUE"""),35.15)</f>
        <v>35.15</v>
      </c>
      <c r="C546" s="1">
        <f>IFERROR(__xludf.DUMMYFUNCTION("""COMPUTED_VALUE"""),35.98)</f>
        <v>35.98</v>
      </c>
      <c r="D546" s="1">
        <f>IFERROR(__xludf.DUMMYFUNCTION("""COMPUTED_VALUE"""),35.15)</f>
        <v>35.15</v>
      </c>
      <c r="E546" s="1">
        <f>IFERROR(__xludf.DUMMYFUNCTION("""COMPUTED_VALUE"""),35.48)</f>
        <v>35.48</v>
      </c>
      <c r="F546" s="1">
        <f>IFERROR(__xludf.DUMMYFUNCTION("""COMPUTED_VALUE"""),611240.0)</f>
        <v>611240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IFERROR(__xludf.DUMMYFUNCTION("""COMPUTED_VALUE"""),35.37)</f>
        <v>35.37</v>
      </c>
      <c r="C547" s="1">
        <f>IFERROR(__xludf.DUMMYFUNCTION("""COMPUTED_VALUE"""),35.67)</f>
        <v>35.67</v>
      </c>
      <c r="D547" s="1">
        <f>IFERROR(__xludf.DUMMYFUNCTION("""COMPUTED_VALUE"""),34.98)</f>
        <v>34.98</v>
      </c>
      <c r="E547" s="1">
        <f>IFERROR(__xludf.DUMMYFUNCTION("""COMPUTED_VALUE"""),35.04)</f>
        <v>35.04</v>
      </c>
      <c r="F547" s="1">
        <f>IFERROR(__xludf.DUMMYFUNCTION("""COMPUTED_VALUE"""),355769.0)</f>
        <v>355769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IFERROR(__xludf.DUMMYFUNCTION("""COMPUTED_VALUE"""),35.0)</f>
        <v>35</v>
      </c>
      <c r="C548" s="1">
        <f>IFERROR(__xludf.DUMMYFUNCTION("""COMPUTED_VALUE"""),35.82)</f>
        <v>35.82</v>
      </c>
      <c r="D548" s="1">
        <f>IFERROR(__xludf.DUMMYFUNCTION("""COMPUTED_VALUE"""),35.0)</f>
        <v>35</v>
      </c>
      <c r="E548" s="1">
        <f>IFERROR(__xludf.DUMMYFUNCTION("""COMPUTED_VALUE"""),35.66)</f>
        <v>35.66</v>
      </c>
      <c r="F548" s="1">
        <f>IFERROR(__xludf.DUMMYFUNCTION("""COMPUTED_VALUE"""),751622.0)</f>
        <v>751622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IFERROR(__xludf.DUMMYFUNCTION("""COMPUTED_VALUE"""),35.26)</f>
        <v>35.26</v>
      </c>
      <c r="C549" s="1">
        <f>IFERROR(__xludf.DUMMYFUNCTION("""COMPUTED_VALUE"""),35.35)</f>
        <v>35.35</v>
      </c>
      <c r="D549" s="1">
        <f>IFERROR(__xludf.DUMMYFUNCTION("""COMPUTED_VALUE"""),34.73)</f>
        <v>34.73</v>
      </c>
      <c r="E549" s="1">
        <f>IFERROR(__xludf.DUMMYFUNCTION("""COMPUTED_VALUE"""),35.12)</f>
        <v>35.12</v>
      </c>
      <c r="F549" s="1">
        <f>IFERROR(__xludf.DUMMYFUNCTION("""COMPUTED_VALUE"""),544553.0)</f>
        <v>544553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IFERROR(__xludf.DUMMYFUNCTION("""COMPUTED_VALUE"""),35.09)</f>
        <v>35.09</v>
      </c>
      <c r="C550" s="1">
        <f>IFERROR(__xludf.DUMMYFUNCTION("""COMPUTED_VALUE"""),35.63)</f>
        <v>35.63</v>
      </c>
      <c r="D550" s="1">
        <f>IFERROR(__xludf.DUMMYFUNCTION("""COMPUTED_VALUE"""),35.0)</f>
        <v>35</v>
      </c>
      <c r="E550" s="1">
        <f>IFERROR(__xludf.DUMMYFUNCTION("""COMPUTED_VALUE"""),35.63)</f>
        <v>35.63</v>
      </c>
      <c r="F550" s="1">
        <f>IFERROR(__xludf.DUMMYFUNCTION("""COMPUTED_VALUE"""),353445.0)</f>
        <v>353445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IFERROR(__xludf.DUMMYFUNCTION("""COMPUTED_VALUE"""),35.84)</f>
        <v>35.84</v>
      </c>
      <c r="C551" s="1">
        <f>IFERROR(__xludf.DUMMYFUNCTION("""COMPUTED_VALUE"""),36.48)</f>
        <v>36.48</v>
      </c>
      <c r="D551" s="1">
        <f>IFERROR(__xludf.DUMMYFUNCTION("""COMPUTED_VALUE"""),35.7)</f>
        <v>35.7</v>
      </c>
      <c r="E551" s="1">
        <f>IFERROR(__xludf.DUMMYFUNCTION("""COMPUTED_VALUE"""),36.04)</f>
        <v>36.04</v>
      </c>
      <c r="F551" s="1">
        <f>IFERROR(__xludf.DUMMYFUNCTION("""COMPUTED_VALUE"""),510717.0)</f>
        <v>510717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IFERROR(__xludf.DUMMYFUNCTION("""COMPUTED_VALUE"""),36.08)</f>
        <v>36.08</v>
      </c>
      <c r="C552" s="1">
        <f>IFERROR(__xludf.DUMMYFUNCTION("""COMPUTED_VALUE"""),37.31)</f>
        <v>37.31</v>
      </c>
      <c r="D552" s="1">
        <f>IFERROR(__xludf.DUMMYFUNCTION("""COMPUTED_VALUE"""),35.99)</f>
        <v>35.99</v>
      </c>
      <c r="E552" s="1">
        <f>IFERROR(__xludf.DUMMYFUNCTION("""COMPUTED_VALUE"""),36.93)</f>
        <v>36.93</v>
      </c>
      <c r="F552" s="1">
        <f>IFERROR(__xludf.DUMMYFUNCTION("""COMPUTED_VALUE"""),850759.0)</f>
        <v>850759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IFERROR(__xludf.DUMMYFUNCTION("""COMPUTED_VALUE"""),36.84)</f>
        <v>36.84</v>
      </c>
      <c r="C553" s="1">
        <f>IFERROR(__xludf.DUMMYFUNCTION("""COMPUTED_VALUE"""),37.23)</f>
        <v>37.23</v>
      </c>
      <c r="D553" s="1">
        <f>IFERROR(__xludf.DUMMYFUNCTION("""COMPUTED_VALUE"""),36.39)</f>
        <v>36.39</v>
      </c>
      <c r="E553" s="1">
        <f>IFERROR(__xludf.DUMMYFUNCTION("""COMPUTED_VALUE"""),36.49)</f>
        <v>36.49</v>
      </c>
      <c r="F553" s="1">
        <f>IFERROR(__xludf.DUMMYFUNCTION("""COMPUTED_VALUE"""),691463.0)</f>
        <v>691463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IFERROR(__xludf.DUMMYFUNCTION("""COMPUTED_VALUE"""),36.82)</f>
        <v>36.82</v>
      </c>
      <c r="C554" s="1">
        <f>IFERROR(__xludf.DUMMYFUNCTION("""COMPUTED_VALUE"""),37.19)</f>
        <v>37.19</v>
      </c>
      <c r="D554" s="1">
        <f>IFERROR(__xludf.DUMMYFUNCTION("""COMPUTED_VALUE"""),36.53)</f>
        <v>36.53</v>
      </c>
      <c r="E554" s="1">
        <f>IFERROR(__xludf.DUMMYFUNCTION("""COMPUTED_VALUE"""),36.99)</f>
        <v>36.99</v>
      </c>
      <c r="F554" s="1">
        <f>IFERROR(__xludf.DUMMYFUNCTION("""COMPUTED_VALUE"""),598989.0)</f>
        <v>598989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IFERROR(__xludf.DUMMYFUNCTION("""COMPUTED_VALUE"""),36.94)</f>
        <v>36.94</v>
      </c>
      <c r="C555" s="1">
        <f>IFERROR(__xludf.DUMMYFUNCTION("""COMPUTED_VALUE"""),37.23)</f>
        <v>37.23</v>
      </c>
      <c r="D555" s="1">
        <f>IFERROR(__xludf.DUMMYFUNCTION("""COMPUTED_VALUE"""),36.65)</f>
        <v>36.65</v>
      </c>
      <c r="E555" s="1">
        <f>IFERROR(__xludf.DUMMYFUNCTION("""COMPUTED_VALUE"""),36.68)</f>
        <v>36.68</v>
      </c>
      <c r="F555" s="1">
        <f>IFERROR(__xludf.DUMMYFUNCTION("""COMPUTED_VALUE"""),665335.0)</f>
        <v>665335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IFERROR(__xludf.DUMMYFUNCTION("""COMPUTED_VALUE"""),36.71)</f>
        <v>36.71</v>
      </c>
      <c r="C556" s="1">
        <f>IFERROR(__xludf.DUMMYFUNCTION("""COMPUTED_VALUE"""),37.07)</f>
        <v>37.07</v>
      </c>
      <c r="D556" s="1">
        <f>IFERROR(__xludf.DUMMYFUNCTION("""COMPUTED_VALUE"""),36.59)</f>
        <v>36.59</v>
      </c>
      <c r="E556" s="1">
        <f>IFERROR(__xludf.DUMMYFUNCTION("""COMPUTED_VALUE"""),37.02)</f>
        <v>37.02</v>
      </c>
      <c r="F556" s="1">
        <f>IFERROR(__xludf.DUMMYFUNCTION("""COMPUTED_VALUE"""),639874.0)</f>
        <v>639874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IFERROR(__xludf.DUMMYFUNCTION("""COMPUTED_VALUE"""),37.04)</f>
        <v>37.04</v>
      </c>
      <c r="C557" s="1">
        <f>IFERROR(__xludf.DUMMYFUNCTION("""COMPUTED_VALUE"""),37.28)</f>
        <v>37.28</v>
      </c>
      <c r="D557" s="1">
        <f>IFERROR(__xludf.DUMMYFUNCTION("""COMPUTED_VALUE"""),36.72)</f>
        <v>36.72</v>
      </c>
      <c r="E557" s="1">
        <f>IFERROR(__xludf.DUMMYFUNCTION("""COMPUTED_VALUE"""),36.92)</f>
        <v>36.92</v>
      </c>
      <c r="F557" s="1">
        <f>IFERROR(__xludf.DUMMYFUNCTION("""COMPUTED_VALUE"""),485517.0)</f>
        <v>485517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IFERROR(__xludf.DUMMYFUNCTION("""COMPUTED_VALUE"""),36.87)</f>
        <v>36.87</v>
      </c>
      <c r="C558" s="1">
        <f>IFERROR(__xludf.DUMMYFUNCTION("""COMPUTED_VALUE"""),36.88)</f>
        <v>36.88</v>
      </c>
      <c r="D558" s="1">
        <f>IFERROR(__xludf.DUMMYFUNCTION("""COMPUTED_VALUE"""),36.42)</f>
        <v>36.42</v>
      </c>
      <c r="E558" s="1">
        <f>IFERROR(__xludf.DUMMYFUNCTION("""COMPUTED_VALUE"""),36.44)</f>
        <v>36.44</v>
      </c>
      <c r="F558" s="1">
        <f>IFERROR(__xludf.DUMMYFUNCTION("""COMPUTED_VALUE"""),332525.0)</f>
        <v>332525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IFERROR(__xludf.DUMMYFUNCTION("""COMPUTED_VALUE"""),36.35)</f>
        <v>36.35</v>
      </c>
      <c r="C559" s="1">
        <f>IFERROR(__xludf.DUMMYFUNCTION("""COMPUTED_VALUE"""),36.44)</f>
        <v>36.44</v>
      </c>
      <c r="D559" s="1">
        <f>IFERROR(__xludf.DUMMYFUNCTION("""COMPUTED_VALUE"""),35.51)</f>
        <v>35.51</v>
      </c>
      <c r="E559" s="1">
        <f>IFERROR(__xludf.DUMMYFUNCTION("""COMPUTED_VALUE"""),35.58)</f>
        <v>35.58</v>
      </c>
      <c r="F559" s="1">
        <f>IFERROR(__xludf.DUMMYFUNCTION("""COMPUTED_VALUE"""),589515.0)</f>
        <v>589515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IFERROR(__xludf.DUMMYFUNCTION("""COMPUTED_VALUE"""),35.7)</f>
        <v>35.7</v>
      </c>
      <c r="C560" s="1">
        <f>IFERROR(__xludf.DUMMYFUNCTION("""COMPUTED_VALUE"""),35.74)</f>
        <v>35.74</v>
      </c>
      <c r="D560" s="1">
        <f>IFERROR(__xludf.DUMMYFUNCTION("""COMPUTED_VALUE"""),35.24)</f>
        <v>35.24</v>
      </c>
      <c r="E560" s="1">
        <f>IFERROR(__xludf.DUMMYFUNCTION("""COMPUTED_VALUE"""),35.26)</f>
        <v>35.26</v>
      </c>
      <c r="F560" s="1">
        <f>IFERROR(__xludf.DUMMYFUNCTION("""COMPUTED_VALUE"""),402390.0)</f>
        <v>402390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IFERROR(__xludf.DUMMYFUNCTION("""COMPUTED_VALUE"""),35.07)</f>
        <v>35.07</v>
      </c>
      <c r="C561" s="1">
        <f>IFERROR(__xludf.DUMMYFUNCTION("""COMPUTED_VALUE"""),35.35)</f>
        <v>35.35</v>
      </c>
      <c r="D561" s="1">
        <f>IFERROR(__xludf.DUMMYFUNCTION("""COMPUTED_VALUE"""),34.95)</f>
        <v>34.95</v>
      </c>
      <c r="E561" s="1">
        <f>IFERROR(__xludf.DUMMYFUNCTION("""COMPUTED_VALUE"""),35.21)</f>
        <v>35.21</v>
      </c>
      <c r="F561" s="1">
        <f>IFERROR(__xludf.DUMMYFUNCTION("""COMPUTED_VALUE"""),263174.0)</f>
        <v>263174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IFERROR(__xludf.DUMMYFUNCTION("""COMPUTED_VALUE"""),35.28)</f>
        <v>35.28</v>
      </c>
      <c r="C562" s="1">
        <f>IFERROR(__xludf.DUMMYFUNCTION("""COMPUTED_VALUE"""),35.39)</f>
        <v>35.39</v>
      </c>
      <c r="D562" s="1">
        <f>IFERROR(__xludf.DUMMYFUNCTION("""COMPUTED_VALUE"""),34.99)</f>
        <v>34.99</v>
      </c>
      <c r="E562" s="1">
        <f>IFERROR(__xludf.DUMMYFUNCTION("""COMPUTED_VALUE"""),35.38)</f>
        <v>35.38</v>
      </c>
      <c r="F562" s="1">
        <f>IFERROR(__xludf.DUMMYFUNCTION("""COMPUTED_VALUE"""),213236.0)</f>
        <v>213236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IFERROR(__xludf.DUMMYFUNCTION("""COMPUTED_VALUE"""),35.74)</f>
        <v>35.74</v>
      </c>
      <c r="C563" s="1">
        <f>IFERROR(__xludf.DUMMYFUNCTION("""COMPUTED_VALUE"""),36.32)</f>
        <v>36.32</v>
      </c>
      <c r="D563" s="1">
        <f>IFERROR(__xludf.DUMMYFUNCTION("""COMPUTED_VALUE"""),35.62)</f>
        <v>35.62</v>
      </c>
      <c r="E563" s="1">
        <f>IFERROR(__xludf.DUMMYFUNCTION("""COMPUTED_VALUE"""),36.32)</f>
        <v>36.32</v>
      </c>
      <c r="F563" s="1">
        <f>IFERROR(__xludf.DUMMYFUNCTION("""COMPUTED_VALUE"""),324998.0)</f>
        <v>324998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IFERROR(__xludf.DUMMYFUNCTION("""COMPUTED_VALUE"""),36.3)</f>
        <v>36.3</v>
      </c>
      <c r="C564" s="1">
        <f>IFERROR(__xludf.DUMMYFUNCTION("""COMPUTED_VALUE"""),36.51)</f>
        <v>36.51</v>
      </c>
      <c r="D564" s="1">
        <f>IFERROR(__xludf.DUMMYFUNCTION("""COMPUTED_VALUE"""),36.22)</f>
        <v>36.22</v>
      </c>
      <c r="E564" s="1">
        <f>IFERROR(__xludf.DUMMYFUNCTION("""COMPUTED_VALUE"""),36.25)</f>
        <v>36.25</v>
      </c>
      <c r="F564" s="1">
        <f>IFERROR(__xludf.DUMMYFUNCTION("""COMPUTED_VALUE"""),296012.0)</f>
        <v>296012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IFERROR(__xludf.DUMMYFUNCTION("""COMPUTED_VALUE"""),36.22)</f>
        <v>36.22</v>
      </c>
      <c r="C565" s="1">
        <f>IFERROR(__xludf.DUMMYFUNCTION("""COMPUTED_VALUE"""),36.66)</f>
        <v>36.66</v>
      </c>
      <c r="D565" s="1">
        <f>IFERROR(__xludf.DUMMYFUNCTION("""COMPUTED_VALUE"""),35.8)</f>
        <v>35.8</v>
      </c>
      <c r="E565" s="1">
        <f>IFERROR(__xludf.DUMMYFUNCTION("""COMPUTED_VALUE"""),35.88)</f>
        <v>35.88</v>
      </c>
      <c r="F565" s="1">
        <f>IFERROR(__xludf.DUMMYFUNCTION("""COMPUTED_VALUE"""),341169.0)</f>
        <v>341169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IFERROR(__xludf.DUMMYFUNCTION("""COMPUTED_VALUE"""),35.75)</f>
        <v>35.75</v>
      </c>
      <c r="C566" s="1">
        <f>IFERROR(__xludf.DUMMYFUNCTION("""COMPUTED_VALUE"""),36.02)</f>
        <v>36.02</v>
      </c>
      <c r="D566" s="1">
        <f>IFERROR(__xludf.DUMMYFUNCTION("""COMPUTED_VALUE"""),35.59)</f>
        <v>35.59</v>
      </c>
      <c r="E566" s="1">
        <f>IFERROR(__xludf.DUMMYFUNCTION("""COMPUTED_VALUE"""),35.85)</f>
        <v>35.85</v>
      </c>
      <c r="F566" s="1">
        <f>IFERROR(__xludf.DUMMYFUNCTION("""COMPUTED_VALUE"""),553633.0)</f>
        <v>553633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IFERROR(__xludf.DUMMYFUNCTION("""COMPUTED_VALUE"""),36.11)</f>
        <v>36.11</v>
      </c>
      <c r="C567" s="1">
        <f>IFERROR(__xludf.DUMMYFUNCTION("""COMPUTED_VALUE"""),36.54)</f>
        <v>36.54</v>
      </c>
      <c r="D567" s="1">
        <f>IFERROR(__xludf.DUMMYFUNCTION("""COMPUTED_VALUE"""),35.89)</f>
        <v>35.89</v>
      </c>
      <c r="E567" s="1">
        <f>IFERROR(__xludf.DUMMYFUNCTION("""COMPUTED_VALUE"""),36.09)</f>
        <v>36.09</v>
      </c>
      <c r="F567" s="1">
        <f>IFERROR(__xludf.DUMMYFUNCTION("""COMPUTED_VALUE"""),517874.0)</f>
        <v>517874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IFERROR(__xludf.DUMMYFUNCTION("""COMPUTED_VALUE"""),36.22)</f>
        <v>36.22</v>
      </c>
      <c r="C568" s="1">
        <f>IFERROR(__xludf.DUMMYFUNCTION("""COMPUTED_VALUE"""),36.88)</f>
        <v>36.88</v>
      </c>
      <c r="D568" s="1">
        <f>IFERROR(__xludf.DUMMYFUNCTION("""COMPUTED_VALUE"""),36.1)</f>
        <v>36.1</v>
      </c>
      <c r="E568" s="1">
        <f>IFERROR(__xludf.DUMMYFUNCTION("""COMPUTED_VALUE"""),36.75)</f>
        <v>36.75</v>
      </c>
      <c r="F568" s="1">
        <f>IFERROR(__xludf.DUMMYFUNCTION("""COMPUTED_VALUE"""),677132.0)</f>
        <v>677132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IFERROR(__xludf.DUMMYFUNCTION("""COMPUTED_VALUE"""),36.78)</f>
        <v>36.78</v>
      </c>
      <c r="C569" s="1">
        <f>IFERROR(__xludf.DUMMYFUNCTION("""COMPUTED_VALUE"""),37.1)</f>
        <v>37.1</v>
      </c>
      <c r="D569" s="1">
        <f>IFERROR(__xludf.DUMMYFUNCTION("""COMPUTED_VALUE"""),36.42)</f>
        <v>36.42</v>
      </c>
      <c r="E569" s="1">
        <f>IFERROR(__xludf.DUMMYFUNCTION("""COMPUTED_VALUE"""),36.7)</f>
        <v>36.7</v>
      </c>
      <c r="F569" s="1">
        <f>IFERROR(__xludf.DUMMYFUNCTION("""COMPUTED_VALUE"""),746615.0)</f>
        <v>746615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IFERROR(__xludf.DUMMYFUNCTION("""COMPUTED_VALUE"""),36.44)</f>
        <v>36.44</v>
      </c>
      <c r="C570" s="1">
        <f>IFERROR(__xludf.DUMMYFUNCTION("""COMPUTED_VALUE"""),36.56)</f>
        <v>36.56</v>
      </c>
      <c r="D570" s="1">
        <f>IFERROR(__xludf.DUMMYFUNCTION("""COMPUTED_VALUE"""),35.82)</f>
        <v>35.82</v>
      </c>
      <c r="E570" s="1">
        <f>IFERROR(__xludf.DUMMYFUNCTION("""COMPUTED_VALUE"""),35.92)</f>
        <v>35.92</v>
      </c>
      <c r="F570" s="1">
        <f>IFERROR(__xludf.DUMMYFUNCTION("""COMPUTED_VALUE"""),394549.0)</f>
        <v>394549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IFERROR(__xludf.DUMMYFUNCTION("""COMPUTED_VALUE"""),35.82)</f>
        <v>35.82</v>
      </c>
      <c r="C571" s="1">
        <f>IFERROR(__xludf.DUMMYFUNCTION("""COMPUTED_VALUE"""),36.28)</f>
        <v>36.28</v>
      </c>
      <c r="D571" s="1">
        <f>IFERROR(__xludf.DUMMYFUNCTION("""COMPUTED_VALUE"""),35.8)</f>
        <v>35.8</v>
      </c>
      <c r="E571" s="1">
        <f>IFERROR(__xludf.DUMMYFUNCTION("""COMPUTED_VALUE"""),35.93)</f>
        <v>35.93</v>
      </c>
      <c r="F571" s="1">
        <f>IFERROR(__xludf.DUMMYFUNCTION("""COMPUTED_VALUE"""),495402.0)</f>
        <v>495402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IFERROR(__xludf.DUMMYFUNCTION("""COMPUTED_VALUE"""),35.64)</f>
        <v>35.64</v>
      </c>
      <c r="C572" s="1">
        <f>IFERROR(__xludf.DUMMYFUNCTION("""COMPUTED_VALUE"""),35.8)</f>
        <v>35.8</v>
      </c>
      <c r="D572" s="1">
        <f>IFERROR(__xludf.DUMMYFUNCTION("""COMPUTED_VALUE"""),34.95)</f>
        <v>34.95</v>
      </c>
      <c r="E572" s="1">
        <f>IFERROR(__xludf.DUMMYFUNCTION("""COMPUTED_VALUE"""),35.72)</f>
        <v>35.72</v>
      </c>
      <c r="F572" s="1">
        <f>IFERROR(__xludf.DUMMYFUNCTION("""COMPUTED_VALUE"""),757480.0)</f>
        <v>757480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IFERROR(__xludf.DUMMYFUNCTION("""COMPUTED_VALUE"""),35.62)</f>
        <v>35.62</v>
      </c>
      <c r="C573" s="1">
        <f>IFERROR(__xludf.DUMMYFUNCTION("""COMPUTED_VALUE"""),35.65)</f>
        <v>35.65</v>
      </c>
      <c r="D573" s="1">
        <f>IFERROR(__xludf.DUMMYFUNCTION("""COMPUTED_VALUE"""),35.0)</f>
        <v>35</v>
      </c>
      <c r="E573" s="1">
        <f>IFERROR(__xludf.DUMMYFUNCTION("""COMPUTED_VALUE"""),35.0)</f>
        <v>35</v>
      </c>
      <c r="F573" s="1">
        <f>IFERROR(__xludf.DUMMYFUNCTION("""COMPUTED_VALUE"""),692519.0)</f>
        <v>692519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IFERROR(__xludf.DUMMYFUNCTION("""COMPUTED_VALUE"""),35.34)</f>
        <v>35.34</v>
      </c>
      <c r="C574" s="1">
        <f>IFERROR(__xludf.DUMMYFUNCTION("""COMPUTED_VALUE"""),35.49)</f>
        <v>35.49</v>
      </c>
      <c r="D574" s="1">
        <f>IFERROR(__xludf.DUMMYFUNCTION("""COMPUTED_VALUE"""),34.93)</f>
        <v>34.93</v>
      </c>
      <c r="E574" s="1">
        <f>IFERROR(__xludf.DUMMYFUNCTION("""COMPUTED_VALUE"""),35.04)</f>
        <v>35.04</v>
      </c>
      <c r="F574" s="1">
        <f>IFERROR(__xludf.DUMMYFUNCTION("""COMPUTED_VALUE"""),402970.0)</f>
        <v>402970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IFERROR(__xludf.DUMMYFUNCTION("""COMPUTED_VALUE"""),35.02)</f>
        <v>35.02</v>
      </c>
      <c r="C575" s="1">
        <f>IFERROR(__xludf.DUMMYFUNCTION("""COMPUTED_VALUE"""),35.85)</f>
        <v>35.85</v>
      </c>
      <c r="D575" s="1">
        <f>IFERROR(__xludf.DUMMYFUNCTION("""COMPUTED_VALUE"""),34.94)</f>
        <v>34.94</v>
      </c>
      <c r="E575" s="1">
        <f>IFERROR(__xludf.DUMMYFUNCTION("""COMPUTED_VALUE"""),35.69)</f>
        <v>35.69</v>
      </c>
      <c r="F575" s="1">
        <f>IFERROR(__xludf.DUMMYFUNCTION("""COMPUTED_VALUE"""),344384.0)</f>
        <v>344384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IFERROR(__xludf.DUMMYFUNCTION("""COMPUTED_VALUE"""),35.52)</f>
        <v>35.52</v>
      </c>
      <c r="C576" s="1">
        <f>IFERROR(__xludf.DUMMYFUNCTION("""COMPUTED_VALUE"""),35.52)</f>
        <v>35.52</v>
      </c>
      <c r="D576" s="1">
        <f>IFERROR(__xludf.DUMMYFUNCTION("""COMPUTED_VALUE"""),34.65)</f>
        <v>34.65</v>
      </c>
      <c r="E576" s="1">
        <f>IFERROR(__xludf.DUMMYFUNCTION("""COMPUTED_VALUE"""),34.93)</f>
        <v>34.93</v>
      </c>
      <c r="F576" s="1">
        <f>IFERROR(__xludf.DUMMYFUNCTION("""COMPUTED_VALUE"""),492942.0)</f>
        <v>492942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IFERROR(__xludf.DUMMYFUNCTION("""COMPUTED_VALUE"""),35.15)</f>
        <v>35.15</v>
      </c>
      <c r="C577" s="1">
        <f>IFERROR(__xludf.DUMMYFUNCTION("""COMPUTED_VALUE"""),35.24)</f>
        <v>35.24</v>
      </c>
      <c r="D577" s="1">
        <f>IFERROR(__xludf.DUMMYFUNCTION("""COMPUTED_VALUE"""),34.79)</f>
        <v>34.79</v>
      </c>
      <c r="E577" s="1">
        <f>IFERROR(__xludf.DUMMYFUNCTION("""COMPUTED_VALUE"""),34.91)</f>
        <v>34.91</v>
      </c>
      <c r="F577" s="1">
        <f>IFERROR(__xludf.DUMMYFUNCTION("""COMPUTED_VALUE"""),555934.0)</f>
        <v>555934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IFERROR(__xludf.DUMMYFUNCTION("""COMPUTED_VALUE"""),35.1)</f>
        <v>35.1</v>
      </c>
      <c r="C578" s="1">
        <f>IFERROR(__xludf.DUMMYFUNCTION("""COMPUTED_VALUE"""),35.76)</f>
        <v>35.76</v>
      </c>
      <c r="D578" s="1">
        <f>IFERROR(__xludf.DUMMYFUNCTION("""COMPUTED_VALUE"""),35.1)</f>
        <v>35.1</v>
      </c>
      <c r="E578" s="1">
        <f>IFERROR(__xludf.DUMMYFUNCTION("""COMPUTED_VALUE"""),35.66)</f>
        <v>35.66</v>
      </c>
      <c r="F578" s="1">
        <f>IFERROR(__xludf.DUMMYFUNCTION("""COMPUTED_VALUE"""),344840.0)</f>
        <v>344840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IFERROR(__xludf.DUMMYFUNCTION("""COMPUTED_VALUE"""),35.56)</f>
        <v>35.56</v>
      </c>
      <c r="C579" s="1">
        <f>IFERROR(__xludf.DUMMYFUNCTION("""COMPUTED_VALUE"""),35.56)</f>
        <v>35.56</v>
      </c>
      <c r="D579" s="1">
        <f>IFERROR(__xludf.DUMMYFUNCTION("""COMPUTED_VALUE"""),35.17)</f>
        <v>35.17</v>
      </c>
      <c r="E579" s="1">
        <f>IFERROR(__xludf.DUMMYFUNCTION("""COMPUTED_VALUE"""),35.34)</f>
        <v>35.34</v>
      </c>
      <c r="F579" s="1">
        <f>IFERROR(__xludf.DUMMYFUNCTION("""COMPUTED_VALUE"""),384474.0)</f>
        <v>384474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IFERROR(__xludf.DUMMYFUNCTION("""COMPUTED_VALUE"""),35.43)</f>
        <v>35.43</v>
      </c>
      <c r="C580" s="1">
        <f>IFERROR(__xludf.DUMMYFUNCTION("""COMPUTED_VALUE"""),35.98)</f>
        <v>35.98</v>
      </c>
      <c r="D580" s="1">
        <f>IFERROR(__xludf.DUMMYFUNCTION("""COMPUTED_VALUE"""),35.24)</f>
        <v>35.24</v>
      </c>
      <c r="E580" s="1">
        <f>IFERROR(__xludf.DUMMYFUNCTION("""COMPUTED_VALUE"""),35.35)</f>
        <v>35.35</v>
      </c>
      <c r="F580" s="1">
        <f>IFERROR(__xludf.DUMMYFUNCTION("""COMPUTED_VALUE"""),325392.0)</f>
        <v>325392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IFERROR(__xludf.DUMMYFUNCTION("""COMPUTED_VALUE"""),35.62)</f>
        <v>35.62</v>
      </c>
      <c r="C581" s="1">
        <f>IFERROR(__xludf.DUMMYFUNCTION("""COMPUTED_VALUE"""),36.43)</f>
        <v>36.43</v>
      </c>
      <c r="D581" s="1">
        <f>IFERROR(__xludf.DUMMYFUNCTION("""COMPUTED_VALUE"""),35.62)</f>
        <v>35.62</v>
      </c>
      <c r="E581" s="1">
        <f>IFERROR(__xludf.DUMMYFUNCTION("""COMPUTED_VALUE"""),36.0)</f>
        <v>36</v>
      </c>
      <c r="F581" s="1">
        <f>IFERROR(__xludf.DUMMYFUNCTION("""COMPUTED_VALUE"""),354535.0)</f>
        <v>354535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IFERROR(__xludf.DUMMYFUNCTION("""COMPUTED_VALUE"""),35.55)</f>
        <v>35.55</v>
      </c>
      <c r="C582" s="1">
        <f>IFERROR(__xludf.DUMMYFUNCTION("""COMPUTED_VALUE"""),35.65)</f>
        <v>35.65</v>
      </c>
      <c r="D582" s="1">
        <f>IFERROR(__xludf.DUMMYFUNCTION("""COMPUTED_VALUE"""),35.02)</f>
        <v>35.02</v>
      </c>
      <c r="E582" s="1">
        <f>IFERROR(__xludf.DUMMYFUNCTION("""COMPUTED_VALUE"""),35.4)</f>
        <v>35.4</v>
      </c>
      <c r="F582" s="1">
        <f>IFERROR(__xludf.DUMMYFUNCTION("""COMPUTED_VALUE"""),293851.0)</f>
        <v>293851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IFERROR(__xludf.DUMMYFUNCTION("""COMPUTED_VALUE"""),35.37)</f>
        <v>35.37</v>
      </c>
      <c r="C583" s="1">
        <f>IFERROR(__xludf.DUMMYFUNCTION("""COMPUTED_VALUE"""),35.37)</f>
        <v>35.37</v>
      </c>
      <c r="D583" s="1">
        <f>IFERROR(__xludf.DUMMYFUNCTION("""COMPUTED_VALUE"""),34.89)</f>
        <v>34.89</v>
      </c>
      <c r="E583" s="1">
        <f>IFERROR(__xludf.DUMMYFUNCTION("""COMPUTED_VALUE"""),35.14)</f>
        <v>35.14</v>
      </c>
      <c r="F583" s="1">
        <f>IFERROR(__xludf.DUMMYFUNCTION("""COMPUTED_VALUE"""),524309.0)</f>
        <v>524309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IFERROR(__xludf.DUMMYFUNCTION("""COMPUTED_VALUE"""),35.57)</f>
        <v>35.57</v>
      </c>
      <c r="C584" s="1">
        <f>IFERROR(__xludf.DUMMYFUNCTION("""COMPUTED_VALUE"""),35.73)</f>
        <v>35.73</v>
      </c>
      <c r="D584" s="1">
        <f>IFERROR(__xludf.DUMMYFUNCTION("""COMPUTED_VALUE"""),35.17)</f>
        <v>35.17</v>
      </c>
      <c r="E584" s="1">
        <f>IFERROR(__xludf.DUMMYFUNCTION("""COMPUTED_VALUE"""),35.46)</f>
        <v>35.46</v>
      </c>
      <c r="F584" s="1">
        <f>IFERROR(__xludf.DUMMYFUNCTION("""COMPUTED_VALUE"""),962864.0)</f>
        <v>962864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IFERROR(__xludf.DUMMYFUNCTION("""COMPUTED_VALUE"""),35.5)</f>
        <v>35.5</v>
      </c>
      <c r="C585" s="1">
        <f>IFERROR(__xludf.DUMMYFUNCTION("""COMPUTED_VALUE"""),35.66)</f>
        <v>35.66</v>
      </c>
      <c r="D585" s="1">
        <f>IFERROR(__xludf.DUMMYFUNCTION("""COMPUTED_VALUE"""),35.21)</f>
        <v>35.21</v>
      </c>
      <c r="E585" s="1">
        <f>IFERROR(__xludf.DUMMYFUNCTION("""COMPUTED_VALUE"""),35.55)</f>
        <v>35.55</v>
      </c>
      <c r="F585" s="1">
        <f>IFERROR(__xludf.DUMMYFUNCTION("""COMPUTED_VALUE"""),520045.0)</f>
        <v>520045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IFERROR(__xludf.DUMMYFUNCTION("""COMPUTED_VALUE"""),35.6)</f>
        <v>35.6</v>
      </c>
      <c r="C586" s="1">
        <f>IFERROR(__xludf.DUMMYFUNCTION("""COMPUTED_VALUE"""),35.6)</f>
        <v>35.6</v>
      </c>
      <c r="D586" s="1">
        <f>IFERROR(__xludf.DUMMYFUNCTION("""COMPUTED_VALUE"""),35.32)</f>
        <v>35.32</v>
      </c>
      <c r="E586" s="1">
        <f>IFERROR(__xludf.DUMMYFUNCTION("""COMPUTED_VALUE"""),35.41)</f>
        <v>35.41</v>
      </c>
      <c r="F586" s="1">
        <f>IFERROR(__xludf.DUMMYFUNCTION("""COMPUTED_VALUE"""),650658.0)</f>
        <v>650658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IFERROR(__xludf.DUMMYFUNCTION("""COMPUTED_VALUE"""),35.38)</f>
        <v>35.38</v>
      </c>
      <c r="C587" s="1">
        <f>IFERROR(__xludf.DUMMYFUNCTION("""COMPUTED_VALUE"""),35.66)</f>
        <v>35.66</v>
      </c>
      <c r="D587" s="1">
        <f>IFERROR(__xludf.DUMMYFUNCTION("""COMPUTED_VALUE"""),35.29)</f>
        <v>35.29</v>
      </c>
      <c r="E587" s="1">
        <f>IFERROR(__xludf.DUMMYFUNCTION("""COMPUTED_VALUE"""),35.53)</f>
        <v>35.53</v>
      </c>
      <c r="F587" s="1">
        <f>IFERROR(__xludf.DUMMYFUNCTION("""COMPUTED_VALUE"""),781590.0)</f>
        <v>781590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IFERROR(__xludf.DUMMYFUNCTION("""COMPUTED_VALUE"""),35.39)</f>
        <v>35.39</v>
      </c>
      <c r="C588" s="1">
        <f>IFERROR(__xludf.DUMMYFUNCTION("""COMPUTED_VALUE"""),35.77)</f>
        <v>35.77</v>
      </c>
      <c r="D588" s="1">
        <f>IFERROR(__xludf.DUMMYFUNCTION("""COMPUTED_VALUE"""),35.11)</f>
        <v>35.11</v>
      </c>
      <c r="E588" s="1">
        <f>IFERROR(__xludf.DUMMYFUNCTION("""COMPUTED_VALUE"""),35.41)</f>
        <v>35.41</v>
      </c>
      <c r="F588" s="1">
        <f>IFERROR(__xludf.DUMMYFUNCTION("""COMPUTED_VALUE"""),861349.0)</f>
        <v>861349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IFERROR(__xludf.DUMMYFUNCTION("""COMPUTED_VALUE"""),35.25)</f>
        <v>35.25</v>
      </c>
      <c r="C589" s="1">
        <f>IFERROR(__xludf.DUMMYFUNCTION("""COMPUTED_VALUE"""),35.52)</f>
        <v>35.52</v>
      </c>
      <c r="D589" s="1">
        <f>IFERROR(__xludf.DUMMYFUNCTION("""COMPUTED_VALUE"""),35.14)</f>
        <v>35.14</v>
      </c>
      <c r="E589" s="1">
        <f>IFERROR(__xludf.DUMMYFUNCTION("""COMPUTED_VALUE"""),35.35)</f>
        <v>35.35</v>
      </c>
      <c r="F589" s="1">
        <f>IFERROR(__xludf.DUMMYFUNCTION("""COMPUTED_VALUE"""),559117.0)</f>
        <v>559117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IFERROR(__xludf.DUMMYFUNCTION("""COMPUTED_VALUE"""),35.5)</f>
        <v>35.5</v>
      </c>
      <c r="C590" s="1">
        <f>IFERROR(__xludf.DUMMYFUNCTION("""COMPUTED_VALUE"""),35.61)</f>
        <v>35.61</v>
      </c>
      <c r="D590" s="1">
        <f>IFERROR(__xludf.DUMMYFUNCTION("""COMPUTED_VALUE"""),34.79)</f>
        <v>34.79</v>
      </c>
      <c r="E590" s="1">
        <f>IFERROR(__xludf.DUMMYFUNCTION("""COMPUTED_VALUE"""),35.21)</f>
        <v>35.21</v>
      </c>
      <c r="F590" s="1">
        <f>IFERROR(__xludf.DUMMYFUNCTION("""COMPUTED_VALUE"""),1033909.0)</f>
        <v>1033909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IFERROR(__xludf.DUMMYFUNCTION("""COMPUTED_VALUE"""),34.83)</f>
        <v>34.83</v>
      </c>
      <c r="C591" s="1">
        <f>IFERROR(__xludf.DUMMYFUNCTION("""COMPUTED_VALUE"""),34.96)</f>
        <v>34.96</v>
      </c>
      <c r="D591" s="1">
        <f>IFERROR(__xludf.DUMMYFUNCTION("""COMPUTED_VALUE"""),34.32)</f>
        <v>34.32</v>
      </c>
      <c r="E591" s="1">
        <f>IFERROR(__xludf.DUMMYFUNCTION("""COMPUTED_VALUE"""),34.5)</f>
        <v>34.5</v>
      </c>
      <c r="F591" s="1">
        <f>IFERROR(__xludf.DUMMYFUNCTION("""COMPUTED_VALUE"""),663000.0)</f>
        <v>663000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IFERROR(__xludf.DUMMYFUNCTION("""COMPUTED_VALUE"""),34.35)</f>
        <v>34.35</v>
      </c>
      <c r="C592" s="1">
        <f>IFERROR(__xludf.DUMMYFUNCTION("""COMPUTED_VALUE"""),34.63)</f>
        <v>34.63</v>
      </c>
      <c r="D592" s="1">
        <f>IFERROR(__xludf.DUMMYFUNCTION("""COMPUTED_VALUE"""),34.28)</f>
        <v>34.28</v>
      </c>
      <c r="E592" s="1">
        <f>IFERROR(__xludf.DUMMYFUNCTION("""COMPUTED_VALUE"""),34.42)</f>
        <v>34.42</v>
      </c>
      <c r="F592" s="1">
        <f>IFERROR(__xludf.DUMMYFUNCTION("""COMPUTED_VALUE"""),490654.0)</f>
        <v>490654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IFERROR(__xludf.DUMMYFUNCTION("""COMPUTED_VALUE"""),34.15)</f>
        <v>34.15</v>
      </c>
      <c r="C593" s="1">
        <f>IFERROR(__xludf.DUMMYFUNCTION("""COMPUTED_VALUE"""),34.55)</f>
        <v>34.55</v>
      </c>
      <c r="D593" s="1">
        <f>IFERROR(__xludf.DUMMYFUNCTION("""COMPUTED_VALUE"""),33.67)</f>
        <v>33.67</v>
      </c>
      <c r="E593" s="1">
        <f>IFERROR(__xludf.DUMMYFUNCTION("""COMPUTED_VALUE"""),34.31)</f>
        <v>34.31</v>
      </c>
      <c r="F593" s="1">
        <f>IFERROR(__xludf.DUMMYFUNCTION("""COMPUTED_VALUE"""),460199.0)</f>
        <v>460199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IFERROR(__xludf.DUMMYFUNCTION("""COMPUTED_VALUE"""),33.92)</f>
        <v>33.92</v>
      </c>
      <c r="C594" s="1">
        <f>IFERROR(__xludf.DUMMYFUNCTION("""COMPUTED_VALUE"""),34.29)</f>
        <v>34.29</v>
      </c>
      <c r="D594" s="1">
        <f>IFERROR(__xludf.DUMMYFUNCTION("""COMPUTED_VALUE"""),33.79)</f>
        <v>33.79</v>
      </c>
      <c r="E594" s="1">
        <f>IFERROR(__xludf.DUMMYFUNCTION("""COMPUTED_VALUE"""),33.93)</f>
        <v>33.93</v>
      </c>
      <c r="F594" s="1">
        <f>IFERROR(__xludf.DUMMYFUNCTION("""COMPUTED_VALUE"""),487576.0)</f>
        <v>487576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IFERROR(__xludf.DUMMYFUNCTION("""COMPUTED_VALUE"""),34.21)</f>
        <v>34.21</v>
      </c>
      <c r="C595" s="1">
        <f>IFERROR(__xludf.DUMMYFUNCTION("""COMPUTED_VALUE"""),34.67)</f>
        <v>34.67</v>
      </c>
      <c r="D595" s="1">
        <f>IFERROR(__xludf.DUMMYFUNCTION("""COMPUTED_VALUE"""),34.1)</f>
        <v>34.1</v>
      </c>
      <c r="E595" s="1">
        <f>IFERROR(__xludf.DUMMYFUNCTION("""COMPUTED_VALUE"""),34.35)</f>
        <v>34.35</v>
      </c>
      <c r="F595" s="1">
        <f>IFERROR(__xludf.DUMMYFUNCTION("""COMPUTED_VALUE"""),490509.0)</f>
        <v>490509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IFERROR(__xludf.DUMMYFUNCTION("""COMPUTED_VALUE"""),34.19)</f>
        <v>34.19</v>
      </c>
      <c r="C596" s="1">
        <f>IFERROR(__xludf.DUMMYFUNCTION("""COMPUTED_VALUE"""),35.17)</f>
        <v>35.17</v>
      </c>
      <c r="D596" s="1">
        <f>IFERROR(__xludf.DUMMYFUNCTION("""COMPUTED_VALUE"""),34.09)</f>
        <v>34.09</v>
      </c>
      <c r="E596" s="1">
        <f>IFERROR(__xludf.DUMMYFUNCTION("""COMPUTED_VALUE"""),34.87)</f>
        <v>34.87</v>
      </c>
      <c r="F596" s="1">
        <f>IFERROR(__xludf.DUMMYFUNCTION("""COMPUTED_VALUE"""),489233.0)</f>
        <v>489233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IFERROR(__xludf.DUMMYFUNCTION("""COMPUTED_VALUE"""),34.5)</f>
        <v>34.5</v>
      </c>
      <c r="C597" s="1">
        <f>IFERROR(__xludf.DUMMYFUNCTION("""COMPUTED_VALUE"""),34.74)</f>
        <v>34.74</v>
      </c>
      <c r="D597" s="1">
        <f>IFERROR(__xludf.DUMMYFUNCTION("""COMPUTED_VALUE"""),34.04)</f>
        <v>34.04</v>
      </c>
      <c r="E597" s="1">
        <f>IFERROR(__xludf.DUMMYFUNCTION("""COMPUTED_VALUE"""),34.22)</f>
        <v>34.22</v>
      </c>
      <c r="F597" s="1">
        <f>IFERROR(__xludf.DUMMYFUNCTION("""COMPUTED_VALUE"""),431713.0)</f>
        <v>431713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IFERROR(__xludf.DUMMYFUNCTION("""COMPUTED_VALUE"""),34.26)</f>
        <v>34.26</v>
      </c>
      <c r="C598" s="1">
        <f>IFERROR(__xludf.DUMMYFUNCTION("""COMPUTED_VALUE"""),34.49)</f>
        <v>34.49</v>
      </c>
      <c r="D598" s="1">
        <f>IFERROR(__xludf.DUMMYFUNCTION("""COMPUTED_VALUE"""),34.07)</f>
        <v>34.07</v>
      </c>
      <c r="E598" s="1">
        <f>IFERROR(__xludf.DUMMYFUNCTION("""COMPUTED_VALUE"""),34.2)</f>
        <v>34.2</v>
      </c>
      <c r="F598" s="1">
        <f>IFERROR(__xludf.DUMMYFUNCTION("""COMPUTED_VALUE"""),408196.0)</f>
        <v>408196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IFERROR(__xludf.DUMMYFUNCTION("""COMPUTED_VALUE"""),34.36)</f>
        <v>34.36</v>
      </c>
      <c r="C599" s="1">
        <f>IFERROR(__xludf.DUMMYFUNCTION("""COMPUTED_VALUE"""),34.49)</f>
        <v>34.49</v>
      </c>
      <c r="D599" s="1">
        <f>IFERROR(__xludf.DUMMYFUNCTION("""COMPUTED_VALUE"""),34.02)</f>
        <v>34.02</v>
      </c>
      <c r="E599" s="1">
        <f>IFERROR(__xludf.DUMMYFUNCTION("""COMPUTED_VALUE"""),34.05)</f>
        <v>34.05</v>
      </c>
      <c r="F599" s="1">
        <f>IFERROR(__xludf.DUMMYFUNCTION("""COMPUTED_VALUE"""),357232.0)</f>
        <v>357232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IFERROR(__xludf.DUMMYFUNCTION("""COMPUTED_VALUE"""),34.17)</f>
        <v>34.17</v>
      </c>
      <c r="C600" s="1">
        <f>IFERROR(__xludf.DUMMYFUNCTION("""COMPUTED_VALUE"""),34.18)</f>
        <v>34.18</v>
      </c>
      <c r="D600" s="1">
        <f>IFERROR(__xludf.DUMMYFUNCTION("""COMPUTED_VALUE"""),33.63)</f>
        <v>33.63</v>
      </c>
      <c r="E600" s="1">
        <f>IFERROR(__xludf.DUMMYFUNCTION("""COMPUTED_VALUE"""),33.74)</f>
        <v>33.74</v>
      </c>
      <c r="F600" s="1">
        <f>IFERROR(__xludf.DUMMYFUNCTION("""COMPUTED_VALUE"""),480370.0)</f>
        <v>480370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IFERROR(__xludf.DUMMYFUNCTION("""COMPUTED_VALUE"""),33.77)</f>
        <v>33.77</v>
      </c>
      <c r="C601" s="1">
        <f>IFERROR(__xludf.DUMMYFUNCTION("""COMPUTED_VALUE"""),33.77)</f>
        <v>33.77</v>
      </c>
      <c r="D601" s="1">
        <f>IFERROR(__xludf.DUMMYFUNCTION("""COMPUTED_VALUE"""),32.84)</f>
        <v>32.84</v>
      </c>
      <c r="E601" s="1">
        <f>IFERROR(__xludf.DUMMYFUNCTION("""COMPUTED_VALUE"""),32.92)</f>
        <v>32.92</v>
      </c>
      <c r="F601" s="1">
        <f>IFERROR(__xludf.DUMMYFUNCTION("""COMPUTED_VALUE"""),498408.0)</f>
        <v>498408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IFERROR(__xludf.DUMMYFUNCTION("""COMPUTED_VALUE"""),33.04)</f>
        <v>33.04</v>
      </c>
      <c r="C602" s="1">
        <f>IFERROR(__xludf.DUMMYFUNCTION("""COMPUTED_VALUE"""),33.89)</f>
        <v>33.89</v>
      </c>
      <c r="D602" s="1">
        <f>IFERROR(__xludf.DUMMYFUNCTION("""COMPUTED_VALUE"""),32.89)</f>
        <v>32.89</v>
      </c>
      <c r="E602" s="1">
        <f>IFERROR(__xludf.DUMMYFUNCTION("""COMPUTED_VALUE"""),33.85)</f>
        <v>33.85</v>
      </c>
      <c r="F602" s="1">
        <f>IFERROR(__xludf.DUMMYFUNCTION("""COMPUTED_VALUE"""),458512.0)</f>
        <v>458512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IFERROR(__xludf.DUMMYFUNCTION("""COMPUTED_VALUE"""),33.76)</f>
        <v>33.76</v>
      </c>
      <c r="C603" s="1">
        <f>IFERROR(__xludf.DUMMYFUNCTION("""COMPUTED_VALUE"""),33.92)</f>
        <v>33.92</v>
      </c>
      <c r="D603" s="1">
        <f>IFERROR(__xludf.DUMMYFUNCTION("""COMPUTED_VALUE"""),32.75)</f>
        <v>32.75</v>
      </c>
      <c r="E603" s="1">
        <f>IFERROR(__xludf.DUMMYFUNCTION("""COMPUTED_VALUE"""),32.95)</f>
        <v>32.95</v>
      </c>
      <c r="F603" s="1">
        <f>IFERROR(__xludf.DUMMYFUNCTION("""COMPUTED_VALUE"""),680304.0)</f>
        <v>680304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IFERROR(__xludf.DUMMYFUNCTION("""COMPUTED_VALUE"""),32.66)</f>
        <v>32.66</v>
      </c>
      <c r="C604" s="1">
        <f>IFERROR(__xludf.DUMMYFUNCTION("""COMPUTED_VALUE"""),33.26)</f>
        <v>33.26</v>
      </c>
      <c r="D604" s="1">
        <f>IFERROR(__xludf.DUMMYFUNCTION("""COMPUTED_VALUE"""),32.5)</f>
        <v>32.5</v>
      </c>
      <c r="E604" s="1">
        <f>IFERROR(__xludf.DUMMYFUNCTION("""COMPUTED_VALUE"""),32.95)</f>
        <v>32.95</v>
      </c>
      <c r="F604" s="1">
        <f>IFERROR(__xludf.DUMMYFUNCTION("""COMPUTED_VALUE"""),429643.0)</f>
        <v>429643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IFERROR(__xludf.DUMMYFUNCTION("""COMPUTED_VALUE"""),33.23)</f>
        <v>33.23</v>
      </c>
      <c r="C605" s="1">
        <f>IFERROR(__xludf.DUMMYFUNCTION("""COMPUTED_VALUE"""),33.69)</f>
        <v>33.69</v>
      </c>
      <c r="D605" s="1">
        <f>IFERROR(__xludf.DUMMYFUNCTION("""COMPUTED_VALUE"""),33.03)</f>
        <v>33.03</v>
      </c>
      <c r="E605" s="1">
        <f>IFERROR(__xludf.DUMMYFUNCTION("""COMPUTED_VALUE"""),33.35)</f>
        <v>33.35</v>
      </c>
      <c r="F605" s="1">
        <f>IFERROR(__xludf.DUMMYFUNCTION("""COMPUTED_VALUE"""),309158.0)</f>
        <v>309158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IFERROR(__xludf.DUMMYFUNCTION("""COMPUTED_VALUE"""),33.29)</f>
        <v>33.29</v>
      </c>
      <c r="C606" s="1">
        <f>IFERROR(__xludf.DUMMYFUNCTION("""COMPUTED_VALUE"""),33.66)</f>
        <v>33.66</v>
      </c>
      <c r="D606" s="1">
        <f>IFERROR(__xludf.DUMMYFUNCTION("""COMPUTED_VALUE"""),33.24)</f>
        <v>33.24</v>
      </c>
      <c r="E606" s="1">
        <f>IFERROR(__xludf.DUMMYFUNCTION("""COMPUTED_VALUE"""),33.56)</f>
        <v>33.56</v>
      </c>
      <c r="F606" s="1">
        <f>IFERROR(__xludf.DUMMYFUNCTION("""COMPUTED_VALUE"""),189625.0)</f>
        <v>189625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IFERROR(__xludf.DUMMYFUNCTION("""COMPUTED_VALUE"""),33.74)</f>
        <v>33.74</v>
      </c>
      <c r="C607" s="1">
        <f>IFERROR(__xludf.DUMMYFUNCTION("""COMPUTED_VALUE"""),34.43)</f>
        <v>34.43</v>
      </c>
      <c r="D607" s="1">
        <f>IFERROR(__xludf.DUMMYFUNCTION("""COMPUTED_VALUE"""),33.74)</f>
        <v>33.74</v>
      </c>
      <c r="E607" s="1">
        <f>IFERROR(__xludf.DUMMYFUNCTION("""COMPUTED_VALUE"""),33.97)</f>
        <v>33.97</v>
      </c>
      <c r="F607" s="1">
        <f>IFERROR(__xludf.DUMMYFUNCTION("""COMPUTED_VALUE"""),322912.0)</f>
        <v>322912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IFERROR(__xludf.DUMMYFUNCTION("""COMPUTED_VALUE"""),33.62)</f>
        <v>33.62</v>
      </c>
      <c r="C608" s="1">
        <f>IFERROR(__xludf.DUMMYFUNCTION("""COMPUTED_VALUE"""),33.77)</f>
        <v>33.77</v>
      </c>
      <c r="D608" s="1">
        <f>IFERROR(__xludf.DUMMYFUNCTION("""COMPUTED_VALUE"""),33.36)</f>
        <v>33.36</v>
      </c>
      <c r="E608" s="1">
        <f>IFERROR(__xludf.DUMMYFUNCTION("""COMPUTED_VALUE"""),33.46)</f>
        <v>33.46</v>
      </c>
      <c r="F608" s="1">
        <f>IFERROR(__xludf.DUMMYFUNCTION("""COMPUTED_VALUE"""),240279.0)</f>
        <v>240279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IFERROR(__xludf.DUMMYFUNCTION("""COMPUTED_VALUE"""),33.45)</f>
        <v>33.45</v>
      </c>
      <c r="C609" s="1">
        <f>IFERROR(__xludf.DUMMYFUNCTION("""COMPUTED_VALUE"""),33.53)</f>
        <v>33.53</v>
      </c>
      <c r="D609" s="1">
        <f>IFERROR(__xludf.DUMMYFUNCTION("""COMPUTED_VALUE"""),33.0)</f>
        <v>33</v>
      </c>
      <c r="E609" s="1">
        <f>IFERROR(__xludf.DUMMYFUNCTION("""COMPUTED_VALUE"""),33.38)</f>
        <v>33.38</v>
      </c>
      <c r="F609" s="1">
        <f>IFERROR(__xludf.DUMMYFUNCTION("""COMPUTED_VALUE"""),484182.0)</f>
        <v>484182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IFERROR(__xludf.DUMMYFUNCTION("""COMPUTED_VALUE"""),32.78)</f>
        <v>32.78</v>
      </c>
      <c r="C610" s="1">
        <f>IFERROR(__xludf.DUMMYFUNCTION("""COMPUTED_VALUE"""),32.82)</f>
        <v>32.82</v>
      </c>
      <c r="D610" s="1">
        <f>IFERROR(__xludf.DUMMYFUNCTION("""COMPUTED_VALUE"""),32.28)</f>
        <v>32.28</v>
      </c>
      <c r="E610" s="1">
        <f>IFERROR(__xludf.DUMMYFUNCTION("""COMPUTED_VALUE"""),32.4)</f>
        <v>32.4</v>
      </c>
      <c r="F610" s="1">
        <f>IFERROR(__xludf.DUMMYFUNCTION("""COMPUTED_VALUE"""),430944.0)</f>
        <v>430944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IFERROR(__xludf.DUMMYFUNCTION("""COMPUTED_VALUE"""),32.26)</f>
        <v>32.26</v>
      </c>
      <c r="C611" s="1">
        <f>IFERROR(__xludf.DUMMYFUNCTION("""COMPUTED_VALUE"""),32.71)</f>
        <v>32.71</v>
      </c>
      <c r="D611" s="1">
        <f>IFERROR(__xludf.DUMMYFUNCTION("""COMPUTED_VALUE"""),31.94)</f>
        <v>31.94</v>
      </c>
      <c r="E611" s="1">
        <f>IFERROR(__xludf.DUMMYFUNCTION("""COMPUTED_VALUE"""),32.21)</f>
        <v>32.21</v>
      </c>
      <c r="F611" s="1">
        <f>IFERROR(__xludf.DUMMYFUNCTION("""COMPUTED_VALUE"""),317185.0)</f>
        <v>317185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IFERROR(__xludf.DUMMYFUNCTION("""COMPUTED_VALUE"""),32.04)</f>
        <v>32.04</v>
      </c>
      <c r="C612" s="1">
        <f>IFERROR(__xludf.DUMMYFUNCTION("""COMPUTED_VALUE"""),32.78)</f>
        <v>32.78</v>
      </c>
      <c r="D612" s="1">
        <f>IFERROR(__xludf.DUMMYFUNCTION("""COMPUTED_VALUE"""),31.93)</f>
        <v>31.93</v>
      </c>
      <c r="E612" s="1">
        <f>IFERROR(__xludf.DUMMYFUNCTION("""COMPUTED_VALUE"""),32.68)</f>
        <v>32.68</v>
      </c>
      <c r="F612" s="1">
        <f>IFERROR(__xludf.DUMMYFUNCTION("""COMPUTED_VALUE"""),575629.0)</f>
        <v>575629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IFERROR(__xludf.DUMMYFUNCTION("""COMPUTED_VALUE"""),32.95)</f>
        <v>32.95</v>
      </c>
      <c r="C613" s="1">
        <f>IFERROR(__xludf.DUMMYFUNCTION("""COMPUTED_VALUE"""),33.04)</f>
        <v>33.04</v>
      </c>
      <c r="D613" s="1">
        <f>IFERROR(__xludf.DUMMYFUNCTION("""COMPUTED_VALUE"""),32.65)</f>
        <v>32.65</v>
      </c>
      <c r="E613" s="1">
        <f>IFERROR(__xludf.DUMMYFUNCTION("""COMPUTED_VALUE"""),32.82)</f>
        <v>32.82</v>
      </c>
      <c r="F613" s="1">
        <f>IFERROR(__xludf.DUMMYFUNCTION("""COMPUTED_VALUE"""),262071.0)</f>
        <v>262071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IFERROR(__xludf.DUMMYFUNCTION("""COMPUTED_VALUE"""),33.12)</f>
        <v>33.12</v>
      </c>
      <c r="C614" s="1">
        <f>IFERROR(__xludf.DUMMYFUNCTION("""COMPUTED_VALUE"""),33.3)</f>
        <v>33.3</v>
      </c>
      <c r="D614" s="1">
        <f>IFERROR(__xludf.DUMMYFUNCTION("""COMPUTED_VALUE"""),32.73)</f>
        <v>32.73</v>
      </c>
      <c r="E614" s="1">
        <f>IFERROR(__xludf.DUMMYFUNCTION("""COMPUTED_VALUE"""),32.8)</f>
        <v>32.8</v>
      </c>
      <c r="F614" s="1">
        <f>IFERROR(__xludf.DUMMYFUNCTION("""COMPUTED_VALUE"""),346771.0)</f>
        <v>346771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IFERROR(__xludf.DUMMYFUNCTION("""COMPUTED_VALUE"""),32.69)</f>
        <v>32.69</v>
      </c>
      <c r="C615" s="1">
        <f>IFERROR(__xludf.DUMMYFUNCTION("""COMPUTED_VALUE"""),32.94)</f>
        <v>32.94</v>
      </c>
      <c r="D615" s="1">
        <f>IFERROR(__xludf.DUMMYFUNCTION("""COMPUTED_VALUE"""),32.54)</f>
        <v>32.54</v>
      </c>
      <c r="E615" s="1">
        <f>IFERROR(__xludf.DUMMYFUNCTION("""COMPUTED_VALUE"""),32.73)</f>
        <v>32.73</v>
      </c>
      <c r="F615" s="1">
        <f>IFERROR(__xludf.DUMMYFUNCTION("""COMPUTED_VALUE"""),360203.0)</f>
        <v>360203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IFERROR(__xludf.DUMMYFUNCTION("""COMPUTED_VALUE"""),32.86)</f>
        <v>32.86</v>
      </c>
      <c r="C616" s="1">
        <f>IFERROR(__xludf.DUMMYFUNCTION("""COMPUTED_VALUE"""),32.87)</f>
        <v>32.87</v>
      </c>
      <c r="D616" s="1">
        <f>IFERROR(__xludf.DUMMYFUNCTION("""COMPUTED_VALUE"""),31.9)</f>
        <v>31.9</v>
      </c>
      <c r="E616" s="1">
        <f>IFERROR(__xludf.DUMMYFUNCTION("""COMPUTED_VALUE"""),31.93)</f>
        <v>31.93</v>
      </c>
      <c r="F616" s="1">
        <f>IFERROR(__xludf.DUMMYFUNCTION("""COMPUTED_VALUE"""),234763.0)</f>
        <v>234763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IFERROR(__xludf.DUMMYFUNCTION("""COMPUTED_VALUE"""),32.15)</f>
        <v>32.15</v>
      </c>
      <c r="C617" s="1">
        <f>IFERROR(__xludf.DUMMYFUNCTION("""COMPUTED_VALUE"""),32.56)</f>
        <v>32.56</v>
      </c>
      <c r="D617" s="1">
        <f>IFERROR(__xludf.DUMMYFUNCTION("""COMPUTED_VALUE"""),31.81)</f>
        <v>31.81</v>
      </c>
      <c r="E617" s="1">
        <f>IFERROR(__xludf.DUMMYFUNCTION("""COMPUTED_VALUE"""),32.49)</f>
        <v>32.49</v>
      </c>
      <c r="F617" s="1">
        <f>IFERROR(__xludf.DUMMYFUNCTION("""COMPUTED_VALUE"""),362493.0)</f>
        <v>362493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IFERROR(__xludf.DUMMYFUNCTION("""COMPUTED_VALUE"""),32.45)</f>
        <v>32.45</v>
      </c>
      <c r="C618" s="1">
        <f>IFERROR(__xludf.DUMMYFUNCTION("""COMPUTED_VALUE"""),32.49)</f>
        <v>32.49</v>
      </c>
      <c r="D618" s="1">
        <f>IFERROR(__xludf.DUMMYFUNCTION("""COMPUTED_VALUE"""),31.89)</f>
        <v>31.89</v>
      </c>
      <c r="E618" s="1">
        <f>IFERROR(__xludf.DUMMYFUNCTION("""COMPUTED_VALUE"""),31.96)</f>
        <v>31.96</v>
      </c>
      <c r="F618" s="1">
        <f>IFERROR(__xludf.DUMMYFUNCTION("""COMPUTED_VALUE"""),409170.0)</f>
        <v>409170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IFERROR(__xludf.DUMMYFUNCTION("""COMPUTED_VALUE"""),31.83)</f>
        <v>31.83</v>
      </c>
      <c r="C619" s="1">
        <f>IFERROR(__xludf.DUMMYFUNCTION("""COMPUTED_VALUE"""),32.22)</f>
        <v>32.22</v>
      </c>
      <c r="D619" s="1">
        <f>IFERROR(__xludf.DUMMYFUNCTION("""COMPUTED_VALUE"""),31.76)</f>
        <v>31.76</v>
      </c>
      <c r="E619" s="1">
        <f>IFERROR(__xludf.DUMMYFUNCTION("""COMPUTED_VALUE"""),31.82)</f>
        <v>31.82</v>
      </c>
      <c r="F619" s="1">
        <f>IFERROR(__xludf.DUMMYFUNCTION("""COMPUTED_VALUE"""),438737.0)</f>
        <v>438737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IFERROR(__xludf.DUMMYFUNCTION("""COMPUTED_VALUE"""),31.93)</f>
        <v>31.93</v>
      </c>
      <c r="C620" s="1">
        <f>IFERROR(__xludf.DUMMYFUNCTION("""COMPUTED_VALUE"""),32.34)</f>
        <v>32.34</v>
      </c>
      <c r="D620" s="1">
        <f>IFERROR(__xludf.DUMMYFUNCTION("""COMPUTED_VALUE"""),31.93)</f>
        <v>31.93</v>
      </c>
      <c r="E620" s="1">
        <f>IFERROR(__xludf.DUMMYFUNCTION("""COMPUTED_VALUE"""),32.05)</f>
        <v>32.05</v>
      </c>
      <c r="F620" s="1">
        <f>IFERROR(__xludf.DUMMYFUNCTION("""COMPUTED_VALUE"""),453712.0)</f>
        <v>453712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IFERROR(__xludf.DUMMYFUNCTION("""COMPUTED_VALUE"""),31.8)</f>
        <v>31.8</v>
      </c>
      <c r="C621" s="1">
        <f>IFERROR(__xludf.DUMMYFUNCTION("""COMPUTED_VALUE"""),32.57)</f>
        <v>32.57</v>
      </c>
      <c r="D621" s="1">
        <f>IFERROR(__xludf.DUMMYFUNCTION("""COMPUTED_VALUE"""),31.78)</f>
        <v>31.78</v>
      </c>
      <c r="E621" s="1">
        <f>IFERROR(__xludf.DUMMYFUNCTION("""COMPUTED_VALUE"""),32.56)</f>
        <v>32.56</v>
      </c>
      <c r="F621" s="1">
        <f>IFERROR(__xludf.DUMMYFUNCTION("""COMPUTED_VALUE"""),402347.0)</f>
        <v>402347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IFERROR(__xludf.DUMMYFUNCTION("""COMPUTED_VALUE"""),32.81)</f>
        <v>32.81</v>
      </c>
      <c r="C622" s="1">
        <f>IFERROR(__xludf.DUMMYFUNCTION("""COMPUTED_VALUE"""),33.56)</f>
        <v>33.56</v>
      </c>
      <c r="D622" s="1">
        <f>IFERROR(__xludf.DUMMYFUNCTION("""COMPUTED_VALUE"""),32.63)</f>
        <v>32.63</v>
      </c>
      <c r="E622" s="1">
        <f>IFERROR(__xludf.DUMMYFUNCTION("""COMPUTED_VALUE"""),33.53)</f>
        <v>33.53</v>
      </c>
      <c r="F622" s="1">
        <f>IFERROR(__xludf.DUMMYFUNCTION("""COMPUTED_VALUE"""),320456.0)</f>
        <v>320456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IFERROR(__xludf.DUMMYFUNCTION("""COMPUTED_VALUE"""),33.44)</f>
        <v>33.44</v>
      </c>
      <c r="C623" s="1">
        <f>IFERROR(__xludf.DUMMYFUNCTION("""COMPUTED_VALUE"""),34.04)</f>
        <v>34.04</v>
      </c>
      <c r="D623" s="1">
        <f>IFERROR(__xludf.DUMMYFUNCTION("""COMPUTED_VALUE"""),33.35)</f>
        <v>33.35</v>
      </c>
      <c r="E623" s="1">
        <f>IFERROR(__xludf.DUMMYFUNCTION("""COMPUTED_VALUE"""),33.78)</f>
        <v>33.78</v>
      </c>
      <c r="F623" s="1">
        <f>IFERROR(__xludf.DUMMYFUNCTION("""COMPUTED_VALUE"""),486061.0)</f>
        <v>486061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IFERROR(__xludf.DUMMYFUNCTION("""COMPUTED_VALUE"""),33.8)</f>
        <v>33.8</v>
      </c>
      <c r="C624" s="1">
        <f>IFERROR(__xludf.DUMMYFUNCTION("""COMPUTED_VALUE"""),34.0)</f>
        <v>34</v>
      </c>
      <c r="D624" s="1">
        <f>IFERROR(__xludf.DUMMYFUNCTION("""COMPUTED_VALUE"""),33.0)</f>
        <v>33</v>
      </c>
      <c r="E624" s="1">
        <f>IFERROR(__xludf.DUMMYFUNCTION("""COMPUTED_VALUE"""),33.04)</f>
        <v>33.04</v>
      </c>
      <c r="F624" s="1">
        <f>IFERROR(__xludf.DUMMYFUNCTION("""COMPUTED_VALUE"""),247650.0)</f>
        <v>247650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IFERROR(__xludf.DUMMYFUNCTION("""COMPUTED_VALUE"""),33.22)</f>
        <v>33.22</v>
      </c>
      <c r="C625" s="1">
        <f>IFERROR(__xludf.DUMMYFUNCTION("""COMPUTED_VALUE"""),33.22)</f>
        <v>33.22</v>
      </c>
      <c r="D625" s="1">
        <f>IFERROR(__xludf.DUMMYFUNCTION("""COMPUTED_VALUE"""),32.74)</f>
        <v>32.74</v>
      </c>
      <c r="E625" s="1">
        <f>IFERROR(__xludf.DUMMYFUNCTION("""COMPUTED_VALUE"""),32.91)</f>
        <v>32.91</v>
      </c>
      <c r="F625" s="1">
        <f>IFERROR(__xludf.DUMMYFUNCTION("""COMPUTED_VALUE"""),628762.0)</f>
        <v>628762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IFERROR(__xludf.DUMMYFUNCTION("""COMPUTED_VALUE"""),32.38)</f>
        <v>32.38</v>
      </c>
      <c r="C626" s="1">
        <f>IFERROR(__xludf.DUMMYFUNCTION("""COMPUTED_VALUE"""),32.49)</f>
        <v>32.49</v>
      </c>
      <c r="D626" s="1">
        <f>IFERROR(__xludf.DUMMYFUNCTION("""COMPUTED_VALUE"""),31.81)</f>
        <v>31.81</v>
      </c>
      <c r="E626" s="1">
        <f>IFERROR(__xludf.DUMMYFUNCTION("""COMPUTED_VALUE"""),31.85)</f>
        <v>31.85</v>
      </c>
      <c r="F626" s="1">
        <f>IFERROR(__xludf.DUMMYFUNCTION("""COMPUTED_VALUE"""),429389.0)</f>
        <v>429389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IFERROR(__xludf.DUMMYFUNCTION("""COMPUTED_VALUE"""),31.88)</f>
        <v>31.88</v>
      </c>
      <c r="C627" s="1">
        <f>IFERROR(__xludf.DUMMYFUNCTION("""COMPUTED_VALUE"""),32.09)</f>
        <v>32.09</v>
      </c>
      <c r="D627" s="1">
        <f>IFERROR(__xludf.DUMMYFUNCTION("""COMPUTED_VALUE"""),31.69)</f>
        <v>31.69</v>
      </c>
      <c r="E627" s="1">
        <f>IFERROR(__xludf.DUMMYFUNCTION("""COMPUTED_VALUE"""),31.89)</f>
        <v>31.89</v>
      </c>
      <c r="F627" s="1">
        <f>IFERROR(__xludf.DUMMYFUNCTION("""COMPUTED_VALUE"""),338819.0)</f>
        <v>338819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IFERROR(__xludf.DUMMYFUNCTION("""COMPUTED_VALUE"""),31.89)</f>
        <v>31.89</v>
      </c>
      <c r="C628" s="1">
        <f>IFERROR(__xludf.DUMMYFUNCTION("""COMPUTED_VALUE"""),32.29)</f>
        <v>32.29</v>
      </c>
      <c r="D628" s="1">
        <f>IFERROR(__xludf.DUMMYFUNCTION("""COMPUTED_VALUE"""),31.81)</f>
        <v>31.81</v>
      </c>
      <c r="E628" s="1">
        <f>IFERROR(__xludf.DUMMYFUNCTION("""COMPUTED_VALUE"""),32.23)</f>
        <v>32.23</v>
      </c>
      <c r="F628" s="1">
        <f>IFERROR(__xludf.DUMMYFUNCTION("""COMPUTED_VALUE"""),251295.0)</f>
        <v>251295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IFERROR(__xludf.DUMMYFUNCTION("""COMPUTED_VALUE"""),31.99)</f>
        <v>31.99</v>
      </c>
      <c r="C629" s="1">
        <f>IFERROR(__xludf.DUMMYFUNCTION("""COMPUTED_VALUE"""),32.45)</f>
        <v>32.45</v>
      </c>
      <c r="D629" s="1">
        <f>IFERROR(__xludf.DUMMYFUNCTION("""COMPUTED_VALUE"""),31.48)</f>
        <v>31.48</v>
      </c>
      <c r="E629" s="1">
        <f>IFERROR(__xludf.DUMMYFUNCTION("""COMPUTED_VALUE"""),32.01)</f>
        <v>32.01</v>
      </c>
      <c r="F629" s="1">
        <f>IFERROR(__xludf.DUMMYFUNCTION("""COMPUTED_VALUE"""),339321.0)</f>
        <v>339321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IFERROR(__xludf.DUMMYFUNCTION("""COMPUTED_VALUE"""),32.66)</f>
        <v>32.66</v>
      </c>
      <c r="C630" s="1">
        <f>IFERROR(__xludf.DUMMYFUNCTION("""COMPUTED_VALUE"""),33.08)</f>
        <v>33.08</v>
      </c>
      <c r="D630" s="1">
        <f>IFERROR(__xludf.DUMMYFUNCTION("""COMPUTED_VALUE"""),32.55)</f>
        <v>32.55</v>
      </c>
      <c r="E630" s="1">
        <f>IFERROR(__xludf.DUMMYFUNCTION("""COMPUTED_VALUE"""),32.76)</f>
        <v>32.76</v>
      </c>
      <c r="F630" s="1">
        <f>IFERROR(__xludf.DUMMYFUNCTION("""COMPUTED_VALUE"""),292997.0)</f>
        <v>292997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IFERROR(__xludf.DUMMYFUNCTION("""COMPUTED_VALUE"""),32.87)</f>
        <v>32.87</v>
      </c>
      <c r="C631" s="1">
        <f>IFERROR(__xludf.DUMMYFUNCTION("""COMPUTED_VALUE"""),33.51)</f>
        <v>33.51</v>
      </c>
      <c r="D631" s="1">
        <f>IFERROR(__xludf.DUMMYFUNCTION("""COMPUTED_VALUE"""),32.78)</f>
        <v>32.78</v>
      </c>
      <c r="E631" s="1">
        <f>IFERROR(__xludf.DUMMYFUNCTION("""COMPUTED_VALUE"""),33.51)</f>
        <v>33.51</v>
      </c>
      <c r="F631" s="1">
        <f>IFERROR(__xludf.DUMMYFUNCTION("""COMPUTED_VALUE"""),253464.0)</f>
        <v>253464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IFERROR(__xludf.DUMMYFUNCTION("""COMPUTED_VALUE"""),33.52)</f>
        <v>33.52</v>
      </c>
      <c r="C632" s="1">
        <f>IFERROR(__xludf.DUMMYFUNCTION("""COMPUTED_VALUE"""),34.38)</f>
        <v>34.38</v>
      </c>
      <c r="D632" s="1">
        <f>IFERROR(__xludf.DUMMYFUNCTION("""COMPUTED_VALUE"""),33.49)</f>
        <v>33.49</v>
      </c>
      <c r="E632" s="1">
        <f>IFERROR(__xludf.DUMMYFUNCTION("""COMPUTED_VALUE"""),34.34)</f>
        <v>34.34</v>
      </c>
      <c r="F632" s="1">
        <f>IFERROR(__xludf.DUMMYFUNCTION("""COMPUTED_VALUE"""),250565.0)</f>
        <v>250565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IFERROR(__xludf.DUMMYFUNCTION("""COMPUTED_VALUE"""),34.18)</f>
        <v>34.18</v>
      </c>
      <c r="C633" s="1">
        <f>IFERROR(__xludf.DUMMYFUNCTION("""COMPUTED_VALUE"""),34.52)</f>
        <v>34.52</v>
      </c>
      <c r="D633" s="1">
        <f>IFERROR(__xludf.DUMMYFUNCTION("""COMPUTED_VALUE"""),34.09)</f>
        <v>34.09</v>
      </c>
      <c r="E633" s="1">
        <f>IFERROR(__xludf.DUMMYFUNCTION("""COMPUTED_VALUE"""),34.29)</f>
        <v>34.29</v>
      </c>
      <c r="F633" s="1">
        <f>IFERROR(__xludf.DUMMYFUNCTION("""COMPUTED_VALUE"""),347460.0)</f>
        <v>347460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IFERROR(__xludf.DUMMYFUNCTION("""COMPUTED_VALUE"""),33.78)</f>
        <v>33.78</v>
      </c>
      <c r="C634" s="1">
        <f>IFERROR(__xludf.DUMMYFUNCTION("""COMPUTED_VALUE"""),33.78)</f>
        <v>33.78</v>
      </c>
      <c r="D634" s="1">
        <f>IFERROR(__xludf.DUMMYFUNCTION("""COMPUTED_VALUE"""),33.0)</f>
        <v>33</v>
      </c>
      <c r="E634" s="1">
        <f>IFERROR(__xludf.DUMMYFUNCTION("""COMPUTED_VALUE"""),33.21)</f>
        <v>33.21</v>
      </c>
      <c r="F634" s="1">
        <f>IFERROR(__xludf.DUMMYFUNCTION("""COMPUTED_VALUE"""),392950.0)</f>
        <v>392950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IFERROR(__xludf.DUMMYFUNCTION("""COMPUTED_VALUE"""),33.1)</f>
        <v>33.1</v>
      </c>
      <c r="C635" s="1">
        <f>IFERROR(__xludf.DUMMYFUNCTION("""COMPUTED_VALUE"""),33.18)</f>
        <v>33.18</v>
      </c>
      <c r="D635" s="1">
        <f>IFERROR(__xludf.DUMMYFUNCTION("""COMPUTED_VALUE"""),32.4)</f>
        <v>32.4</v>
      </c>
      <c r="E635" s="1">
        <f>IFERROR(__xludf.DUMMYFUNCTION("""COMPUTED_VALUE"""),32.69)</f>
        <v>32.69</v>
      </c>
      <c r="F635" s="1">
        <f>IFERROR(__xludf.DUMMYFUNCTION("""COMPUTED_VALUE"""),362888.0)</f>
        <v>362888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IFERROR(__xludf.DUMMYFUNCTION("""COMPUTED_VALUE"""),32.56)</f>
        <v>32.56</v>
      </c>
      <c r="C636" s="1">
        <f>IFERROR(__xludf.DUMMYFUNCTION("""COMPUTED_VALUE"""),32.86)</f>
        <v>32.86</v>
      </c>
      <c r="D636" s="1">
        <f>IFERROR(__xludf.DUMMYFUNCTION("""COMPUTED_VALUE"""),32.19)</f>
        <v>32.19</v>
      </c>
      <c r="E636" s="1">
        <f>IFERROR(__xludf.DUMMYFUNCTION("""COMPUTED_VALUE"""),32.27)</f>
        <v>32.27</v>
      </c>
      <c r="F636" s="1">
        <f>IFERROR(__xludf.DUMMYFUNCTION("""COMPUTED_VALUE"""),434319.0)</f>
        <v>434319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IFERROR(__xludf.DUMMYFUNCTION("""COMPUTED_VALUE"""),32.29)</f>
        <v>32.29</v>
      </c>
      <c r="C637" s="1">
        <f>IFERROR(__xludf.DUMMYFUNCTION("""COMPUTED_VALUE"""),32.7)</f>
        <v>32.7</v>
      </c>
      <c r="D637" s="1">
        <f>IFERROR(__xludf.DUMMYFUNCTION("""COMPUTED_VALUE"""),32.0)</f>
        <v>32</v>
      </c>
      <c r="E637" s="1">
        <f>IFERROR(__xludf.DUMMYFUNCTION("""COMPUTED_VALUE"""),32.61)</f>
        <v>32.61</v>
      </c>
      <c r="F637" s="1">
        <f>IFERROR(__xludf.DUMMYFUNCTION("""COMPUTED_VALUE"""),373798.0)</f>
        <v>373798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IFERROR(__xludf.DUMMYFUNCTION("""COMPUTED_VALUE"""),32.31)</f>
        <v>32.31</v>
      </c>
      <c r="C638" s="1">
        <f>IFERROR(__xludf.DUMMYFUNCTION("""COMPUTED_VALUE"""),33.2)</f>
        <v>33.2</v>
      </c>
      <c r="D638" s="1">
        <f>IFERROR(__xludf.DUMMYFUNCTION("""COMPUTED_VALUE"""),32.16)</f>
        <v>32.16</v>
      </c>
      <c r="E638" s="1">
        <f>IFERROR(__xludf.DUMMYFUNCTION("""COMPUTED_VALUE"""),32.91)</f>
        <v>32.91</v>
      </c>
      <c r="F638" s="1">
        <f>IFERROR(__xludf.DUMMYFUNCTION("""COMPUTED_VALUE"""),459832.0)</f>
        <v>459832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IFERROR(__xludf.DUMMYFUNCTION("""COMPUTED_VALUE"""),33.0)</f>
        <v>33</v>
      </c>
      <c r="C639" s="1">
        <f>IFERROR(__xludf.DUMMYFUNCTION("""COMPUTED_VALUE"""),33.14)</f>
        <v>33.14</v>
      </c>
      <c r="D639" s="1">
        <f>IFERROR(__xludf.DUMMYFUNCTION("""COMPUTED_VALUE"""),32.63)</f>
        <v>32.63</v>
      </c>
      <c r="E639" s="1">
        <f>IFERROR(__xludf.DUMMYFUNCTION("""COMPUTED_VALUE"""),32.8)</f>
        <v>32.8</v>
      </c>
      <c r="F639" s="1">
        <f>IFERROR(__xludf.DUMMYFUNCTION("""COMPUTED_VALUE"""),350598.0)</f>
        <v>350598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IFERROR(__xludf.DUMMYFUNCTION("""COMPUTED_VALUE"""),32.58)</f>
        <v>32.58</v>
      </c>
      <c r="C640" s="1">
        <f>IFERROR(__xludf.DUMMYFUNCTION("""COMPUTED_VALUE"""),33.08)</f>
        <v>33.08</v>
      </c>
      <c r="D640" s="1">
        <f>IFERROR(__xludf.DUMMYFUNCTION("""COMPUTED_VALUE"""),32.01)</f>
        <v>32.01</v>
      </c>
      <c r="E640" s="1">
        <f>IFERROR(__xludf.DUMMYFUNCTION("""COMPUTED_VALUE"""),32.98)</f>
        <v>32.98</v>
      </c>
      <c r="F640" s="1">
        <f>IFERROR(__xludf.DUMMYFUNCTION("""COMPUTED_VALUE"""),277044.0)</f>
        <v>277044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IFERROR(__xludf.DUMMYFUNCTION("""COMPUTED_VALUE"""),33.07)</f>
        <v>33.07</v>
      </c>
      <c r="C641" s="1">
        <f>IFERROR(__xludf.DUMMYFUNCTION("""COMPUTED_VALUE"""),33.89)</f>
        <v>33.89</v>
      </c>
      <c r="D641" s="1">
        <f>IFERROR(__xludf.DUMMYFUNCTION("""COMPUTED_VALUE"""),32.8)</f>
        <v>32.8</v>
      </c>
      <c r="E641" s="1">
        <f>IFERROR(__xludf.DUMMYFUNCTION("""COMPUTED_VALUE"""),33.84)</f>
        <v>33.84</v>
      </c>
      <c r="F641" s="1">
        <f>IFERROR(__xludf.DUMMYFUNCTION("""COMPUTED_VALUE"""),337069.0)</f>
        <v>337069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IFERROR(__xludf.DUMMYFUNCTION("""COMPUTED_VALUE"""),33.77)</f>
        <v>33.77</v>
      </c>
      <c r="C642" s="1">
        <f>IFERROR(__xludf.DUMMYFUNCTION("""COMPUTED_VALUE"""),34.8)</f>
        <v>34.8</v>
      </c>
      <c r="D642" s="1">
        <f>IFERROR(__xludf.DUMMYFUNCTION("""COMPUTED_VALUE"""),33.72)</f>
        <v>33.72</v>
      </c>
      <c r="E642" s="1">
        <f>IFERROR(__xludf.DUMMYFUNCTION("""COMPUTED_VALUE"""),34.43)</f>
        <v>34.43</v>
      </c>
      <c r="F642" s="1">
        <f>IFERROR(__xludf.DUMMYFUNCTION("""COMPUTED_VALUE"""),459056.0)</f>
        <v>459056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IFERROR(__xludf.DUMMYFUNCTION("""COMPUTED_VALUE"""),34.71)</f>
        <v>34.71</v>
      </c>
      <c r="C643" s="1">
        <f>IFERROR(__xludf.DUMMYFUNCTION("""COMPUTED_VALUE"""),34.8)</f>
        <v>34.8</v>
      </c>
      <c r="D643" s="1">
        <f>IFERROR(__xludf.DUMMYFUNCTION("""COMPUTED_VALUE"""),34.25)</f>
        <v>34.25</v>
      </c>
      <c r="E643" s="1">
        <f>IFERROR(__xludf.DUMMYFUNCTION("""COMPUTED_VALUE"""),34.59)</f>
        <v>34.59</v>
      </c>
      <c r="F643" s="1">
        <f>IFERROR(__xludf.DUMMYFUNCTION("""COMPUTED_VALUE"""),253104.0)</f>
        <v>253104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IFERROR(__xludf.DUMMYFUNCTION("""COMPUTED_VALUE"""),34.16)</f>
        <v>34.16</v>
      </c>
      <c r="C644" s="1">
        <f>IFERROR(__xludf.DUMMYFUNCTION("""COMPUTED_VALUE"""),34.26)</f>
        <v>34.26</v>
      </c>
      <c r="D644" s="1">
        <f>IFERROR(__xludf.DUMMYFUNCTION("""COMPUTED_VALUE"""),33.48)</f>
        <v>33.48</v>
      </c>
      <c r="E644" s="1">
        <f>IFERROR(__xludf.DUMMYFUNCTION("""COMPUTED_VALUE"""),33.81)</f>
        <v>33.81</v>
      </c>
      <c r="F644" s="1">
        <f>IFERROR(__xludf.DUMMYFUNCTION("""COMPUTED_VALUE"""),346658.0)</f>
        <v>346658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IFERROR(__xludf.DUMMYFUNCTION("""COMPUTED_VALUE"""),33.08)</f>
        <v>33.08</v>
      </c>
      <c r="C645" s="1">
        <f>IFERROR(__xludf.DUMMYFUNCTION("""COMPUTED_VALUE"""),33.52)</f>
        <v>33.52</v>
      </c>
      <c r="D645" s="1">
        <f>IFERROR(__xludf.DUMMYFUNCTION("""COMPUTED_VALUE"""),32.75)</f>
        <v>32.75</v>
      </c>
      <c r="E645" s="1">
        <f>IFERROR(__xludf.DUMMYFUNCTION("""COMPUTED_VALUE"""),33.5)</f>
        <v>33.5</v>
      </c>
      <c r="F645" s="1">
        <f>IFERROR(__xludf.DUMMYFUNCTION("""COMPUTED_VALUE"""),354244.0)</f>
        <v>354244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IFERROR(__xludf.DUMMYFUNCTION("""COMPUTED_VALUE"""),33.42)</f>
        <v>33.42</v>
      </c>
      <c r="C646" s="1">
        <f>IFERROR(__xludf.DUMMYFUNCTION("""COMPUTED_VALUE"""),33.45)</f>
        <v>33.45</v>
      </c>
      <c r="D646" s="1">
        <f>IFERROR(__xludf.DUMMYFUNCTION("""COMPUTED_VALUE"""),32.66)</f>
        <v>32.66</v>
      </c>
      <c r="E646" s="1">
        <f>IFERROR(__xludf.DUMMYFUNCTION("""COMPUTED_VALUE"""),32.84)</f>
        <v>32.84</v>
      </c>
      <c r="F646" s="1">
        <f>IFERROR(__xludf.DUMMYFUNCTION("""COMPUTED_VALUE"""),334822.0)</f>
        <v>334822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IFERROR(__xludf.DUMMYFUNCTION("""COMPUTED_VALUE"""),33.0)</f>
        <v>33</v>
      </c>
      <c r="C647" s="1">
        <f>IFERROR(__xludf.DUMMYFUNCTION("""COMPUTED_VALUE"""),33.19)</f>
        <v>33.19</v>
      </c>
      <c r="D647" s="1">
        <f>IFERROR(__xludf.DUMMYFUNCTION("""COMPUTED_VALUE"""),32.71)</f>
        <v>32.71</v>
      </c>
      <c r="E647" s="1">
        <f>IFERROR(__xludf.DUMMYFUNCTION("""COMPUTED_VALUE"""),33.16)</f>
        <v>33.16</v>
      </c>
      <c r="F647" s="1">
        <f>IFERROR(__xludf.DUMMYFUNCTION("""COMPUTED_VALUE"""),327778.0)</f>
        <v>327778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IFERROR(__xludf.DUMMYFUNCTION("""COMPUTED_VALUE"""),33.64)</f>
        <v>33.64</v>
      </c>
      <c r="C648" s="1">
        <f>IFERROR(__xludf.DUMMYFUNCTION("""COMPUTED_VALUE"""),33.84)</f>
        <v>33.84</v>
      </c>
      <c r="D648" s="1">
        <f>IFERROR(__xludf.DUMMYFUNCTION("""COMPUTED_VALUE"""),33.15)</f>
        <v>33.15</v>
      </c>
      <c r="E648" s="1">
        <f>IFERROR(__xludf.DUMMYFUNCTION("""COMPUTED_VALUE"""),33.76)</f>
        <v>33.76</v>
      </c>
      <c r="F648" s="1">
        <f>IFERROR(__xludf.DUMMYFUNCTION("""COMPUTED_VALUE"""),318784.0)</f>
        <v>318784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IFERROR(__xludf.DUMMYFUNCTION("""COMPUTED_VALUE"""),33.59)</f>
        <v>33.59</v>
      </c>
      <c r="C649" s="1">
        <f>IFERROR(__xludf.DUMMYFUNCTION("""COMPUTED_VALUE"""),34.04)</f>
        <v>34.04</v>
      </c>
      <c r="D649" s="1">
        <f>IFERROR(__xludf.DUMMYFUNCTION("""COMPUTED_VALUE"""),33.59)</f>
        <v>33.59</v>
      </c>
      <c r="E649" s="1">
        <f>IFERROR(__xludf.DUMMYFUNCTION("""COMPUTED_VALUE"""),33.75)</f>
        <v>33.75</v>
      </c>
      <c r="F649" s="1">
        <f>IFERROR(__xludf.DUMMYFUNCTION("""COMPUTED_VALUE"""),374667.0)</f>
        <v>374667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IFERROR(__xludf.DUMMYFUNCTION("""COMPUTED_VALUE"""),33.79)</f>
        <v>33.79</v>
      </c>
      <c r="C650" s="1">
        <f>IFERROR(__xludf.DUMMYFUNCTION("""COMPUTED_VALUE"""),34.23)</f>
        <v>34.23</v>
      </c>
      <c r="D650" s="1">
        <f>IFERROR(__xludf.DUMMYFUNCTION("""COMPUTED_VALUE"""),33.79)</f>
        <v>33.79</v>
      </c>
      <c r="E650" s="1">
        <f>IFERROR(__xludf.DUMMYFUNCTION("""COMPUTED_VALUE"""),33.92)</f>
        <v>33.92</v>
      </c>
      <c r="F650" s="1">
        <f>IFERROR(__xludf.DUMMYFUNCTION("""COMPUTED_VALUE"""),200293.0)</f>
        <v>200293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IFERROR(__xludf.DUMMYFUNCTION("""COMPUTED_VALUE"""),33.8)</f>
        <v>33.8</v>
      </c>
      <c r="C651" s="1">
        <f>IFERROR(__xludf.DUMMYFUNCTION("""COMPUTED_VALUE"""),34.27)</f>
        <v>34.27</v>
      </c>
      <c r="D651" s="1">
        <f>IFERROR(__xludf.DUMMYFUNCTION("""COMPUTED_VALUE"""),33.8)</f>
        <v>33.8</v>
      </c>
      <c r="E651" s="1">
        <f>IFERROR(__xludf.DUMMYFUNCTION("""COMPUTED_VALUE"""),34.03)</f>
        <v>34.03</v>
      </c>
      <c r="F651" s="1">
        <f>IFERROR(__xludf.DUMMYFUNCTION("""COMPUTED_VALUE"""),299406.0)</f>
        <v>299406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IFERROR(__xludf.DUMMYFUNCTION("""COMPUTED_VALUE"""),34.2)</f>
        <v>34.2</v>
      </c>
      <c r="C652" s="1">
        <f>IFERROR(__xludf.DUMMYFUNCTION("""COMPUTED_VALUE"""),34.38)</f>
        <v>34.38</v>
      </c>
      <c r="D652" s="1">
        <f>IFERROR(__xludf.DUMMYFUNCTION("""COMPUTED_VALUE"""),33.93)</f>
        <v>33.93</v>
      </c>
      <c r="E652" s="1">
        <f>IFERROR(__xludf.DUMMYFUNCTION("""COMPUTED_VALUE"""),34.07)</f>
        <v>34.07</v>
      </c>
      <c r="F652" s="1">
        <f>IFERROR(__xludf.DUMMYFUNCTION("""COMPUTED_VALUE"""),256307.0)</f>
        <v>256307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IFERROR(__xludf.DUMMYFUNCTION("""COMPUTED_VALUE"""),33.86)</f>
        <v>33.86</v>
      </c>
      <c r="C653" s="1">
        <f>IFERROR(__xludf.DUMMYFUNCTION("""COMPUTED_VALUE"""),34.2)</f>
        <v>34.2</v>
      </c>
      <c r="D653" s="1">
        <f>IFERROR(__xludf.DUMMYFUNCTION("""COMPUTED_VALUE"""),33.7)</f>
        <v>33.7</v>
      </c>
      <c r="E653" s="1">
        <f>IFERROR(__xludf.DUMMYFUNCTION("""COMPUTED_VALUE"""),34.08)</f>
        <v>34.08</v>
      </c>
      <c r="F653" s="1">
        <f>IFERROR(__xludf.DUMMYFUNCTION("""COMPUTED_VALUE"""),342923.0)</f>
        <v>342923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IFERROR(__xludf.DUMMYFUNCTION("""COMPUTED_VALUE"""),34.66)</f>
        <v>34.66</v>
      </c>
      <c r="C654" s="1">
        <f>IFERROR(__xludf.DUMMYFUNCTION("""COMPUTED_VALUE"""),35.36)</f>
        <v>35.36</v>
      </c>
      <c r="D654" s="1">
        <f>IFERROR(__xludf.DUMMYFUNCTION("""COMPUTED_VALUE"""),34.47)</f>
        <v>34.47</v>
      </c>
      <c r="E654" s="1">
        <f>IFERROR(__xludf.DUMMYFUNCTION("""COMPUTED_VALUE"""),35.16)</f>
        <v>35.16</v>
      </c>
      <c r="F654" s="1">
        <f>IFERROR(__xludf.DUMMYFUNCTION("""COMPUTED_VALUE"""),512723.0)</f>
        <v>512723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IFERROR(__xludf.DUMMYFUNCTION("""COMPUTED_VALUE"""),35.18)</f>
        <v>35.18</v>
      </c>
      <c r="C655" s="1">
        <f>IFERROR(__xludf.DUMMYFUNCTION("""COMPUTED_VALUE"""),35.92)</f>
        <v>35.92</v>
      </c>
      <c r="D655" s="1">
        <f>IFERROR(__xludf.DUMMYFUNCTION("""COMPUTED_VALUE"""),35.1)</f>
        <v>35.1</v>
      </c>
      <c r="E655" s="1">
        <f>IFERROR(__xludf.DUMMYFUNCTION("""COMPUTED_VALUE"""),35.86)</f>
        <v>35.86</v>
      </c>
      <c r="F655" s="1">
        <f>IFERROR(__xludf.DUMMYFUNCTION("""COMPUTED_VALUE"""),436756.0)</f>
        <v>436756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IFERROR(__xludf.DUMMYFUNCTION("""COMPUTED_VALUE"""),35.98)</f>
        <v>35.98</v>
      </c>
      <c r="C656" s="1">
        <f>IFERROR(__xludf.DUMMYFUNCTION("""COMPUTED_VALUE"""),36.09)</f>
        <v>36.09</v>
      </c>
      <c r="D656" s="1">
        <f>IFERROR(__xludf.DUMMYFUNCTION("""COMPUTED_VALUE"""),35.14)</f>
        <v>35.14</v>
      </c>
      <c r="E656" s="1">
        <f>IFERROR(__xludf.DUMMYFUNCTION("""COMPUTED_VALUE"""),35.6)</f>
        <v>35.6</v>
      </c>
      <c r="F656" s="1">
        <f>IFERROR(__xludf.DUMMYFUNCTION("""COMPUTED_VALUE"""),753130.0)</f>
        <v>753130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IFERROR(__xludf.DUMMYFUNCTION("""COMPUTED_VALUE"""),35.72)</f>
        <v>35.72</v>
      </c>
      <c r="C657" s="1">
        <f>IFERROR(__xludf.DUMMYFUNCTION("""COMPUTED_VALUE"""),36.72)</f>
        <v>36.72</v>
      </c>
      <c r="D657" s="1">
        <f>IFERROR(__xludf.DUMMYFUNCTION("""COMPUTED_VALUE"""),35.17)</f>
        <v>35.17</v>
      </c>
      <c r="E657" s="1">
        <f>IFERROR(__xludf.DUMMYFUNCTION("""COMPUTED_VALUE"""),36.67)</f>
        <v>36.67</v>
      </c>
      <c r="F657" s="1">
        <f>IFERROR(__xludf.DUMMYFUNCTION("""COMPUTED_VALUE"""),590628.0)</f>
        <v>590628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IFERROR(__xludf.DUMMYFUNCTION("""COMPUTED_VALUE"""),36.7)</f>
        <v>36.7</v>
      </c>
      <c r="C658" s="1">
        <f>IFERROR(__xludf.DUMMYFUNCTION("""COMPUTED_VALUE"""),37.56)</f>
        <v>37.56</v>
      </c>
      <c r="D658" s="1">
        <f>IFERROR(__xludf.DUMMYFUNCTION("""COMPUTED_VALUE"""),36.13)</f>
        <v>36.13</v>
      </c>
      <c r="E658" s="1">
        <f>IFERROR(__xludf.DUMMYFUNCTION("""COMPUTED_VALUE"""),36.55)</f>
        <v>36.55</v>
      </c>
      <c r="F658" s="1">
        <f>IFERROR(__xludf.DUMMYFUNCTION("""COMPUTED_VALUE"""),563203.0)</f>
        <v>563203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IFERROR(__xludf.DUMMYFUNCTION("""COMPUTED_VALUE"""),36.52)</f>
        <v>36.52</v>
      </c>
      <c r="C659" s="1">
        <f>IFERROR(__xludf.DUMMYFUNCTION("""COMPUTED_VALUE"""),37.12)</f>
        <v>37.12</v>
      </c>
      <c r="D659" s="1">
        <f>IFERROR(__xludf.DUMMYFUNCTION("""COMPUTED_VALUE"""),36.27)</f>
        <v>36.27</v>
      </c>
      <c r="E659" s="1">
        <f>IFERROR(__xludf.DUMMYFUNCTION("""COMPUTED_VALUE"""),37.08)</f>
        <v>37.08</v>
      </c>
      <c r="F659" s="1">
        <f>IFERROR(__xludf.DUMMYFUNCTION("""COMPUTED_VALUE"""),341697.0)</f>
        <v>341697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IFERROR(__xludf.DUMMYFUNCTION("""COMPUTED_VALUE"""),36.9)</f>
        <v>36.9</v>
      </c>
      <c r="C660" s="1">
        <f>IFERROR(__xludf.DUMMYFUNCTION("""COMPUTED_VALUE"""),37.14)</f>
        <v>37.14</v>
      </c>
      <c r="D660" s="1">
        <f>IFERROR(__xludf.DUMMYFUNCTION("""COMPUTED_VALUE"""),36.52)</f>
        <v>36.52</v>
      </c>
      <c r="E660" s="1">
        <f>IFERROR(__xludf.DUMMYFUNCTION("""COMPUTED_VALUE"""),36.73)</f>
        <v>36.73</v>
      </c>
      <c r="F660" s="1">
        <f>IFERROR(__xludf.DUMMYFUNCTION("""COMPUTED_VALUE"""),298577.0)</f>
        <v>298577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IFERROR(__xludf.DUMMYFUNCTION("""COMPUTED_VALUE"""),36.89)</f>
        <v>36.89</v>
      </c>
      <c r="C661" s="1">
        <f>IFERROR(__xludf.DUMMYFUNCTION("""COMPUTED_VALUE"""),36.89)</f>
        <v>36.89</v>
      </c>
      <c r="D661" s="1">
        <f>IFERROR(__xludf.DUMMYFUNCTION("""COMPUTED_VALUE"""),36.37)</f>
        <v>36.37</v>
      </c>
      <c r="E661" s="1">
        <f>IFERROR(__xludf.DUMMYFUNCTION("""COMPUTED_VALUE"""),36.51)</f>
        <v>36.51</v>
      </c>
      <c r="F661" s="1">
        <f>IFERROR(__xludf.DUMMYFUNCTION("""COMPUTED_VALUE"""),348740.0)</f>
        <v>348740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IFERROR(__xludf.DUMMYFUNCTION("""COMPUTED_VALUE"""),36.47)</f>
        <v>36.47</v>
      </c>
      <c r="C662" s="1">
        <f>IFERROR(__xludf.DUMMYFUNCTION("""COMPUTED_VALUE"""),36.89)</f>
        <v>36.89</v>
      </c>
      <c r="D662" s="1">
        <f>IFERROR(__xludf.DUMMYFUNCTION("""COMPUTED_VALUE"""),36.33)</f>
        <v>36.33</v>
      </c>
      <c r="E662" s="1">
        <f>IFERROR(__xludf.DUMMYFUNCTION("""COMPUTED_VALUE"""),36.58)</f>
        <v>36.58</v>
      </c>
      <c r="F662" s="1">
        <f>IFERROR(__xludf.DUMMYFUNCTION("""COMPUTED_VALUE"""),307136.0)</f>
        <v>307136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IFERROR(__xludf.DUMMYFUNCTION("""COMPUTED_VALUE"""),36.54)</f>
        <v>36.54</v>
      </c>
      <c r="C663" s="1">
        <f>IFERROR(__xludf.DUMMYFUNCTION("""COMPUTED_VALUE"""),37.09)</f>
        <v>37.09</v>
      </c>
      <c r="D663" s="1">
        <f>IFERROR(__xludf.DUMMYFUNCTION("""COMPUTED_VALUE"""),36.19)</f>
        <v>36.19</v>
      </c>
      <c r="E663" s="1">
        <f>IFERROR(__xludf.DUMMYFUNCTION("""COMPUTED_VALUE"""),36.64)</f>
        <v>36.64</v>
      </c>
      <c r="F663" s="1">
        <f>IFERROR(__xludf.DUMMYFUNCTION("""COMPUTED_VALUE"""),438346.0)</f>
        <v>438346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IFERROR(__xludf.DUMMYFUNCTION("""COMPUTED_VALUE"""),36.66)</f>
        <v>36.66</v>
      </c>
      <c r="C664" s="1">
        <f>IFERROR(__xludf.DUMMYFUNCTION("""COMPUTED_VALUE"""),36.8)</f>
        <v>36.8</v>
      </c>
      <c r="D664" s="1">
        <f>IFERROR(__xludf.DUMMYFUNCTION("""COMPUTED_VALUE"""),36.46)</f>
        <v>36.46</v>
      </c>
      <c r="E664" s="1">
        <f>IFERROR(__xludf.DUMMYFUNCTION("""COMPUTED_VALUE"""),36.67)</f>
        <v>36.67</v>
      </c>
      <c r="F664" s="1">
        <f>IFERROR(__xludf.DUMMYFUNCTION("""COMPUTED_VALUE"""),268096.0)</f>
        <v>268096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IFERROR(__xludf.DUMMYFUNCTION("""COMPUTED_VALUE"""),36.68)</f>
        <v>36.68</v>
      </c>
      <c r="C665" s="1">
        <f>IFERROR(__xludf.DUMMYFUNCTION("""COMPUTED_VALUE"""),36.87)</f>
        <v>36.87</v>
      </c>
      <c r="D665" s="1">
        <f>IFERROR(__xludf.DUMMYFUNCTION("""COMPUTED_VALUE"""),36.48)</f>
        <v>36.48</v>
      </c>
      <c r="E665" s="1">
        <f>IFERROR(__xludf.DUMMYFUNCTION("""COMPUTED_VALUE"""),36.63)</f>
        <v>36.63</v>
      </c>
      <c r="F665" s="1">
        <f>IFERROR(__xludf.DUMMYFUNCTION("""COMPUTED_VALUE"""),303748.0)</f>
        <v>303748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IFERROR(__xludf.DUMMYFUNCTION("""COMPUTED_VALUE"""),36.81)</f>
        <v>36.81</v>
      </c>
      <c r="C666" s="1">
        <f>IFERROR(__xludf.DUMMYFUNCTION("""COMPUTED_VALUE"""),37.11)</f>
        <v>37.11</v>
      </c>
      <c r="D666" s="1">
        <f>IFERROR(__xludf.DUMMYFUNCTION("""COMPUTED_VALUE"""),36.61)</f>
        <v>36.61</v>
      </c>
      <c r="E666" s="1">
        <f>IFERROR(__xludf.DUMMYFUNCTION("""COMPUTED_VALUE"""),36.75)</f>
        <v>36.75</v>
      </c>
      <c r="F666" s="1">
        <f>IFERROR(__xludf.DUMMYFUNCTION("""COMPUTED_VALUE"""),307772.0)</f>
        <v>307772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IFERROR(__xludf.DUMMYFUNCTION("""COMPUTED_VALUE"""),36.74)</f>
        <v>36.74</v>
      </c>
      <c r="C667" s="1">
        <f>IFERROR(__xludf.DUMMYFUNCTION("""COMPUTED_VALUE"""),36.9)</f>
        <v>36.9</v>
      </c>
      <c r="D667" s="1">
        <f>IFERROR(__xludf.DUMMYFUNCTION("""COMPUTED_VALUE"""),36.39)</f>
        <v>36.39</v>
      </c>
      <c r="E667" s="1">
        <f>IFERROR(__xludf.DUMMYFUNCTION("""COMPUTED_VALUE"""),36.48)</f>
        <v>36.48</v>
      </c>
      <c r="F667" s="1">
        <f>IFERROR(__xludf.DUMMYFUNCTION("""COMPUTED_VALUE"""),428089.0)</f>
        <v>428089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IFERROR(__xludf.DUMMYFUNCTION("""COMPUTED_VALUE"""),36.56)</f>
        <v>36.56</v>
      </c>
      <c r="C668" s="1">
        <f>IFERROR(__xludf.DUMMYFUNCTION("""COMPUTED_VALUE"""),36.56)</f>
        <v>36.56</v>
      </c>
      <c r="D668" s="1">
        <f>IFERROR(__xludf.DUMMYFUNCTION("""COMPUTED_VALUE"""),35.97)</f>
        <v>35.97</v>
      </c>
      <c r="E668" s="1">
        <f>IFERROR(__xludf.DUMMYFUNCTION("""COMPUTED_VALUE"""),35.99)</f>
        <v>35.99</v>
      </c>
      <c r="F668" s="1">
        <f>IFERROR(__xludf.DUMMYFUNCTION("""COMPUTED_VALUE"""),473016.0)</f>
        <v>473016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IFERROR(__xludf.DUMMYFUNCTION("""COMPUTED_VALUE"""),36.11)</f>
        <v>36.11</v>
      </c>
      <c r="C669" s="1">
        <f>IFERROR(__xludf.DUMMYFUNCTION("""COMPUTED_VALUE"""),36.34)</f>
        <v>36.34</v>
      </c>
      <c r="D669" s="1">
        <f>IFERROR(__xludf.DUMMYFUNCTION("""COMPUTED_VALUE"""),35.7)</f>
        <v>35.7</v>
      </c>
      <c r="E669" s="1">
        <f>IFERROR(__xludf.DUMMYFUNCTION("""COMPUTED_VALUE"""),36.01)</f>
        <v>36.01</v>
      </c>
      <c r="F669" s="1">
        <f>IFERROR(__xludf.DUMMYFUNCTION("""COMPUTED_VALUE"""),493558.0)</f>
        <v>493558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IFERROR(__xludf.DUMMYFUNCTION("""COMPUTED_VALUE"""),36.08)</f>
        <v>36.08</v>
      </c>
      <c r="C670" s="1">
        <f>IFERROR(__xludf.DUMMYFUNCTION("""COMPUTED_VALUE"""),36.28)</f>
        <v>36.28</v>
      </c>
      <c r="D670" s="1">
        <f>IFERROR(__xludf.DUMMYFUNCTION("""COMPUTED_VALUE"""),35.79)</f>
        <v>35.79</v>
      </c>
      <c r="E670" s="1">
        <f>IFERROR(__xludf.DUMMYFUNCTION("""COMPUTED_VALUE"""),35.99)</f>
        <v>35.99</v>
      </c>
      <c r="F670" s="1">
        <f>IFERROR(__xludf.DUMMYFUNCTION("""COMPUTED_VALUE"""),259742.0)</f>
        <v>259742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IFERROR(__xludf.DUMMYFUNCTION("""COMPUTED_VALUE"""),35.96)</f>
        <v>35.96</v>
      </c>
      <c r="C671" s="1">
        <f>IFERROR(__xludf.DUMMYFUNCTION("""COMPUTED_VALUE"""),36.43)</f>
        <v>36.43</v>
      </c>
      <c r="D671" s="1">
        <f>IFERROR(__xludf.DUMMYFUNCTION("""COMPUTED_VALUE"""),35.86)</f>
        <v>35.86</v>
      </c>
      <c r="E671" s="1">
        <f>IFERROR(__xludf.DUMMYFUNCTION("""COMPUTED_VALUE"""),36.31)</f>
        <v>36.31</v>
      </c>
      <c r="F671" s="1">
        <f>IFERROR(__xludf.DUMMYFUNCTION("""COMPUTED_VALUE"""),228733.0)</f>
        <v>228733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IFERROR(__xludf.DUMMYFUNCTION("""COMPUTED_VALUE"""),36.21)</f>
        <v>36.21</v>
      </c>
      <c r="C672" s="1">
        <f>IFERROR(__xludf.DUMMYFUNCTION("""COMPUTED_VALUE"""),36.77)</f>
        <v>36.77</v>
      </c>
      <c r="D672" s="1">
        <f>IFERROR(__xludf.DUMMYFUNCTION("""COMPUTED_VALUE"""),36.21)</f>
        <v>36.21</v>
      </c>
      <c r="E672" s="1">
        <f>IFERROR(__xludf.DUMMYFUNCTION("""COMPUTED_VALUE"""),36.35)</f>
        <v>36.35</v>
      </c>
      <c r="F672" s="1">
        <f>IFERROR(__xludf.DUMMYFUNCTION("""COMPUTED_VALUE"""),358940.0)</f>
        <v>358940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IFERROR(__xludf.DUMMYFUNCTION("""COMPUTED_VALUE"""),36.18)</f>
        <v>36.18</v>
      </c>
      <c r="C673" s="1">
        <f>IFERROR(__xludf.DUMMYFUNCTION("""COMPUTED_VALUE"""),36.37)</f>
        <v>36.37</v>
      </c>
      <c r="D673" s="1">
        <f>IFERROR(__xludf.DUMMYFUNCTION("""COMPUTED_VALUE"""),36.02)</f>
        <v>36.02</v>
      </c>
      <c r="E673" s="1">
        <f>IFERROR(__xludf.DUMMYFUNCTION("""COMPUTED_VALUE"""),36.26)</f>
        <v>36.26</v>
      </c>
      <c r="F673" s="1">
        <f>IFERROR(__xludf.DUMMYFUNCTION("""COMPUTED_VALUE"""),167868.0)</f>
        <v>167868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IFERROR(__xludf.DUMMYFUNCTION("""COMPUTED_VALUE"""),36.56)</f>
        <v>36.56</v>
      </c>
      <c r="C674" s="1">
        <f>IFERROR(__xludf.DUMMYFUNCTION("""COMPUTED_VALUE"""),36.58)</f>
        <v>36.58</v>
      </c>
      <c r="D674" s="1">
        <f>IFERROR(__xludf.DUMMYFUNCTION("""COMPUTED_VALUE"""),36.06)</f>
        <v>36.06</v>
      </c>
      <c r="E674" s="1">
        <f>IFERROR(__xludf.DUMMYFUNCTION("""COMPUTED_VALUE"""),36.32)</f>
        <v>36.32</v>
      </c>
      <c r="F674" s="1">
        <f>IFERROR(__xludf.DUMMYFUNCTION("""COMPUTED_VALUE"""),224638.0)</f>
        <v>224638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IFERROR(__xludf.DUMMYFUNCTION("""COMPUTED_VALUE"""),36.4)</f>
        <v>36.4</v>
      </c>
      <c r="C675" s="1">
        <f>IFERROR(__xludf.DUMMYFUNCTION("""COMPUTED_VALUE"""),37.29)</f>
        <v>37.29</v>
      </c>
      <c r="D675" s="1">
        <f>IFERROR(__xludf.DUMMYFUNCTION("""COMPUTED_VALUE"""),36.27)</f>
        <v>36.27</v>
      </c>
      <c r="E675" s="1">
        <f>IFERROR(__xludf.DUMMYFUNCTION("""COMPUTED_VALUE"""),37.28)</f>
        <v>37.28</v>
      </c>
      <c r="F675" s="1">
        <f>IFERROR(__xludf.DUMMYFUNCTION("""COMPUTED_VALUE"""),322787.0)</f>
        <v>322787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IFERROR(__xludf.DUMMYFUNCTION("""COMPUTED_VALUE"""),37.35)</f>
        <v>37.35</v>
      </c>
      <c r="C676" s="1">
        <f>IFERROR(__xludf.DUMMYFUNCTION("""COMPUTED_VALUE"""),37.63)</f>
        <v>37.63</v>
      </c>
      <c r="D676" s="1">
        <f>IFERROR(__xludf.DUMMYFUNCTION("""COMPUTED_VALUE"""),37.17)</f>
        <v>37.17</v>
      </c>
      <c r="E676" s="1">
        <f>IFERROR(__xludf.DUMMYFUNCTION("""COMPUTED_VALUE"""),37.31)</f>
        <v>37.31</v>
      </c>
      <c r="F676" s="1">
        <f>IFERROR(__xludf.DUMMYFUNCTION("""COMPUTED_VALUE"""),344142.0)</f>
        <v>344142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IFERROR(__xludf.DUMMYFUNCTION("""COMPUTED_VALUE"""),37.54)</f>
        <v>37.54</v>
      </c>
      <c r="C677" s="1">
        <f>IFERROR(__xludf.DUMMYFUNCTION("""COMPUTED_VALUE"""),38.15)</f>
        <v>38.15</v>
      </c>
      <c r="D677" s="1">
        <f>IFERROR(__xludf.DUMMYFUNCTION("""COMPUTED_VALUE"""),37.53)</f>
        <v>37.53</v>
      </c>
      <c r="E677" s="1">
        <f>IFERROR(__xludf.DUMMYFUNCTION("""COMPUTED_VALUE"""),37.91)</f>
        <v>37.91</v>
      </c>
      <c r="F677" s="1">
        <f>IFERROR(__xludf.DUMMYFUNCTION("""COMPUTED_VALUE"""),274893.0)</f>
        <v>274893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IFERROR(__xludf.DUMMYFUNCTION("""COMPUTED_VALUE"""),37.9)</f>
        <v>37.9</v>
      </c>
      <c r="C678" s="1">
        <f>IFERROR(__xludf.DUMMYFUNCTION("""COMPUTED_VALUE"""),38.08)</f>
        <v>38.08</v>
      </c>
      <c r="D678" s="1">
        <f>IFERROR(__xludf.DUMMYFUNCTION("""COMPUTED_VALUE"""),37.73)</f>
        <v>37.73</v>
      </c>
      <c r="E678" s="1">
        <f>IFERROR(__xludf.DUMMYFUNCTION("""COMPUTED_VALUE"""),37.73)</f>
        <v>37.73</v>
      </c>
      <c r="F678" s="1">
        <f>IFERROR(__xludf.DUMMYFUNCTION("""COMPUTED_VALUE"""),354553.0)</f>
        <v>354553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IFERROR(__xludf.DUMMYFUNCTION("""COMPUTED_VALUE"""),37.6)</f>
        <v>37.6</v>
      </c>
      <c r="C679" s="1">
        <f>IFERROR(__xludf.DUMMYFUNCTION("""COMPUTED_VALUE"""),37.87)</f>
        <v>37.87</v>
      </c>
      <c r="D679" s="1">
        <f>IFERROR(__xludf.DUMMYFUNCTION("""COMPUTED_VALUE"""),37.42)</f>
        <v>37.42</v>
      </c>
      <c r="E679" s="1">
        <f>IFERROR(__xludf.DUMMYFUNCTION("""COMPUTED_VALUE"""),37.64)</f>
        <v>37.64</v>
      </c>
      <c r="F679" s="1">
        <f>IFERROR(__xludf.DUMMYFUNCTION("""COMPUTED_VALUE"""),184002.0)</f>
        <v>184002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IFERROR(__xludf.DUMMYFUNCTION("""COMPUTED_VALUE"""),37.58)</f>
        <v>37.58</v>
      </c>
      <c r="C680" s="1">
        <f>IFERROR(__xludf.DUMMYFUNCTION("""COMPUTED_VALUE"""),38.05)</f>
        <v>38.05</v>
      </c>
      <c r="D680" s="1">
        <f>IFERROR(__xludf.DUMMYFUNCTION("""COMPUTED_VALUE"""),37.55)</f>
        <v>37.55</v>
      </c>
      <c r="E680" s="1">
        <f>IFERROR(__xludf.DUMMYFUNCTION("""COMPUTED_VALUE"""),38.0)</f>
        <v>38</v>
      </c>
      <c r="F680" s="1">
        <f>IFERROR(__xludf.DUMMYFUNCTION("""COMPUTED_VALUE"""),284869.0)</f>
        <v>284869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IFERROR(__xludf.DUMMYFUNCTION("""COMPUTED_VALUE"""),38.02)</f>
        <v>38.02</v>
      </c>
      <c r="C681" s="1">
        <f>IFERROR(__xludf.DUMMYFUNCTION("""COMPUTED_VALUE"""),38.65)</f>
        <v>38.65</v>
      </c>
      <c r="D681" s="1">
        <f>IFERROR(__xludf.DUMMYFUNCTION("""COMPUTED_VALUE"""),38.02)</f>
        <v>38.02</v>
      </c>
      <c r="E681" s="1">
        <f>IFERROR(__xludf.DUMMYFUNCTION("""COMPUTED_VALUE"""),38.24)</f>
        <v>38.24</v>
      </c>
      <c r="F681" s="1">
        <f>IFERROR(__xludf.DUMMYFUNCTION("""COMPUTED_VALUE"""),309494.0)</f>
        <v>309494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IFERROR(__xludf.DUMMYFUNCTION("""COMPUTED_VALUE"""),38.36)</f>
        <v>38.36</v>
      </c>
      <c r="C682" s="1">
        <f>IFERROR(__xludf.DUMMYFUNCTION("""COMPUTED_VALUE"""),38.69)</f>
        <v>38.69</v>
      </c>
      <c r="D682" s="1">
        <f>IFERROR(__xludf.DUMMYFUNCTION("""COMPUTED_VALUE"""),37.98)</f>
        <v>37.98</v>
      </c>
      <c r="E682" s="1">
        <f>IFERROR(__xludf.DUMMYFUNCTION("""COMPUTED_VALUE"""),38.47)</f>
        <v>38.47</v>
      </c>
      <c r="F682" s="1">
        <f>IFERROR(__xludf.DUMMYFUNCTION("""COMPUTED_VALUE"""),312901.0)</f>
        <v>312901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IFERROR(__xludf.DUMMYFUNCTION("""COMPUTED_VALUE"""),38.46)</f>
        <v>38.46</v>
      </c>
      <c r="C683" s="1">
        <f>IFERROR(__xludf.DUMMYFUNCTION("""COMPUTED_VALUE"""),38.62)</f>
        <v>38.62</v>
      </c>
      <c r="D683" s="1">
        <f>IFERROR(__xludf.DUMMYFUNCTION("""COMPUTED_VALUE"""),38.3)</f>
        <v>38.3</v>
      </c>
      <c r="E683" s="1">
        <f>IFERROR(__xludf.DUMMYFUNCTION("""COMPUTED_VALUE"""),38.55)</f>
        <v>38.55</v>
      </c>
      <c r="F683" s="1">
        <f>IFERROR(__xludf.DUMMYFUNCTION("""COMPUTED_VALUE"""),389793.0)</f>
        <v>389793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IFERROR(__xludf.DUMMYFUNCTION("""COMPUTED_VALUE"""),38.42)</f>
        <v>38.42</v>
      </c>
      <c r="C684" s="1">
        <f>IFERROR(__xludf.DUMMYFUNCTION("""COMPUTED_VALUE"""),38.89)</f>
        <v>38.89</v>
      </c>
      <c r="D684" s="1">
        <f>IFERROR(__xludf.DUMMYFUNCTION("""COMPUTED_VALUE"""),38.36)</f>
        <v>38.36</v>
      </c>
      <c r="E684" s="1">
        <f>IFERROR(__xludf.DUMMYFUNCTION("""COMPUTED_VALUE"""),38.49)</f>
        <v>38.49</v>
      </c>
      <c r="F684" s="1">
        <f>IFERROR(__xludf.DUMMYFUNCTION("""COMPUTED_VALUE"""),240446.0)</f>
        <v>240446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IFERROR(__xludf.DUMMYFUNCTION("""COMPUTED_VALUE"""),38.39)</f>
        <v>38.39</v>
      </c>
      <c r="C685" s="1">
        <f>IFERROR(__xludf.DUMMYFUNCTION("""COMPUTED_VALUE"""),38.71)</f>
        <v>38.71</v>
      </c>
      <c r="D685" s="1">
        <f>IFERROR(__xludf.DUMMYFUNCTION("""COMPUTED_VALUE"""),38.1)</f>
        <v>38.1</v>
      </c>
      <c r="E685" s="1">
        <f>IFERROR(__xludf.DUMMYFUNCTION("""COMPUTED_VALUE"""),38.28)</f>
        <v>38.28</v>
      </c>
      <c r="F685" s="1">
        <f>IFERROR(__xludf.DUMMYFUNCTION("""COMPUTED_VALUE"""),310333.0)</f>
        <v>310333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IFERROR(__xludf.DUMMYFUNCTION("""COMPUTED_VALUE"""),38.25)</f>
        <v>38.25</v>
      </c>
      <c r="C686" s="1">
        <f>IFERROR(__xludf.DUMMYFUNCTION("""COMPUTED_VALUE"""),38.6)</f>
        <v>38.6</v>
      </c>
      <c r="D686" s="1">
        <f>IFERROR(__xludf.DUMMYFUNCTION("""COMPUTED_VALUE"""),37.96)</f>
        <v>37.96</v>
      </c>
      <c r="E686" s="1">
        <f>IFERROR(__xludf.DUMMYFUNCTION("""COMPUTED_VALUE"""),37.96)</f>
        <v>37.96</v>
      </c>
      <c r="F686" s="1">
        <f>IFERROR(__xludf.DUMMYFUNCTION("""COMPUTED_VALUE"""),382877.0)</f>
        <v>382877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IFERROR(__xludf.DUMMYFUNCTION("""COMPUTED_VALUE"""),37.74)</f>
        <v>37.74</v>
      </c>
      <c r="C687" s="1">
        <f>IFERROR(__xludf.DUMMYFUNCTION("""COMPUTED_VALUE"""),38.42)</f>
        <v>38.42</v>
      </c>
      <c r="D687" s="1">
        <f>IFERROR(__xludf.DUMMYFUNCTION("""COMPUTED_VALUE"""),37.65)</f>
        <v>37.65</v>
      </c>
      <c r="E687" s="1">
        <f>IFERROR(__xludf.DUMMYFUNCTION("""COMPUTED_VALUE"""),38.31)</f>
        <v>38.31</v>
      </c>
      <c r="F687" s="1">
        <f>IFERROR(__xludf.DUMMYFUNCTION("""COMPUTED_VALUE"""),357437.0)</f>
        <v>357437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IFERROR(__xludf.DUMMYFUNCTION("""COMPUTED_VALUE"""),38.55)</f>
        <v>38.55</v>
      </c>
      <c r="C688" s="1">
        <f>IFERROR(__xludf.DUMMYFUNCTION("""COMPUTED_VALUE"""),38.79)</f>
        <v>38.79</v>
      </c>
      <c r="D688" s="1">
        <f>IFERROR(__xludf.DUMMYFUNCTION("""COMPUTED_VALUE"""),38.42)</f>
        <v>38.42</v>
      </c>
      <c r="E688" s="1">
        <f>IFERROR(__xludf.DUMMYFUNCTION("""COMPUTED_VALUE"""),38.55)</f>
        <v>38.55</v>
      </c>
      <c r="F688" s="1">
        <f>IFERROR(__xludf.DUMMYFUNCTION("""COMPUTED_VALUE"""),313176.0)</f>
        <v>313176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IFERROR(__xludf.DUMMYFUNCTION("""COMPUTED_VALUE"""),38.52)</f>
        <v>38.52</v>
      </c>
      <c r="C689" s="1">
        <f>IFERROR(__xludf.DUMMYFUNCTION("""COMPUTED_VALUE"""),38.53)</f>
        <v>38.53</v>
      </c>
      <c r="D689" s="1">
        <f>IFERROR(__xludf.DUMMYFUNCTION("""COMPUTED_VALUE"""),38.19)</f>
        <v>38.19</v>
      </c>
      <c r="E689" s="1">
        <f>IFERROR(__xludf.DUMMYFUNCTION("""COMPUTED_VALUE"""),38.23)</f>
        <v>38.23</v>
      </c>
      <c r="F689" s="1">
        <f>IFERROR(__xludf.DUMMYFUNCTION("""COMPUTED_VALUE"""),233309.0)</f>
        <v>233309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IFERROR(__xludf.DUMMYFUNCTION("""COMPUTED_VALUE"""),38.46)</f>
        <v>38.46</v>
      </c>
      <c r="C690" s="1">
        <f>IFERROR(__xludf.DUMMYFUNCTION("""COMPUTED_VALUE"""),38.61)</f>
        <v>38.61</v>
      </c>
      <c r="D690" s="1">
        <f>IFERROR(__xludf.DUMMYFUNCTION("""COMPUTED_VALUE"""),38.06)</f>
        <v>38.06</v>
      </c>
      <c r="E690" s="1">
        <f>IFERROR(__xludf.DUMMYFUNCTION("""COMPUTED_VALUE"""),38.13)</f>
        <v>38.13</v>
      </c>
      <c r="F690" s="1">
        <f>IFERROR(__xludf.DUMMYFUNCTION("""COMPUTED_VALUE"""),337803.0)</f>
        <v>337803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IFERROR(__xludf.DUMMYFUNCTION("""COMPUTED_VALUE"""),38.12)</f>
        <v>38.12</v>
      </c>
      <c r="C691" s="1">
        <f>IFERROR(__xludf.DUMMYFUNCTION("""COMPUTED_VALUE"""),38.12)</f>
        <v>38.12</v>
      </c>
      <c r="D691" s="1">
        <f>IFERROR(__xludf.DUMMYFUNCTION("""COMPUTED_VALUE"""),37.33)</f>
        <v>37.33</v>
      </c>
      <c r="E691" s="1">
        <f>IFERROR(__xludf.DUMMYFUNCTION("""COMPUTED_VALUE"""),37.61)</f>
        <v>37.61</v>
      </c>
      <c r="F691" s="1">
        <f>IFERROR(__xludf.DUMMYFUNCTION("""COMPUTED_VALUE"""),473329.0)</f>
        <v>473329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IFERROR(__xludf.DUMMYFUNCTION("""COMPUTED_VALUE"""),37.87)</f>
        <v>37.87</v>
      </c>
      <c r="C692" s="1">
        <f>IFERROR(__xludf.DUMMYFUNCTION("""COMPUTED_VALUE"""),38.92)</f>
        <v>38.92</v>
      </c>
      <c r="D692" s="1">
        <f>IFERROR(__xludf.DUMMYFUNCTION("""COMPUTED_VALUE"""),37.69)</f>
        <v>37.69</v>
      </c>
      <c r="E692" s="1">
        <f>IFERROR(__xludf.DUMMYFUNCTION("""COMPUTED_VALUE"""),38.92)</f>
        <v>38.92</v>
      </c>
      <c r="F692" s="1">
        <f>IFERROR(__xludf.DUMMYFUNCTION("""COMPUTED_VALUE"""),474413.0)</f>
        <v>474413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IFERROR(__xludf.DUMMYFUNCTION("""COMPUTED_VALUE"""),38.95)</f>
        <v>38.95</v>
      </c>
      <c r="C693" s="1">
        <f>IFERROR(__xludf.DUMMYFUNCTION("""COMPUTED_VALUE"""),39.98)</f>
        <v>39.98</v>
      </c>
      <c r="D693" s="1">
        <f>IFERROR(__xludf.DUMMYFUNCTION("""COMPUTED_VALUE"""),38.48)</f>
        <v>38.48</v>
      </c>
      <c r="E693" s="1">
        <f>IFERROR(__xludf.DUMMYFUNCTION("""COMPUTED_VALUE"""),39.6)</f>
        <v>39.6</v>
      </c>
      <c r="F693" s="1">
        <f>IFERROR(__xludf.DUMMYFUNCTION("""COMPUTED_VALUE"""),1382204.0)</f>
        <v>1382204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IFERROR(__xludf.DUMMYFUNCTION("""COMPUTED_VALUE"""),39.51)</f>
        <v>39.51</v>
      </c>
      <c r="C694" s="1">
        <f>IFERROR(__xludf.DUMMYFUNCTION("""COMPUTED_VALUE"""),40.4)</f>
        <v>40.4</v>
      </c>
      <c r="D694" s="1">
        <f>IFERROR(__xludf.DUMMYFUNCTION("""COMPUTED_VALUE"""),39.42)</f>
        <v>39.42</v>
      </c>
      <c r="E694" s="1">
        <f>IFERROR(__xludf.DUMMYFUNCTION("""COMPUTED_VALUE"""),39.92)</f>
        <v>39.92</v>
      </c>
      <c r="F694" s="1">
        <f>IFERROR(__xludf.DUMMYFUNCTION("""COMPUTED_VALUE"""),1075933.0)</f>
        <v>1075933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IFERROR(__xludf.DUMMYFUNCTION("""COMPUTED_VALUE"""),40.16)</f>
        <v>40.16</v>
      </c>
      <c r="C695" s="1">
        <f>IFERROR(__xludf.DUMMYFUNCTION("""COMPUTED_VALUE"""),40.26)</f>
        <v>40.26</v>
      </c>
      <c r="D695" s="1">
        <f>IFERROR(__xludf.DUMMYFUNCTION("""COMPUTED_VALUE"""),39.69)</f>
        <v>39.69</v>
      </c>
      <c r="E695" s="1">
        <f>IFERROR(__xludf.DUMMYFUNCTION("""COMPUTED_VALUE"""),40.04)</f>
        <v>40.04</v>
      </c>
      <c r="F695" s="1">
        <f>IFERROR(__xludf.DUMMYFUNCTION("""COMPUTED_VALUE"""),469054.0)</f>
        <v>469054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IFERROR(__xludf.DUMMYFUNCTION("""COMPUTED_VALUE"""),40.15)</f>
        <v>40.15</v>
      </c>
      <c r="C696" s="1">
        <f>IFERROR(__xludf.DUMMYFUNCTION("""COMPUTED_VALUE"""),40.73)</f>
        <v>40.73</v>
      </c>
      <c r="D696" s="1">
        <f>IFERROR(__xludf.DUMMYFUNCTION("""COMPUTED_VALUE"""),39.95)</f>
        <v>39.95</v>
      </c>
      <c r="E696" s="1">
        <f>IFERROR(__xludf.DUMMYFUNCTION("""COMPUTED_VALUE"""),40.65)</f>
        <v>40.65</v>
      </c>
      <c r="F696" s="1">
        <f>IFERROR(__xludf.DUMMYFUNCTION("""COMPUTED_VALUE"""),1066976.0)</f>
        <v>1066976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IFERROR(__xludf.DUMMYFUNCTION("""COMPUTED_VALUE"""),40.69)</f>
        <v>40.69</v>
      </c>
      <c r="C697" s="1">
        <f>IFERROR(__xludf.DUMMYFUNCTION("""COMPUTED_VALUE"""),40.8)</f>
        <v>40.8</v>
      </c>
      <c r="D697" s="1">
        <f>IFERROR(__xludf.DUMMYFUNCTION("""COMPUTED_VALUE"""),40.33)</f>
        <v>40.33</v>
      </c>
      <c r="E697" s="1">
        <f>IFERROR(__xludf.DUMMYFUNCTION("""COMPUTED_VALUE"""),40.75)</f>
        <v>40.75</v>
      </c>
      <c r="F697" s="1">
        <f>IFERROR(__xludf.DUMMYFUNCTION("""COMPUTED_VALUE"""),441045.0)</f>
        <v>441045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IFERROR(__xludf.DUMMYFUNCTION("""COMPUTED_VALUE"""),40.83)</f>
        <v>40.83</v>
      </c>
      <c r="C698" s="1">
        <f>IFERROR(__xludf.DUMMYFUNCTION("""COMPUTED_VALUE"""),40.83)</f>
        <v>40.83</v>
      </c>
      <c r="D698" s="1">
        <f>IFERROR(__xludf.DUMMYFUNCTION("""COMPUTED_VALUE"""),39.75)</f>
        <v>39.75</v>
      </c>
      <c r="E698" s="1">
        <f>IFERROR(__xludf.DUMMYFUNCTION("""COMPUTED_VALUE"""),40.14)</f>
        <v>40.14</v>
      </c>
      <c r="F698" s="1">
        <f>IFERROR(__xludf.DUMMYFUNCTION("""COMPUTED_VALUE"""),598206.0)</f>
        <v>598206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IFERROR(__xludf.DUMMYFUNCTION("""COMPUTED_VALUE"""),40.13)</f>
        <v>40.13</v>
      </c>
      <c r="C699" s="1">
        <f>IFERROR(__xludf.DUMMYFUNCTION("""COMPUTED_VALUE"""),40.19)</f>
        <v>40.19</v>
      </c>
      <c r="D699" s="1">
        <f>IFERROR(__xludf.DUMMYFUNCTION("""COMPUTED_VALUE"""),39.89)</f>
        <v>39.89</v>
      </c>
      <c r="E699" s="1">
        <f>IFERROR(__xludf.DUMMYFUNCTION("""COMPUTED_VALUE"""),39.91)</f>
        <v>39.91</v>
      </c>
      <c r="F699" s="1">
        <f>IFERROR(__xludf.DUMMYFUNCTION("""COMPUTED_VALUE"""),306777.0)</f>
        <v>306777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IFERROR(__xludf.DUMMYFUNCTION("""COMPUTED_VALUE"""),39.93)</f>
        <v>39.93</v>
      </c>
      <c r="C700" s="1">
        <f>IFERROR(__xludf.DUMMYFUNCTION("""COMPUTED_VALUE"""),39.93)</f>
        <v>39.93</v>
      </c>
      <c r="D700" s="1">
        <f>IFERROR(__xludf.DUMMYFUNCTION("""COMPUTED_VALUE"""),38.8)</f>
        <v>38.8</v>
      </c>
      <c r="E700" s="1">
        <f>IFERROR(__xludf.DUMMYFUNCTION("""COMPUTED_VALUE"""),38.96)</f>
        <v>38.96</v>
      </c>
      <c r="F700" s="1">
        <f>IFERROR(__xludf.DUMMYFUNCTION("""COMPUTED_VALUE"""),544095.0)</f>
        <v>544095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IFERROR(__xludf.DUMMYFUNCTION("""COMPUTED_VALUE"""),38.88)</f>
        <v>38.88</v>
      </c>
      <c r="C701" s="1">
        <f>IFERROR(__xludf.DUMMYFUNCTION("""COMPUTED_VALUE"""),38.89)</f>
        <v>38.89</v>
      </c>
      <c r="D701" s="1">
        <f>IFERROR(__xludf.DUMMYFUNCTION("""COMPUTED_VALUE"""),38.27)</f>
        <v>38.27</v>
      </c>
      <c r="E701" s="1">
        <f>IFERROR(__xludf.DUMMYFUNCTION("""COMPUTED_VALUE"""),38.39)</f>
        <v>38.39</v>
      </c>
      <c r="F701" s="1">
        <f>IFERROR(__xludf.DUMMYFUNCTION("""COMPUTED_VALUE"""),556170.0)</f>
        <v>556170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IFERROR(__xludf.DUMMYFUNCTION("""COMPUTED_VALUE"""),38.67)</f>
        <v>38.67</v>
      </c>
      <c r="C702" s="1">
        <f>IFERROR(__xludf.DUMMYFUNCTION("""COMPUTED_VALUE"""),38.8)</f>
        <v>38.8</v>
      </c>
      <c r="D702" s="1">
        <f>IFERROR(__xludf.DUMMYFUNCTION("""COMPUTED_VALUE"""),38.35)</f>
        <v>38.35</v>
      </c>
      <c r="E702" s="1">
        <f>IFERROR(__xludf.DUMMYFUNCTION("""COMPUTED_VALUE"""),38.42)</f>
        <v>38.42</v>
      </c>
      <c r="F702" s="1">
        <f>IFERROR(__xludf.DUMMYFUNCTION("""COMPUTED_VALUE"""),524659.0)</f>
        <v>524659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IFERROR(__xludf.DUMMYFUNCTION("""COMPUTED_VALUE"""),38.52)</f>
        <v>38.52</v>
      </c>
      <c r="C703" s="1">
        <f>IFERROR(__xludf.DUMMYFUNCTION("""COMPUTED_VALUE"""),38.75)</f>
        <v>38.75</v>
      </c>
      <c r="D703" s="1">
        <f>IFERROR(__xludf.DUMMYFUNCTION("""COMPUTED_VALUE"""),38.3)</f>
        <v>38.3</v>
      </c>
      <c r="E703" s="1">
        <f>IFERROR(__xludf.DUMMYFUNCTION("""COMPUTED_VALUE"""),38.48)</f>
        <v>38.48</v>
      </c>
      <c r="F703" s="1">
        <f>IFERROR(__xludf.DUMMYFUNCTION("""COMPUTED_VALUE"""),265506.0)</f>
        <v>265506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IFERROR(__xludf.DUMMYFUNCTION("""COMPUTED_VALUE"""),38.86)</f>
        <v>38.86</v>
      </c>
      <c r="C704" s="1">
        <f>IFERROR(__xludf.DUMMYFUNCTION("""COMPUTED_VALUE"""),39.99)</f>
        <v>39.99</v>
      </c>
      <c r="D704" s="1">
        <f>IFERROR(__xludf.DUMMYFUNCTION("""COMPUTED_VALUE"""),38.67)</f>
        <v>38.67</v>
      </c>
      <c r="E704" s="1">
        <f>IFERROR(__xludf.DUMMYFUNCTION("""COMPUTED_VALUE"""),39.98)</f>
        <v>39.98</v>
      </c>
      <c r="F704" s="1">
        <f>IFERROR(__xludf.DUMMYFUNCTION("""COMPUTED_VALUE"""),490480.0)</f>
        <v>490480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IFERROR(__xludf.DUMMYFUNCTION("""COMPUTED_VALUE"""),40.07)</f>
        <v>40.07</v>
      </c>
      <c r="C705" s="1">
        <f>IFERROR(__xludf.DUMMYFUNCTION("""COMPUTED_VALUE"""),41.25)</f>
        <v>41.25</v>
      </c>
      <c r="D705" s="1">
        <f>IFERROR(__xludf.DUMMYFUNCTION("""COMPUTED_VALUE"""),40.07)</f>
        <v>40.07</v>
      </c>
      <c r="E705" s="1">
        <f>IFERROR(__xludf.DUMMYFUNCTION("""COMPUTED_VALUE"""),41.24)</f>
        <v>41.24</v>
      </c>
      <c r="F705" s="1">
        <f>IFERROR(__xludf.DUMMYFUNCTION("""COMPUTED_VALUE"""),675153.0)</f>
        <v>675153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IFERROR(__xludf.DUMMYFUNCTION("""COMPUTED_VALUE"""),41.33)</f>
        <v>41.33</v>
      </c>
      <c r="C706" s="1">
        <f>IFERROR(__xludf.DUMMYFUNCTION("""COMPUTED_VALUE"""),41.64)</f>
        <v>41.64</v>
      </c>
      <c r="D706" s="1">
        <f>IFERROR(__xludf.DUMMYFUNCTION("""COMPUTED_VALUE"""),39.8)</f>
        <v>39.8</v>
      </c>
      <c r="E706" s="1">
        <f>IFERROR(__xludf.DUMMYFUNCTION("""COMPUTED_VALUE"""),39.98)</f>
        <v>39.98</v>
      </c>
      <c r="F706" s="1">
        <f>IFERROR(__xludf.DUMMYFUNCTION("""COMPUTED_VALUE"""),723821.0)</f>
        <v>723821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IFERROR(__xludf.DUMMYFUNCTION("""COMPUTED_VALUE"""),39.96)</f>
        <v>39.96</v>
      </c>
      <c r="C707" s="1">
        <f>IFERROR(__xludf.DUMMYFUNCTION("""COMPUTED_VALUE"""),40.13)</f>
        <v>40.13</v>
      </c>
      <c r="D707" s="1">
        <f>IFERROR(__xludf.DUMMYFUNCTION("""COMPUTED_VALUE"""),39.38)</f>
        <v>39.38</v>
      </c>
      <c r="E707" s="1">
        <f>IFERROR(__xludf.DUMMYFUNCTION("""COMPUTED_VALUE"""),39.41)</f>
        <v>39.41</v>
      </c>
      <c r="F707" s="1">
        <f>IFERROR(__xludf.DUMMYFUNCTION("""COMPUTED_VALUE"""),379116.0)</f>
        <v>379116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IFERROR(__xludf.DUMMYFUNCTION("""COMPUTED_VALUE"""),39.3)</f>
        <v>39.3</v>
      </c>
      <c r="C708" s="1">
        <f>IFERROR(__xludf.DUMMYFUNCTION("""COMPUTED_VALUE"""),40.38)</f>
        <v>40.38</v>
      </c>
      <c r="D708" s="1">
        <f>IFERROR(__xludf.DUMMYFUNCTION("""COMPUTED_VALUE"""),39.04)</f>
        <v>39.04</v>
      </c>
      <c r="E708" s="1">
        <f>IFERROR(__xludf.DUMMYFUNCTION("""COMPUTED_VALUE"""),39.37)</f>
        <v>39.37</v>
      </c>
      <c r="F708" s="1">
        <f>IFERROR(__xludf.DUMMYFUNCTION("""COMPUTED_VALUE"""),475433.0)</f>
        <v>475433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IFERROR(__xludf.DUMMYFUNCTION("""COMPUTED_VALUE"""),39.24)</f>
        <v>39.24</v>
      </c>
      <c r="C709" s="1">
        <f>IFERROR(__xludf.DUMMYFUNCTION("""COMPUTED_VALUE"""),39.53)</f>
        <v>39.53</v>
      </c>
      <c r="D709" s="1">
        <f>IFERROR(__xludf.DUMMYFUNCTION("""COMPUTED_VALUE"""),38.77)</f>
        <v>38.77</v>
      </c>
      <c r="E709" s="1">
        <f>IFERROR(__xludf.DUMMYFUNCTION("""COMPUTED_VALUE"""),39.21)</f>
        <v>39.21</v>
      </c>
      <c r="F709" s="1">
        <f>IFERROR(__xludf.DUMMYFUNCTION("""COMPUTED_VALUE"""),333682.0)</f>
        <v>333682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IFERROR(__xludf.DUMMYFUNCTION("""COMPUTED_VALUE"""),38.82)</f>
        <v>38.82</v>
      </c>
      <c r="C710" s="1">
        <f>IFERROR(__xludf.DUMMYFUNCTION("""COMPUTED_VALUE"""),39.39)</f>
        <v>39.39</v>
      </c>
      <c r="D710" s="1">
        <f>IFERROR(__xludf.DUMMYFUNCTION("""COMPUTED_VALUE"""),38.38)</f>
        <v>38.38</v>
      </c>
      <c r="E710" s="1">
        <f>IFERROR(__xludf.DUMMYFUNCTION("""COMPUTED_VALUE"""),39.26)</f>
        <v>39.26</v>
      </c>
      <c r="F710" s="1">
        <f>IFERROR(__xludf.DUMMYFUNCTION("""COMPUTED_VALUE"""),454795.0)</f>
        <v>454795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IFERROR(__xludf.DUMMYFUNCTION("""COMPUTED_VALUE"""),39.44)</f>
        <v>39.44</v>
      </c>
      <c r="C711" s="1">
        <f>IFERROR(__xludf.DUMMYFUNCTION("""COMPUTED_VALUE"""),39.7)</f>
        <v>39.7</v>
      </c>
      <c r="D711" s="1">
        <f>IFERROR(__xludf.DUMMYFUNCTION("""COMPUTED_VALUE"""),39.12)</f>
        <v>39.12</v>
      </c>
      <c r="E711" s="1">
        <f>IFERROR(__xludf.DUMMYFUNCTION("""COMPUTED_VALUE"""),39.52)</f>
        <v>39.52</v>
      </c>
      <c r="F711" s="1">
        <f>IFERROR(__xludf.DUMMYFUNCTION("""COMPUTED_VALUE"""),310853.0)</f>
        <v>310853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IFERROR(__xludf.DUMMYFUNCTION("""COMPUTED_VALUE"""),39.65)</f>
        <v>39.65</v>
      </c>
      <c r="C712" s="1">
        <f>IFERROR(__xludf.DUMMYFUNCTION("""COMPUTED_VALUE"""),40.01)</f>
        <v>40.01</v>
      </c>
      <c r="D712" s="1">
        <f>IFERROR(__xludf.DUMMYFUNCTION("""COMPUTED_VALUE"""),39.45)</f>
        <v>39.45</v>
      </c>
      <c r="E712" s="1">
        <f>IFERROR(__xludf.DUMMYFUNCTION("""COMPUTED_VALUE"""),39.78)</f>
        <v>39.78</v>
      </c>
      <c r="F712" s="1">
        <f>IFERROR(__xludf.DUMMYFUNCTION("""COMPUTED_VALUE"""),355846.0)</f>
        <v>355846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IFERROR(__xludf.DUMMYFUNCTION("""COMPUTED_VALUE"""),39.96)</f>
        <v>39.96</v>
      </c>
      <c r="C713" s="1">
        <f>IFERROR(__xludf.DUMMYFUNCTION("""COMPUTED_VALUE"""),40.0)</f>
        <v>40</v>
      </c>
      <c r="D713" s="1">
        <f>IFERROR(__xludf.DUMMYFUNCTION("""COMPUTED_VALUE"""),39.02)</f>
        <v>39.02</v>
      </c>
      <c r="E713" s="1">
        <f>IFERROR(__xludf.DUMMYFUNCTION("""COMPUTED_VALUE"""),39.4)</f>
        <v>39.4</v>
      </c>
      <c r="F713" s="1">
        <f>IFERROR(__xludf.DUMMYFUNCTION("""COMPUTED_VALUE"""),430572.0)</f>
        <v>430572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IFERROR(__xludf.DUMMYFUNCTION("""COMPUTED_VALUE"""),39.62)</f>
        <v>39.62</v>
      </c>
      <c r="C714" s="1">
        <f>IFERROR(__xludf.DUMMYFUNCTION("""COMPUTED_VALUE"""),39.9)</f>
        <v>39.9</v>
      </c>
      <c r="D714" s="1">
        <f>IFERROR(__xludf.DUMMYFUNCTION("""COMPUTED_VALUE"""),37.12)</f>
        <v>37.12</v>
      </c>
      <c r="E714" s="1">
        <f>IFERROR(__xludf.DUMMYFUNCTION("""COMPUTED_VALUE"""),37.32)</f>
        <v>37.32</v>
      </c>
      <c r="F714" s="1">
        <f>IFERROR(__xludf.DUMMYFUNCTION("""COMPUTED_VALUE"""),1074993.0)</f>
        <v>1074993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IFERROR(__xludf.DUMMYFUNCTION("""COMPUTED_VALUE"""),37.55)</f>
        <v>37.55</v>
      </c>
      <c r="C715" s="1">
        <f>IFERROR(__xludf.DUMMYFUNCTION("""COMPUTED_VALUE"""),39.49)</f>
        <v>39.49</v>
      </c>
      <c r="D715" s="1">
        <f>IFERROR(__xludf.DUMMYFUNCTION("""COMPUTED_VALUE"""),37.48)</f>
        <v>37.48</v>
      </c>
      <c r="E715" s="1">
        <f>IFERROR(__xludf.DUMMYFUNCTION("""COMPUTED_VALUE"""),39.41)</f>
        <v>39.41</v>
      </c>
      <c r="F715" s="1">
        <f>IFERROR(__xludf.DUMMYFUNCTION("""COMPUTED_VALUE"""),687204.0)</f>
        <v>687204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IFERROR(__xludf.DUMMYFUNCTION("""COMPUTED_VALUE"""),39.58)</f>
        <v>39.58</v>
      </c>
      <c r="C716" s="1">
        <f>IFERROR(__xludf.DUMMYFUNCTION("""COMPUTED_VALUE"""),39.7)</f>
        <v>39.7</v>
      </c>
      <c r="D716" s="1">
        <f>IFERROR(__xludf.DUMMYFUNCTION("""COMPUTED_VALUE"""),39.07)</f>
        <v>39.07</v>
      </c>
      <c r="E716" s="1">
        <f>IFERROR(__xludf.DUMMYFUNCTION("""COMPUTED_VALUE"""),39.44)</f>
        <v>39.44</v>
      </c>
      <c r="F716" s="1">
        <f>IFERROR(__xludf.DUMMYFUNCTION("""COMPUTED_VALUE"""),616313.0)</f>
        <v>616313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IFERROR(__xludf.DUMMYFUNCTION("""COMPUTED_VALUE"""),39.4)</f>
        <v>39.4</v>
      </c>
      <c r="C717" s="1">
        <f>IFERROR(__xludf.DUMMYFUNCTION("""COMPUTED_VALUE"""),40.24)</f>
        <v>40.24</v>
      </c>
      <c r="D717" s="1">
        <f>IFERROR(__xludf.DUMMYFUNCTION("""COMPUTED_VALUE"""),39.19)</f>
        <v>39.19</v>
      </c>
      <c r="E717" s="1">
        <f>IFERROR(__xludf.DUMMYFUNCTION("""COMPUTED_VALUE"""),40.18)</f>
        <v>40.18</v>
      </c>
      <c r="F717" s="1">
        <f>IFERROR(__xludf.DUMMYFUNCTION("""COMPUTED_VALUE"""),414358.0)</f>
        <v>414358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IFERROR(__xludf.DUMMYFUNCTION("""COMPUTED_VALUE"""),40.45)</f>
        <v>40.45</v>
      </c>
      <c r="C718" s="1">
        <f>IFERROR(__xludf.DUMMYFUNCTION("""COMPUTED_VALUE"""),41.07)</f>
        <v>41.07</v>
      </c>
      <c r="D718" s="1">
        <f>IFERROR(__xludf.DUMMYFUNCTION("""COMPUTED_VALUE"""),40.03)</f>
        <v>40.03</v>
      </c>
      <c r="E718" s="1">
        <f>IFERROR(__xludf.DUMMYFUNCTION("""COMPUTED_VALUE"""),41.0)</f>
        <v>41</v>
      </c>
      <c r="F718" s="1">
        <f>IFERROR(__xludf.DUMMYFUNCTION("""COMPUTED_VALUE"""),637026.0)</f>
        <v>637026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IFERROR(__xludf.DUMMYFUNCTION("""COMPUTED_VALUE"""),40.51)</f>
        <v>40.51</v>
      </c>
      <c r="C719" s="1">
        <f>IFERROR(__xludf.DUMMYFUNCTION("""COMPUTED_VALUE"""),40.64)</f>
        <v>40.64</v>
      </c>
      <c r="D719" s="1">
        <f>IFERROR(__xludf.DUMMYFUNCTION("""COMPUTED_VALUE"""),39.62)</f>
        <v>39.62</v>
      </c>
      <c r="E719" s="1">
        <f>IFERROR(__xludf.DUMMYFUNCTION("""COMPUTED_VALUE"""),40.19)</f>
        <v>40.19</v>
      </c>
      <c r="F719" s="1">
        <f>IFERROR(__xludf.DUMMYFUNCTION("""COMPUTED_VALUE"""),439675.0)</f>
        <v>439675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IFERROR(__xludf.DUMMYFUNCTION("""COMPUTED_VALUE"""),40.02)</f>
        <v>40.02</v>
      </c>
      <c r="C720" s="1">
        <f>IFERROR(__xludf.DUMMYFUNCTION("""COMPUTED_VALUE"""),40.21)</f>
        <v>40.21</v>
      </c>
      <c r="D720" s="1">
        <f>IFERROR(__xludf.DUMMYFUNCTION("""COMPUTED_VALUE"""),39.3)</f>
        <v>39.3</v>
      </c>
      <c r="E720" s="1">
        <f>IFERROR(__xludf.DUMMYFUNCTION("""COMPUTED_VALUE"""),39.3)</f>
        <v>39.3</v>
      </c>
      <c r="F720" s="1">
        <f>IFERROR(__xludf.DUMMYFUNCTION("""COMPUTED_VALUE"""),335450.0)</f>
        <v>335450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IFERROR(__xludf.DUMMYFUNCTION("""COMPUTED_VALUE"""),39.09)</f>
        <v>39.09</v>
      </c>
      <c r="C721" s="1">
        <f>IFERROR(__xludf.DUMMYFUNCTION("""COMPUTED_VALUE"""),39.91)</f>
        <v>39.91</v>
      </c>
      <c r="D721" s="1">
        <f>IFERROR(__xludf.DUMMYFUNCTION("""COMPUTED_VALUE"""),38.46)</f>
        <v>38.46</v>
      </c>
      <c r="E721" s="1">
        <f>IFERROR(__xludf.DUMMYFUNCTION("""COMPUTED_VALUE"""),39.6)</f>
        <v>39.6</v>
      </c>
      <c r="F721" s="1">
        <f>IFERROR(__xludf.DUMMYFUNCTION("""COMPUTED_VALUE"""),416212.0)</f>
        <v>416212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IFERROR(__xludf.DUMMYFUNCTION("""COMPUTED_VALUE"""),39.7)</f>
        <v>39.7</v>
      </c>
      <c r="C722" s="1">
        <f>IFERROR(__xludf.DUMMYFUNCTION("""COMPUTED_VALUE"""),40.29)</f>
        <v>40.29</v>
      </c>
      <c r="D722" s="1">
        <f>IFERROR(__xludf.DUMMYFUNCTION("""COMPUTED_VALUE"""),39.52)</f>
        <v>39.52</v>
      </c>
      <c r="E722" s="1">
        <f>IFERROR(__xludf.DUMMYFUNCTION("""COMPUTED_VALUE"""),39.81)</f>
        <v>39.81</v>
      </c>
      <c r="F722" s="1">
        <f>IFERROR(__xludf.DUMMYFUNCTION("""COMPUTED_VALUE"""),239115.0)</f>
        <v>239115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IFERROR(__xludf.DUMMYFUNCTION("""COMPUTED_VALUE"""),39.58)</f>
        <v>39.58</v>
      </c>
      <c r="C723" s="1">
        <f>IFERROR(__xludf.DUMMYFUNCTION("""COMPUTED_VALUE"""),40.06)</f>
        <v>40.06</v>
      </c>
      <c r="D723" s="1">
        <f>IFERROR(__xludf.DUMMYFUNCTION("""COMPUTED_VALUE"""),39.1)</f>
        <v>39.1</v>
      </c>
      <c r="E723" s="1">
        <f>IFERROR(__xludf.DUMMYFUNCTION("""COMPUTED_VALUE"""),39.59)</f>
        <v>39.59</v>
      </c>
      <c r="F723" s="1">
        <f>IFERROR(__xludf.DUMMYFUNCTION("""COMPUTED_VALUE"""),297860.0)</f>
        <v>297860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IFERROR(__xludf.DUMMYFUNCTION("""COMPUTED_VALUE"""),39.71)</f>
        <v>39.71</v>
      </c>
      <c r="C724" s="1">
        <f>IFERROR(__xludf.DUMMYFUNCTION("""COMPUTED_VALUE"""),39.86)</f>
        <v>39.86</v>
      </c>
      <c r="D724" s="1">
        <f>IFERROR(__xludf.DUMMYFUNCTION("""COMPUTED_VALUE"""),38.91)</f>
        <v>38.91</v>
      </c>
      <c r="E724" s="1">
        <f>IFERROR(__xludf.DUMMYFUNCTION("""COMPUTED_VALUE"""),39.14)</f>
        <v>39.14</v>
      </c>
      <c r="F724" s="1">
        <f>IFERROR(__xludf.DUMMYFUNCTION("""COMPUTED_VALUE"""),343597.0)</f>
        <v>343597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IFERROR(__xludf.DUMMYFUNCTION("""COMPUTED_VALUE"""),39.02)</f>
        <v>39.02</v>
      </c>
      <c r="C725" s="1">
        <f>IFERROR(__xludf.DUMMYFUNCTION("""COMPUTED_VALUE"""),39.28)</f>
        <v>39.28</v>
      </c>
      <c r="D725" s="1">
        <f>IFERROR(__xludf.DUMMYFUNCTION("""COMPUTED_VALUE"""),38.15)</f>
        <v>38.15</v>
      </c>
      <c r="E725" s="1">
        <f>IFERROR(__xludf.DUMMYFUNCTION("""COMPUTED_VALUE"""),38.17)</f>
        <v>38.17</v>
      </c>
      <c r="F725" s="1">
        <f>IFERROR(__xludf.DUMMYFUNCTION("""COMPUTED_VALUE"""),467277.0)</f>
        <v>467277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IFERROR(__xludf.DUMMYFUNCTION("""COMPUTED_VALUE"""),38.27)</f>
        <v>38.27</v>
      </c>
      <c r="C726" s="1">
        <f>IFERROR(__xludf.DUMMYFUNCTION("""COMPUTED_VALUE"""),39.13)</f>
        <v>39.13</v>
      </c>
      <c r="D726" s="1">
        <f>IFERROR(__xludf.DUMMYFUNCTION("""COMPUTED_VALUE"""),38.12)</f>
        <v>38.12</v>
      </c>
      <c r="E726" s="1">
        <f>IFERROR(__xludf.DUMMYFUNCTION("""COMPUTED_VALUE"""),39.11)</f>
        <v>39.11</v>
      </c>
      <c r="F726" s="1">
        <f>IFERROR(__xludf.DUMMYFUNCTION("""COMPUTED_VALUE"""),276890.0)</f>
        <v>276890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IFERROR(__xludf.DUMMYFUNCTION("""COMPUTED_VALUE"""),39.52)</f>
        <v>39.52</v>
      </c>
      <c r="C727" s="1">
        <f>IFERROR(__xludf.DUMMYFUNCTION("""COMPUTED_VALUE"""),39.94)</f>
        <v>39.94</v>
      </c>
      <c r="D727" s="1">
        <f>IFERROR(__xludf.DUMMYFUNCTION("""COMPUTED_VALUE"""),39.27)</f>
        <v>39.27</v>
      </c>
      <c r="E727" s="1">
        <f>IFERROR(__xludf.DUMMYFUNCTION("""COMPUTED_VALUE"""),39.92)</f>
        <v>39.92</v>
      </c>
      <c r="F727" s="1">
        <f>IFERROR(__xludf.DUMMYFUNCTION("""COMPUTED_VALUE"""),268056.0)</f>
        <v>268056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IFERROR(__xludf.DUMMYFUNCTION("""COMPUTED_VALUE"""),39.65)</f>
        <v>39.65</v>
      </c>
      <c r="C728" s="1">
        <f>IFERROR(__xludf.DUMMYFUNCTION("""COMPUTED_VALUE"""),39.83)</f>
        <v>39.83</v>
      </c>
      <c r="D728" s="1">
        <f>IFERROR(__xludf.DUMMYFUNCTION("""COMPUTED_VALUE"""),39.27)</f>
        <v>39.27</v>
      </c>
      <c r="E728" s="1">
        <f>IFERROR(__xludf.DUMMYFUNCTION("""COMPUTED_VALUE"""),39.53)</f>
        <v>39.53</v>
      </c>
      <c r="F728" s="1">
        <f>IFERROR(__xludf.DUMMYFUNCTION("""COMPUTED_VALUE"""),336743.0)</f>
        <v>336743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IFERROR(__xludf.DUMMYFUNCTION("""COMPUTED_VALUE"""),39.65)</f>
        <v>39.65</v>
      </c>
      <c r="C729" s="1">
        <f>IFERROR(__xludf.DUMMYFUNCTION("""COMPUTED_VALUE"""),39.73)</f>
        <v>39.73</v>
      </c>
      <c r="D729" s="1">
        <f>IFERROR(__xludf.DUMMYFUNCTION("""COMPUTED_VALUE"""),39.42)</f>
        <v>39.42</v>
      </c>
      <c r="E729" s="1">
        <f>IFERROR(__xludf.DUMMYFUNCTION("""COMPUTED_VALUE"""),39.61)</f>
        <v>39.61</v>
      </c>
      <c r="F729" s="1">
        <f>IFERROR(__xludf.DUMMYFUNCTION("""COMPUTED_VALUE"""),344731.0)</f>
        <v>344731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IFERROR(__xludf.DUMMYFUNCTION("""COMPUTED_VALUE"""),39.84)</f>
        <v>39.84</v>
      </c>
      <c r="C730" s="1">
        <f>IFERROR(__xludf.DUMMYFUNCTION("""COMPUTED_VALUE"""),39.99)</f>
        <v>39.99</v>
      </c>
      <c r="D730" s="1">
        <f>IFERROR(__xludf.DUMMYFUNCTION("""COMPUTED_VALUE"""),39.73)</f>
        <v>39.73</v>
      </c>
      <c r="E730" s="1">
        <f>IFERROR(__xludf.DUMMYFUNCTION("""COMPUTED_VALUE"""),39.93)</f>
        <v>39.93</v>
      </c>
      <c r="F730" s="1">
        <f>IFERROR(__xludf.DUMMYFUNCTION("""COMPUTED_VALUE"""),150919.0)</f>
        <v>150919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IFERROR(__xludf.DUMMYFUNCTION("""COMPUTED_VALUE"""),39.82)</f>
        <v>39.82</v>
      </c>
      <c r="C731" s="1">
        <f>IFERROR(__xludf.DUMMYFUNCTION("""COMPUTED_VALUE"""),39.95)</f>
        <v>39.95</v>
      </c>
      <c r="D731" s="1">
        <f>IFERROR(__xludf.DUMMYFUNCTION("""COMPUTED_VALUE"""),39.39)</f>
        <v>39.39</v>
      </c>
      <c r="E731" s="1">
        <f>IFERROR(__xludf.DUMMYFUNCTION("""COMPUTED_VALUE"""),39.75)</f>
        <v>39.75</v>
      </c>
      <c r="F731" s="1">
        <f>IFERROR(__xludf.DUMMYFUNCTION("""COMPUTED_VALUE"""),230868.0)</f>
        <v>230868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IFERROR(__xludf.DUMMYFUNCTION("""COMPUTED_VALUE"""),39.68)</f>
        <v>39.68</v>
      </c>
      <c r="C732" s="1">
        <f>IFERROR(__xludf.DUMMYFUNCTION("""COMPUTED_VALUE"""),40.04)</f>
        <v>40.04</v>
      </c>
      <c r="D732" s="1">
        <f>IFERROR(__xludf.DUMMYFUNCTION("""COMPUTED_VALUE"""),39.44)</f>
        <v>39.44</v>
      </c>
      <c r="E732" s="1">
        <f>IFERROR(__xludf.DUMMYFUNCTION("""COMPUTED_VALUE"""),39.45)</f>
        <v>39.45</v>
      </c>
      <c r="F732" s="1">
        <f>IFERROR(__xludf.DUMMYFUNCTION("""COMPUTED_VALUE"""),329585.0)</f>
        <v>329585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IFERROR(__xludf.DUMMYFUNCTION("""COMPUTED_VALUE"""),39.28)</f>
        <v>39.28</v>
      </c>
      <c r="C733" s="1">
        <f>IFERROR(__xludf.DUMMYFUNCTION("""COMPUTED_VALUE"""),39.29)</f>
        <v>39.29</v>
      </c>
      <c r="D733" s="1">
        <f>IFERROR(__xludf.DUMMYFUNCTION("""COMPUTED_VALUE"""),38.54)</f>
        <v>38.54</v>
      </c>
      <c r="E733" s="1">
        <f>IFERROR(__xludf.DUMMYFUNCTION("""COMPUTED_VALUE"""),38.72)</f>
        <v>38.72</v>
      </c>
      <c r="F733" s="1">
        <f>IFERROR(__xludf.DUMMYFUNCTION("""COMPUTED_VALUE"""),406483.0)</f>
        <v>406483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IFERROR(__xludf.DUMMYFUNCTION("""COMPUTED_VALUE"""),38.97)</f>
        <v>38.97</v>
      </c>
      <c r="C734" s="1">
        <f>IFERROR(__xludf.DUMMYFUNCTION("""COMPUTED_VALUE"""),39.14)</f>
        <v>39.14</v>
      </c>
      <c r="D734" s="1">
        <f>IFERROR(__xludf.DUMMYFUNCTION("""COMPUTED_VALUE"""),38.61)</f>
        <v>38.61</v>
      </c>
      <c r="E734" s="1">
        <f>IFERROR(__xludf.DUMMYFUNCTION("""COMPUTED_VALUE"""),39.0)</f>
        <v>39</v>
      </c>
      <c r="F734" s="1">
        <f>IFERROR(__xludf.DUMMYFUNCTION("""COMPUTED_VALUE"""),262601.0)</f>
        <v>262601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IFERROR(__xludf.DUMMYFUNCTION("""COMPUTED_VALUE"""),39.01)</f>
        <v>39.01</v>
      </c>
      <c r="C735" s="1">
        <f>IFERROR(__xludf.DUMMYFUNCTION("""COMPUTED_VALUE"""),39.32)</f>
        <v>39.32</v>
      </c>
      <c r="D735" s="1">
        <f>IFERROR(__xludf.DUMMYFUNCTION("""COMPUTED_VALUE"""),38.23)</f>
        <v>38.23</v>
      </c>
      <c r="E735" s="1">
        <f>IFERROR(__xludf.DUMMYFUNCTION("""COMPUTED_VALUE"""),38.37)</f>
        <v>38.37</v>
      </c>
      <c r="F735" s="1">
        <f>IFERROR(__xludf.DUMMYFUNCTION("""COMPUTED_VALUE"""),634420.0)</f>
        <v>634420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IFERROR(__xludf.DUMMYFUNCTION("""COMPUTED_VALUE"""),38.51)</f>
        <v>38.51</v>
      </c>
      <c r="C736" s="1">
        <f>IFERROR(__xludf.DUMMYFUNCTION("""COMPUTED_VALUE"""),39.02)</f>
        <v>39.02</v>
      </c>
      <c r="D736" s="1">
        <f>IFERROR(__xludf.DUMMYFUNCTION("""COMPUTED_VALUE"""),38.26)</f>
        <v>38.26</v>
      </c>
      <c r="E736" s="1">
        <f>IFERROR(__xludf.DUMMYFUNCTION("""COMPUTED_VALUE"""),38.97)</f>
        <v>38.97</v>
      </c>
      <c r="F736" s="1">
        <f>IFERROR(__xludf.DUMMYFUNCTION("""COMPUTED_VALUE"""),313953.0)</f>
        <v>313953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IFERROR(__xludf.DUMMYFUNCTION("""COMPUTED_VALUE"""),38.96)</f>
        <v>38.96</v>
      </c>
      <c r="C737" s="1">
        <f>IFERROR(__xludf.DUMMYFUNCTION("""COMPUTED_VALUE"""),39.57)</f>
        <v>39.57</v>
      </c>
      <c r="D737" s="1">
        <f>IFERROR(__xludf.DUMMYFUNCTION("""COMPUTED_VALUE"""),38.91)</f>
        <v>38.91</v>
      </c>
      <c r="E737" s="1">
        <f>IFERROR(__xludf.DUMMYFUNCTION("""COMPUTED_VALUE"""),39.27)</f>
        <v>39.27</v>
      </c>
      <c r="F737" s="1">
        <f>IFERROR(__xludf.DUMMYFUNCTION("""COMPUTED_VALUE"""),390660.0)</f>
        <v>390660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IFERROR(__xludf.DUMMYFUNCTION("""COMPUTED_VALUE"""),39.35)</f>
        <v>39.35</v>
      </c>
      <c r="C738" s="1">
        <f>IFERROR(__xludf.DUMMYFUNCTION("""COMPUTED_VALUE"""),39.35)</f>
        <v>39.35</v>
      </c>
      <c r="D738" s="1">
        <f>IFERROR(__xludf.DUMMYFUNCTION("""COMPUTED_VALUE"""),38.55)</f>
        <v>38.55</v>
      </c>
      <c r="E738" s="1">
        <f>IFERROR(__xludf.DUMMYFUNCTION("""COMPUTED_VALUE"""),38.66)</f>
        <v>38.66</v>
      </c>
      <c r="F738" s="1">
        <f>IFERROR(__xludf.DUMMYFUNCTION("""COMPUTED_VALUE"""),365015.0)</f>
        <v>365015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IFERROR(__xludf.DUMMYFUNCTION("""COMPUTED_VALUE"""),38.58)</f>
        <v>38.58</v>
      </c>
      <c r="C739" s="1">
        <f>IFERROR(__xludf.DUMMYFUNCTION("""COMPUTED_VALUE"""),38.8)</f>
        <v>38.8</v>
      </c>
      <c r="D739" s="1">
        <f>IFERROR(__xludf.DUMMYFUNCTION("""COMPUTED_VALUE"""),38.33)</f>
        <v>38.33</v>
      </c>
      <c r="E739" s="1">
        <f>IFERROR(__xludf.DUMMYFUNCTION("""COMPUTED_VALUE"""),38.47)</f>
        <v>38.47</v>
      </c>
      <c r="F739" s="1">
        <f>IFERROR(__xludf.DUMMYFUNCTION("""COMPUTED_VALUE"""),203552.0)</f>
        <v>203552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IFERROR(__xludf.DUMMYFUNCTION("""COMPUTED_VALUE"""),38.55)</f>
        <v>38.55</v>
      </c>
      <c r="C740" s="1">
        <f>IFERROR(__xludf.DUMMYFUNCTION("""COMPUTED_VALUE"""),38.82)</f>
        <v>38.82</v>
      </c>
      <c r="D740" s="1">
        <f>IFERROR(__xludf.DUMMYFUNCTION("""COMPUTED_VALUE"""),38.17)</f>
        <v>38.17</v>
      </c>
      <c r="E740" s="1">
        <f>IFERROR(__xludf.DUMMYFUNCTION("""COMPUTED_VALUE"""),38.62)</f>
        <v>38.62</v>
      </c>
      <c r="F740" s="1">
        <f>IFERROR(__xludf.DUMMYFUNCTION("""COMPUTED_VALUE"""),349443.0)</f>
        <v>349443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IFERROR(__xludf.DUMMYFUNCTION("""COMPUTED_VALUE"""),38.7)</f>
        <v>38.7</v>
      </c>
      <c r="C741" s="1">
        <f>IFERROR(__xludf.DUMMYFUNCTION("""COMPUTED_VALUE"""),39.18)</f>
        <v>39.18</v>
      </c>
      <c r="D741" s="1">
        <f>IFERROR(__xludf.DUMMYFUNCTION("""COMPUTED_VALUE"""),38.51)</f>
        <v>38.51</v>
      </c>
      <c r="E741" s="1">
        <f>IFERROR(__xludf.DUMMYFUNCTION("""COMPUTED_VALUE"""),38.85)</f>
        <v>38.85</v>
      </c>
      <c r="F741" s="1">
        <f>IFERROR(__xludf.DUMMYFUNCTION("""COMPUTED_VALUE"""),379036.0)</f>
        <v>379036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IFERROR(__xludf.DUMMYFUNCTION("""COMPUTED_VALUE"""),39.14)</f>
        <v>39.14</v>
      </c>
      <c r="C742" s="1">
        <f>IFERROR(__xludf.DUMMYFUNCTION("""COMPUTED_VALUE"""),39.41)</f>
        <v>39.41</v>
      </c>
      <c r="D742" s="1">
        <f>IFERROR(__xludf.DUMMYFUNCTION("""COMPUTED_VALUE"""),38.91)</f>
        <v>38.91</v>
      </c>
      <c r="E742" s="1">
        <f>IFERROR(__xludf.DUMMYFUNCTION("""COMPUTED_VALUE"""),39.3)</f>
        <v>39.3</v>
      </c>
      <c r="F742" s="1">
        <f>IFERROR(__xludf.DUMMYFUNCTION("""COMPUTED_VALUE"""),429019.0)</f>
        <v>429019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IFERROR(__xludf.DUMMYFUNCTION("""COMPUTED_VALUE"""),38.46)</f>
        <v>38.46</v>
      </c>
      <c r="C743" s="1">
        <f>IFERROR(__xludf.DUMMYFUNCTION("""COMPUTED_VALUE"""),38.5)</f>
        <v>38.5</v>
      </c>
      <c r="D743" s="1">
        <f>IFERROR(__xludf.DUMMYFUNCTION("""COMPUTED_VALUE"""),35.54)</f>
        <v>35.54</v>
      </c>
      <c r="E743" s="1">
        <f>IFERROR(__xludf.DUMMYFUNCTION("""COMPUTED_VALUE"""),35.65)</f>
        <v>35.65</v>
      </c>
      <c r="F743" s="1">
        <f>IFERROR(__xludf.DUMMYFUNCTION("""COMPUTED_VALUE"""),2675663.0)</f>
        <v>2675663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IFERROR(__xludf.DUMMYFUNCTION("""COMPUTED_VALUE"""),36.24)</f>
        <v>36.24</v>
      </c>
      <c r="C744" s="1">
        <f>IFERROR(__xludf.DUMMYFUNCTION("""COMPUTED_VALUE"""),37.62)</f>
        <v>37.62</v>
      </c>
      <c r="D744" s="1">
        <f>IFERROR(__xludf.DUMMYFUNCTION("""COMPUTED_VALUE"""),36.21)</f>
        <v>36.21</v>
      </c>
      <c r="E744" s="1">
        <f>IFERROR(__xludf.DUMMYFUNCTION("""COMPUTED_VALUE"""),36.9)</f>
        <v>36.9</v>
      </c>
      <c r="F744" s="1">
        <f>IFERROR(__xludf.DUMMYFUNCTION("""COMPUTED_VALUE"""),1658265.0)</f>
        <v>1658265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IFERROR(__xludf.DUMMYFUNCTION("""COMPUTED_VALUE"""),36.6)</f>
        <v>36.6</v>
      </c>
      <c r="C745" s="1">
        <f>IFERROR(__xludf.DUMMYFUNCTION("""COMPUTED_VALUE"""),36.99)</f>
        <v>36.99</v>
      </c>
      <c r="D745" s="1">
        <f>IFERROR(__xludf.DUMMYFUNCTION("""COMPUTED_VALUE"""),36.47)</f>
        <v>36.47</v>
      </c>
      <c r="E745" s="1">
        <f>IFERROR(__xludf.DUMMYFUNCTION("""COMPUTED_VALUE"""),36.64)</f>
        <v>36.64</v>
      </c>
      <c r="F745" s="1">
        <f>IFERROR(__xludf.DUMMYFUNCTION("""COMPUTED_VALUE"""),434966.0)</f>
        <v>434966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IFERROR(__xludf.DUMMYFUNCTION("""COMPUTED_VALUE"""),36.68)</f>
        <v>36.68</v>
      </c>
      <c r="C746" s="1">
        <f>IFERROR(__xludf.DUMMYFUNCTION("""COMPUTED_VALUE"""),37.24)</f>
        <v>37.24</v>
      </c>
      <c r="D746" s="1">
        <f>IFERROR(__xludf.DUMMYFUNCTION("""COMPUTED_VALUE"""),36.55)</f>
        <v>36.55</v>
      </c>
      <c r="E746" s="1">
        <f>IFERROR(__xludf.DUMMYFUNCTION("""COMPUTED_VALUE"""),37.2)</f>
        <v>37.2</v>
      </c>
      <c r="F746" s="1">
        <f>IFERROR(__xludf.DUMMYFUNCTION("""COMPUTED_VALUE"""),438880.0)</f>
        <v>438880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IFERROR(__xludf.DUMMYFUNCTION("""COMPUTED_VALUE"""),37.35)</f>
        <v>37.35</v>
      </c>
      <c r="C747" s="1">
        <f>IFERROR(__xludf.DUMMYFUNCTION("""COMPUTED_VALUE"""),38.05)</f>
        <v>38.05</v>
      </c>
      <c r="D747" s="1">
        <f>IFERROR(__xludf.DUMMYFUNCTION("""COMPUTED_VALUE"""),37.15)</f>
        <v>37.15</v>
      </c>
      <c r="E747" s="1">
        <f>IFERROR(__xludf.DUMMYFUNCTION("""COMPUTED_VALUE"""),38.05)</f>
        <v>38.05</v>
      </c>
      <c r="F747" s="1">
        <f>IFERROR(__xludf.DUMMYFUNCTION("""COMPUTED_VALUE"""),449928.0)</f>
        <v>449928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IFERROR(__xludf.DUMMYFUNCTION("""COMPUTED_VALUE"""),38.04)</f>
        <v>38.04</v>
      </c>
      <c r="C748" s="1">
        <f>IFERROR(__xludf.DUMMYFUNCTION("""COMPUTED_VALUE"""),38.09)</f>
        <v>38.09</v>
      </c>
      <c r="D748" s="1">
        <f>IFERROR(__xludf.DUMMYFUNCTION("""COMPUTED_VALUE"""),37.25)</f>
        <v>37.25</v>
      </c>
      <c r="E748" s="1">
        <f>IFERROR(__xludf.DUMMYFUNCTION("""COMPUTED_VALUE"""),37.4)</f>
        <v>37.4</v>
      </c>
      <c r="F748" s="1">
        <f>IFERROR(__xludf.DUMMYFUNCTION("""COMPUTED_VALUE"""),474052.0)</f>
        <v>474052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IFERROR(__xludf.DUMMYFUNCTION("""COMPUTED_VALUE"""),37.49)</f>
        <v>37.49</v>
      </c>
      <c r="C749" s="1">
        <f>IFERROR(__xludf.DUMMYFUNCTION("""COMPUTED_VALUE"""),37.86)</f>
        <v>37.86</v>
      </c>
      <c r="D749" s="1">
        <f>IFERROR(__xludf.DUMMYFUNCTION("""COMPUTED_VALUE"""),37.38)</f>
        <v>37.38</v>
      </c>
      <c r="E749" s="1">
        <f>IFERROR(__xludf.DUMMYFUNCTION("""COMPUTED_VALUE"""),37.81)</f>
        <v>37.81</v>
      </c>
      <c r="F749" s="1">
        <f>IFERROR(__xludf.DUMMYFUNCTION("""COMPUTED_VALUE"""),377621.0)</f>
        <v>377621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IFERROR(__xludf.DUMMYFUNCTION("""COMPUTED_VALUE"""),37.37)</f>
        <v>37.37</v>
      </c>
      <c r="C750" s="1">
        <f>IFERROR(__xludf.DUMMYFUNCTION("""COMPUTED_VALUE"""),37.86)</f>
        <v>37.86</v>
      </c>
      <c r="D750" s="1">
        <f>IFERROR(__xludf.DUMMYFUNCTION("""COMPUTED_VALUE"""),36.67)</f>
        <v>36.67</v>
      </c>
      <c r="E750" s="1">
        <f>IFERROR(__xludf.DUMMYFUNCTION("""COMPUTED_VALUE"""),37.81)</f>
        <v>37.81</v>
      </c>
      <c r="F750" s="1">
        <f>IFERROR(__xludf.DUMMYFUNCTION("""COMPUTED_VALUE"""),845870.0)</f>
        <v>845870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IFERROR(__xludf.DUMMYFUNCTION("""COMPUTED_VALUE"""),37.51)</f>
        <v>37.51</v>
      </c>
      <c r="C751" s="1">
        <f>IFERROR(__xludf.DUMMYFUNCTION("""COMPUTED_VALUE"""),37.84)</f>
        <v>37.84</v>
      </c>
      <c r="D751" s="1">
        <f>IFERROR(__xludf.DUMMYFUNCTION("""COMPUTED_VALUE"""),36.85)</f>
        <v>36.85</v>
      </c>
      <c r="E751" s="1">
        <f>IFERROR(__xludf.DUMMYFUNCTION("""COMPUTED_VALUE"""),37.25)</f>
        <v>37.25</v>
      </c>
      <c r="F751" s="1">
        <f>IFERROR(__xludf.DUMMYFUNCTION("""COMPUTED_VALUE"""),214211.0)</f>
        <v>214211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IFERROR(__xludf.DUMMYFUNCTION("""COMPUTED_VALUE"""),37.33)</f>
        <v>37.33</v>
      </c>
      <c r="C752" s="1">
        <f>IFERROR(__xludf.DUMMYFUNCTION("""COMPUTED_VALUE"""),37.42)</f>
        <v>37.42</v>
      </c>
      <c r="D752" s="1">
        <f>IFERROR(__xludf.DUMMYFUNCTION("""COMPUTED_VALUE"""),36.75)</f>
        <v>36.75</v>
      </c>
      <c r="E752" s="1">
        <f>IFERROR(__xludf.DUMMYFUNCTION("""COMPUTED_VALUE"""),36.77)</f>
        <v>36.77</v>
      </c>
      <c r="F752" s="1">
        <f>IFERROR(__xludf.DUMMYFUNCTION("""COMPUTED_VALUE"""),241403.0)</f>
        <v>241403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IFERROR(__xludf.DUMMYFUNCTION("""COMPUTED_VALUE"""),36.9)</f>
        <v>36.9</v>
      </c>
      <c r="C753" s="1">
        <f>IFERROR(__xludf.DUMMYFUNCTION("""COMPUTED_VALUE"""),37.14)</f>
        <v>37.14</v>
      </c>
      <c r="D753" s="1">
        <f>IFERROR(__xludf.DUMMYFUNCTION("""COMPUTED_VALUE"""),36.55)</f>
        <v>36.55</v>
      </c>
      <c r="E753" s="1">
        <f>IFERROR(__xludf.DUMMYFUNCTION("""COMPUTED_VALUE"""),37.01)</f>
        <v>37.01</v>
      </c>
      <c r="F753" s="1">
        <f>IFERROR(__xludf.DUMMYFUNCTION("""COMPUTED_VALUE"""),353887.0)</f>
        <v>353887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IFERROR(__xludf.DUMMYFUNCTION("""COMPUTED_VALUE"""),36.99)</f>
        <v>36.99</v>
      </c>
      <c r="C754" s="1">
        <f>IFERROR(__xludf.DUMMYFUNCTION("""COMPUTED_VALUE"""),37.26)</f>
        <v>37.26</v>
      </c>
      <c r="D754" s="1">
        <f>IFERROR(__xludf.DUMMYFUNCTION("""COMPUTED_VALUE"""),36.65)</f>
        <v>36.65</v>
      </c>
      <c r="E754" s="1">
        <f>IFERROR(__xludf.DUMMYFUNCTION("""COMPUTED_VALUE"""),36.88)</f>
        <v>36.88</v>
      </c>
      <c r="F754" s="1">
        <f>IFERROR(__xludf.DUMMYFUNCTION("""COMPUTED_VALUE"""),256492.0)</f>
        <v>256492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IFERROR(__xludf.DUMMYFUNCTION("""COMPUTED_VALUE"""),36.75)</f>
        <v>36.75</v>
      </c>
      <c r="C755" s="1">
        <f>IFERROR(__xludf.DUMMYFUNCTION("""COMPUTED_VALUE"""),37.54)</f>
        <v>37.54</v>
      </c>
      <c r="D755" s="1">
        <f>IFERROR(__xludf.DUMMYFUNCTION("""COMPUTED_VALUE"""),36.5)</f>
        <v>36.5</v>
      </c>
      <c r="E755" s="1">
        <f>IFERROR(__xludf.DUMMYFUNCTION("""COMPUTED_VALUE"""),37.47)</f>
        <v>37.47</v>
      </c>
      <c r="F755" s="1">
        <f>IFERROR(__xludf.DUMMYFUNCTION("""COMPUTED_VALUE"""),343214.0)</f>
        <v>343214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IFERROR(__xludf.DUMMYFUNCTION("""COMPUTED_VALUE"""),38.41)</f>
        <v>38.41</v>
      </c>
      <c r="C756" s="1">
        <f>IFERROR(__xludf.DUMMYFUNCTION("""COMPUTED_VALUE"""),38.52)</f>
        <v>38.52</v>
      </c>
      <c r="D756" s="1">
        <f>IFERROR(__xludf.DUMMYFUNCTION("""COMPUTED_VALUE"""),37.38)</f>
        <v>37.38</v>
      </c>
      <c r="E756" s="1">
        <f>IFERROR(__xludf.DUMMYFUNCTION("""COMPUTED_VALUE"""),38.04)</f>
        <v>38.04</v>
      </c>
      <c r="F756" s="1">
        <f>IFERROR(__xludf.DUMMYFUNCTION("""COMPUTED_VALUE"""),449529.0)</f>
        <v>449529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IFERROR(__xludf.DUMMYFUNCTION("""COMPUTED_VALUE"""),37.95)</f>
        <v>37.95</v>
      </c>
      <c r="C757" s="1">
        <f>IFERROR(__xludf.DUMMYFUNCTION("""COMPUTED_VALUE"""),38.51)</f>
        <v>38.51</v>
      </c>
      <c r="D757" s="1">
        <f>IFERROR(__xludf.DUMMYFUNCTION("""COMPUTED_VALUE"""),37.83)</f>
        <v>37.83</v>
      </c>
      <c r="E757" s="1">
        <f>IFERROR(__xludf.DUMMYFUNCTION("""COMPUTED_VALUE"""),38.44)</f>
        <v>38.44</v>
      </c>
      <c r="F757" s="1">
        <f>IFERROR(__xludf.DUMMYFUNCTION("""COMPUTED_VALUE"""),606538.0)</f>
        <v>606538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IFERROR(__xludf.DUMMYFUNCTION("""COMPUTED_VALUE"""),38.59)</f>
        <v>38.59</v>
      </c>
      <c r="C758" s="1">
        <f>IFERROR(__xludf.DUMMYFUNCTION("""COMPUTED_VALUE"""),39.31)</f>
        <v>39.31</v>
      </c>
      <c r="D758" s="1">
        <f>IFERROR(__xludf.DUMMYFUNCTION("""COMPUTED_VALUE"""),38.34)</f>
        <v>38.34</v>
      </c>
      <c r="E758" s="1">
        <f>IFERROR(__xludf.DUMMYFUNCTION("""COMPUTED_VALUE"""),39.04)</f>
        <v>39.04</v>
      </c>
      <c r="F758" s="1">
        <f>IFERROR(__xludf.DUMMYFUNCTION("""COMPUTED_VALUE"""),673306.0)</f>
        <v>673306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IFERROR(__xludf.DUMMYFUNCTION("""COMPUTED_VALUE"""),38.75)</f>
        <v>38.75</v>
      </c>
      <c r="C759" s="1">
        <f>IFERROR(__xludf.DUMMYFUNCTION("""COMPUTED_VALUE"""),39.41)</f>
        <v>39.41</v>
      </c>
      <c r="D759" s="1">
        <f>IFERROR(__xludf.DUMMYFUNCTION("""COMPUTED_VALUE"""),38.75)</f>
        <v>38.75</v>
      </c>
      <c r="E759" s="1">
        <f>IFERROR(__xludf.DUMMYFUNCTION("""COMPUTED_VALUE"""),38.9)</f>
        <v>38.9</v>
      </c>
      <c r="F759" s="1">
        <f>IFERROR(__xludf.DUMMYFUNCTION("""COMPUTED_VALUE"""),444051.0)</f>
        <v>444051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IFERROR(__xludf.DUMMYFUNCTION("""COMPUTED_VALUE"""),38.94)</f>
        <v>38.94</v>
      </c>
      <c r="C760" s="1">
        <f>IFERROR(__xludf.DUMMYFUNCTION("""COMPUTED_VALUE"""),39.37)</f>
        <v>39.37</v>
      </c>
      <c r="D760" s="1">
        <f>IFERROR(__xludf.DUMMYFUNCTION("""COMPUTED_VALUE"""),38.76)</f>
        <v>38.76</v>
      </c>
      <c r="E760" s="1">
        <f>IFERROR(__xludf.DUMMYFUNCTION("""COMPUTED_VALUE"""),38.83)</f>
        <v>38.83</v>
      </c>
      <c r="F760" s="1">
        <f>IFERROR(__xludf.DUMMYFUNCTION("""COMPUTED_VALUE"""),495481.0)</f>
        <v>495481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IFERROR(__xludf.DUMMYFUNCTION("""COMPUTED_VALUE"""),38.99)</f>
        <v>38.99</v>
      </c>
      <c r="C761" s="1">
        <f>IFERROR(__xludf.DUMMYFUNCTION("""COMPUTED_VALUE"""),39.91)</f>
        <v>39.91</v>
      </c>
      <c r="D761" s="1">
        <f>IFERROR(__xludf.DUMMYFUNCTION("""COMPUTED_VALUE"""),38.76)</f>
        <v>38.76</v>
      </c>
      <c r="E761" s="1">
        <f>IFERROR(__xludf.DUMMYFUNCTION("""COMPUTED_VALUE"""),39.91)</f>
        <v>39.91</v>
      </c>
      <c r="F761" s="1">
        <f>IFERROR(__xludf.DUMMYFUNCTION("""COMPUTED_VALUE"""),422611.0)</f>
        <v>422611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IFERROR(__xludf.DUMMYFUNCTION("""COMPUTED_VALUE"""),40.0)</f>
        <v>40</v>
      </c>
      <c r="C762" s="1">
        <f>IFERROR(__xludf.DUMMYFUNCTION("""COMPUTED_VALUE"""),40.47)</f>
        <v>40.47</v>
      </c>
      <c r="D762" s="1">
        <f>IFERROR(__xludf.DUMMYFUNCTION("""COMPUTED_VALUE"""),39.71)</f>
        <v>39.71</v>
      </c>
      <c r="E762" s="1">
        <f>IFERROR(__xludf.DUMMYFUNCTION("""COMPUTED_VALUE"""),40.46)</f>
        <v>40.46</v>
      </c>
      <c r="F762" s="1">
        <f>IFERROR(__xludf.DUMMYFUNCTION("""COMPUTED_VALUE"""),415309.0)</f>
        <v>415309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IFERROR(__xludf.DUMMYFUNCTION("""COMPUTED_VALUE"""),40.31)</f>
        <v>40.31</v>
      </c>
      <c r="C763" s="1">
        <f>IFERROR(__xludf.DUMMYFUNCTION("""COMPUTED_VALUE"""),40.56)</f>
        <v>40.56</v>
      </c>
      <c r="D763" s="1">
        <f>IFERROR(__xludf.DUMMYFUNCTION("""COMPUTED_VALUE"""),40.07)</f>
        <v>40.07</v>
      </c>
      <c r="E763" s="1">
        <f>IFERROR(__xludf.DUMMYFUNCTION("""COMPUTED_VALUE"""),40.3)</f>
        <v>40.3</v>
      </c>
      <c r="F763" s="1">
        <f>IFERROR(__xludf.DUMMYFUNCTION("""COMPUTED_VALUE"""),386622.0)</f>
        <v>386622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IFERROR(__xludf.DUMMYFUNCTION("""COMPUTED_VALUE"""),40.44)</f>
        <v>40.44</v>
      </c>
      <c r="C764" s="1">
        <f>IFERROR(__xludf.DUMMYFUNCTION("""COMPUTED_VALUE"""),41.34)</f>
        <v>41.34</v>
      </c>
      <c r="D764" s="1">
        <f>IFERROR(__xludf.DUMMYFUNCTION("""COMPUTED_VALUE"""),40.35)</f>
        <v>40.35</v>
      </c>
      <c r="E764" s="1">
        <f>IFERROR(__xludf.DUMMYFUNCTION("""COMPUTED_VALUE"""),41.33)</f>
        <v>41.33</v>
      </c>
      <c r="F764" s="1">
        <f>IFERROR(__xludf.DUMMYFUNCTION("""COMPUTED_VALUE"""),530411.0)</f>
        <v>530411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IFERROR(__xludf.DUMMYFUNCTION("""COMPUTED_VALUE"""),41.14)</f>
        <v>41.14</v>
      </c>
      <c r="C765" s="1">
        <f>IFERROR(__xludf.DUMMYFUNCTION("""COMPUTED_VALUE"""),41.45)</f>
        <v>41.45</v>
      </c>
      <c r="D765" s="1">
        <f>IFERROR(__xludf.DUMMYFUNCTION("""COMPUTED_VALUE"""),40.92)</f>
        <v>40.92</v>
      </c>
      <c r="E765" s="1">
        <f>IFERROR(__xludf.DUMMYFUNCTION("""COMPUTED_VALUE"""),41.34)</f>
        <v>41.34</v>
      </c>
      <c r="F765" s="1">
        <f>IFERROR(__xludf.DUMMYFUNCTION("""COMPUTED_VALUE"""),463619.0)</f>
        <v>463619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IFERROR(__xludf.DUMMYFUNCTION("""COMPUTED_VALUE"""),41.15)</f>
        <v>41.15</v>
      </c>
      <c r="C766" s="1">
        <f>IFERROR(__xludf.DUMMYFUNCTION("""COMPUTED_VALUE"""),41.49)</f>
        <v>41.49</v>
      </c>
      <c r="D766" s="1">
        <f>IFERROR(__xludf.DUMMYFUNCTION("""COMPUTED_VALUE"""),40.93)</f>
        <v>40.93</v>
      </c>
      <c r="E766" s="1">
        <f>IFERROR(__xludf.DUMMYFUNCTION("""COMPUTED_VALUE"""),41.44)</f>
        <v>41.44</v>
      </c>
      <c r="F766" s="1">
        <f>IFERROR(__xludf.DUMMYFUNCTION("""COMPUTED_VALUE"""),404798.0)</f>
        <v>404798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IFERROR(__xludf.DUMMYFUNCTION("""COMPUTED_VALUE"""),41.77)</f>
        <v>41.77</v>
      </c>
      <c r="C767" s="1">
        <f>IFERROR(__xludf.DUMMYFUNCTION("""COMPUTED_VALUE"""),42.29)</f>
        <v>42.29</v>
      </c>
      <c r="D767" s="1">
        <f>IFERROR(__xludf.DUMMYFUNCTION("""COMPUTED_VALUE"""),41.53)</f>
        <v>41.53</v>
      </c>
      <c r="E767" s="1">
        <f>IFERROR(__xludf.DUMMYFUNCTION("""COMPUTED_VALUE"""),42.19)</f>
        <v>42.19</v>
      </c>
      <c r="F767" s="1">
        <f>IFERROR(__xludf.DUMMYFUNCTION("""COMPUTED_VALUE"""),588512.0)</f>
        <v>588512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IFERROR(__xludf.DUMMYFUNCTION("""COMPUTED_VALUE"""),42.1)</f>
        <v>42.1</v>
      </c>
      <c r="C768" s="1">
        <f>IFERROR(__xludf.DUMMYFUNCTION("""COMPUTED_VALUE"""),42.45)</f>
        <v>42.45</v>
      </c>
      <c r="D768" s="1">
        <f>IFERROR(__xludf.DUMMYFUNCTION("""COMPUTED_VALUE"""),42.03)</f>
        <v>42.03</v>
      </c>
      <c r="E768" s="1">
        <f>IFERROR(__xludf.DUMMYFUNCTION("""COMPUTED_VALUE"""),42.39)</f>
        <v>42.39</v>
      </c>
      <c r="F768" s="1">
        <f>IFERROR(__xludf.DUMMYFUNCTION("""COMPUTED_VALUE"""),410451.0)</f>
        <v>410451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IFERROR(__xludf.DUMMYFUNCTION("""COMPUTED_VALUE"""),42.27)</f>
        <v>42.27</v>
      </c>
      <c r="C769" s="1">
        <f>IFERROR(__xludf.DUMMYFUNCTION("""COMPUTED_VALUE"""),43.06)</f>
        <v>43.06</v>
      </c>
      <c r="D769" s="1">
        <f>IFERROR(__xludf.DUMMYFUNCTION("""COMPUTED_VALUE"""),41.92)</f>
        <v>41.92</v>
      </c>
      <c r="E769" s="1">
        <f>IFERROR(__xludf.DUMMYFUNCTION("""COMPUTED_VALUE"""),43.04)</f>
        <v>43.04</v>
      </c>
      <c r="F769" s="1">
        <f>IFERROR(__xludf.DUMMYFUNCTION("""COMPUTED_VALUE"""),415393.0)</f>
        <v>415393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IFERROR(__xludf.DUMMYFUNCTION("""COMPUTED_VALUE"""),42.92)</f>
        <v>42.92</v>
      </c>
      <c r="C770" s="1">
        <f>IFERROR(__xludf.DUMMYFUNCTION("""COMPUTED_VALUE"""),42.96)</f>
        <v>42.96</v>
      </c>
      <c r="D770" s="1">
        <f>IFERROR(__xludf.DUMMYFUNCTION("""COMPUTED_VALUE"""),42.32)</f>
        <v>42.32</v>
      </c>
      <c r="E770" s="1">
        <f>IFERROR(__xludf.DUMMYFUNCTION("""COMPUTED_VALUE"""),42.55)</f>
        <v>42.55</v>
      </c>
      <c r="F770" s="1">
        <f>IFERROR(__xludf.DUMMYFUNCTION("""COMPUTED_VALUE"""),388561.0)</f>
        <v>388561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IFERROR(__xludf.DUMMYFUNCTION("""COMPUTED_VALUE"""),42.42)</f>
        <v>42.42</v>
      </c>
      <c r="C771" s="1">
        <f>IFERROR(__xludf.DUMMYFUNCTION("""COMPUTED_VALUE"""),43.19)</f>
        <v>43.19</v>
      </c>
      <c r="D771" s="1">
        <f>IFERROR(__xludf.DUMMYFUNCTION("""COMPUTED_VALUE"""),42.42)</f>
        <v>42.42</v>
      </c>
      <c r="E771" s="1">
        <f>IFERROR(__xludf.DUMMYFUNCTION("""COMPUTED_VALUE"""),42.87)</f>
        <v>42.87</v>
      </c>
      <c r="F771" s="1">
        <f>IFERROR(__xludf.DUMMYFUNCTION("""COMPUTED_VALUE"""),327152.0)</f>
        <v>327152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IFERROR(__xludf.DUMMYFUNCTION("""COMPUTED_VALUE"""),42.98)</f>
        <v>42.98</v>
      </c>
      <c r="C772" s="1">
        <f>IFERROR(__xludf.DUMMYFUNCTION("""COMPUTED_VALUE"""),43.3)</f>
        <v>43.3</v>
      </c>
      <c r="D772" s="1">
        <f>IFERROR(__xludf.DUMMYFUNCTION("""COMPUTED_VALUE"""),42.69)</f>
        <v>42.69</v>
      </c>
      <c r="E772" s="1">
        <f>IFERROR(__xludf.DUMMYFUNCTION("""COMPUTED_VALUE"""),43.15)</f>
        <v>43.15</v>
      </c>
      <c r="F772" s="1">
        <f>IFERROR(__xludf.DUMMYFUNCTION("""COMPUTED_VALUE"""),577644.0)</f>
        <v>577644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IFERROR(__xludf.DUMMYFUNCTION("""COMPUTED_VALUE"""),43.2)</f>
        <v>43.2</v>
      </c>
      <c r="C773" s="1">
        <f>IFERROR(__xludf.DUMMYFUNCTION("""COMPUTED_VALUE"""),43.2)</f>
        <v>43.2</v>
      </c>
      <c r="D773" s="1">
        <f>IFERROR(__xludf.DUMMYFUNCTION("""COMPUTED_VALUE"""),41.97)</f>
        <v>41.97</v>
      </c>
      <c r="E773" s="1">
        <f>IFERROR(__xludf.DUMMYFUNCTION("""COMPUTED_VALUE"""),42.28)</f>
        <v>42.28</v>
      </c>
      <c r="F773" s="1">
        <f>IFERROR(__xludf.DUMMYFUNCTION("""COMPUTED_VALUE"""),857038.0)</f>
        <v>857038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IFERROR(__xludf.DUMMYFUNCTION("""COMPUTED_VALUE"""),42.33)</f>
        <v>42.33</v>
      </c>
      <c r="C774" s="1">
        <f>IFERROR(__xludf.DUMMYFUNCTION("""COMPUTED_VALUE"""),42.33)</f>
        <v>42.33</v>
      </c>
      <c r="D774" s="1">
        <f>IFERROR(__xludf.DUMMYFUNCTION("""COMPUTED_VALUE"""),41.53)</f>
        <v>41.53</v>
      </c>
      <c r="E774" s="1">
        <f>IFERROR(__xludf.DUMMYFUNCTION("""COMPUTED_VALUE"""),41.88)</f>
        <v>41.88</v>
      </c>
      <c r="F774" s="1">
        <f>IFERROR(__xludf.DUMMYFUNCTION("""COMPUTED_VALUE"""),703781.0)</f>
        <v>703781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IFERROR(__xludf.DUMMYFUNCTION("""COMPUTED_VALUE"""),41.8)</f>
        <v>41.8</v>
      </c>
      <c r="C775" s="1">
        <f>IFERROR(__xludf.DUMMYFUNCTION("""COMPUTED_VALUE"""),41.94)</f>
        <v>41.94</v>
      </c>
      <c r="D775" s="1">
        <f>IFERROR(__xludf.DUMMYFUNCTION("""COMPUTED_VALUE"""),41.19)</f>
        <v>41.19</v>
      </c>
      <c r="E775" s="1">
        <f>IFERROR(__xludf.DUMMYFUNCTION("""COMPUTED_VALUE"""),41.42)</f>
        <v>41.42</v>
      </c>
      <c r="F775" s="1">
        <f>IFERROR(__xludf.DUMMYFUNCTION("""COMPUTED_VALUE"""),649619.0)</f>
        <v>649619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IFERROR(__xludf.DUMMYFUNCTION("""COMPUTED_VALUE"""),41.47)</f>
        <v>41.47</v>
      </c>
      <c r="C776" s="1">
        <f>IFERROR(__xludf.DUMMYFUNCTION("""COMPUTED_VALUE"""),41.8)</f>
        <v>41.8</v>
      </c>
      <c r="D776" s="1">
        <f>IFERROR(__xludf.DUMMYFUNCTION("""COMPUTED_VALUE"""),41.31)</f>
        <v>41.31</v>
      </c>
      <c r="E776" s="1">
        <f>IFERROR(__xludf.DUMMYFUNCTION("""COMPUTED_VALUE"""),41.32)</f>
        <v>41.32</v>
      </c>
      <c r="F776" s="1">
        <f>IFERROR(__xludf.DUMMYFUNCTION("""COMPUTED_VALUE"""),583884.0)</f>
        <v>583884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IFERROR(__xludf.DUMMYFUNCTION("""COMPUTED_VALUE"""),41.65)</f>
        <v>41.65</v>
      </c>
      <c r="C777" s="1">
        <f>IFERROR(__xludf.DUMMYFUNCTION("""COMPUTED_VALUE"""),41.91)</f>
        <v>41.91</v>
      </c>
      <c r="D777" s="1">
        <f>IFERROR(__xludf.DUMMYFUNCTION("""COMPUTED_VALUE"""),41.31)</f>
        <v>41.31</v>
      </c>
      <c r="E777" s="1">
        <f>IFERROR(__xludf.DUMMYFUNCTION("""COMPUTED_VALUE"""),41.79)</f>
        <v>41.79</v>
      </c>
      <c r="F777" s="1">
        <f>IFERROR(__xludf.DUMMYFUNCTION("""COMPUTED_VALUE"""),463590.0)</f>
        <v>463590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IFERROR(__xludf.DUMMYFUNCTION("""COMPUTED_VALUE"""),41.43)</f>
        <v>41.43</v>
      </c>
      <c r="C778" s="1">
        <f>IFERROR(__xludf.DUMMYFUNCTION("""COMPUTED_VALUE"""),41.82)</f>
        <v>41.82</v>
      </c>
      <c r="D778" s="1">
        <f>IFERROR(__xludf.DUMMYFUNCTION("""COMPUTED_VALUE"""),41.25)</f>
        <v>41.25</v>
      </c>
      <c r="E778" s="1">
        <f>IFERROR(__xludf.DUMMYFUNCTION("""COMPUTED_VALUE"""),41.62)</f>
        <v>41.62</v>
      </c>
      <c r="F778" s="1">
        <f>IFERROR(__xludf.DUMMYFUNCTION("""COMPUTED_VALUE"""),397119.0)</f>
        <v>397119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IFERROR(__xludf.DUMMYFUNCTION("""COMPUTED_VALUE"""),41.74)</f>
        <v>41.74</v>
      </c>
      <c r="C779" s="1">
        <f>IFERROR(__xludf.DUMMYFUNCTION("""COMPUTED_VALUE"""),41.93)</f>
        <v>41.93</v>
      </c>
      <c r="D779" s="1">
        <f>IFERROR(__xludf.DUMMYFUNCTION("""COMPUTED_VALUE"""),41.4)</f>
        <v>41.4</v>
      </c>
      <c r="E779" s="1">
        <f>IFERROR(__xludf.DUMMYFUNCTION("""COMPUTED_VALUE"""),41.62)</f>
        <v>41.62</v>
      </c>
      <c r="F779" s="1">
        <f>IFERROR(__xludf.DUMMYFUNCTION("""COMPUTED_VALUE"""),443120.0)</f>
        <v>443120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IFERROR(__xludf.DUMMYFUNCTION("""COMPUTED_VALUE"""),41.46)</f>
        <v>41.46</v>
      </c>
      <c r="C780" s="1">
        <f>IFERROR(__xludf.DUMMYFUNCTION("""COMPUTED_VALUE"""),41.85)</f>
        <v>41.85</v>
      </c>
      <c r="D780" s="1">
        <f>IFERROR(__xludf.DUMMYFUNCTION("""COMPUTED_VALUE"""),41.46)</f>
        <v>41.46</v>
      </c>
      <c r="E780" s="1">
        <f>IFERROR(__xludf.DUMMYFUNCTION("""COMPUTED_VALUE"""),41.65)</f>
        <v>41.65</v>
      </c>
      <c r="F780" s="1">
        <f>IFERROR(__xludf.DUMMYFUNCTION("""COMPUTED_VALUE"""),481712.0)</f>
        <v>481712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IFERROR(__xludf.DUMMYFUNCTION("""COMPUTED_VALUE"""),41.66)</f>
        <v>41.66</v>
      </c>
      <c r="C781" s="1">
        <f>IFERROR(__xludf.DUMMYFUNCTION("""COMPUTED_VALUE"""),41.7)</f>
        <v>41.7</v>
      </c>
      <c r="D781" s="1">
        <f>IFERROR(__xludf.DUMMYFUNCTION("""COMPUTED_VALUE"""),41.17)</f>
        <v>41.17</v>
      </c>
      <c r="E781" s="1">
        <f>IFERROR(__xludf.DUMMYFUNCTION("""COMPUTED_VALUE"""),41.44)</f>
        <v>41.44</v>
      </c>
      <c r="F781" s="1">
        <f>IFERROR(__xludf.DUMMYFUNCTION("""COMPUTED_VALUE"""),450618.0)</f>
        <v>450618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IFERROR(__xludf.DUMMYFUNCTION("""COMPUTED_VALUE"""),41.53)</f>
        <v>41.53</v>
      </c>
      <c r="C782" s="1">
        <f>IFERROR(__xludf.DUMMYFUNCTION("""COMPUTED_VALUE"""),41.83)</f>
        <v>41.83</v>
      </c>
      <c r="D782" s="1">
        <f>IFERROR(__xludf.DUMMYFUNCTION("""COMPUTED_VALUE"""),41.4)</f>
        <v>41.4</v>
      </c>
      <c r="E782" s="1">
        <f>IFERROR(__xludf.DUMMYFUNCTION("""COMPUTED_VALUE"""),41.59)</f>
        <v>41.59</v>
      </c>
      <c r="F782" s="1">
        <f>IFERROR(__xludf.DUMMYFUNCTION("""COMPUTED_VALUE"""),301709.0)</f>
        <v>301709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IFERROR(__xludf.DUMMYFUNCTION("""COMPUTED_VALUE"""),41.43)</f>
        <v>41.43</v>
      </c>
      <c r="C783" s="1">
        <f>IFERROR(__xludf.DUMMYFUNCTION("""COMPUTED_VALUE"""),41.88)</f>
        <v>41.88</v>
      </c>
      <c r="D783" s="1">
        <f>IFERROR(__xludf.DUMMYFUNCTION("""COMPUTED_VALUE"""),40.7)</f>
        <v>40.7</v>
      </c>
      <c r="E783" s="1">
        <f>IFERROR(__xludf.DUMMYFUNCTION("""COMPUTED_VALUE"""),41.64)</f>
        <v>41.64</v>
      </c>
      <c r="F783" s="1">
        <f>IFERROR(__xludf.DUMMYFUNCTION("""COMPUTED_VALUE"""),357556.0)</f>
        <v>357556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IFERROR(__xludf.DUMMYFUNCTION("""COMPUTED_VALUE"""),41.54)</f>
        <v>41.54</v>
      </c>
      <c r="C784" s="1">
        <f>IFERROR(__xludf.DUMMYFUNCTION("""COMPUTED_VALUE"""),41.62)</f>
        <v>41.62</v>
      </c>
      <c r="D784" s="1">
        <f>IFERROR(__xludf.DUMMYFUNCTION("""COMPUTED_VALUE"""),40.81)</f>
        <v>40.81</v>
      </c>
      <c r="E784" s="1">
        <f>IFERROR(__xludf.DUMMYFUNCTION("""COMPUTED_VALUE"""),40.88)</f>
        <v>40.88</v>
      </c>
      <c r="F784" s="1">
        <f>IFERROR(__xludf.DUMMYFUNCTION("""COMPUTED_VALUE"""),506967.0)</f>
        <v>506967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IFERROR(__xludf.DUMMYFUNCTION("""COMPUTED_VALUE"""),40.98)</f>
        <v>40.98</v>
      </c>
      <c r="C785" s="1">
        <f>IFERROR(__xludf.DUMMYFUNCTION("""COMPUTED_VALUE"""),41.82)</f>
        <v>41.82</v>
      </c>
      <c r="D785" s="1">
        <f>IFERROR(__xludf.DUMMYFUNCTION("""COMPUTED_VALUE"""),40.03)</f>
        <v>40.03</v>
      </c>
      <c r="E785" s="1">
        <f>IFERROR(__xludf.DUMMYFUNCTION("""COMPUTED_VALUE"""),41.24)</f>
        <v>41.24</v>
      </c>
      <c r="F785" s="1">
        <f>IFERROR(__xludf.DUMMYFUNCTION("""COMPUTED_VALUE"""),1026400.0)</f>
        <v>1026400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IFERROR(__xludf.DUMMYFUNCTION("""COMPUTED_VALUE"""),42.42)</f>
        <v>42.42</v>
      </c>
      <c r="C786" s="1">
        <f>IFERROR(__xludf.DUMMYFUNCTION("""COMPUTED_VALUE"""),42.42)</f>
        <v>42.42</v>
      </c>
      <c r="D786" s="1">
        <f>IFERROR(__xludf.DUMMYFUNCTION("""COMPUTED_VALUE"""),40.0)</f>
        <v>40</v>
      </c>
      <c r="E786" s="1">
        <f>IFERROR(__xludf.DUMMYFUNCTION("""COMPUTED_VALUE"""),41.23)</f>
        <v>41.23</v>
      </c>
      <c r="F786" s="1">
        <f>IFERROR(__xludf.DUMMYFUNCTION("""COMPUTED_VALUE"""),794285.0)</f>
        <v>794285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IFERROR(__xludf.DUMMYFUNCTION("""COMPUTED_VALUE"""),41.02)</f>
        <v>41.02</v>
      </c>
      <c r="C787" s="1">
        <f>IFERROR(__xludf.DUMMYFUNCTION("""COMPUTED_VALUE"""),41.16)</f>
        <v>41.16</v>
      </c>
      <c r="D787" s="1">
        <f>IFERROR(__xludf.DUMMYFUNCTION("""COMPUTED_VALUE"""),40.31)</f>
        <v>40.31</v>
      </c>
      <c r="E787" s="1">
        <f>IFERROR(__xludf.DUMMYFUNCTION("""COMPUTED_VALUE"""),40.46)</f>
        <v>40.46</v>
      </c>
      <c r="F787" s="1">
        <f>IFERROR(__xludf.DUMMYFUNCTION("""COMPUTED_VALUE"""),680037.0)</f>
        <v>680037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IFERROR(__xludf.DUMMYFUNCTION("""COMPUTED_VALUE"""),40.7)</f>
        <v>40.7</v>
      </c>
      <c r="C788" s="1">
        <f>IFERROR(__xludf.DUMMYFUNCTION("""COMPUTED_VALUE"""),42.09)</f>
        <v>42.09</v>
      </c>
      <c r="D788" s="1">
        <f>IFERROR(__xludf.DUMMYFUNCTION("""COMPUTED_VALUE"""),40.7)</f>
        <v>40.7</v>
      </c>
      <c r="E788" s="1">
        <f>IFERROR(__xludf.DUMMYFUNCTION("""COMPUTED_VALUE"""),41.69)</f>
        <v>41.69</v>
      </c>
      <c r="F788" s="1">
        <f>IFERROR(__xludf.DUMMYFUNCTION("""COMPUTED_VALUE"""),703164.0)</f>
        <v>703164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IFERROR(__xludf.DUMMYFUNCTION("""COMPUTED_VALUE"""),41.75)</f>
        <v>41.75</v>
      </c>
      <c r="C789" s="1">
        <f>IFERROR(__xludf.DUMMYFUNCTION("""COMPUTED_VALUE"""),41.83)</f>
        <v>41.83</v>
      </c>
      <c r="D789" s="1">
        <f>IFERROR(__xludf.DUMMYFUNCTION("""COMPUTED_VALUE"""),41.2)</f>
        <v>41.2</v>
      </c>
      <c r="E789" s="1">
        <f>IFERROR(__xludf.DUMMYFUNCTION("""COMPUTED_VALUE"""),41.21)</f>
        <v>41.21</v>
      </c>
      <c r="F789" s="1">
        <f>IFERROR(__xludf.DUMMYFUNCTION("""COMPUTED_VALUE"""),591239.0)</f>
        <v>591239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IFERROR(__xludf.DUMMYFUNCTION("""COMPUTED_VALUE"""),41.07)</f>
        <v>41.07</v>
      </c>
      <c r="C790" s="1">
        <f>IFERROR(__xludf.DUMMYFUNCTION("""COMPUTED_VALUE"""),41.25)</f>
        <v>41.25</v>
      </c>
      <c r="D790" s="1">
        <f>IFERROR(__xludf.DUMMYFUNCTION("""COMPUTED_VALUE"""),40.3)</f>
        <v>40.3</v>
      </c>
      <c r="E790" s="1">
        <f>IFERROR(__xludf.DUMMYFUNCTION("""COMPUTED_VALUE"""),40.35)</f>
        <v>40.35</v>
      </c>
      <c r="F790" s="1">
        <f>IFERROR(__xludf.DUMMYFUNCTION("""COMPUTED_VALUE"""),528696.0)</f>
        <v>528696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IFERROR(__xludf.DUMMYFUNCTION("""COMPUTED_VALUE"""),40.57)</f>
        <v>40.57</v>
      </c>
      <c r="C791" s="1">
        <f>IFERROR(__xludf.DUMMYFUNCTION("""COMPUTED_VALUE"""),40.75)</f>
        <v>40.75</v>
      </c>
      <c r="D791" s="1">
        <f>IFERROR(__xludf.DUMMYFUNCTION("""COMPUTED_VALUE"""),40.34)</f>
        <v>40.34</v>
      </c>
      <c r="E791" s="1">
        <f>IFERROR(__xludf.DUMMYFUNCTION("""COMPUTED_VALUE"""),40.4)</f>
        <v>40.4</v>
      </c>
      <c r="F791" s="1">
        <f>IFERROR(__xludf.DUMMYFUNCTION("""COMPUTED_VALUE"""),407014.0)</f>
        <v>407014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IFERROR(__xludf.DUMMYFUNCTION("""COMPUTED_VALUE"""),40.42)</f>
        <v>40.42</v>
      </c>
      <c r="C792" s="1">
        <f>IFERROR(__xludf.DUMMYFUNCTION("""COMPUTED_VALUE"""),40.67)</f>
        <v>40.67</v>
      </c>
      <c r="D792" s="1">
        <f>IFERROR(__xludf.DUMMYFUNCTION("""COMPUTED_VALUE"""),39.75)</f>
        <v>39.75</v>
      </c>
      <c r="E792" s="1">
        <f>IFERROR(__xludf.DUMMYFUNCTION("""COMPUTED_VALUE"""),39.76)</f>
        <v>39.76</v>
      </c>
      <c r="F792" s="1">
        <f>IFERROR(__xludf.DUMMYFUNCTION("""COMPUTED_VALUE"""),439585.0)</f>
        <v>439585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IFERROR(__xludf.DUMMYFUNCTION("""COMPUTED_VALUE"""),39.97)</f>
        <v>39.97</v>
      </c>
      <c r="C793" s="1">
        <f>IFERROR(__xludf.DUMMYFUNCTION("""COMPUTED_VALUE"""),39.97)</f>
        <v>39.97</v>
      </c>
      <c r="D793" s="1">
        <f>IFERROR(__xludf.DUMMYFUNCTION("""COMPUTED_VALUE"""),39.25)</f>
        <v>39.25</v>
      </c>
      <c r="E793" s="1">
        <f>IFERROR(__xludf.DUMMYFUNCTION("""COMPUTED_VALUE"""),39.61)</f>
        <v>39.61</v>
      </c>
      <c r="F793" s="1">
        <f>IFERROR(__xludf.DUMMYFUNCTION("""COMPUTED_VALUE"""),658958.0)</f>
        <v>658958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IFERROR(__xludf.DUMMYFUNCTION("""COMPUTED_VALUE"""),39.46)</f>
        <v>39.46</v>
      </c>
      <c r="C794" s="1">
        <f>IFERROR(__xludf.DUMMYFUNCTION("""COMPUTED_VALUE"""),40.53)</f>
        <v>40.53</v>
      </c>
      <c r="D794" s="1">
        <f>IFERROR(__xludf.DUMMYFUNCTION("""COMPUTED_VALUE"""),39.39)</f>
        <v>39.39</v>
      </c>
      <c r="E794" s="1">
        <f>IFERROR(__xludf.DUMMYFUNCTION("""COMPUTED_VALUE"""),40.39)</f>
        <v>40.39</v>
      </c>
      <c r="F794" s="1">
        <f>IFERROR(__xludf.DUMMYFUNCTION("""COMPUTED_VALUE"""),518003.0)</f>
        <v>518003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IFERROR(__xludf.DUMMYFUNCTION("""COMPUTED_VALUE"""),40.37)</f>
        <v>40.37</v>
      </c>
      <c r="C795" s="1">
        <f>IFERROR(__xludf.DUMMYFUNCTION("""COMPUTED_VALUE"""),41.04)</f>
        <v>41.04</v>
      </c>
      <c r="D795" s="1">
        <f>IFERROR(__xludf.DUMMYFUNCTION("""COMPUTED_VALUE"""),40.33)</f>
        <v>40.33</v>
      </c>
      <c r="E795" s="1">
        <f>IFERROR(__xludf.DUMMYFUNCTION("""COMPUTED_VALUE"""),40.74)</f>
        <v>40.74</v>
      </c>
      <c r="F795" s="1">
        <f>IFERROR(__xludf.DUMMYFUNCTION("""COMPUTED_VALUE"""),471175.0)</f>
        <v>471175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IFERROR(__xludf.DUMMYFUNCTION("""COMPUTED_VALUE"""),40.46)</f>
        <v>40.46</v>
      </c>
      <c r="C796" s="1">
        <f>IFERROR(__xludf.DUMMYFUNCTION("""COMPUTED_VALUE"""),40.68)</f>
        <v>40.68</v>
      </c>
      <c r="D796" s="1">
        <f>IFERROR(__xludf.DUMMYFUNCTION("""COMPUTED_VALUE"""),40.06)</f>
        <v>40.06</v>
      </c>
      <c r="E796" s="1">
        <f>IFERROR(__xludf.DUMMYFUNCTION("""COMPUTED_VALUE"""),40.6)</f>
        <v>40.6</v>
      </c>
      <c r="F796" s="1">
        <f>IFERROR(__xludf.DUMMYFUNCTION("""COMPUTED_VALUE"""),420859.0)</f>
        <v>420859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IFERROR(__xludf.DUMMYFUNCTION("""COMPUTED_VALUE"""),40.25)</f>
        <v>40.25</v>
      </c>
      <c r="C797" s="1">
        <f>IFERROR(__xludf.DUMMYFUNCTION("""COMPUTED_VALUE"""),40.52)</f>
        <v>40.52</v>
      </c>
      <c r="D797" s="1">
        <f>IFERROR(__xludf.DUMMYFUNCTION("""COMPUTED_VALUE"""),40.0)</f>
        <v>40</v>
      </c>
      <c r="E797" s="1">
        <f>IFERROR(__xludf.DUMMYFUNCTION("""COMPUTED_VALUE"""),40.49)</f>
        <v>40.49</v>
      </c>
      <c r="F797" s="1">
        <f>IFERROR(__xludf.DUMMYFUNCTION("""COMPUTED_VALUE"""),507431.0)</f>
        <v>507431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IFERROR(__xludf.DUMMYFUNCTION("""COMPUTED_VALUE"""),40.5)</f>
        <v>40.5</v>
      </c>
      <c r="C798" s="1">
        <f>IFERROR(__xludf.DUMMYFUNCTION("""COMPUTED_VALUE"""),41.55)</f>
        <v>41.55</v>
      </c>
      <c r="D798" s="1">
        <f>IFERROR(__xludf.DUMMYFUNCTION("""COMPUTED_VALUE"""),40.5)</f>
        <v>40.5</v>
      </c>
      <c r="E798" s="1">
        <f>IFERROR(__xludf.DUMMYFUNCTION("""COMPUTED_VALUE"""),41.32)</f>
        <v>41.32</v>
      </c>
      <c r="F798" s="1">
        <f>IFERROR(__xludf.DUMMYFUNCTION("""COMPUTED_VALUE"""),521662.0)</f>
        <v>521662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IFERROR(__xludf.DUMMYFUNCTION("""COMPUTED_VALUE"""),41.3)</f>
        <v>41.3</v>
      </c>
      <c r="C799" s="1">
        <f>IFERROR(__xludf.DUMMYFUNCTION("""COMPUTED_VALUE"""),41.91)</f>
        <v>41.91</v>
      </c>
      <c r="D799" s="1">
        <f>IFERROR(__xludf.DUMMYFUNCTION("""COMPUTED_VALUE"""),41.19)</f>
        <v>41.19</v>
      </c>
      <c r="E799" s="1">
        <f>IFERROR(__xludf.DUMMYFUNCTION("""COMPUTED_VALUE"""),41.9)</f>
        <v>41.9</v>
      </c>
      <c r="F799" s="1">
        <f>IFERROR(__xludf.DUMMYFUNCTION("""COMPUTED_VALUE"""),506803.0)</f>
        <v>506803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IFERROR(__xludf.DUMMYFUNCTION("""COMPUTED_VALUE"""),41.79)</f>
        <v>41.79</v>
      </c>
      <c r="C800" s="1">
        <f>IFERROR(__xludf.DUMMYFUNCTION("""COMPUTED_VALUE"""),42.13)</f>
        <v>42.13</v>
      </c>
      <c r="D800" s="1">
        <f>IFERROR(__xludf.DUMMYFUNCTION("""COMPUTED_VALUE"""),41.69)</f>
        <v>41.69</v>
      </c>
      <c r="E800" s="1">
        <f>IFERROR(__xludf.DUMMYFUNCTION("""COMPUTED_VALUE"""),41.7)</f>
        <v>41.7</v>
      </c>
      <c r="F800" s="1">
        <f>IFERROR(__xludf.DUMMYFUNCTION("""COMPUTED_VALUE"""),353632.0)</f>
        <v>353632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IFERROR(__xludf.DUMMYFUNCTION("""COMPUTED_VALUE"""),41.89)</f>
        <v>41.89</v>
      </c>
      <c r="C801" s="1">
        <f>IFERROR(__xludf.DUMMYFUNCTION("""COMPUTED_VALUE"""),43.05)</f>
        <v>43.05</v>
      </c>
      <c r="D801" s="1">
        <f>IFERROR(__xludf.DUMMYFUNCTION("""COMPUTED_VALUE"""),41.78)</f>
        <v>41.78</v>
      </c>
      <c r="E801" s="1">
        <f>IFERROR(__xludf.DUMMYFUNCTION("""COMPUTED_VALUE"""),43.03)</f>
        <v>43.03</v>
      </c>
      <c r="F801" s="1">
        <f>IFERROR(__xludf.DUMMYFUNCTION("""COMPUTED_VALUE"""),655408.0)</f>
        <v>655408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IFERROR(__xludf.DUMMYFUNCTION("""COMPUTED_VALUE"""),42.85)</f>
        <v>42.85</v>
      </c>
      <c r="C802" s="1">
        <f>IFERROR(__xludf.DUMMYFUNCTION("""COMPUTED_VALUE"""),43.32)</f>
        <v>43.32</v>
      </c>
      <c r="D802" s="1">
        <f>IFERROR(__xludf.DUMMYFUNCTION("""COMPUTED_VALUE"""),42.7)</f>
        <v>42.7</v>
      </c>
      <c r="E802" s="1">
        <f>IFERROR(__xludf.DUMMYFUNCTION("""COMPUTED_VALUE"""),43.24)</f>
        <v>43.24</v>
      </c>
      <c r="F802" s="1">
        <f>IFERROR(__xludf.DUMMYFUNCTION("""COMPUTED_VALUE"""),665267.0)</f>
        <v>665267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IFERROR(__xludf.DUMMYFUNCTION("""COMPUTED_VALUE"""),43.08)</f>
        <v>43.08</v>
      </c>
      <c r="C803" s="1">
        <f>IFERROR(__xludf.DUMMYFUNCTION("""COMPUTED_VALUE"""),44.64)</f>
        <v>44.64</v>
      </c>
      <c r="D803" s="1">
        <f>IFERROR(__xludf.DUMMYFUNCTION("""COMPUTED_VALUE"""),42.78)</f>
        <v>42.78</v>
      </c>
      <c r="E803" s="1">
        <f>IFERROR(__xludf.DUMMYFUNCTION("""COMPUTED_VALUE"""),44.53)</f>
        <v>44.53</v>
      </c>
      <c r="F803" s="1">
        <f>IFERROR(__xludf.DUMMYFUNCTION("""COMPUTED_VALUE"""),932745.0)</f>
        <v>932745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IFERROR(__xludf.DUMMYFUNCTION("""COMPUTED_VALUE"""),44.53)</f>
        <v>44.53</v>
      </c>
      <c r="C804" s="1">
        <f>IFERROR(__xludf.DUMMYFUNCTION("""COMPUTED_VALUE"""),45.8)</f>
        <v>45.8</v>
      </c>
      <c r="D804" s="1">
        <f>IFERROR(__xludf.DUMMYFUNCTION("""COMPUTED_VALUE"""),44.45)</f>
        <v>44.45</v>
      </c>
      <c r="E804" s="1">
        <f>IFERROR(__xludf.DUMMYFUNCTION("""COMPUTED_VALUE"""),45.79)</f>
        <v>45.79</v>
      </c>
      <c r="F804" s="1">
        <f>IFERROR(__xludf.DUMMYFUNCTION("""COMPUTED_VALUE"""),1345731.0)</f>
        <v>1345731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IFERROR(__xludf.DUMMYFUNCTION("""COMPUTED_VALUE"""),45.8)</f>
        <v>45.8</v>
      </c>
      <c r="C805" s="1">
        <f>IFERROR(__xludf.DUMMYFUNCTION("""COMPUTED_VALUE"""),46.9)</f>
        <v>46.9</v>
      </c>
      <c r="D805" s="1">
        <f>IFERROR(__xludf.DUMMYFUNCTION("""COMPUTED_VALUE"""),45.44)</f>
        <v>45.44</v>
      </c>
      <c r="E805" s="1">
        <f>IFERROR(__xludf.DUMMYFUNCTION("""COMPUTED_VALUE"""),45.68)</f>
        <v>45.68</v>
      </c>
      <c r="F805" s="1">
        <f>IFERROR(__xludf.DUMMYFUNCTION("""COMPUTED_VALUE"""),1420579.0)</f>
        <v>1420579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IFERROR(__xludf.DUMMYFUNCTION("""COMPUTED_VALUE"""),45.72)</f>
        <v>45.72</v>
      </c>
      <c r="C806" s="1">
        <f>IFERROR(__xludf.DUMMYFUNCTION("""COMPUTED_VALUE"""),45.72)</f>
        <v>45.72</v>
      </c>
      <c r="D806" s="1">
        <f>IFERROR(__xludf.DUMMYFUNCTION("""COMPUTED_VALUE"""),44.25)</f>
        <v>44.25</v>
      </c>
      <c r="E806" s="1">
        <f>IFERROR(__xludf.DUMMYFUNCTION("""COMPUTED_VALUE"""),44.65)</f>
        <v>44.65</v>
      </c>
      <c r="F806" s="1">
        <f>IFERROR(__xludf.DUMMYFUNCTION("""COMPUTED_VALUE"""),1168035.0)</f>
        <v>1168035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IFERROR(__xludf.DUMMYFUNCTION("""COMPUTED_VALUE"""),44.44)</f>
        <v>44.44</v>
      </c>
      <c r="C807" s="1">
        <f>IFERROR(__xludf.DUMMYFUNCTION("""COMPUTED_VALUE"""),45.09)</f>
        <v>45.09</v>
      </c>
      <c r="D807" s="1">
        <f>IFERROR(__xludf.DUMMYFUNCTION("""COMPUTED_VALUE"""),44.01)</f>
        <v>44.01</v>
      </c>
      <c r="E807" s="1">
        <f>IFERROR(__xludf.DUMMYFUNCTION("""COMPUTED_VALUE"""),44.18)</f>
        <v>44.18</v>
      </c>
      <c r="F807" s="1">
        <f>IFERROR(__xludf.DUMMYFUNCTION("""COMPUTED_VALUE"""),671583.0)</f>
        <v>671583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IFERROR(__xludf.DUMMYFUNCTION("""COMPUTED_VALUE"""),44.21)</f>
        <v>44.21</v>
      </c>
      <c r="C808" s="1">
        <f>IFERROR(__xludf.DUMMYFUNCTION("""COMPUTED_VALUE"""),44.67)</f>
        <v>44.67</v>
      </c>
      <c r="D808" s="1">
        <f>IFERROR(__xludf.DUMMYFUNCTION("""COMPUTED_VALUE"""),43.9)</f>
        <v>43.9</v>
      </c>
      <c r="E808" s="1">
        <f>IFERROR(__xludf.DUMMYFUNCTION("""COMPUTED_VALUE"""),44.26)</f>
        <v>44.26</v>
      </c>
      <c r="F808" s="1">
        <f>IFERROR(__xludf.DUMMYFUNCTION("""COMPUTED_VALUE"""),936735.0)</f>
        <v>936735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IFERROR(__xludf.DUMMYFUNCTION("""COMPUTED_VALUE"""),44.64)</f>
        <v>44.64</v>
      </c>
      <c r="C809" s="1">
        <f>IFERROR(__xludf.DUMMYFUNCTION("""COMPUTED_VALUE"""),44.83)</f>
        <v>44.83</v>
      </c>
      <c r="D809" s="1">
        <f>IFERROR(__xludf.DUMMYFUNCTION("""COMPUTED_VALUE"""),44.25)</f>
        <v>44.25</v>
      </c>
      <c r="E809" s="1">
        <f>IFERROR(__xludf.DUMMYFUNCTION("""COMPUTED_VALUE"""),44.76)</f>
        <v>44.76</v>
      </c>
      <c r="F809" s="1">
        <f>IFERROR(__xludf.DUMMYFUNCTION("""COMPUTED_VALUE"""),328361.0)</f>
        <v>328361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IFERROR(__xludf.DUMMYFUNCTION("""COMPUTED_VALUE"""),44.51)</f>
        <v>44.51</v>
      </c>
      <c r="C810" s="1">
        <f>IFERROR(__xludf.DUMMYFUNCTION("""COMPUTED_VALUE"""),44.94)</f>
        <v>44.94</v>
      </c>
      <c r="D810" s="1">
        <f>IFERROR(__xludf.DUMMYFUNCTION("""COMPUTED_VALUE"""),44.4)</f>
        <v>44.4</v>
      </c>
      <c r="E810" s="1">
        <f>IFERROR(__xludf.DUMMYFUNCTION("""COMPUTED_VALUE"""),44.6)</f>
        <v>44.6</v>
      </c>
      <c r="F810" s="1">
        <f>IFERROR(__xludf.DUMMYFUNCTION("""COMPUTED_VALUE"""),519681.0)</f>
        <v>519681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IFERROR(__xludf.DUMMYFUNCTION("""COMPUTED_VALUE"""),44.75)</f>
        <v>44.75</v>
      </c>
      <c r="C811" s="1">
        <f>IFERROR(__xludf.DUMMYFUNCTION("""COMPUTED_VALUE"""),44.96)</f>
        <v>44.96</v>
      </c>
      <c r="D811" s="1">
        <f>IFERROR(__xludf.DUMMYFUNCTION("""COMPUTED_VALUE"""),44.63)</f>
        <v>44.63</v>
      </c>
      <c r="E811" s="1">
        <f>IFERROR(__xludf.DUMMYFUNCTION("""COMPUTED_VALUE"""),44.84)</f>
        <v>44.84</v>
      </c>
      <c r="F811" s="1">
        <f>IFERROR(__xludf.DUMMYFUNCTION("""COMPUTED_VALUE"""),461038.0)</f>
        <v>461038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IFERROR(__xludf.DUMMYFUNCTION("""COMPUTED_VALUE"""),44.86)</f>
        <v>44.86</v>
      </c>
      <c r="C812" s="1">
        <f>IFERROR(__xludf.DUMMYFUNCTION("""COMPUTED_VALUE"""),44.88)</f>
        <v>44.88</v>
      </c>
      <c r="D812" s="1">
        <f>IFERROR(__xludf.DUMMYFUNCTION("""COMPUTED_VALUE"""),44.02)</f>
        <v>44.02</v>
      </c>
      <c r="E812" s="1">
        <f>IFERROR(__xludf.DUMMYFUNCTION("""COMPUTED_VALUE"""),44.11)</f>
        <v>44.11</v>
      </c>
      <c r="F812" s="1">
        <f>IFERROR(__xludf.DUMMYFUNCTION("""COMPUTED_VALUE"""),389324.0)</f>
        <v>389324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IFERROR(__xludf.DUMMYFUNCTION("""COMPUTED_VALUE"""),44.31)</f>
        <v>44.31</v>
      </c>
      <c r="C813" s="1">
        <f>IFERROR(__xludf.DUMMYFUNCTION("""COMPUTED_VALUE"""),44.85)</f>
        <v>44.85</v>
      </c>
      <c r="D813" s="1">
        <f>IFERROR(__xludf.DUMMYFUNCTION("""COMPUTED_VALUE"""),44.13)</f>
        <v>44.13</v>
      </c>
      <c r="E813" s="1">
        <f>IFERROR(__xludf.DUMMYFUNCTION("""COMPUTED_VALUE"""),44.84)</f>
        <v>44.84</v>
      </c>
      <c r="F813" s="1">
        <f>IFERROR(__xludf.DUMMYFUNCTION("""COMPUTED_VALUE"""),363694.0)</f>
        <v>363694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IFERROR(__xludf.DUMMYFUNCTION("""COMPUTED_VALUE"""),43.8)</f>
        <v>43.8</v>
      </c>
      <c r="C814" s="1">
        <f>IFERROR(__xludf.DUMMYFUNCTION("""COMPUTED_VALUE"""),44.27)</f>
        <v>44.27</v>
      </c>
      <c r="D814" s="1">
        <f>IFERROR(__xludf.DUMMYFUNCTION("""COMPUTED_VALUE"""),43.7)</f>
        <v>43.7</v>
      </c>
      <c r="E814" s="1">
        <f>IFERROR(__xludf.DUMMYFUNCTION("""COMPUTED_VALUE"""),44.13)</f>
        <v>44.13</v>
      </c>
      <c r="F814" s="1">
        <f>IFERROR(__xludf.DUMMYFUNCTION("""COMPUTED_VALUE"""),593687.0)</f>
        <v>593687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IFERROR(__xludf.DUMMYFUNCTION("""COMPUTED_VALUE"""),44.07)</f>
        <v>44.07</v>
      </c>
      <c r="C815" s="1">
        <f>IFERROR(__xludf.DUMMYFUNCTION("""COMPUTED_VALUE"""),44.6)</f>
        <v>44.6</v>
      </c>
      <c r="D815" s="1">
        <f>IFERROR(__xludf.DUMMYFUNCTION("""COMPUTED_VALUE"""),44.01)</f>
        <v>44.01</v>
      </c>
      <c r="E815" s="1">
        <f>IFERROR(__xludf.DUMMYFUNCTION("""COMPUTED_VALUE"""),44.27)</f>
        <v>44.27</v>
      </c>
      <c r="F815" s="1">
        <f>IFERROR(__xludf.DUMMYFUNCTION("""COMPUTED_VALUE"""),406036.0)</f>
        <v>406036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IFERROR(__xludf.DUMMYFUNCTION("""COMPUTED_VALUE"""),44.3)</f>
        <v>44.3</v>
      </c>
      <c r="C816" s="1">
        <f>IFERROR(__xludf.DUMMYFUNCTION("""COMPUTED_VALUE"""),44.4)</f>
        <v>44.4</v>
      </c>
      <c r="D816" s="1">
        <f>IFERROR(__xludf.DUMMYFUNCTION("""COMPUTED_VALUE"""),43.45)</f>
        <v>43.45</v>
      </c>
      <c r="E816" s="1">
        <f>IFERROR(__xludf.DUMMYFUNCTION("""COMPUTED_VALUE"""),43.48)</f>
        <v>43.48</v>
      </c>
      <c r="F816" s="1">
        <f>IFERROR(__xludf.DUMMYFUNCTION("""COMPUTED_VALUE"""),430900.0)</f>
        <v>430900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IFERROR(__xludf.DUMMYFUNCTION("""COMPUTED_VALUE"""),43.72)</f>
        <v>43.72</v>
      </c>
      <c r="C817" s="1">
        <f>IFERROR(__xludf.DUMMYFUNCTION("""COMPUTED_VALUE"""),44.28)</f>
        <v>44.28</v>
      </c>
      <c r="D817" s="1">
        <f>IFERROR(__xludf.DUMMYFUNCTION("""COMPUTED_VALUE"""),43.55)</f>
        <v>43.55</v>
      </c>
      <c r="E817" s="1">
        <f>IFERROR(__xludf.DUMMYFUNCTION("""COMPUTED_VALUE"""),44.16)</f>
        <v>44.16</v>
      </c>
      <c r="F817" s="1">
        <f>IFERROR(__xludf.DUMMYFUNCTION("""COMPUTED_VALUE"""),677748.0)</f>
        <v>677748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IFERROR(__xludf.DUMMYFUNCTION("""COMPUTED_VALUE"""),42.1)</f>
        <v>42.1</v>
      </c>
      <c r="C818" s="1">
        <f>IFERROR(__xludf.DUMMYFUNCTION("""COMPUTED_VALUE"""),42.83)</f>
        <v>42.83</v>
      </c>
      <c r="D818" s="1">
        <f>IFERROR(__xludf.DUMMYFUNCTION("""COMPUTED_VALUE"""),41.28)</f>
        <v>41.28</v>
      </c>
      <c r="E818" s="1">
        <f>IFERROR(__xludf.DUMMYFUNCTION("""COMPUTED_VALUE"""),42.19)</f>
        <v>42.19</v>
      </c>
      <c r="F818" s="1">
        <f>IFERROR(__xludf.DUMMYFUNCTION("""COMPUTED_VALUE"""),1505401.0)</f>
        <v>1505401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IFERROR(__xludf.DUMMYFUNCTION("""COMPUTED_VALUE"""),42.16)</f>
        <v>42.16</v>
      </c>
      <c r="C819" s="1">
        <f>IFERROR(__xludf.DUMMYFUNCTION("""COMPUTED_VALUE"""),42.57)</f>
        <v>42.57</v>
      </c>
      <c r="D819" s="1">
        <f>IFERROR(__xludf.DUMMYFUNCTION("""COMPUTED_VALUE"""),41.71)</f>
        <v>41.71</v>
      </c>
      <c r="E819" s="1">
        <f>IFERROR(__xludf.DUMMYFUNCTION("""COMPUTED_VALUE"""),41.86)</f>
        <v>41.86</v>
      </c>
      <c r="F819" s="1">
        <f>IFERROR(__xludf.DUMMYFUNCTION("""COMPUTED_VALUE"""),601217.0)</f>
        <v>601217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IFERROR(__xludf.DUMMYFUNCTION("""COMPUTED_VALUE"""),41.48)</f>
        <v>41.48</v>
      </c>
      <c r="C820" s="1">
        <f>IFERROR(__xludf.DUMMYFUNCTION("""COMPUTED_VALUE"""),41.49)</f>
        <v>41.49</v>
      </c>
      <c r="D820" s="1">
        <f>IFERROR(__xludf.DUMMYFUNCTION("""COMPUTED_VALUE"""),41.09)</f>
        <v>41.09</v>
      </c>
      <c r="E820" s="1">
        <f>IFERROR(__xludf.DUMMYFUNCTION("""COMPUTED_VALUE"""),41.38)</f>
        <v>41.38</v>
      </c>
      <c r="F820" s="1">
        <f>IFERROR(__xludf.DUMMYFUNCTION("""COMPUTED_VALUE"""),481398.0)</f>
        <v>481398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IFERROR(__xludf.DUMMYFUNCTION("""COMPUTED_VALUE"""),41.43)</f>
        <v>41.43</v>
      </c>
      <c r="C821" s="1">
        <f>IFERROR(__xludf.DUMMYFUNCTION("""COMPUTED_VALUE"""),41.75)</f>
        <v>41.75</v>
      </c>
      <c r="D821" s="1">
        <f>IFERROR(__xludf.DUMMYFUNCTION("""COMPUTED_VALUE"""),40.88)</f>
        <v>40.88</v>
      </c>
      <c r="E821" s="1">
        <f>IFERROR(__xludf.DUMMYFUNCTION("""COMPUTED_VALUE"""),41.57)</f>
        <v>41.57</v>
      </c>
      <c r="F821" s="1">
        <f>IFERROR(__xludf.DUMMYFUNCTION("""COMPUTED_VALUE"""),366031.0)</f>
        <v>366031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IFERROR(__xludf.DUMMYFUNCTION("""COMPUTED_VALUE"""),41.59)</f>
        <v>41.59</v>
      </c>
      <c r="C822" s="1">
        <f>IFERROR(__xludf.DUMMYFUNCTION("""COMPUTED_VALUE"""),42.01)</f>
        <v>42.01</v>
      </c>
      <c r="D822" s="1">
        <f>IFERROR(__xludf.DUMMYFUNCTION("""COMPUTED_VALUE"""),41.44)</f>
        <v>41.44</v>
      </c>
      <c r="E822" s="1">
        <f>IFERROR(__xludf.DUMMYFUNCTION("""COMPUTED_VALUE"""),41.88)</f>
        <v>41.88</v>
      </c>
      <c r="F822" s="1">
        <f>IFERROR(__xludf.DUMMYFUNCTION("""COMPUTED_VALUE"""),528925.0)</f>
        <v>528925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IFERROR(__xludf.DUMMYFUNCTION("""COMPUTED_VALUE"""),42.04)</f>
        <v>42.04</v>
      </c>
      <c r="C823" s="1">
        <f>IFERROR(__xludf.DUMMYFUNCTION("""COMPUTED_VALUE"""),42.78)</f>
        <v>42.78</v>
      </c>
      <c r="D823" s="1">
        <f>IFERROR(__xludf.DUMMYFUNCTION("""COMPUTED_VALUE"""),42.02)</f>
        <v>42.02</v>
      </c>
      <c r="E823" s="1">
        <f>IFERROR(__xludf.DUMMYFUNCTION("""COMPUTED_VALUE"""),42.77)</f>
        <v>42.77</v>
      </c>
      <c r="F823" s="1">
        <f>IFERROR(__xludf.DUMMYFUNCTION("""COMPUTED_VALUE"""),513256.0)</f>
        <v>513256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IFERROR(__xludf.DUMMYFUNCTION("""COMPUTED_VALUE"""),42.69)</f>
        <v>42.69</v>
      </c>
      <c r="C824" s="1">
        <f>IFERROR(__xludf.DUMMYFUNCTION("""COMPUTED_VALUE"""),43.66)</f>
        <v>43.66</v>
      </c>
      <c r="D824" s="1">
        <f>IFERROR(__xludf.DUMMYFUNCTION("""COMPUTED_VALUE"""),42.69)</f>
        <v>42.69</v>
      </c>
      <c r="E824" s="1">
        <f>IFERROR(__xludf.DUMMYFUNCTION("""COMPUTED_VALUE"""),43.62)</f>
        <v>43.62</v>
      </c>
      <c r="F824" s="1">
        <f>IFERROR(__xludf.DUMMYFUNCTION("""COMPUTED_VALUE"""),717276.0)</f>
        <v>717276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IFERROR(__xludf.DUMMYFUNCTION("""COMPUTED_VALUE"""),43.49)</f>
        <v>43.49</v>
      </c>
      <c r="C825" s="1">
        <f>IFERROR(__xludf.DUMMYFUNCTION("""COMPUTED_VALUE"""),43.75)</f>
        <v>43.75</v>
      </c>
      <c r="D825" s="1">
        <f>IFERROR(__xludf.DUMMYFUNCTION("""COMPUTED_VALUE"""),43.21)</f>
        <v>43.21</v>
      </c>
      <c r="E825" s="1">
        <f>IFERROR(__xludf.DUMMYFUNCTION("""COMPUTED_VALUE"""),43.56)</f>
        <v>43.56</v>
      </c>
      <c r="F825" s="1">
        <f>IFERROR(__xludf.DUMMYFUNCTION("""COMPUTED_VALUE"""),592395.0)</f>
        <v>592395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IFERROR(__xludf.DUMMYFUNCTION("""COMPUTED_VALUE"""),43.34)</f>
        <v>43.34</v>
      </c>
      <c r="C826" s="1">
        <f>IFERROR(__xludf.DUMMYFUNCTION("""COMPUTED_VALUE"""),43.65)</f>
        <v>43.65</v>
      </c>
      <c r="D826" s="1">
        <f>IFERROR(__xludf.DUMMYFUNCTION("""COMPUTED_VALUE"""),41.85)</f>
        <v>41.85</v>
      </c>
      <c r="E826" s="1">
        <f>IFERROR(__xludf.DUMMYFUNCTION("""COMPUTED_VALUE"""),41.85)</f>
        <v>41.85</v>
      </c>
      <c r="F826" s="1">
        <f>IFERROR(__xludf.DUMMYFUNCTION("""COMPUTED_VALUE"""),792178.0)</f>
        <v>792178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IFERROR(__xludf.DUMMYFUNCTION("""COMPUTED_VALUE"""),42.24)</f>
        <v>42.24</v>
      </c>
      <c r="C827" s="1">
        <f>IFERROR(__xludf.DUMMYFUNCTION("""COMPUTED_VALUE"""),42.61)</f>
        <v>42.61</v>
      </c>
      <c r="D827" s="1">
        <f>IFERROR(__xludf.DUMMYFUNCTION("""COMPUTED_VALUE"""),41.89)</f>
        <v>41.89</v>
      </c>
      <c r="E827" s="1">
        <f>IFERROR(__xludf.DUMMYFUNCTION("""COMPUTED_VALUE"""),42.52)</f>
        <v>42.52</v>
      </c>
      <c r="F827" s="1">
        <f>IFERROR(__xludf.DUMMYFUNCTION("""COMPUTED_VALUE"""),515112.0)</f>
        <v>515112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IFERROR(__xludf.DUMMYFUNCTION("""COMPUTED_VALUE"""),42.31)</f>
        <v>42.31</v>
      </c>
      <c r="C828" s="1">
        <f>IFERROR(__xludf.DUMMYFUNCTION("""COMPUTED_VALUE"""),42.48)</f>
        <v>42.48</v>
      </c>
      <c r="D828" s="1">
        <f>IFERROR(__xludf.DUMMYFUNCTION("""COMPUTED_VALUE"""),41.84)</f>
        <v>41.84</v>
      </c>
      <c r="E828" s="1">
        <f>IFERROR(__xludf.DUMMYFUNCTION("""COMPUTED_VALUE"""),42.15)</f>
        <v>42.15</v>
      </c>
      <c r="F828" s="1">
        <f>IFERROR(__xludf.DUMMYFUNCTION("""COMPUTED_VALUE"""),553550.0)</f>
        <v>553550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IFERROR(__xludf.DUMMYFUNCTION("""COMPUTED_VALUE"""),42.32)</f>
        <v>42.32</v>
      </c>
      <c r="C829" s="1">
        <f>IFERROR(__xludf.DUMMYFUNCTION("""COMPUTED_VALUE"""),42.32)</f>
        <v>42.32</v>
      </c>
      <c r="D829" s="1">
        <f>IFERROR(__xludf.DUMMYFUNCTION("""COMPUTED_VALUE"""),41.34)</f>
        <v>41.34</v>
      </c>
      <c r="E829" s="1">
        <f>IFERROR(__xludf.DUMMYFUNCTION("""COMPUTED_VALUE"""),41.67)</f>
        <v>41.67</v>
      </c>
      <c r="F829" s="1">
        <f>IFERROR(__xludf.DUMMYFUNCTION("""COMPUTED_VALUE"""),821991.0)</f>
        <v>821991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IFERROR(__xludf.DUMMYFUNCTION("""COMPUTED_VALUE"""),41.8)</f>
        <v>41.8</v>
      </c>
      <c r="C830" s="1">
        <f>IFERROR(__xludf.DUMMYFUNCTION("""COMPUTED_VALUE"""),42.48)</f>
        <v>42.48</v>
      </c>
      <c r="D830" s="1">
        <f>IFERROR(__xludf.DUMMYFUNCTION("""COMPUTED_VALUE"""),41.72)</f>
        <v>41.72</v>
      </c>
      <c r="E830" s="1">
        <f>IFERROR(__xludf.DUMMYFUNCTION("""COMPUTED_VALUE"""),42.21)</f>
        <v>42.21</v>
      </c>
      <c r="F830" s="1">
        <f>IFERROR(__xludf.DUMMYFUNCTION("""COMPUTED_VALUE"""),876771.0)</f>
        <v>876771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IFERROR(__xludf.DUMMYFUNCTION("""COMPUTED_VALUE"""),42.17)</f>
        <v>42.17</v>
      </c>
      <c r="C831" s="1">
        <f>IFERROR(__xludf.DUMMYFUNCTION("""COMPUTED_VALUE"""),42.66)</f>
        <v>42.66</v>
      </c>
      <c r="D831" s="1">
        <f>IFERROR(__xludf.DUMMYFUNCTION("""COMPUTED_VALUE"""),41.72)</f>
        <v>41.72</v>
      </c>
      <c r="E831" s="1">
        <f>IFERROR(__xludf.DUMMYFUNCTION("""COMPUTED_VALUE"""),42.3)</f>
        <v>42.3</v>
      </c>
      <c r="F831" s="1">
        <f>IFERROR(__xludf.DUMMYFUNCTION("""COMPUTED_VALUE"""),382334.0)</f>
        <v>382334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IFERROR(__xludf.DUMMYFUNCTION("""COMPUTED_VALUE"""),42.52)</f>
        <v>42.52</v>
      </c>
      <c r="C832" s="1">
        <f>IFERROR(__xludf.DUMMYFUNCTION("""COMPUTED_VALUE"""),42.99)</f>
        <v>42.99</v>
      </c>
      <c r="D832" s="1">
        <f>IFERROR(__xludf.DUMMYFUNCTION("""COMPUTED_VALUE"""),42.28)</f>
        <v>42.28</v>
      </c>
      <c r="E832" s="1">
        <f>IFERROR(__xludf.DUMMYFUNCTION("""COMPUTED_VALUE"""),42.55)</f>
        <v>42.55</v>
      </c>
      <c r="F832" s="1">
        <f>IFERROR(__xludf.DUMMYFUNCTION("""COMPUTED_VALUE"""),309489.0)</f>
        <v>309489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IFERROR(__xludf.DUMMYFUNCTION("""COMPUTED_VALUE"""),42.59)</f>
        <v>42.59</v>
      </c>
      <c r="C833" s="1">
        <f>IFERROR(__xludf.DUMMYFUNCTION("""COMPUTED_VALUE"""),42.72)</f>
        <v>42.72</v>
      </c>
      <c r="D833" s="1">
        <f>IFERROR(__xludf.DUMMYFUNCTION("""COMPUTED_VALUE"""),42.28)</f>
        <v>42.28</v>
      </c>
      <c r="E833" s="1">
        <f>IFERROR(__xludf.DUMMYFUNCTION("""COMPUTED_VALUE"""),42.46)</f>
        <v>42.46</v>
      </c>
      <c r="F833" s="1">
        <f>IFERROR(__xludf.DUMMYFUNCTION("""COMPUTED_VALUE"""),412218.0)</f>
        <v>412218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IFERROR(__xludf.DUMMYFUNCTION("""COMPUTED_VALUE"""),42.66)</f>
        <v>42.66</v>
      </c>
      <c r="C834" s="1">
        <f>IFERROR(__xludf.DUMMYFUNCTION("""COMPUTED_VALUE"""),43.07)</f>
        <v>43.07</v>
      </c>
      <c r="D834" s="1">
        <f>IFERROR(__xludf.DUMMYFUNCTION("""COMPUTED_VALUE"""),42.23)</f>
        <v>42.23</v>
      </c>
      <c r="E834" s="1">
        <f>IFERROR(__xludf.DUMMYFUNCTION("""COMPUTED_VALUE"""),42.8)</f>
        <v>42.8</v>
      </c>
      <c r="F834" s="1">
        <f>IFERROR(__xludf.DUMMYFUNCTION("""COMPUTED_VALUE"""),283423.0)</f>
        <v>283423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IFERROR(__xludf.DUMMYFUNCTION("""COMPUTED_VALUE"""),42.73)</f>
        <v>42.73</v>
      </c>
      <c r="C835" s="1">
        <f>IFERROR(__xludf.DUMMYFUNCTION("""COMPUTED_VALUE"""),43.18)</f>
        <v>43.18</v>
      </c>
      <c r="D835" s="1">
        <f>IFERROR(__xludf.DUMMYFUNCTION("""COMPUTED_VALUE"""),42.42)</f>
        <v>42.42</v>
      </c>
      <c r="E835" s="1">
        <f>IFERROR(__xludf.DUMMYFUNCTION("""COMPUTED_VALUE"""),42.45)</f>
        <v>42.45</v>
      </c>
      <c r="F835" s="1">
        <f>IFERROR(__xludf.DUMMYFUNCTION("""COMPUTED_VALUE"""),314598.0)</f>
        <v>314598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IFERROR(__xludf.DUMMYFUNCTION("""COMPUTED_VALUE"""),42.53)</f>
        <v>42.53</v>
      </c>
      <c r="C836" s="1">
        <f>IFERROR(__xludf.DUMMYFUNCTION("""COMPUTED_VALUE"""),42.98)</f>
        <v>42.98</v>
      </c>
      <c r="D836" s="1">
        <f>IFERROR(__xludf.DUMMYFUNCTION("""COMPUTED_VALUE"""),42.46)</f>
        <v>42.46</v>
      </c>
      <c r="E836" s="1">
        <f>IFERROR(__xludf.DUMMYFUNCTION("""COMPUTED_VALUE"""),42.68)</f>
        <v>42.68</v>
      </c>
      <c r="F836" s="1">
        <f>IFERROR(__xludf.DUMMYFUNCTION("""COMPUTED_VALUE"""),273243.0)</f>
        <v>273243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IFERROR(__xludf.DUMMYFUNCTION("""COMPUTED_VALUE"""),42.64)</f>
        <v>42.64</v>
      </c>
      <c r="C837" s="1">
        <f>IFERROR(__xludf.DUMMYFUNCTION("""COMPUTED_VALUE"""),43.62)</f>
        <v>43.62</v>
      </c>
      <c r="D837" s="1">
        <f>IFERROR(__xludf.DUMMYFUNCTION("""COMPUTED_VALUE"""),42.64)</f>
        <v>42.64</v>
      </c>
      <c r="E837" s="1">
        <f>IFERROR(__xludf.DUMMYFUNCTION("""COMPUTED_VALUE"""),43.49)</f>
        <v>43.49</v>
      </c>
      <c r="F837" s="1">
        <f>IFERROR(__xludf.DUMMYFUNCTION("""COMPUTED_VALUE"""),465986.0)</f>
        <v>465986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IFERROR(__xludf.DUMMYFUNCTION("""COMPUTED_VALUE"""),43.42)</f>
        <v>43.42</v>
      </c>
      <c r="C838" s="1">
        <f>IFERROR(__xludf.DUMMYFUNCTION("""COMPUTED_VALUE"""),43.97)</f>
        <v>43.97</v>
      </c>
      <c r="D838" s="1">
        <f>IFERROR(__xludf.DUMMYFUNCTION("""COMPUTED_VALUE"""),43.04)</f>
        <v>43.04</v>
      </c>
      <c r="E838" s="1">
        <f>IFERROR(__xludf.DUMMYFUNCTION("""COMPUTED_VALUE"""),43.04)</f>
        <v>43.04</v>
      </c>
      <c r="F838" s="1">
        <f>IFERROR(__xludf.DUMMYFUNCTION("""COMPUTED_VALUE"""),523054.0)</f>
        <v>523054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IFERROR(__xludf.DUMMYFUNCTION("""COMPUTED_VALUE"""),42.0)</f>
        <v>42</v>
      </c>
      <c r="C839" s="1">
        <f>IFERROR(__xludf.DUMMYFUNCTION("""COMPUTED_VALUE"""),42.0)</f>
        <v>42</v>
      </c>
      <c r="D839" s="1">
        <f>IFERROR(__xludf.DUMMYFUNCTION("""COMPUTED_VALUE"""),40.28)</f>
        <v>40.28</v>
      </c>
      <c r="E839" s="1">
        <f>IFERROR(__xludf.DUMMYFUNCTION("""COMPUTED_VALUE"""),41.81)</f>
        <v>41.81</v>
      </c>
      <c r="F839" s="1">
        <f>IFERROR(__xludf.DUMMYFUNCTION("""COMPUTED_VALUE"""),1068788.0)</f>
        <v>1068788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IFERROR(__xludf.DUMMYFUNCTION("""COMPUTED_VALUE"""),41.99)</f>
        <v>41.99</v>
      </c>
      <c r="C840" s="1">
        <f>IFERROR(__xludf.DUMMYFUNCTION("""COMPUTED_VALUE"""),42.58)</f>
        <v>42.58</v>
      </c>
      <c r="D840" s="1">
        <f>IFERROR(__xludf.DUMMYFUNCTION("""COMPUTED_VALUE"""),41.65)</f>
        <v>41.65</v>
      </c>
      <c r="E840" s="1">
        <f>IFERROR(__xludf.DUMMYFUNCTION("""COMPUTED_VALUE"""),42.41)</f>
        <v>42.41</v>
      </c>
      <c r="F840" s="1">
        <f>IFERROR(__xludf.DUMMYFUNCTION("""COMPUTED_VALUE"""),491538.0)</f>
        <v>491538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IFERROR(__xludf.DUMMYFUNCTION("""COMPUTED_VALUE"""),42.36)</f>
        <v>42.36</v>
      </c>
      <c r="C841" s="1">
        <f>IFERROR(__xludf.DUMMYFUNCTION("""COMPUTED_VALUE"""),42.61)</f>
        <v>42.61</v>
      </c>
      <c r="D841" s="1">
        <f>IFERROR(__xludf.DUMMYFUNCTION("""COMPUTED_VALUE"""),42.29)</f>
        <v>42.29</v>
      </c>
      <c r="E841" s="1">
        <f>IFERROR(__xludf.DUMMYFUNCTION("""COMPUTED_VALUE"""),42.38)</f>
        <v>42.38</v>
      </c>
      <c r="F841" s="1">
        <f>IFERROR(__xludf.DUMMYFUNCTION("""COMPUTED_VALUE"""),416743.0)</f>
        <v>416743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IFERROR(__xludf.DUMMYFUNCTION("""COMPUTED_VALUE"""),42.4)</f>
        <v>42.4</v>
      </c>
      <c r="C842" s="1">
        <f>IFERROR(__xludf.DUMMYFUNCTION("""COMPUTED_VALUE"""),42.82)</f>
        <v>42.82</v>
      </c>
      <c r="D842" s="1">
        <f>IFERROR(__xludf.DUMMYFUNCTION("""COMPUTED_VALUE"""),42.36)</f>
        <v>42.36</v>
      </c>
      <c r="E842" s="1">
        <f>IFERROR(__xludf.DUMMYFUNCTION("""COMPUTED_VALUE"""),42.82)</f>
        <v>42.82</v>
      </c>
      <c r="F842" s="1">
        <f>IFERROR(__xludf.DUMMYFUNCTION("""COMPUTED_VALUE"""),289650.0)</f>
        <v>289650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IFERROR(__xludf.DUMMYFUNCTION("""COMPUTED_VALUE"""),42.85)</f>
        <v>42.85</v>
      </c>
      <c r="C843" s="1">
        <f>IFERROR(__xludf.DUMMYFUNCTION("""COMPUTED_VALUE"""),43.45)</f>
        <v>43.45</v>
      </c>
      <c r="D843" s="1">
        <f>IFERROR(__xludf.DUMMYFUNCTION("""COMPUTED_VALUE"""),42.8)</f>
        <v>42.8</v>
      </c>
      <c r="E843" s="1">
        <f>IFERROR(__xludf.DUMMYFUNCTION("""COMPUTED_VALUE"""),43.39)</f>
        <v>43.39</v>
      </c>
      <c r="F843" s="1">
        <f>IFERROR(__xludf.DUMMYFUNCTION("""COMPUTED_VALUE"""),389257.0)</f>
        <v>389257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IFERROR(__xludf.DUMMYFUNCTION("""COMPUTED_VALUE"""),43.36)</f>
        <v>43.36</v>
      </c>
      <c r="C844" s="1">
        <f>IFERROR(__xludf.DUMMYFUNCTION("""COMPUTED_VALUE"""),43.93)</f>
        <v>43.93</v>
      </c>
      <c r="D844" s="1">
        <f>IFERROR(__xludf.DUMMYFUNCTION("""COMPUTED_VALUE"""),43.31)</f>
        <v>43.31</v>
      </c>
      <c r="E844" s="1">
        <f>IFERROR(__xludf.DUMMYFUNCTION("""COMPUTED_VALUE"""),43.72)</f>
        <v>43.72</v>
      </c>
      <c r="F844" s="1">
        <f>IFERROR(__xludf.DUMMYFUNCTION("""COMPUTED_VALUE"""),467584.0)</f>
        <v>467584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IFERROR(__xludf.DUMMYFUNCTION("""COMPUTED_VALUE"""),43.67)</f>
        <v>43.67</v>
      </c>
      <c r="C845" s="1">
        <f>IFERROR(__xludf.DUMMYFUNCTION("""COMPUTED_VALUE"""),44.33)</f>
        <v>44.33</v>
      </c>
      <c r="D845" s="1">
        <f>IFERROR(__xludf.DUMMYFUNCTION("""COMPUTED_VALUE"""),43.66)</f>
        <v>43.66</v>
      </c>
      <c r="E845" s="1">
        <f>IFERROR(__xludf.DUMMYFUNCTION("""COMPUTED_VALUE"""),44.31)</f>
        <v>44.31</v>
      </c>
      <c r="F845" s="1">
        <f>IFERROR(__xludf.DUMMYFUNCTION("""COMPUTED_VALUE"""),424825.0)</f>
        <v>424825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IFERROR(__xludf.DUMMYFUNCTION("""COMPUTED_VALUE"""),44.21)</f>
        <v>44.21</v>
      </c>
      <c r="C846" s="1">
        <f>IFERROR(__xludf.DUMMYFUNCTION("""COMPUTED_VALUE"""),44.6)</f>
        <v>44.6</v>
      </c>
      <c r="D846" s="1">
        <f>IFERROR(__xludf.DUMMYFUNCTION("""COMPUTED_VALUE"""),44.1)</f>
        <v>44.1</v>
      </c>
      <c r="E846" s="1">
        <f>IFERROR(__xludf.DUMMYFUNCTION("""COMPUTED_VALUE"""),44.56)</f>
        <v>44.56</v>
      </c>
      <c r="F846" s="1">
        <f>IFERROR(__xludf.DUMMYFUNCTION("""COMPUTED_VALUE"""),372773.0)</f>
        <v>372773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IFERROR(__xludf.DUMMYFUNCTION("""COMPUTED_VALUE"""),44.41)</f>
        <v>44.41</v>
      </c>
      <c r="C847" s="1">
        <f>IFERROR(__xludf.DUMMYFUNCTION("""COMPUTED_VALUE"""),45.39)</f>
        <v>45.39</v>
      </c>
      <c r="D847" s="1">
        <f>IFERROR(__xludf.DUMMYFUNCTION("""COMPUTED_VALUE"""),44.37)</f>
        <v>44.37</v>
      </c>
      <c r="E847" s="1">
        <f>IFERROR(__xludf.DUMMYFUNCTION("""COMPUTED_VALUE"""),45.35)</f>
        <v>45.35</v>
      </c>
      <c r="F847" s="1">
        <f>IFERROR(__xludf.DUMMYFUNCTION("""COMPUTED_VALUE"""),627496.0)</f>
        <v>627496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IFERROR(__xludf.DUMMYFUNCTION("""COMPUTED_VALUE"""),45.18)</f>
        <v>45.18</v>
      </c>
      <c r="C848" s="1">
        <f>IFERROR(__xludf.DUMMYFUNCTION("""COMPUTED_VALUE"""),45.9)</f>
        <v>45.9</v>
      </c>
      <c r="D848" s="1">
        <f>IFERROR(__xludf.DUMMYFUNCTION("""COMPUTED_VALUE"""),45.18)</f>
        <v>45.18</v>
      </c>
      <c r="E848" s="1">
        <f>IFERROR(__xludf.DUMMYFUNCTION("""COMPUTED_VALUE"""),45.51)</f>
        <v>45.51</v>
      </c>
      <c r="F848" s="1">
        <f>IFERROR(__xludf.DUMMYFUNCTION("""COMPUTED_VALUE"""),545000.0)</f>
        <v>545000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IFERROR(__xludf.DUMMYFUNCTION("""COMPUTED_VALUE"""),45.35)</f>
        <v>45.35</v>
      </c>
      <c r="C849" s="1">
        <f>IFERROR(__xludf.DUMMYFUNCTION("""COMPUTED_VALUE"""),45.82)</f>
        <v>45.82</v>
      </c>
      <c r="D849" s="1">
        <f>IFERROR(__xludf.DUMMYFUNCTION("""COMPUTED_VALUE"""),45.08)</f>
        <v>45.08</v>
      </c>
      <c r="E849" s="1">
        <f>IFERROR(__xludf.DUMMYFUNCTION("""COMPUTED_VALUE"""),45.13)</f>
        <v>45.13</v>
      </c>
      <c r="F849" s="1">
        <f>IFERROR(__xludf.DUMMYFUNCTION("""COMPUTED_VALUE"""),401225.0)</f>
        <v>401225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IFERROR(__xludf.DUMMYFUNCTION("""COMPUTED_VALUE"""),44.88)</f>
        <v>44.88</v>
      </c>
      <c r="C850" s="1">
        <f>IFERROR(__xludf.DUMMYFUNCTION("""COMPUTED_VALUE"""),45.35)</f>
        <v>45.35</v>
      </c>
      <c r="D850" s="1">
        <f>IFERROR(__xludf.DUMMYFUNCTION("""COMPUTED_VALUE"""),44.85)</f>
        <v>44.85</v>
      </c>
      <c r="E850" s="1">
        <f>IFERROR(__xludf.DUMMYFUNCTION("""COMPUTED_VALUE"""),45.01)</f>
        <v>45.01</v>
      </c>
      <c r="F850" s="1">
        <f>IFERROR(__xludf.DUMMYFUNCTION("""COMPUTED_VALUE"""),484903.0)</f>
        <v>484903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IFERROR(__xludf.DUMMYFUNCTION("""COMPUTED_VALUE"""),44.94)</f>
        <v>44.94</v>
      </c>
      <c r="C851" s="1">
        <f>IFERROR(__xludf.DUMMYFUNCTION("""COMPUTED_VALUE"""),45.28)</f>
        <v>45.28</v>
      </c>
      <c r="D851" s="1">
        <f>IFERROR(__xludf.DUMMYFUNCTION("""COMPUTED_VALUE"""),44.83)</f>
        <v>44.83</v>
      </c>
      <c r="E851" s="1">
        <f>IFERROR(__xludf.DUMMYFUNCTION("""COMPUTED_VALUE"""),44.91)</f>
        <v>44.91</v>
      </c>
      <c r="F851" s="1">
        <f>IFERROR(__xludf.DUMMYFUNCTION("""COMPUTED_VALUE"""),404593.0)</f>
        <v>404593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IFERROR(__xludf.DUMMYFUNCTION("""COMPUTED_VALUE"""),44.96)</f>
        <v>44.96</v>
      </c>
      <c r="C852" s="1">
        <f>IFERROR(__xludf.DUMMYFUNCTION("""COMPUTED_VALUE"""),45.12)</f>
        <v>45.12</v>
      </c>
      <c r="D852" s="1">
        <f>IFERROR(__xludf.DUMMYFUNCTION("""COMPUTED_VALUE"""),44.7)</f>
        <v>44.7</v>
      </c>
      <c r="E852" s="1">
        <f>IFERROR(__xludf.DUMMYFUNCTION("""COMPUTED_VALUE"""),44.99)</f>
        <v>44.99</v>
      </c>
      <c r="F852" s="1">
        <f>IFERROR(__xludf.DUMMYFUNCTION("""COMPUTED_VALUE"""),394054.0)</f>
        <v>394054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IFERROR(__xludf.DUMMYFUNCTION("""COMPUTED_VALUE"""),45.01)</f>
        <v>45.01</v>
      </c>
      <c r="C853" s="1">
        <f>IFERROR(__xludf.DUMMYFUNCTION("""COMPUTED_VALUE"""),45.07)</f>
        <v>45.07</v>
      </c>
      <c r="D853" s="1">
        <f>IFERROR(__xludf.DUMMYFUNCTION("""COMPUTED_VALUE"""),43.74)</f>
        <v>43.74</v>
      </c>
      <c r="E853" s="1">
        <f>IFERROR(__xludf.DUMMYFUNCTION("""COMPUTED_VALUE"""),44.02)</f>
        <v>44.02</v>
      </c>
      <c r="F853" s="1">
        <f>IFERROR(__xludf.DUMMYFUNCTION("""COMPUTED_VALUE"""),538020.0)</f>
        <v>538020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IFERROR(__xludf.DUMMYFUNCTION("""COMPUTED_VALUE"""),43.68)</f>
        <v>43.68</v>
      </c>
      <c r="C854" s="1">
        <f>IFERROR(__xludf.DUMMYFUNCTION("""COMPUTED_VALUE"""),44.38)</f>
        <v>44.38</v>
      </c>
      <c r="D854" s="1">
        <f>IFERROR(__xludf.DUMMYFUNCTION("""COMPUTED_VALUE"""),43.52)</f>
        <v>43.52</v>
      </c>
      <c r="E854" s="1">
        <f>IFERROR(__xludf.DUMMYFUNCTION("""COMPUTED_VALUE"""),44.35)</f>
        <v>44.35</v>
      </c>
      <c r="F854" s="1">
        <f>IFERROR(__xludf.DUMMYFUNCTION("""COMPUTED_VALUE"""),256677.0)</f>
        <v>256677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IFERROR(__xludf.DUMMYFUNCTION("""COMPUTED_VALUE"""),44.17)</f>
        <v>44.17</v>
      </c>
      <c r="C855" s="1">
        <f>IFERROR(__xludf.DUMMYFUNCTION("""COMPUTED_VALUE"""),44.54)</f>
        <v>44.54</v>
      </c>
      <c r="D855" s="1">
        <f>IFERROR(__xludf.DUMMYFUNCTION("""COMPUTED_VALUE"""),43.68)</f>
        <v>43.68</v>
      </c>
      <c r="E855" s="1">
        <f>IFERROR(__xludf.DUMMYFUNCTION("""COMPUTED_VALUE"""),44.39)</f>
        <v>44.39</v>
      </c>
      <c r="F855" s="1">
        <f>IFERROR(__xludf.DUMMYFUNCTION("""COMPUTED_VALUE"""),166563.0)</f>
        <v>166563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IFERROR(__xludf.DUMMYFUNCTION("""COMPUTED_VALUE"""),44.84)</f>
        <v>44.84</v>
      </c>
      <c r="C856" s="1">
        <f>IFERROR(__xludf.DUMMYFUNCTION("""COMPUTED_VALUE"""),45.14)</f>
        <v>45.14</v>
      </c>
      <c r="D856" s="1">
        <f>IFERROR(__xludf.DUMMYFUNCTION("""COMPUTED_VALUE"""),44.08)</f>
        <v>44.08</v>
      </c>
      <c r="E856" s="1">
        <f>IFERROR(__xludf.DUMMYFUNCTION("""COMPUTED_VALUE"""),44.66)</f>
        <v>44.66</v>
      </c>
      <c r="F856" s="1">
        <f>IFERROR(__xludf.DUMMYFUNCTION("""COMPUTED_VALUE"""),289922.0)</f>
        <v>289922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IFERROR(__xludf.DUMMYFUNCTION("""COMPUTED_VALUE"""),44.39)</f>
        <v>44.39</v>
      </c>
      <c r="C857" s="1">
        <f>IFERROR(__xludf.DUMMYFUNCTION("""COMPUTED_VALUE"""),44.56)</f>
        <v>44.56</v>
      </c>
      <c r="D857" s="1">
        <f>IFERROR(__xludf.DUMMYFUNCTION("""COMPUTED_VALUE"""),43.76)</f>
        <v>43.76</v>
      </c>
      <c r="E857" s="1">
        <f>IFERROR(__xludf.DUMMYFUNCTION("""COMPUTED_VALUE"""),44.1)</f>
        <v>44.1</v>
      </c>
      <c r="F857" s="1">
        <f>IFERROR(__xludf.DUMMYFUNCTION("""COMPUTED_VALUE"""),286126.0)</f>
        <v>286126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IFERROR(__xludf.DUMMYFUNCTION("""COMPUTED_VALUE"""),44.15)</f>
        <v>44.15</v>
      </c>
      <c r="C858" s="1">
        <f>IFERROR(__xludf.DUMMYFUNCTION("""COMPUTED_VALUE"""),44.37)</f>
        <v>44.37</v>
      </c>
      <c r="D858" s="1">
        <f>IFERROR(__xludf.DUMMYFUNCTION("""COMPUTED_VALUE"""),43.63)</f>
        <v>43.63</v>
      </c>
      <c r="E858" s="1">
        <f>IFERROR(__xludf.DUMMYFUNCTION("""COMPUTED_VALUE"""),44.02)</f>
        <v>44.02</v>
      </c>
      <c r="F858" s="1">
        <f>IFERROR(__xludf.DUMMYFUNCTION("""COMPUTED_VALUE"""),351658.0)</f>
        <v>351658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IFERROR(__xludf.DUMMYFUNCTION("""COMPUTED_VALUE"""),43.38)</f>
        <v>43.38</v>
      </c>
      <c r="C859" s="1">
        <f>IFERROR(__xludf.DUMMYFUNCTION("""COMPUTED_VALUE"""),43.71)</f>
        <v>43.71</v>
      </c>
      <c r="D859" s="1">
        <f>IFERROR(__xludf.DUMMYFUNCTION("""COMPUTED_VALUE"""),42.73)</f>
        <v>42.73</v>
      </c>
      <c r="E859" s="1">
        <f>IFERROR(__xludf.DUMMYFUNCTION("""COMPUTED_VALUE"""),43.31)</f>
        <v>43.31</v>
      </c>
      <c r="F859" s="1">
        <f>IFERROR(__xludf.DUMMYFUNCTION("""COMPUTED_VALUE"""),497047.0)</f>
        <v>497047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IFERROR(__xludf.DUMMYFUNCTION("""COMPUTED_VALUE"""),43.22)</f>
        <v>43.22</v>
      </c>
      <c r="C860" s="1">
        <f>IFERROR(__xludf.DUMMYFUNCTION("""COMPUTED_VALUE"""),43.22)</f>
        <v>43.22</v>
      </c>
      <c r="D860" s="1">
        <f>IFERROR(__xludf.DUMMYFUNCTION("""COMPUTED_VALUE"""),42.04)</f>
        <v>42.04</v>
      </c>
      <c r="E860" s="1">
        <f>IFERROR(__xludf.DUMMYFUNCTION("""COMPUTED_VALUE"""),42.36)</f>
        <v>42.36</v>
      </c>
      <c r="F860" s="1">
        <f>IFERROR(__xludf.DUMMYFUNCTION("""COMPUTED_VALUE"""),840270.0)</f>
        <v>840270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IFERROR(__xludf.DUMMYFUNCTION("""COMPUTED_VALUE"""),42.43)</f>
        <v>42.43</v>
      </c>
      <c r="C861" s="1">
        <f>IFERROR(__xludf.DUMMYFUNCTION("""COMPUTED_VALUE"""),42.49)</f>
        <v>42.49</v>
      </c>
      <c r="D861" s="1">
        <f>IFERROR(__xludf.DUMMYFUNCTION("""COMPUTED_VALUE"""),41.8)</f>
        <v>41.8</v>
      </c>
      <c r="E861" s="1">
        <f>IFERROR(__xludf.DUMMYFUNCTION("""COMPUTED_VALUE"""),42.0)</f>
        <v>42</v>
      </c>
      <c r="F861" s="1">
        <f>IFERROR(__xludf.DUMMYFUNCTION("""COMPUTED_VALUE"""),432542.0)</f>
        <v>432542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IFERROR(__xludf.DUMMYFUNCTION("""COMPUTED_VALUE"""),41.91)</f>
        <v>41.91</v>
      </c>
      <c r="C862" s="1">
        <f>IFERROR(__xludf.DUMMYFUNCTION("""COMPUTED_VALUE"""),42.1)</f>
        <v>42.1</v>
      </c>
      <c r="D862" s="1">
        <f>IFERROR(__xludf.DUMMYFUNCTION("""COMPUTED_VALUE"""),41.43)</f>
        <v>41.43</v>
      </c>
      <c r="E862" s="1">
        <f>IFERROR(__xludf.DUMMYFUNCTION("""COMPUTED_VALUE"""),41.45)</f>
        <v>41.45</v>
      </c>
      <c r="F862" s="1">
        <f>IFERROR(__xludf.DUMMYFUNCTION("""COMPUTED_VALUE"""),397794.0)</f>
        <v>397794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IFERROR(__xludf.DUMMYFUNCTION("""COMPUTED_VALUE"""),41.5)</f>
        <v>41.5</v>
      </c>
      <c r="C863" s="1">
        <f>IFERROR(__xludf.DUMMYFUNCTION("""COMPUTED_VALUE"""),41.74)</f>
        <v>41.74</v>
      </c>
      <c r="D863" s="1">
        <f>IFERROR(__xludf.DUMMYFUNCTION("""COMPUTED_VALUE"""),41.18)</f>
        <v>41.18</v>
      </c>
      <c r="E863" s="1">
        <f>IFERROR(__xludf.DUMMYFUNCTION("""COMPUTED_VALUE"""),41.56)</f>
        <v>41.56</v>
      </c>
      <c r="F863" s="1">
        <f>IFERROR(__xludf.DUMMYFUNCTION("""COMPUTED_VALUE"""),519596.0)</f>
        <v>519596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IFERROR(__xludf.DUMMYFUNCTION("""COMPUTED_VALUE"""),41.89)</f>
        <v>41.89</v>
      </c>
      <c r="C864" s="1">
        <f>IFERROR(__xludf.DUMMYFUNCTION("""COMPUTED_VALUE"""),42.3)</f>
        <v>42.3</v>
      </c>
      <c r="D864" s="1">
        <f>IFERROR(__xludf.DUMMYFUNCTION("""COMPUTED_VALUE"""),41.85)</f>
        <v>41.85</v>
      </c>
      <c r="E864" s="1">
        <f>IFERROR(__xludf.DUMMYFUNCTION("""COMPUTED_VALUE"""),42.11)</f>
        <v>42.11</v>
      </c>
      <c r="F864" s="1">
        <f>IFERROR(__xludf.DUMMYFUNCTION("""COMPUTED_VALUE"""),188228.0)</f>
        <v>188228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IFERROR(__xludf.DUMMYFUNCTION("""COMPUTED_VALUE"""),42.29)</f>
        <v>42.29</v>
      </c>
      <c r="C865" s="1">
        <f>IFERROR(__xludf.DUMMYFUNCTION("""COMPUTED_VALUE"""),42.49)</f>
        <v>42.49</v>
      </c>
      <c r="D865" s="1">
        <f>IFERROR(__xludf.DUMMYFUNCTION("""COMPUTED_VALUE"""),41.77)</f>
        <v>41.77</v>
      </c>
      <c r="E865" s="1">
        <f>IFERROR(__xludf.DUMMYFUNCTION("""COMPUTED_VALUE"""),42.49)</f>
        <v>42.49</v>
      </c>
      <c r="F865" s="1">
        <f>IFERROR(__xludf.DUMMYFUNCTION("""COMPUTED_VALUE"""),227451.0)</f>
        <v>227451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IFERROR(__xludf.DUMMYFUNCTION("""COMPUTED_VALUE"""),42.02)</f>
        <v>42.02</v>
      </c>
      <c r="C866" s="1">
        <f>IFERROR(__xludf.DUMMYFUNCTION("""COMPUTED_VALUE"""),42.68)</f>
        <v>42.68</v>
      </c>
      <c r="D866" s="1">
        <f>IFERROR(__xludf.DUMMYFUNCTION("""COMPUTED_VALUE"""),41.7)</f>
        <v>41.7</v>
      </c>
      <c r="E866" s="1">
        <f>IFERROR(__xludf.DUMMYFUNCTION("""COMPUTED_VALUE"""),42.27)</f>
        <v>42.27</v>
      </c>
      <c r="F866" s="1">
        <f>IFERROR(__xludf.DUMMYFUNCTION("""COMPUTED_VALUE"""),363403.0)</f>
        <v>363403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IFERROR(__xludf.DUMMYFUNCTION("""COMPUTED_VALUE"""),42.74)</f>
        <v>42.74</v>
      </c>
      <c r="C867" s="1">
        <f>IFERROR(__xludf.DUMMYFUNCTION("""COMPUTED_VALUE"""),43.11)</f>
        <v>43.11</v>
      </c>
      <c r="D867" s="1">
        <f>IFERROR(__xludf.DUMMYFUNCTION("""COMPUTED_VALUE"""),41.72)</f>
        <v>41.72</v>
      </c>
      <c r="E867" s="1">
        <f>IFERROR(__xludf.DUMMYFUNCTION("""COMPUTED_VALUE"""),42.14)</f>
        <v>42.14</v>
      </c>
      <c r="F867" s="1">
        <f>IFERROR(__xludf.DUMMYFUNCTION("""COMPUTED_VALUE"""),426210.0)</f>
        <v>426210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IFERROR(__xludf.DUMMYFUNCTION("""COMPUTED_VALUE"""),42.04)</f>
        <v>42.04</v>
      </c>
      <c r="C868" s="1">
        <f>IFERROR(__xludf.DUMMYFUNCTION("""COMPUTED_VALUE"""),42.66)</f>
        <v>42.66</v>
      </c>
      <c r="D868" s="1">
        <f>IFERROR(__xludf.DUMMYFUNCTION("""COMPUTED_VALUE"""),41.75)</f>
        <v>41.75</v>
      </c>
      <c r="E868" s="1">
        <f>IFERROR(__xludf.DUMMYFUNCTION("""COMPUTED_VALUE"""),42.52)</f>
        <v>42.52</v>
      </c>
      <c r="F868" s="1">
        <f>IFERROR(__xludf.DUMMYFUNCTION("""COMPUTED_VALUE"""),336242.0)</f>
        <v>336242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IFERROR(__xludf.DUMMYFUNCTION("""COMPUTED_VALUE"""),42.53)</f>
        <v>42.53</v>
      </c>
      <c r="C869" s="1">
        <f>IFERROR(__xludf.DUMMYFUNCTION("""COMPUTED_VALUE"""),42.85)</f>
        <v>42.85</v>
      </c>
      <c r="D869" s="1">
        <f>IFERROR(__xludf.DUMMYFUNCTION("""COMPUTED_VALUE"""),42.36)</f>
        <v>42.36</v>
      </c>
      <c r="E869" s="1">
        <f>IFERROR(__xludf.DUMMYFUNCTION("""COMPUTED_VALUE"""),42.7)</f>
        <v>42.7</v>
      </c>
      <c r="F869" s="1">
        <f>IFERROR(__xludf.DUMMYFUNCTION("""COMPUTED_VALUE"""),276902.0)</f>
        <v>276902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IFERROR(__xludf.DUMMYFUNCTION("""COMPUTED_VALUE"""),42.93)</f>
        <v>42.93</v>
      </c>
      <c r="C870" s="1">
        <f>IFERROR(__xludf.DUMMYFUNCTION("""COMPUTED_VALUE"""),43.49)</f>
        <v>43.49</v>
      </c>
      <c r="D870" s="1">
        <f>IFERROR(__xludf.DUMMYFUNCTION("""COMPUTED_VALUE"""),42.9)</f>
        <v>42.9</v>
      </c>
      <c r="E870" s="1">
        <f>IFERROR(__xludf.DUMMYFUNCTION("""COMPUTED_VALUE"""),43.21)</f>
        <v>43.21</v>
      </c>
      <c r="F870" s="1">
        <f>IFERROR(__xludf.DUMMYFUNCTION("""COMPUTED_VALUE"""),370183.0)</f>
        <v>370183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IFERROR(__xludf.DUMMYFUNCTION("""COMPUTED_VALUE"""),42.0)</f>
        <v>42</v>
      </c>
      <c r="C871" s="1">
        <f>IFERROR(__xludf.DUMMYFUNCTION("""COMPUTED_VALUE"""),42.7)</f>
        <v>42.7</v>
      </c>
      <c r="D871" s="1">
        <f>IFERROR(__xludf.DUMMYFUNCTION("""COMPUTED_VALUE"""),41.85)</f>
        <v>41.85</v>
      </c>
      <c r="E871" s="1">
        <f>IFERROR(__xludf.DUMMYFUNCTION("""COMPUTED_VALUE"""),42.56)</f>
        <v>42.56</v>
      </c>
      <c r="F871" s="1">
        <f>IFERROR(__xludf.DUMMYFUNCTION("""COMPUTED_VALUE"""),564959.0)</f>
        <v>564959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IFERROR(__xludf.DUMMYFUNCTION("""COMPUTED_VALUE"""),42.42)</f>
        <v>42.42</v>
      </c>
      <c r="C872" s="1">
        <f>IFERROR(__xludf.DUMMYFUNCTION("""COMPUTED_VALUE"""),42.68)</f>
        <v>42.68</v>
      </c>
      <c r="D872" s="1">
        <f>IFERROR(__xludf.DUMMYFUNCTION("""COMPUTED_VALUE"""),42.07)</f>
        <v>42.07</v>
      </c>
      <c r="E872" s="1">
        <f>IFERROR(__xludf.DUMMYFUNCTION("""COMPUTED_VALUE"""),42.14)</f>
        <v>42.14</v>
      </c>
      <c r="F872" s="1">
        <f>IFERROR(__xludf.DUMMYFUNCTION("""COMPUTED_VALUE"""),259980.0)</f>
        <v>259980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IFERROR(__xludf.DUMMYFUNCTION("""COMPUTED_VALUE"""),41.75)</f>
        <v>41.75</v>
      </c>
      <c r="C873" s="1">
        <f>IFERROR(__xludf.DUMMYFUNCTION("""COMPUTED_VALUE"""),41.8)</f>
        <v>41.8</v>
      </c>
      <c r="D873" s="1">
        <f>IFERROR(__xludf.DUMMYFUNCTION("""COMPUTED_VALUE"""),41.39)</f>
        <v>41.39</v>
      </c>
      <c r="E873" s="1">
        <f>IFERROR(__xludf.DUMMYFUNCTION("""COMPUTED_VALUE"""),41.59)</f>
        <v>41.59</v>
      </c>
      <c r="F873" s="1">
        <f>IFERROR(__xludf.DUMMYFUNCTION("""COMPUTED_VALUE"""),637360.0)</f>
        <v>637360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IFERROR(__xludf.DUMMYFUNCTION("""COMPUTED_VALUE"""),41.78)</f>
        <v>41.78</v>
      </c>
      <c r="C874" s="1">
        <f>IFERROR(__xludf.DUMMYFUNCTION("""COMPUTED_VALUE"""),41.92)</f>
        <v>41.92</v>
      </c>
      <c r="D874" s="1">
        <f>IFERROR(__xludf.DUMMYFUNCTION("""COMPUTED_VALUE"""),41.22)</f>
        <v>41.22</v>
      </c>
      <c r="E874" s="1">
        <f>IFERROR(__xludf.DUMMYFUNCTION("""COMPUTED_VALUE"""),41.63)</f>
        <v>41.63</v>
      </c>
      <c r="F874" s="1">
        <f>IFERROR(__xludf.DUMMYFUNCTION("""COMPUTED_VALUE"""),538892.0)</f>
        <v>538892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IFERROR(__xludf.DUMMYFUNCTION("""COMPUTED_VALUE"""),41.25)</f>
        <v>41.25</v>
      </c>
      <c r="C875" s="1">
        <f>IFERROR(__xludf.DUMMYFUNCTION("""COMPUTED_VALUE"""),41.32)</f>
        <v>41.32</v>
      </c>
      <c r="D875" s="1">
        <f>IFERROR(__xludf.DUMMYFUNCTION("""COMPUTED_VALUE"""),40.55)</f>
        <v>40.55</v>
      </c>
      <c r="E875" s="1">
        <f>IFERROR(__xludf.DUMMYFUNCTION("""COMPUTED_VALUE"""),40.86)</f>
        <v>40.86</v>
      </c>
      <c r="F875" s="1">
        <f>IFERROR(__xludf.DUMMYFUNCTION("""COMPUTED_VALUE"""),627651.0)</f>
        <v>627651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IFERROR(__xludf.DUMMYFUNCTION("""COMPUTED_VALUE"""),41.25)</f>
        <v>41.25</v>
      </c>
      <c r="C876" s="1">
        <f>IFERROR(__xludf.DUMMYFUNCTION("""COMPUTED_VALUE"""),41.38)</f>
        <v>41.38</v>
      </c>
      <c r="D876" s="1">
        <f>IFERROR(__xludf.DUMMYFUNCTION("""COMPUTED_VALUE"""),40.66)</f>
        <v>40.66</v>
      </c>
      <c r="E876" s="1">
        <f>IFERROR(__xludf.DUMMYFUNCTION("""COMPUTED_VALUE"""),41.22)</f>
        <v>41.22</v>
      </c>
      <c r="F876" s="1">
        <f>IFERROR(__xludf.DUMMYFUNCTION("""COMPUTED_VALUE"""),723946.0)</f>
        <v>723946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IFERROR(__xludf.DUMMYFUNCTION("""COMPUTED_VALUE"""),41.49)</f>
        <v>41.49</v>
      </c>
      <c r="C877" s="1">
        <f>IFERROR(__xludf.DUMMYFUNCTION("""COMPUTED_VALUE"""),41.75)</f>
        <v>41.75</v>
      </c>
      <c r="D877" s="1">
        <f>IFERROR(__xludf.DUMMYFUNCTION("""COMPUTED_VALUE"""),41.07)</f>
        <v>41.07</v>
      </c>
      <c r="E877" s="1">
        <f>IFERROR(__xludf.DUMMYFUNCTION("""COMPUTED_VALUE"""),41.08)</f>
        <v>41.08</v>
      </c>
      <c r="F877" s="1">
        <f>IFERROR(__xludf.DUMMYFUNCTION("""COMPUTED_VALUE"""),319898.0)</f>
        <v>319898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IFERROR(__xludf.DUMMYFUNCTION("""COMPUTED_VALUE"""),41.36)</f>
        <v>41.36</v>
      </c>
      <c r="C878" s="1">
        <f>IFERROR(__xludf.DUMMYFUNCTION("""COMPUTED_VALUE"""),41.74)</f>
        <v>41.74</v>
      </c>
      <c r="D878" s="1">
        <f>IFERROR(__xludf.DUMMYFUNCTION("""COMPUTED_VALUE"""),41.19)</f>
        <v>41.19</v>
      </c>
      <c r="E878" s="1">
        <f>IFERROR(__xludf.DUMMYFUNCTION("""COMPUTED_VALUE"""),41.35)</f>
        <v>41.35</v>
      </c>
      <c r="F878" s="1">
        <f>IFERROR(__xludf.DUMMYFUNCTION("""COMPUTED_VALUE"""),388062.0)</f>
        <v>388062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IFERROR(__xludf.DUMMYFUNCTION("""COMPUTED_VALUE"""),41.22)</f>
        <v>41.22</v>
      </c>
      <c r="C879" s="1">
        <f>IFERROR(__xludf.DUMMYFUNCTION("""COMPUTED_VALUE"""),41.4)</f>
        <v>41.4</v>
      </c>
      <c r="D879" s="1">
        <f>IFERROR(__xludf.DUMMYFUNCTION("""COMPUTED_VALUE"""),40.97)</f>
        <v>40.97</v>
      </c>
      <c r="E879" s="1">
        <f>IFERROR(__xludf.DUMMYFUNCTION("""COMPUTED_VALUE"""),41.03)</f>
        <v>41.03</v>
      </c>
      <c r="F879" s="1">
        <f>IFERROR(__xludf.DUMMYFUNCTION("""COMPUTED_VALUE"""),426034.0)</f>
        <v>426034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IFERROR(__xludf.DUMMYFUNCTION("""COMPUTED_VALUE"""),41.24)</f>
        <v>41.24</v>
      </c>
      <c r="C880" s="1">
        <f>IFERROR(__xludf.DUMMYFUNCTION("""COMPUTED_VALUE"""),42.06)</f>
        <v>42.06</v>
      </c>
      <c r="D880" s="1">
        <f>IFERROR(__xludf.DUMMYFUNCTION("""COMPUTED_VALUE"""),41.05)</f>
        <v>41.05</v>
      </c>
      <c r="E880" s="1">
        <f>IFERROR(__xludf.DUMMYFUNCTION("""COMPUTED_VALUE"""),41.81)</f>
        <v>41.81</v>
      </c>
      <c r="F880" s="1">
        <f>IFERROR(__xludf.DUMMYFUNCTION("""COMPUTED_VALUE"""),338729.0)</f>
        <v>338729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IFERROR(__xludf.DUMMYFUNCTION("""COMPUTED_VALUE"""),41.9)</f>
        <v>41.9</v>
      </c>
      <c r="C881" s="1">
        <f>IFERROR(__xludf.DUMMYFUNCTION("""COMPUTED_VALUE"""),42.68)</f>
        <v>42.68</v>
      </c>
      <c r="D881" s="1">
        <f>IFERROR(__xludf.DUMMYFUNCTION("""COMPUTED_VALUE"""),41.71)</f>
        <v>41.71</v>
      </c>
      <c r="E881" s="1">
        <f>IFERROR(__xludf.DUMMYFUNCTION("""COMPUTED_VALUE"""),41.96)</f>
        <v>41.96</v>
      </c>
      <c r="F881" s="1">
        <f>IFERROR(__xludf.DUMMYFUNCTION("""COMPUTED_VALUE"""),398824.0)</f>
        <v>398824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IFERROR(__xludf.DUMMYFUNCTION("""COMPUTED_VALUE"""),41.83)</f>
        <v>41.83</v>
      </c>
      <c r="C882" s="1">
        <f>IFERROR(__xludf.DUMMYFUNCTION("""COMPUTED_VALUE"""),42.44)</f>
        <v>42.44</v>
      </c>
      <c r="D882" s="1">
        <f>IFERROR(__xludf.DUMMYFUNCTION("""COMPUTED_VALUE"""),41.81)</f>
        <v>41.81</v>
      </c>
      <c r="E882" s="1">
        <f>IFERROR(__xludf.DUMMYFUNCTION("""COMPUTED_VALUE"""),41.84)</f>
        <v>41.84</v>
      </c>
      <c r="F882" s="1">
        <f>IFERROR(__xludf.DUMMYFUNCTION("""COMPUTED_VALUE"""),341247.0)</f>
        <v>341247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IFERROR(__xludf.DUMMYFUNCTION("""COMPUTED_VALUE"""),42.28)</f>
        <v>42.28</v>
      </c>
      <c r="C883" s="1">
        <f>IFERROR(__xludf.DUMMYFUNCTION("""COMPUTED_VALUE"""),42.68)</f>
        <v>42.68</v>
      </c>
      <c r="D883" s="1">
        <f>IFERROR(__xludf.DUMMYFUNCTION("""COMPUTED_VALUE"""),42.05)</f>
        <v>42.05</v>
      </c>
      <c r="E883" s="1">
        <f>IFERROR(__xludf.DUMMYFUNCTION("""COMPUTED_VALUE"""),42.65)</f>
        <v>42.65</v>
      </c>
      <c r="F883" s="1">
        <f>IFERROR(__xludf.DUMMYFUNCTION("""COMPUTED_VALUE"""),156881.0)</f>
        <v>156881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IFERROR(__xludf.DUMMYFUNCTION("""COMPUTED_VALUE"""),42.7)</f>
        <v>42.7</v>
      </c>
      <c r="C884" s="1">
        <f>IFERROR(__xludf.DUMMYFUNCTION("""COMPUTED_VALUE"""),43.26)</f>
        <v>43.26</v>
      </c>
      <c r="D884" s="1">
        <f>IFERROR(__xludf.DUMMYFUNCTION("""COMPUTED_VALUE"""),42.7)</f>
        <v>42.7</v>
      </c>
      <c r="E884" s="1">
        <f>IFERROR(__xludf.DUMMYFUNCTION("""COMPUTED_VALUE"""),43.0)</f>
        <v>43</v>
      </c>
      <c r="F884" s="1">
        <f>IFERROR(__xludf.DUMMYFUNCTION("""COMPUTED_VALUE"""),368268.0)</f>
        <v>368268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IFERROR(__xludf.DUMMYFUNCTION("""COMPUTED_VALUE"""),43.18)</f>
        <v>43.18</v>
      </c>
      <c r="C885" s="1">
        <f>IFERROR(__xludf.DUMMYFUNCTION("""COMPUTED_VALUE"""),43.31)</f>
        <v>43.31</v>
      </c>
      <c r="D885" s="1">
        <f>IFERROR(__xludf.DUMMYFUNCTION("""COMPUTED_VALUE"""),42.83)</f>
        <v>42.83</v>
      </c>
      <c r="E885" s="1">
        <f>IFERROR(__xludf.DUMMYFUNCTION("""COMPUTED_VALUE"""),43.29)</f>
        <v>43.29</v>
      </c>
      <c r="F885" s="1">
        <f>IFERROR(__xludf.DUMMYFUNCTION("""COMPUTED_VALUE"""),215234.0)</f>
        <v>215234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IFERROR(__xludf.DUMMYFUNCTION("""COMPUTED_VALUE"""),43.19)</f>
        <v>43.19</v>
      </c>
      <c r="C886" s="1">
        <f>IFERROR(__xludf.DUMMYFUNCTION("""COMPUTED_VALUE"""),43.77)</f>
        <v>43.77</v>
      </c>
      <c r="D886" s="1">
        <f>IFERROR(__xludf.DUMMYFUNCTION("""COMPUTED_VALUE"""),43.19)</f>
        <v>43.19</v>
      </c>
      <c r="E886" s="1">
        <f>IFERROR(__xludf.DUMMYFUNCTION("""COMPUTED_VALUE"""),43.55)</f>
        <v>43.55</v>
      </c>
      <c r="F886" s="1">
        <f>IFERROR(__xludf.DUMMYFUNCTION("""COMPUTED_VALUE"""),290060.0)</f>
        <v>290060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IFERROR(__xludf.DUMMYFUNCTION("""COMPUTED_VALUE"""),44.0)</f>
        <v>44</v>
      </c>
      <c r="C887" s="1">
        <f>IFERROR(__xludf.DUMMYFUNCTION("""COMPUTED_VALUE"""),44.27)</f>
        <v>44.27</v>
      </c>
      <c r="D887" s="1">
        <f>IFERROR(__xludf.DUMMYFUNCTION("""COMPUTED_VALUE"""),43.79)</f>
        <v>43.79</v>
      </c>
      <c r="E887" s="1">
        <f>IFERROR(__xludf.DUMMYFUNCTION("""COMPUTED_VALUE"""),43.99)</f>
        <v>43.99</v>
      </c>
      <c r="F887" s="1">
        <f>IFERROR(__xludf.DUMMYFUNCTION("""COMPUTED_VALUE"""),173325.0)</f>
        <v>173325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IFERROR(__xludf.DUMMYFUNCTION("""COMPUTED_VALUE"""),43.91)</f>
        <v>43.91</v>
      </c>
      <c r="C888" s="1">
        <f>IFERROR(__xludf.DUMMYFUNCTION("""COMPUTED_VALUE"""),44.32)</f>
        <v>44.32</v>
      </c>
      <c r="D888" s="1">
        <f>IFERROR(__xludf.DUMMYFUNCTION("""COMPUTED_VALUE"""),43.78)</f>
        <v>43.78</v>
      </c>
      <c r="E888" s="1">
        <f>IFERROR(__xludf.DUMMYFUNCTION("""COMPUTED_VALUE"""),43.99)</f>
        <v>43.99</v>
      </c>
      <c r="F888" s="1">
        <f>IFERROR(__xludf.DUMMYFUNCTION("""COMPUTED_VALUE"""),276295.0)</f>
        <v>276295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IFERROR(__xludf.DUMMYFUNCTION("""COMPUTED_VALUE"""),43.95)</f>
        <v>43.95</v>
      </c>
      <c r="C889" s="1">
        <f>IFERROR(__xludf.DUMMYFUNCTION("""COMPUTED_VALUE"""),44.38)</f>
        <v>44.38</v>
      </c>
      <c r="D889" s="1">
        <f>IFERROR(__xludf.DUMMYFUNCTION("""COMPUTED_VALUE"""),43.42)</f>
        <v>43.42</v>
      </c>
      <c r="E889" s="1">
        <f>IFERROR(__xludf.DUMMYFUNCTION("""COMPUTED_VALUE"""),44.38)</f>
        <v>44.38</v>
      </c>
      <c r="F889" s="1">
        <f>IFERROR(__xludf.DUMMYFUNCTION("""COMPUTED_VALUE"""),320717.0)</f>
        <v>320717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IFERROR(__xludf.DUMMYFUNCTION("""COMPUTED_VALUE"""),44.27)</f>
        <v>44.27</v>
      </c>
      <c r="C890" s="1">
        <f>IFERROR(__xludf.DUMMYFUNCTION("""COMPUTED_VALUE"""),44.32)</f>
        <v>44.32</v>
      </c>
      <c r="D890" s="1">
        <f>IFERROR(__xludf.DUMMYFUNCTION("""COMPUTED_VALUE"""),43.78)</f>
        <v>43.78</v>
      </c>
      <c r="E890" s="1">
        <f>IFERROR(__xludf.DUMMYFUNCTION("""COMPUTED_VALUE"""),43.82)</f>
        <v>43.82</v>
      </c>
      <c r="F890" s="1">
        <f>IFERROR(__xludf.DUMMYFUNCTION("""COMPUTED_VALUE"""),209591.0)</f>
        <v>209591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IFERROR(__xludf.DUMMYFUNCTION("""COMPUTED_VALUE"""),43.99)</f>
        <v>43.99</v>
      </c>
      <c r="C891" s="1">
        <f>IFERROR(__xludf.DUMMYFUNCTION("""COMPUTED_VALUE"""),44.13)</f>
        <v>44.13</v>
      </c>
      <c r="D891" s="1">
        <f>IFERROR(__xludf.DUMMYFUNCTION("""COMPUTED_VALUE"""),43.53)</f>
        <v>43.53</v>
      </c>
      <c r="E891" s="1">
        <f>IFERROR(__xludf.DUMMYFUNCTION("""COMPUTED_VALUE"""),43.65)</f>
        <v>43.65</v>
      </c>
      <c r="F891" s="1">
        <f>IFERROR(__xludf.DUMMYFUNCTION("""COMPUTED_VALUE"""),244074.0)</f>
        <v>244074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IFERROR(__xludf.DUMMYFUNCTION("""COMPUTED_VALUE"""),43.65)</f>
        <v>43.65</v>
      </c>
      <c r="C892" s="1">
        <f>IFERROR(__xludf.DUMMYFUNCTION("""COMPUTED_VALUE"""),44.42)</f>
        <v>44.42</v>
      </c>
      <c r="D892" s="1">
        <f>IFERROR(__xludf.DUMMYFUNCTION("""COMPUTED_VALUE"""),43.65)</f>
        <v>43.65</v>
      </c>
      <c r="E892" s="1">
        <f>IFERROR(__xludf.DUMMYFUNCTION("""COMPUTED_VALUE"""),44.39)</f>
        <v>44.39</v>
      </c>
      <c r="F892" s="1">
        <f>IFERROR(__xludf.DUMMYFUNCTION("""COMPUTED_VALUE"""),387787.0)</f>
        <v>387787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IFERROR(__xludf.DUMMYFUNCTION("""COMPUTED_VALUE"""),44.22)</f>
        <v>44.22</v>
      </c>
      <c r="C893" s="1">
        <f>IFERROR(__xludf.DUMMYFUNCTION("""COMPUTED_VALUE"""),44.47)</f>
        <v>44.47</v>
      </c>
      <c r="D893" s="1">
        <f>IFERROR(__xludf.DUMMYFUNCTION("""COMPUTED_VALUE"""),43.93)</f>
        <v>43.93</v>
      </c>
      <c r="E893" s="1">
        <f>IFERROR(__xludf.DUMMYFUNCTION("""COMPUTED_VALUE"""),44.44)</f>
        <v>44.44</v>
      </c>
      <c r="F893" s="1">
        <f>IFERROR(__xludf.DUMMYFUNCTION("""COMPUTED_VALUE"""),275047.0)</f>
        <v>275047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IFERROR(__xludf.DUMMYFUNCTION("""COMPUTED_VALUE"""),44.32)</f>
        <v>44.32</v>
      </c>
      <c r="C894" s="1">
        <f>IFERROR(__xludf.DUMMYFUNCTION("""COMPUTED_VALUE"""),44.94)</f>
        <v>44.94</v>
      </c>
      <c r="D894" s="1">
        <f>IFERROR(__xludf.DUMMYFUNCTION("""COMPUTED_VALUE"""),44.28)</f>
        <v>44.28</v>
      </c>
      <c r="E894" s="1">
        <f>IFERROR(__xludf.DUMMYFUNCTION("""COMPUTED_VALUE"""),44.63)</f>
        <v>44.63</v>
      </c>
      <c r="F894" s="1">
        <f>IFERROR(__xludf.DUMMYFUNCTION("""COMPUTED_VALUE"""),269634.0)</f>
        <v>269634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IFERROR(__xludf.DUMMYFUNCTION("""COMPUTED_VALUE"""),44.85)</f>
        <v>44.85</v>
      </c>
      <c r="C895" s="1">
        <f>IFERROR(__xludf.DUMMYFUNCTION("""COMPUTED_VALUE"""),44.85)</f>
        <v>44.85</v>
      </c>
      <c r="D895" s="1">
        <f>IFERROR(__xludf.DUMMYFUNCTION("""COMPUTED_VALUE"""),44.07)</f>
        <v>44.07</v>
      </c>
      <c r="E895" s="1">
        <f>IFERROR(__xludf.DUMMYFUNCTION("""COMPUTED_VALUE"""),44.23)</f>
        <v>44.23</v>
      </c>
      <c r="F895" s="1">
        <f>IFERROR(__xludf.DUMMYFUNCTION("""COMPUTED_VALUE"""),395373.0)</f>
        <v>395373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IFERROR(__xludf.DUMMYFUNCTION("""COMPUTED_VALUE"""),44.38)</f>
        <v>44.38</v>
      </c>
      <c r="C896" s="1">
        <f>IFERROR(__xludf.DUMMYFUNCTION("""COMPUTED_VALUE"""),44.79)</f>
        <v>44.79</v>
      </c>
      <c r="D896" s="1">
        <f>IFERROR(__xludf.DUMMYFUNCTION("""COMPUTED_VALUE"""),44.27)</f>
        <v>44.27</v>
      </c>
      <c r="E896" s="1">
        <f>IFERROR(__xludf.DUMMYFUNCTION("""COMPUTED_VALUE"""),44.58)</f>
        <v>44.58</v>
      </c>
      <c r="F896" s="1">
        <f>IFERROR(__xludf.DUMMYFUNCTION("""COMPUTED_VALUE"""),300356.0)</f>
        <v>300356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IFERROR(__xludf.DUMMYFUNCTION("""COMPUTED_VALUE"""),44.55)</f>
        <v>44.55</v>
      </c>
      <c r="C897" s="1">
        <f>IFERROR(__xludf.DUMMYFUNCTION("""COMPUTED_VALUE"""),44.76)</f>
        <v>44.76</v>
      </c>
      <c r="D897" s="1">
        <f>IFERROR(__xludf.DUMMYFUNCTION("""COMPUTED_VALUE"""),44.08)</f>
        <v>44.08</v>
      </c>
      <c r="E897" s="1">
        <f>IFERROR(__xludf.DUMMYFUNCTION("""COMPUTED_VALUE"""),44.58)</f>
        <v>44.58</v>
      </c>
      <c r="F897" s="1">
        <f>IFERROR(__xludf.DUMMYFUNCTION("""COMPUTED_VALUE"""),181647.0)</f>
        <v>181647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IFERROR(__xludf.DUMMYFUNCTION("""COMPUTED_VALUE"""),44.27)</f>
        <v>44.27</v>
      </c>
      <c r="C898" s="1">
        <f>IFERROR(__xludf.DUMMYFUNCTION("""COMPUTED_VALUE"""),44.82)</f>
        <v>44.82</v>
      </c>
      <c r="D898" s="1">
        <f>IFERROR(__xludf.DUMMYFUNCTION("""COMPUTED_VALUE"""),44.1)</f>
        <v>44.1</v>
      </c>
      <c r="E898" s="1">
        <f>IFERROR(__xludf.DUMMYFUNCTION("""COMPUTED_VALUE"""),44.67)</f>
        <v>44.67</v>
      </c>
      <c r="F898" s="1">
        <f>IFERROR(__xludf.DUMMYFUNCTION("""COMPUTED_VALUE"""),186338.0)</f>
        <v>186338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IFERROR(__xludf.DUMMYFUNCTION("""COMPUTED_VALUE"""),44.61)</f>
        <v>44.61</v>
      </c>
      <c r="C899" s="1">
        <f>IFERROR(__xludf.DUMMYFUNCTION("""COMPUTED_VALUE"""),44.87)</f>
        <v>44.87</v>
      </c>
      <c r="D899" s="1">
        <f>IFERROR(__xludf.DUMMYFUNCTION("""COMPUTED_VALUE"""),44.1)</f>
        <v>44.1</v>
      </c>
      <c r="E899" s="1">
        <f>IFERROR(__xludf.DUMMYFUNCTION("""COMPUTED_VALUE"""),44.7)</f>
        <v>44.7</v>
      </c>
      <c r="F899" s="1">
        <f>IFERROR(__xludf.DUMMYFUNCTION("""COMPUTED_VALUE"""),308700.0)</f>
        <v>308700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IFERROR(__xludf.DUMMYFUNCTION("""COMPUTED_VALUE"""),44.49)</f>
        <v>44.49</v>
      </c>
      <c r="C900" s="1">
        <f>IFERROR(__xludf.DUMMYFUNCTION("""COMPUTED_VALUE"""),45.0)</f>
        <v>45</v>
      </c>
      <c r="D900" s="1">
        <f>IFERROR(__xludf.DUMMYFUNCTION("""COMPUTED_VALUE"""),44.41)</f>
        <v>44.41</v>
      </c>
      <c r="E900" s="1">
        <f>IFERROR(__xludf.DUMMYFUNCTION("""COMPUTED_VALUE"""),44.76)</f>
        <v>44.76</v>
      </c>
      <c r="F900" s="1">
        <f>IFERROR(__xludf.DUMMYFUNCTION("""COMPUTED_VALUE"""),328832.0)</f>
        <v>328832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IFERROR(__xludf.DUMMYFUNCTION("""COMPUTED_VALUE"""),45.0)</f>
        <v>45</v>
      </c>
      <c r="C901" s="1">
        <f>IFERROR(__xludf.DUMMYFUNCTION("""COMPUTED_VALUE"""),46.26)</f>
        <v>46.26</v>
      </c>
      <c r="D901" s="1">
        <f>IFERROR(__xludf.DUMMYFUNCTION("""COMPUTED_VALUE"""),44.79)</f>
        <v>44.79</v>
      </c>
      <c r="E901" s="1">
        <f>IFERROR(__xludf.DUMMYFUNCTION("""COMPUTED_VALUE"""),45.54)</f>
        <v>45.54</v>
      </c>
      <c r="F901" s="1">
        <f>IFERROR(__xludf.DUMMYFUNCTION("""COMPUTED_VALUE"""),981509.0)</f>
        <v>981509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IFERROR(__xludf.DUMMYFUNCTION("""COMPUTED_VALUE"""),46.18)</f>
        <v>46.18</v>
      </c>
      <c r="C902" s="1">
        <f>IFERROR(__xludf.DUMMYFUNCTION("""COMPUTED_VALUE"""),47.27)</f>
        <v>47.27</v>
      </c>
      <c r="D902" s="1">
        <f>IFERROR(__xludf.DUMMYFUNCTION("""COMPUTED_VALUE"""),44.98)</f>
        <v>44.98</v>
      </c>
      <c r="E902" s="1">
        <f>IFERROR(__xludf.DUMMYFUNCTION("""COMPUTED_VALUE"""),46.27)</f>
        <v>46.27</v>
      </c>
      <c r="F902" s="1">
        <f>IFERROR(__xludf.DUMMYFUNCTION("""COMPUTED_VALUE"""),906801.0)</f>
        <v>906801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IFERROR(__xludf.DUMMYFUNCTION("""COMPUTED_VALUE"""),46.01)</f>
        <v>46.01</v>
      </c>
      <c r="C903" s="1">
        <f>IFERROR(__xludf.DUMMYFUNCTION("""COMPUTED_VALUE"""),46.25)</f>
        <v>46.25</v>
      </c>
      <c r="D903" s="1">
        <f>IFERROR(__xludf.DUMMYFUNCTION("""COMPUTED_VALUE"""),45.73)</f>
        <v>45.73</v>
      </c>
      <c r="E903" s="1">
        <f>IFERROR(__xludf.DUMMYFUNCTION("""COMPUTED_VALUE"""),46.03)</f>
        <v>46.03</v>
      </c>
      <c r="F903" s="1">
        <f>IFERROR(__xludf.DUMMYFUNCTION("""COMPUTED_VALUE"""),407051.0)</f>
        <v>407051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IFERROR(__xludf.DUMMYFUNCTION("""COMPUTED_VALUE"""),45.75)</f>
        <v>45.75</v>
      </c>
      <c r="C904" s="1">
        <f>IFERROR(__xludf.DUMMYFUNCTION("""COMPUTED_VALUE"""),47.75)</f>
        <v>47.75</v>
      </c>
      <c r="D904" s="1">
        <f>IFERROR(__xludf.DUMMYFUNCTION("""COMPUTED_VALUE"""),45.59)</f>
        <v>45.59</v>
      </c>
      <c r="E904" s="1">
        <f>IFERROR(__xludf.DUMMYFUNCTION("""COMPUTED_VALUE"""),47.67)</f>
        <v>47.67</v>
      </c>
      <c r="F904" s="1">
        <f>IFERROR(__xludf.DUMMYFUNCTION("""COMPUTED_VALUE"""),772552.0)</f>
        <v>772552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IFERROR(__xludf.DUMMYFUNCTION("""COMPUTED_VALUE"""),47.51)</f>
        <v>47.51</v>
      </c>
      <c r="C905" s="1">
        <f>IFERROR(__xludf.DUMMYFUNCTION("""COMPUTED_VALUE"""),47.66)</f>
        <v>47.66</v>
      </c>
      <c r="D905" s="1">
        <f>IFERROR(__xludf.DUMMYFUNCTION("""COMPUTED_VALUE"""),46.72)</f>
        <v>46.72</v>
      </c>
      <c r="E905" s="1">
        <f>IFERROR(__xludf.DUMMYFUNCTION("""COMPUTED_VALUE"""),47.24)</f>
        <v>47.24</v>
      </c>
      <c r="F905" s="1">
        <f>IFERROR(__xludf.DUMMYFUNCTION("""COMPUTED_VALUE"""),464959.0)</f>
        <v>464959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IFERROR(__xludf.DUMMYFUNCTION("""COMPUTED_VALUE"""),46.91)</f>
        <v>46.91</v>
      </c>
      <c r="C906" s="1">
        <f>IFERROR(__xludf.DUMMYFUNCTION("""COMPUTED_VALUE"""),48.73)</f>
        <v>48.73</v>
      </c>
      <c r="D906" s="1">
        <f>IFERROR(__xludf.DUMMYFUNCTION("""COMPUTED_VALUE"""),46.78)</f>
        <v>46.78</v>
      </c>
      <c r="E906" s="1">
        <f>IFERROR(__xludf.DUMMYFUNCTION("""COMPUTED_VALUE"""),47.59)</f>
        <v>47.59</v>
      </c>
      <c r="F906" s="1">
        <f>IFERROR(__xludf.DUMMYFUNCTION("""COMPUTED_VALUE"""),778870.0)</f>
        <v>778870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IFERROR(__xludf.DUMMYFUNCTION("""COMPUTED_VALUE"""),47.76)</f>
        <v>47.76</v>
      </c>
      <c r="C907" s="1">
        <f>IFERROR(__xludf.DUMMYFUNCTION("""COMPUTED_VALUE"""),48.28)</f>
        <v>48.28</v>
      </c>
      <c r="D907" s="1">
        <f>IFERROR(__xludf.DUMMYFUNCTION("""COMPUTED_VALUE"""),47.01)</f>
        <v>47.01</v>
      </c>
      <c r="E907" s="1">
        <f>IFERROR(__xludf.DUMMYFUNCTION("""COMPUTED_VALUE"""),47.45)</f>
        <v>47.45</v>
      </c>
      <c r="F907" s="1">
        <f>IFERROR(__xludf.DUMMYFUNCTION("""COMPUTED_VALUE"""),407815.0)</f>
        <v>407815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IFERROR(__xludf.DUMMYFUNCTION("""COMPUTED_VALUE"""),47.43)</f>
        <v>47.43</v>
      </c>
      <c r="C908" s="1">
        <f>IFERROR(__xludf.DUMMYFUNCTION("""COMPUTED_VALUE"""),47.73)</f>
        <v>47.73</v>
      </c>
      <c r="D908" s="1">
        <f>IFERROR(__xludf.DUMMYFUNCTION("""COMPUTED_VALUE"""),47.24)</f>
        <v>47.24</v>
      </c>
      <c r="E908" s="1">
        <f>IFERROR(__xludf.DUMMYFUNCTION("""COMPUTED_VALUE"""),47.61)</f>
        <v>47.61</v>
      </c>
      <c r="F908" s="1">
        <f>IFERROR(__xludf.DUMMYFUNCTION("""COMPUTED_VALUE"""),198637.0)</f>
        <v>198637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IFERROR(__xludf.DUMMYFUNCTION("""COMPUTED_VALUE"""),47.48)</f>
        <v>47.48</v>
      </c>
      <c r="C909" s="1">
        <f>IFERROR(__xludf.DUMMYFUNCTION("""COMPUTED_VALUE"""),48.0)</f>
        <v>48</v>
      </c>
      <c r="D909" s="1">
        <f>IFERROR(__xludf.DUMMYFUNCTION("""COMPUTED_VALUE"""),47.02)</f>
        <v>47.02</v>
      </c>
      <c r="E909" s="1">
        <f>IFERROR(__xludf.DUMMYFUNCTION("""COMPUTED_VALUE"""),47.72)</f>
        <v>47.72</v>
      </c>
      <c r="F909" s="1">
        <f>IFERROR(__xludf.DUMMYFUNCTION("""COMPUTED_VALUE"""),193596.0)</f>
        <v>193596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IFERROR(__xludf.DUMMYFUNCTION("""COMPUTED_VALUE"""),47.86)</f>
        <v>47.86</v>
      </c>
      <c r="C910" s="1">
        <f>IFERROR(__xludf.DUMMYFUNCTION("""COMPUTED_VALUE"""),47.86)</f>
        <v>47.86</v>
      </c>
      <c r="D910" s="1">
        <f>IFERROR(__xludf.DUMMYFUNCTION("""COMPUTED_VALUE"""),47.34)</f>
        <v>47.34</v>
      </c>
      <c r="E910" s="1">
        <f>IFERROR(__xludf.DUMMYFUNCTION("""COMPUTED_VALUE"""),47.75)</f>
        <v>47.75</v>
      </c>
      <c r="F910" s="1">
        <f>IFERROR(__xludf.DUMMYFUNCTION("""COMPUTED_VALUE"""),183881.0)</f>
        <v>183881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IFERROR(__xludf.DUMMYFUNCTION("""COMPUTED_VALUE"""),47.75)</f>
        <v>47.75</v>
      </c>
      <c r="C911" s="1">
        <f>IFERROR(__xludf.DUMMYFUNCTION("""COMPUTED_VALUE"""),48.03)</f>
        <v>48.03</v>
      </c>
      <c r="D911" s="1">
        <f>IFERROR(__xludf.DUMMYFUNCTION("""COMPUTED_VALUE"""),47.49)</f>
        <v>47.49</v>
      </c>
      <c r="E911" s="1">
        <f>IFERROR(__xludf.DUMMYFUNCTION("""COMPUTED_VALUE"""),47.69)</f>
        <v>47.69</v>
      </c>
      <c r="F911" s="1">
        <f>IFERROR(__xludf.DUMMYFUNCTION("""COMPUTED_VALUE"""),210343.0)</f>
        <v>210343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IFERROR(__xludf.DUMMYFUNCTION("""COMPUTED_VALUE"""),47.36)</f>
        <v>47.36</v>
      </c>
      <c r="C912" s="1">
        <f>IFERROR(__xludf.DUMMYFUNCTION("""COMPUTED_VALUE"""),47.39)</f>
        <v>47.39</v>
      </c>
      <c r="D912" s="1">
        <f>IFERROR(__xludf.DUMMYFUNCTION("""COMPUTED_VALUE"""),46.56)</f>
        <v>46.56</v>
      </c>
      <c r="E912" s="1">
        <f>IFERROR(__xludf.DUMMYFUNCTION("""COMPUTED_VALUE"""),46.65)</f>
        <v>46.65</v>
      </c>
      <c r="F912" s="1">
        <f>IFERROR(__xludf.DUMMYFUNCTION("""COMPUTED_VALUE"""),288689.0)</f>
        <v>288689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IFERROR(__xludf.DUMMYFUNCTION("""COMPUTED_VALUE"""),46.46)</f>
        <v>46.46</v>
      </c>
      <c r="C913" s="1">
        <f>IFERROR(__xludf.DUMMYFUNCTION("""COMPUTED_VALUE"""),47.16)</f>
        <v>47.16</v>
      </c>
      <c r="D913" s="1">
        <f>IFERROR(__xludf.DUMMYFUNCTION("""COMPUTED_VALUE"""),46.39)</f>
        <v>46.39</v>
      </c>
      <c r="E913" s="1">
        <f>IFERROR(__xludf.DUMMYFUNCTION("""COMPUTED_VALUE"""),46.96)</f>
        <v>46.96</v>
      </c>
      <c r="F913" s="1">
        <f>IFERROR(__xludf.DUMMYFUNCTION("""COMPUTED_VALUE"""),372738.0)</f>
        <v>372738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IFERROR(__xludf.DUMMYFUNCTION("""COMPUTED_VALUE"""),46.96)</f>
        <v>46.96</v>
      </c>
      <c r="C914" s="1">
        <f>IFERROR(__xludf.DUMMYFUNCTION("""COMPUTED_VALUE"""),47.18)</f>
        <v>47.18</v>
      </c>
      <c r="D914" s="1">
        <f>IFERROR(__xludf.DUMMYFUNCTION("""COMPUTED_VALUE"""),46.53)</f>
        <v>46.53</v>
      </c>
      <c r="E914" s="1">
        <f>IFERROR(__xludf.DUMMYFUNCTION("""COMPUTED_VALUE"""),47.03)</f>
        <v>47.03</v>
      </c>
      <c r="F914" s="1">
        <f>IFERROR(__xludf.DUMMYFUNCTION("""COMPUTED_VALUE"""),346738.0)</f>
        <v>346738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IFERROR(__xludf.DUMMYFUNCTION("""COMPUTED_VALUE"""),47.17)</f>
        <v>47.17</v>
      </c>
      <c r="C915" s="1">
        <f>IFERROR(__xludf.DUMMYFUNCTION("""COMPUTED_VALUE"""),47.63)</f>
        <v>47.63</v>
      </c>
      <c r="D915" s="1">
        <f>IFERROR(__xludf.DUMMYFUNCTION("""COMPUTED_VALUE"""),46.93)</f>
        <v>46.93</v>
      </c>
      <c r="E915" s="1">
        <f>IFERROR(__xludf.DUMMYFUNCTION("""COMPUTED_VALUE"""),47.45)</f>
        <v>47.45</v>
      </c>
      <c r="F915" s="1">
        <f>IFERROR(__xludf.DUMMYFUNCTION("""COMPUTED_VALUE"""),257296.0)</f>
        <v>257296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IFERROR(__xludf.DUMMYFUNCTION("""COMPUTED_VALUE"""),47.14)</f>
        <v>47.14</v>
      </c>
      <c r="C916" s="1">
        <f>IFERROR(__xludf.DUMMYFUNCTION("""COMPUTED_VALUE"""),47.74)</f>
        <v>47.74</v>
      </c>
      <c r="D916" s="1">
        <f>IFERROR(__xludf.DUMMYFUNCTION("""COMPUTED_VALUE"""),47.06)</f>
        <v>47.06</v>
      </c>
      <c r="E916" s="1">
        <f>IFERROR(__xludf.DUMMYFUNCTION("""COMPUTED_VALUE"""),47.16)</f>
        <v>47.16</v>
      </c>
      <c r="F916" s="1">
        <f>IFERROR(__xludf.DUMMYFUNCTION("""COMPUTED_VALUE"""),259964.0)</f>
        <v>259964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IFERROR(__xludf.DUMMYFUNCTION("""COMPUTED_VALUE"""),47.33)</f>
        <v>47.33</v>
      </c>
      <c r="C917" s="1">
        <f>IFERROR(__xludf.DUMMYFUNCTION("""COMPUTED_VALUE"""),48.0)</f>
        <v>48</v>
      </c>
      <c r="D917" s="1">
        <f>IFERROR(__xludf.DUMMYFUNCTION("""COMPUTED_VALUE"""),47.33)</f>
        <v>47.33</v>
      </c>
      <c r="E917" s="1">
        <f>IFERROR(__xludf.DUMMYFUNCTION("""COMPUTED_VALUE"""),47.87)</f>
        <v>47.87</v>
      </c>
      <c r="F917" s="1">
        <f>IFERROR(__xludf.DUMMYFUNCTION("""COMPUTED_VALUE"""),187088.0)</f>
        <v>187088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IFERROR(__xludf.DUMMYFUNCTION("""COMPUTED_VALUE"""),48.0)</f>
        <v>48</v>
      </c>
      <c r="C918" s="1">
        <f>IFERROR(__xludf.DUMMYFUNCTION("""COMPUTED_VALUE"""),48.0)</f>
        <v>48</v>
      </c>
      <c r="D918" s="1">
        <f>IFERROR(__xludf.DUMMYFUNCTION("""COMPUTED_VALUE"""),47.45)</f>
        <v>47.45</v>
      </c>
      <c r="E918" s="1">
        <f>IFERROR(__xludf.DUMMYFUNCTION("""COMPUTED_VALUE"""),47.7)</f>
        <v>47.7</v>
      </c>
      <c r="F918" s="1">
        <f>IFERROR(__xludf.DUMMYFUNCTION("""COMPUTED_VALUE"""),237029.0)</f>
        <v>237029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IFERROR(__xludf.DUMMYFUNCTION("""COMPUTED_VALUE"""),47.84)</f>
        <v>47.84</v>
      </c>
      <c r="C919" s="1">
        <f>IFERROR(__xludf.DUMMYFUNCTION("""COMPUTED_VALUE"""),48.08)</f>
        <v>48.08</v>
      </c>
      <c r="D919" s="1">
        <f>IFERROR(__xludf.DUMMYFUNCTION("""COMPUTED_VALUE"""),47.68)</f>
        <v>47.68</v>
      </c>
      <c r="E919" s="1">
        <f>IFERROR(__xludf.DUMMYFUNCTION("""COMPUTED_VALUE"""),47.75)</f>
        <v>47.75</v>
      </c>
      <c r="F919" s="1">
        <f>IFERROR(__xludf.DUMMYFUNCTION("""COMPUTED_VALUE"""),309350.0)</f>
        <v>309350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IFERROR(__xludf.DUMMYFUNCTION("""COMPUTED_VALUE"""),47.4)</f>
        <v>47.4</v>
      </c>
      <c r="C920" s="1">
        <f>IFERROR(__xludf.DUMMYFUNCTION("""COMPUTED_VALUE"""),47.48)</f>
        <v>47.48</v>
      </c>
      <c r="D920" s="1">
        <f>IFERROR(__xludf.DUMMYFUNCTION("""COMPUTED_VALUE"""),46.63)</f>
        <v>46.63</v>
      </c>
      <c r="E920" s="1">
        <f>IFERROR(__xludf.DUMMYFUNCTION("""COMPUTED_VALUE"""),46.74)</f>
        <v>46.74</v>
      </c>
      <c r="F920" s="1">
        <f>IFERROR(__xludf.DUMMYFUNCTION("""COMPUTED_VALUE"""),193923.0)</f>
        <v>193923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IFERROR(__xludf.DUMMYFUNCTION("""COMPUTED_VALUE"""),46.66)</f>
        <v>46.66</v>
      </c>
      <c r="C921" s="1">
        <f>IFERROR(__xludf.DUMMYFUNCTION("""COMPUTED_VALUE"""),47.03)</f>
        <v>47.03</v>
      </c>
      <c r="D921" s="1">
        <f>IFERROR(__xludf.DUMMYFUNCTION("""COMPUTED_VALUE"""),46.31)</f>
        <v>46.31</v>
      </c>
      <c r="E921" s="1">
        <f>IFERROR(__xludf.DUMMYFUNCTION("""COMPUTED_VALUE"""),46.8)</f>
        <v>46.8</v>
      </c>
      <c r="F921" s="1">
        <f>IFERROR(__xludf.DUMMYFUNCTION("""COMPUTED_VALUE"""),237264.0)</f>
        <v>237264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IFERROR(__xludf.DUMMYFUNCTION("""COMPUTED_VALUE"""),46.79)</f>
        <v>46.79</v>
      </c>
      <c r="C922" s="1">
        <f>IFERROR(__xludf.DUMMYFUNCTION("""COMPUTED_VALUE"""),47.0)</f>
        <v>47</v>
      </c>
      <c r="D922" s="1">
        <f>IFERROR(__xludf.DUMMYFUNCTION("""COMPUTED_VALUE"""),46.66)</f>
        <v>46.66</v>
      </c>
      <c r="E922" s="1">
        <f>IFERROR(__xludf.DUMMYFUNCTION("""COMPUTED_VALUE"""),46.79)</f>
        <v>46.79</v>
      </c>
      <c r="F922" s="1">
        <f>IFERROR(__xludf.DUMMYFUNCTION("""COMPUTED_VALUE"""),288846.0)</f>
        <v>288846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IFERROR(__xludf.DUMMYFUNCTION("""COMPUTED_VALUE"""),46.88)</f>
        <v>46.88</v>
      </c>
      <c r="C923" s="1">
        <f>IFERROR(__xludf.DUMMYFUNCTION("""COMPUTED_VALUE"""),46.88)</f>
        <v>46.88</v>
      </c>
      <c r="D923" s="1">
        <f>IFERROR(__xludf.DUMMYFUNCTION("""COMPUTED_VALUE"""),45.95)</f>
        <v>45.95</v>
      </c>
      <c r="E923" s="1">
        <f>IFERROR(__xludf.DUMMYFUNCTION("""COMPUTED_VALUE"""),46.05)</f>
        <v>46.05</v>
      </c>
      <c r="F923" s="1">
        <f>IFERROR(__xludf.DUMMYFUNCTION("""COMPUTED_VALUE"""),297425.0)</f>
        <v>297425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IFERROR(__xludf.DUMMYFUNCTION("""COMPUTED_VALUE"""),46.49)</f>
        <v>46.49</v>
      </c>
      <c r="C924" s="1">
        <f>IFERROR(__xludf.DUMMYFUNCTION("""COMPUTED_VALUE"""),46.8)</f>
        <v>46.8</v>
      </c>
      <c r="D924" s="1">
        <f>IFERROR(__xludf.DUMMYFUNCTION("""COMPUTED_VALUE"""),45.77)</f>
        <v>45.77</v>
      </c>
      <c r="E924" s="1">
        <f>IFERROR(__xludf.DUMMYFUNCTION("""COMPUTED_VALUE"""),45.87)</f>
        <v>45.87</v>
      </c>
      <c r="F924" s="1">
        <f>IFERROR(__xludf.DUMMYFUNCTION("""COMPUTED_VALUE"""),790639.0)</f>
        <v>790639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IFERROR(__xludf.DUMMYFUNCTION("""COMPUTED_VALUE"""),45.95)</f>
        <v>45.95</v>
      </c>
      <c r="C925" s="1">
        <f>IFERROR(__xludf.DUMMYFUNCTION("""COMPUTED_VALUE"""),46.54)</f>
        <v>46.54</v>
      </c>
      <c r="D925" s="1">
        <f>IFERROR(__xludf.DUMMYFUNCTION("""COMPUTED_VALUE"""),45.8)</f>
        <v>45.8</v>
      </c>
      <c r="E925" s="1">
        <f>IFERROR(__xludf.DUMMYFUNCTION("""COMPUTED_VALUE"""),46.36)</f>
        <v>46.36</v>
      </c>
      <c r="F925" s="1">
        <f>IFERROR(__xludf.DUMMYFUNCTION("""COMPUTED_VALUE"""),443994.0)</f>
        <v>443994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IFERROR(__xludf.DUMMYFUNCTION("""COMPUTED_VALUE"""),46.35)</f>
        <v>46.35</v>
      </c>
      <c r="C926" s="1">
        <f>IFERROR(__xludf.DUMMYFUNCTION("""COMPUTED_VALUE"""),46.65)</f>
        <v>46.65</v>
      </c>
      <c r="D926" s="1">
        <f>IFERROR(__xludf.DUMMYFUNCTION("""COMPUTED_VALUE"""),46.29)</f>
        <v>46.29</v>
      </c>
      <c r="E926" s="1">
        <f>IFERROR(__xludf.DUMMYFUNCTION("""COMPUTED_VALUE"""),46.35)</f>
        <v>46.35</v>
      </c>
      <c r="F926" s="1">
        <f>IFERROR(__xludf.DUMMYFUNCTION("""COMPUTED_VALUE"""),478191.0)</f>
        <v>478191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IFERROR(__xludf.DUMMYFUNCTION("""COMPUTED_VALUE"""),46.54)</f>
        <v>46.54</v>
      </c>
      <c r="C927" s="1">
        <f>IFERROR(__xludf.DUMMYFUNCTION("""COMPUTED_VALUE"""),46.54)</f>
        <v>46.54</v>
      </c>
      <c r="D927" s="1">
        <f>IFERROR(__xludf.DUMMYFUNCTION("""COMPUTED_VALUE"""),45.76)</f>
        <v>45.76</v>
      </c>
      <c r="E927" s="1">
        <f>IFERROR(__xludf.DUMMYFUNCTION("""COMPUTED_VALUE"""),46.36)</f>
        <v>46.36</v>
      </c>
      <c r="F927" s="1">
        <f>IFERROR(__xludf.DUMMYFUNCTION("""COMPUTED_VALUE"""),293571.0)</f>
        <v>293571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IFERROR(__xludf.DUMMYFUNCTION("""COMPUTED_VALUE"""),46.41)</f>
        <v>46.41</v>
      </c>
      <c r="C928" s="1">
        <f>IFERROR(__xludf.DUMMYFUNCTION("""COMPUTED_VALUE"""),47.75)</f>
        <v>47.75</v>
      </c>
      <c r="D928" s="1">
        <f>IFERROR(__xludf.DUMMYFUNCTION("""COMPUTED_VALUE"""),46.13)</f>
        <v>46.13</v>
      </c>
      <c r="E928" s="1">
        <f>IFERROR(__xludf.DUMMYFUNCTION("""COMPUTED_VALUE"""),47.58)</f>
        <v>47.58</v>
      </c>
      <c r="F928" s="1">
        <f>IFERROR(__xludf.DUMMYFUNCTION("""COMPUTED_VALUE"""),709819.0)</f>
        <v>709819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IFERROR(__xludf.DUMMYFUNCTION("""COMPUTED_VALUE"""),47.82)</f>
        <v>47.82</v>
      </c>
      <c r="C929" s="1">
        <f>IFERROR(__xludf.DUMMYFUNCTION("""COMPUTED_VALUE"""),48.22)</f>
        <v>48.22</v>
      </c>
      <c r="D929" s="1">
        <f>IFERROR(__xludf.DUMMYFUNCTION("""COMPUTED_VALUE"""),47.38)</f>
        <v>47.38</v>
      </c>
      <c r="E929" s="1">
        <f>IFERROR(__xludf.DUMMYFUNCTION("""COMPUTED_VALUE"""),47.82)</f>
        <v>47.82</v>
      </c>
      <c r="F929" s="1">
        <f>IFERROR(__xludf.DUMMYFUNCTION("""COMPUTED_VALUE"""),381145.0)</f>
        <v>381145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IFERROR(__xludf.DUMMYFUNCTION("""COMPUTED_VALUE"""),47.82)</f>
        <v>47.82</v>
      </c>
      <c r="C930" s="1">
        <f>IFERROR(__xludf.DUMMYFUNCTION("""COMPUTED_VALUE"""),48.22)</f>
        <v>48.22</v>
      </c>
      <c r="D930" s="1">
        <f>IFERROR(__xludf.DUMMYFUNCTION("""COMPUTED_VALUE"""),47.39)</f>
        <v>47.39</v>
      </c>
      <c r="E930" s="1">
        <f>IFERROR(__xludf.DUMMYFUNCTION("""COMPUTED_VALUE"""),48.15)</f>
        <v>48.15</v>
      </c>
      <c r="F930" s="1">
        <f>IFERROR(__xludf.DUMMYFUNCTION("""COMPUTED_VALUE"""),217105.0)</f>
        <v>217105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IFERROR(__xludf.DUMMYFUNCTION("""COMPUTED_VALUE"""),48.19)</f>
        <v>48.19</v>
      </c>
      <c r="C931" s="1">
        <f>IFERROR(__xludf.DUMMYFUNCTION("""COMPUTED_VALUE"""),48.19)</f>
        <v>48.19</v>
      </c>
      <c r="D931" s="1">
        <f>IFERROR(__xludf.DUMMYFUNCTION("""COMPUTED_VALUE"""),47.26)</f>
        <v>47.26</v>
      </c>
      <c r="E931" s="1">
        <f>IFERROR(__xludf.DUMMYFUNCTION("""COMPUTED_VALUE"""),47.4)</f>
        <v>47.4</v>
      </c>
      <c r="F931" s="1">
        <f>IFERROR(__xludf.DUMMYFUNCTION("""COMPUTED_VALUE"""),337609.0)</f>
        <v>337609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IFERROR(__xludf.DUMMYFUNCTION("""COMPUTED_VALUE"""),47.3)</f>
        <v>47.3</v>
      </c>
      <c r="C932" s="1">
        <f>IFERROR(__xludf.DUMMYFUNCTION("""COMPUTED_VALUE"""),47.41)</f>
        <v>47.41</v>
      </c>
      <c r="D932" s="1">
        <f>IFERROR(__xludf.DUMMYFUNCTION("""COMPUTED_VALUE"""),46.74)</f>
        <v>46.74</v>
      </c>
      <c r="E932" s="1">
        <f>IFERROR(__xludf.DUMMYFUNCTION("""COMPUTED_VALUE"""),47.26)</f>
        <v>47.26</v>
      </c>
      <c r="F932" s="1">
        <f>IFERROR(__xludf.DUMMYFUNCTION("""COMPUTED_VALUE"""),260224.0)</f>
        <v>260224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IFERROR(__xludf.DUMMYFUNCTION("""COMPUTED_VALUE"""),47.7)</f>
        <v>47.7</v>
      </c>
      <c r="C933" s="1">
        <f>IFERROR(__xludf.DUMMYFUNCTION("""COMPUTED_VALUE"""),47.78)</f>
        <v>47.78</v>
      </c>
      <c r="D933" s="1">
        <f>IFERROR(__xludf.DUMMYFUNCTION("""COMPUTED_VALUE"""),47.17)</f>
        <v>47.17</v>
      </c>
      <c r="E933" s="1">
        <f>IFERROR(__xludf.DUMMYFUNCTION("""COMPUTED_VALUE"""),47.37)</f>
        <v>47.37</v>
      </c>
      <c r="F933" s="1">
        <f>IFERROR(__xludf.DUMMYFUNCTION("""COMPUTED_VALUE"""),268609.0)</f>
        <v>268609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IFERROR(__xludf.DUMMYFUNCTION("""COMPUTED_VALUE"""),46.97)</f>
        <v>46.97</v>
      </c>
      <c r="C934" s="1">
        <f>IFERROR(__xludf.DUMMYFUNCTION("""COMPUTED_VALUE"""),47.43)</f>
        <v>47.43</v>
      </c>
      <c r="D934" s="1">
        <f>IFERROR(__xludf.DUMMYFUNCTION("""COMPUTED_VALUE"""),46.53)</f>
        <v>46.53</v>
      </c>
      <c r="E934" s="1">
        <f>IFERROR(__xludf.DUMMYFUNCTION("""COMPUTED_VALUE"""),47.37)</f>
        <v>47.37</v>
      </c>
      <c r="F934" s="1">
        <f>IFERROR(__xludf.DUMMYFUNCTION("""COMPUTED_VALUE"""),294430.0)</f>
        <v>294430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IFERROR(__xludf.DUMMYFUNCTION("""COMPUTED_VALUE"""),47.22)</f>
        <v>47.22</v>
      </c>
      <c r="C935" s="1">
        <f>IFERROR(__xludf.DUMMYFUNCTION("""COMPUTED_VALUE"""),47.28)</f>
        <v>47.28</v>
      </c>
      <c r="D935" s="1">
        <f>IFERROR(__xludf.DUMMYFUNCTION("""COMPUTED_VALUE"""),46.55)</f>
        <v>46.55</v>
      </c>
      <c r="E935" s="1">
        <f>IFERROR(__xludf.DUMMYFUNCTION("""COMPUTED_VALUE"""),47.08)</f>
        <v>47.08</v>
      </c>
      <c r="F935" s="1">
        <f>IFERROR(__xludf.DUMMYFUNCTION("""COMPUTED_VALUE"""),296972.0)</f>
        <v>296972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IFERROR(__xludf.DUMMYFUNCTION("""COMPUTED_VALUE"""),47.22)</f>
        <v>47.22</v>
      </c>
      <c r="C936" s="1">
        <f>IFERROR(__xludf.DUMMYFUNCTION("""COMPUTED_VALUE"""),47.24)</f>
        <v>47.24</v>
      </c>
      <c r="D936" s="1">
        <f>IFERROR(__xludf.DUMMYFUNCTION("""COMPUTED_VALUE"""),46.62)</f>
        <v>46.62</v>
      </c>
      <c r="E936" s="1">
        <f>IFERROR(__xludf.DUMMYFUNCTION("""COMPUTED_VALUE"""),46.64)</f>
        <v>46.64</v>
      </c>
      <c r="F936" s="1">
        <f>IFERROR(__xludf.DUMMYFUNCTION("""COMPUTED_VALUE"""),202346.0)</f>
        <v>202346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IFERROR(__xludf.DUMMYFUNCTION("""COMPUTED_VALUE"""),46.57)</f>
        <v>46.57</v>
      </c>
      <c r="C937" s="1">
        <f>IFERROR(__xludf.DUMMYFUNCTION("""COMPUTED_VALUE"""),46.74)</f>
        <v>46.74</v>
      </c>
      <c r="D937" s="1">
        <f>IFERROR(__xludf.DUMMYFUNCTION("""COMPUTED_VALUE"""),46.08)</f>
        <v>46.08</v>
      </c>
      <c r="E937" s="1">
        <f>IFERROR(__xludf.DUMMYFUNCTION("""COMPUTED_VALUE"""),46.09)</f>
        <v>46.09</v>
      </c>
      <c r="F937" s="1">
        <f>IFERROR(__xludf.DUMMYFUNCTION("""COMPUTED_VALUE"""),574513.0)</f>
        <v>574513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IFERROR(__xludf.DUMMYFUNCTION("""COMPUTED_VALUE"""),46.17)</f>
        <v>46.17</v>
      </c>
      <c r="C938" s="1">
        <f>IFERROR(__xludf.DUMMYFUNCTION("""COMPUTED_VALUE"""),46.17)</f>
        <v>46.17</v>
      </c>
      <c r="D938" s="1">
        <f>IFERROR(__xludf.DUMMYFUNCTION("""COMPUTED_VALUE"""),45.26)</f>
        <v>45.26</v>
      </c>
      <c r="E938" s="1">
        <f>IFERROR(__xludf.DUMMYFUNCTION("""COMPUTED_VALUE"""),45.46)</f>
        <v>45.46</v>
      </c>
      <c r="F938" s="1">
        <f>IFERROR(__xludf.DUMMYFUNCTION("""COMPUTED_VALUE"""),453689.0)</f>
        <v>453689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IFERROR(__xludf.DUMMYFUNCTION("""COMPUTED_VALUE"""),45.23)</f>
        <v>45.23</v>
      </c>
      <c r="C939" s="1">
        <f>IFERROR(__xludf.DUMMYFUNCTION("""COMPUTED_VALUE"""),46.27)</f>
        <v>46.27</v>
      </c>
      <c r="D939" s="1">
        <f>IFERROR(__xludf.DUMMYFUNCTION("""COMPUTED_VALUE"""),45.19)</f>
        <v>45.19</v>
      </c>
      <c r="E939" s="1">
        <f>IFERROR(__xludf.DUMMYFUNCTION("""COMPUTED_VALUE"""),46.0)</f>
        <v>46</v>
      </c>
      <c r="F939" s="1">
        <f>IFERROR(__xludf.DUMMYFUNCTION("""COMPUTED_VALUE"""),464370.0)</f>
        <v>464370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IFERROR(__xludf.DUMMYFUNCTION("""COMPUTED_VALUE"""),46.11)</f>
        <v>46.11</v>
      </c>
      <c r="C940" s="1">
        <f>IFERROR(__xludf.DUMMYFUNCTION("""COMPUTED_VALUE"""),46.45)</f>
        <v>46.45</v>
      </c>
      <c r="D940" s="1">
        <f>IFERROR(__xludf.DUMMYFUNCTION("""COMPUTED_VALUE"""),45.8)</f>
        <v>45.8</v>
      </c>
      <c r="E940" s="1">
        <f>IFERROR(__xludf.DUMMYFUNCTION("""COMPUTED_VALUE"""),46.18)</f>
        <v>46.18</v>
      </c>
      <c r="F940" s="1">
        <f>IFERROR(__xludf.DUMMYFUNCTION("""COMPUTED_VALUE"""),233085.0)</f>
        <v>233085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IFERROR(__xludf.DUMMYFUNCTION("""COMPUTED_VALUE"""),46.31)</f>
        <v>46.31</v>
      </c>
      <c r="C941" s="1">
        <f>IFERROR(__xludf.DUMMYFUNCTION("""COMPUTED_VALUE"""),46.63)</f>
        <v>46.63</v>
      </c>
      <c r="D941" s="1">
        <f>IFERROR(__xludf.DUMMYFUNCTION("""COMPUTED_VALUE"""),46.0)</f>
        <v>46</v>
      </c>
      <c r="E941" s="1">
        <f>IFERROR(__xludf.DUMMYFUNCTION("""COMPUTED_VALUE"""),46.54)</f>
        <v>46.54</v>
      </c>
      <c r="F941" s="1">
        <f>IFERROR(__xludf.DUMMYFUNCTION("""COMPUTED_VALUE"""),210842.0)</f>
        <v>210842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IFERROR(__xludf.DUMMYFUNCTION("""COMPUTED_VALUE"""),46.26)</f>
        <v>46.26</v>
      </c>
      <c r="C942" s="1">
        <f>IFERROR(__xludf.DUMMYFUNCTION("""COMPUTED_VALUE"""),46.62)</f>
        <v>46.62</v>
      </c>
      <c r="D942" s="1">
        <f>IFERROR(__xludf.DUMMYFUNCTION("""COMPUTED_VALUE"""),46.13)</f>
        <v>46.13</v>
      </c>
      <c r="E942" s="1">
        <f>IFERROR(__xludf.DUMMYFUNCTION("""COMPUTED_VALUE"""),46.25)</f>
        <v>46.25</v>
      </c>
      <c r="F942" s="1">
        <f>IFERROR(__xludf.DUMMYFUNCTION("""COMPUTED_VALUE"""),255183.0)</f>
        <v>255183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IFERROR(__xludf.DUMMYFUNCTION("""COMPUTED_VALUE"""),45.93)</f>
        <v>45.93</v>
      </c>
      <c r="C943" s="1">
        <f>IFERROR(__xludf.DUMMYFUNCTION("""COMPUTED_VALUE"""),46.47)</f>
        <v>46.47</v>
      </c>
      <c r="D943" s="1">
        <f>IFERROR(__xludf.DUMMYFUNCTION("""COMPUTED_VALUE"""),45.68)</f>
        <v>45.68</v>
      </c>
      <c r="E943" s="1">
        <f>IFERROR(__xludf.DUMMYFUNCTION("""COMPUTED_VALUE"""),46.26)</f>
        <v>46.26</v>
      </c>
      <c r="F943" s="1">
        <f>IFERROR(__xludf.DUMMYFUNCTION("""COMPUTED_VALUE"""),344808.0)</f>
        <v>344808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IFERROR(__xludf.DUMMYFUNCTION("""COMPUTED_VALUE"""),46.39)</f>
        <v>46.39</v>
      </c>
      <c r="C944" s="1">
        <f>IFERROR(__xludf.DUMMYFUNCTION("""COMPUTED_VALUE"""),47.06)</f>
        <v>47.06</v>
      </c>
      <c r="D944" s="1">
        <f>IFERROR(__xludf.DUMMYFUNCTION("""COMPUTED_VALUE"""),46.19)</f>
        <v>46.19</v>
      </c>
      <c r="E944" s="1">
        <f>IFERROR(__xludf.DUMMYFUNCTION("""COMPUTED_VALUE"""),46.62)</f>
        <v>46.62</v>
      </c>
      <c r="F944" s="1">
        <f>IFERROR(__xludf.DUMMYFUNCTION("""COMPUTED_VALUE"""),523809.0)</f>
        <v>523809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IFERROR(__xludf.DUMMYFUNCTION("""COMPUTED_VALUE"""),46.88)</f>
        <v>46.88</v>
      </c>
      <c r="C945" s="1">
        <f>IFERROR(__xludf.DUMMYFUNCTION("""COMPUTED_VALUE"""),47.41)</f>
        <v>47.41</v>
      </c>
      <c r="D945" s="1">
        <f>IFERROR(__xludf.DUMMYFUNCTION("""COMPUTED_VALUE"""),45.41)</f>
        <v>45.41</v>
      </c>
      <c r="E945" s="1">
        <f>IFERROR(__xludf.DUMMYFUNCTION("""COMPUTED_VALUE"""),46.83)</f>
        <v>46.83</v>
      </c>
      <c r="F945" s="1">
        <f>IFERROR(__xludf.DUMMYFUNCTION("""COMPUTED_VALUE"""),406400.0)</f>
        <v>406400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IFERROR(__xludf.DUMMYFUNCTION("""COMPUTED_VALUE"""),46.79)</f>
        <v>46.79</v>
      </c>
      <c r="C946" s="1">
        <f>IFERROR(__xludf.DUMMYFUNCTION("""COMPUTED_VALUE"""),46.94)</f>
        <v>46.94</v>
      </c>
      <c r="D946" s="1">
        <f>IFERROR(__xludf.DUMMYFUNCTION("""COMPUTED_VALUE"""),45.87)</f>
        <v>45.87</v>
      </c>
      <c r="E946" s="1">
        <f>IFERROR(__xludf.DUMMYFUNCTION("""COMPUTED_VALUE"""),46.7)</f>
        <v>46.7</v>
      </c>
      <c r="F946" s="1">
        <f>IFERROR(__xludf.DUMMYFUNCTION("""COMPUTED_VALUE"""),334027.0)</f>
        <v>334027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IFERROR(__xludf.DUMMYFUNCTION("""COMPUTED_VALUE"""),46.76)</f>
        <v>46.76</v>
      </c>
      <c r="C947" s="1">
        <f>IFERROR(__xludf.DUMMYFUNCTION("""COMPUTED_VALUE"""),47.39)</f>
        <v>47.39</v>
      </c>
      <c r="D947" s="1">
        <f>IFERROR(__xludf.DUMMYFUNCTION("""COMPUTED_VALUE"""),46.64)</f>
        <v>46.64</v>
      </c>
      <c r="E947" s="1">
        <f>IFERROR(__xludf.DUMMYFUNCTION("""COMPUTED_VALUE"""),47.13)</f>
        <v>47.13</v>
      </c>
      <c r="F947" s="1">
        <f>IFERROR(__xludf.DUMMYFUNCTION("""COMPUTED_VALUE"""),215520.0)</f>
        <v>215520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IFERROR(__xludf.DUMMYFUNCTION("""COMPUTED_VALUE"""),46.71)</f>
        <v>46.71</v>
      </c>
      <c r="C948" s="1">
        <f>IFERROR(__xludf.DUMMYFUNCTION("""COMPUTED_VALUE"""),46.86)</f>
        <v>46.86</v>
      </c>
      <c r="D948" s="1">
        <f>IFERROR(__xludf.DUMMYFUNCTION("""COMPUTED_VALUE"""),46.33)</f>
        <v>46.33</v>
      </c>
      <c r="E948" s="1">
        <f>IFERROR(__xludf.DUMMYFUNCTION("""COMPUTED_VALUE"""),46.35)</f>
        <v>46.35</v>
      </c>
      <c r="F948" s="1">
        <f>IFERROR(__xludf.DUMMYFUNCTION("""COMPUTED_VALUE"""),194079.0)</f>
        <v>194079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IFERROR(__xludf.DUMMYFUNCTION("""COMPUTED_VALUE"""),46.32)</f>
        <v>46.32</v>
      </c>
      <c r="C949" s="1">
        <f>IFERROR(__xludf.DUMMYFUNCTION("""COMPUTED_VALUE"""),46.39)</f>
        <v>46.39</v>
      </c>
      <c r="D949" s="1">
        <f>IFERROR(__xludf.DUMMYFUNCTION("""COMPUTED_VALUE"""),45.07)</f>
        <v>45.07</v>
      </c>
      <c r="E949" s="1">
        <f>IFERROR(__xludf.DUMMYFUNCTION("""COMPUTED_VALUE"""),45.11)</f>
        <v>45.11</v>
      </c>
      <c r="F949" s="1">
        <f>IFERROR(__xludf.DUMMYFUNCTION("""COMPUTED_VALUE"""),286160.0)</f>
        <v>286160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IFERROR(__xludf.DUMMYFUNCTION("""COMPUTED_VALUE"""),45.24)</f>
        <v>45.24</v>
      </c>
      <c r="C950" s="1">
        <f>IFERROR(__xludf.DUMMYFUNCTION("""COMPUTED_VALUE"""),45.24)</f>
        <v>45.24</v>
      </c>
      <c r="D950" s="1">
        <f>IFERROR(__xludf.DUMMYFUNCTION("""COMPUTED_VALUE"""),44.12)</f>
        <v>44.12</v>
      </c>
      <c r="E950" s="1">
        <f>IFERROR(__xludf.DUMMYFUNCTION("""COMPUTED_VALUE"""),44.67)</f>
        <v>44.67</v>
      </c>
      <c r="F950" s="1">
        <f>IFERROR(__xludf.DUMMYFUNCTION("""COMPUTED_VALUE"""),362612.0)</f>
        <v>362612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IFERROR(__xludf.DUMMYFUNCTION("""COMPUTED_VALUE"""),45.08)</f>
        <v>45.08</v>
      </c>
      <c r="C951" s="1">
        <f>IFERROR(__xludf.DUMMYFUNCTION("""COMPUTED_VALUE"""),45.74)</f>
        <v>45.74</v>
      </c>
      <c r="D951" s="1">
        <f>IFERROR(__xludf.DUMMYFUNCTION("""COMPUTED_VALUE"""),45.01)</f>
        <v>45.01</v>
      </c>
      <c r="E951" s="1">
        <f>IFERROR(__xludf.DUMMYFUNCTION("""COMPUTED_VALUE"""),45.66)</f>
        <v>45.66</v>
      </c>
      <c r="F951" s="1">
        <f>IFERROR(__xludf.DUMMYFUNCTION("""COMPUTED_VALUE"""),287199.0)</f>
        <v>287199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IFERROR(__xludf.DUMMYFUNCTION("""COMPUTED_VALUE"""),45.69)</f>
        <v>45.69</v>
      </c>
      <c r="C952" s="1">
        <f>IFERROR(__xludf.DUMMYFUNCTION("""COMPUTED_VALUE"""),45.92)</f>
        <v>45.92</v>
      </c>
      <c r="D952" s="1">
        <f>IFERROR(__xludf.DUMMYFUNCTION("""COMPUTED_VALUE"""),45.41)</f>
        <v>45.41</v>
      </c>
      <c r="E952" s="1">
        <f>IFERROR(__xludf.DUMMYFUNCTION("""COMPUTED_VALUE"""),45.78)</f>
        <v>45.78</v>
      </c>
      <c r="F952" s="1">
        <f>IFERROR(__xludf.DUMMYFUNCTION("""COMPUTED_VALUE"""),139467.0)</f>
        <v>139467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IFERROR(__xludf.DUMMYFUNCTION("""COMPUTED_VALUE"""),45.62)</f>
        <v>45.62</v>
      </c>
      <c r="C953" s="1">
        <f>IFERROR(__xludf.DUMMYFUNCTION("""COMPUTED_VALUE"""),46.4)</f>
        <v>46.4</v>
      </c>
      <c r="D953" s="1">
        <f>IFERROR(__xludf.DUMMYFUNCTION("""COMPUTED_VALUE"""),45.47)</f>
        <v>45.47</v>
      </c>
      <c r="E953" s="1">
        <f>IFERROR(__xludf.DUMMYFUNCTION("""COMPUTED_VALUE"""),46.29)</f>
        <v>46.29</v>
      </c>
      <c r="F953" s="1">
        <f>IFERROR(__xludf.DUMMYFUNCTION("""COMPUTED_VALUE"""),255948.0)</f>
        <v>255948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IFERROR(__xludf.DUMMYFUNCTION("""COMPUTED_VALUE"""),46.2)</f>
        <v>46.2</v>
      </c>
      <c r="C954" s="1">
        <f>IFERROR(__xludf.DUMMYFUNCTION("""COMPUTED_VALUE"""),46.47)</f>
        <v>46.47</v>
      </c>
      <c r="D954" s="1">
        <f>IFERROR(__xludf.DUMMYFUNCTION("""COMPUTED_VALUE"""),45.83)</f>
        <v>45.83</v>
      </c>
      <c r="E954" s="1">
        <f>IFERROR(__xludf.DUMMYFUNCTION("""COMPUTED_VALUE"""),45.92)</f>
        <v>45.92</v>
      </c>
      <c r="F954" s="1">
        <f>IFERROR(__xludf.DUMMYFUNCTION("""COMPUTED_VALUE"""),181431.0)</f>
        <v>181431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IFERROR(__xludf.DUMMYFUNCTION("""COMPUTED_VALUE"""),46.26)</f>
        <v>46.26</v>
      </c>
      <c r="C955" s="1">
        <f>IFERROR(__xludf.DUMMYFUNCTION("""COMPUTED_VALUE"""),46.92)</f>
        <v>46.92</v>
      </c>
      <c r="D955" s="1">
        <f>IFERROR(__xludf.DUMMYFUNCTION("""COMPUTED_VALUE"""),46.26)</f>
        <v>46.26</v>
      </c>
      <c r="E955" s="1">
        <f>IFERROR(__xludf.DUMMYFUNCTION("""COMPUTED_VALUE"""),46.79)</f>
        <v>46.79</v>
      </c>
      <c r="F955" s="1">
        <f>IFERROR(__xludf.DUMMYFUNCTION("""COMPUTED_VALUE"""),251933.0)</f>
        <v>251933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IFERROR(__xludf.DUMMYFUNCTION("""COMPUTED_VALUE"""),46.68)</f>
        <v>46.68</v>
      </c>
      <c r="C956" s="1">
        <f>IFERROR(__xludf.DUMMYFUNCTION("""COMPUTED_VALUE"""),47.88)</f>
        <v>47.88</v>
      </c>
      <c r="D956" s="1">
        <f>IFERROR(__xludf.DUMMYFUNCTION("""COMPUTED_VALUE"""),46.46)</f>
        <v>46.46</v>
      </c>
      <c r="E956" s="1">
        <f>IFERROR(__xludf.DUMMYFUNCTION("""COMPUTED_VALUE"""),47.73)</f>
        <v>47.73</v>
      </c>
      <c r="F956" s="1">
        <f>IFERROR(__xludf.DUMMYFUNCTION("""COMPUTED_VALUE"""),436185.0)</f>
        <v>436185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IFERROR(__xludf.DUMMYFUNCTION("""COMPUTED_VALUE"""),47.79)</f>
        <v>47.79</v>
      </c>
      <c r="C957" s="1">
        <f>IFERROR(__xludf.DUMMYFUNCTION("""COMPUTED_VALUE"""),47.94)</f>
        <v>47.94</v>
      </c>
      <c r="D957" s="1">
        <f>IFERROR(__xludf.DUMMYFUNCTION("""COMPUTED_VALUE"""),47.08)</f>
        <v>47.08</v>
      </c>
      <c r="E957" s="1">
        <f>IFERROR(__xludf.DUMMYFUNCTION("""COMPUTED_VALUE"""),47.6)</f>
        <v>47.6</v>
      </c>
      <c r="F957" s="1">
        <f>IFERROR(__xludf.DUMMYFUNCTION("""COMPUTED_VALUE"""),244827.0)</f>
        <v>244827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IFERROR(__xludf.DUMMYFUNCTION("""COMPUTED_VALUE"""),47.58)</f>
        <v>47.58</v>
      </c>
      <c r="C958" s="1">
        <f>IFERROR(__xludf.DUMMYFUNCTION("""COMPUTED_VALUE"""),47.81)</f>
        <v>47.81</v>
      </c>
      <c r="D958" s="1">
        <f>IFERROR(__xludf.DUMMYFUNCTION("""COMPUTED_VALUE"""),47.41)</f>
        <v>47.41</v>
      </c>
      <c r="E958" s="1">
        <f>IFERROR(__xludf.DUMMYFUNCTION("""COMPUTED_VALUE"""),47.81)</f>
        <v>47.81</v>
      </c>
      <c r="F958" s="1">
        <f>IFERROR(__xludf.DUMMYFUNCTION("""COMPUTED_VALUE"""),218430.0)</f>
        <v>218430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IFERROR(__xludf.DUMMYFUNCTION("""COMPUTED_VALUE"""),48.0)</f>
        <v>48</v>
      </c>
      <c r="C959" s="1">
        <f>IFERROR(__xludf.DUMMYFUNCTION("""COMPUTED_VALUE"""),48.12)</f>
        <v>48.12</v>
      </c>
      <c r="D959" s="1">
        <f>IFERROR(__xludf.DUMMYFUNCTION("""COMPUTED_VALUE"""),47.46)</f>
        <v>47.46</v>
      </c>
      <c r="E959" s="1">
        <f>IFERROR(__xludf.DUMMYFUNCTION("""COMPUTED_VALUE"""),47.82)</f>
        <v>47.82</v>
      </c>
      <c r="F959" s="1">
        <f>IFERROR(__xludf.DUMMYFUNCTION("""COMPUTED_VALUE"""),246079.0)</f>
        <v>246079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IFERROR(__xludf.DUMMYFUNCTION("""COMPUTED_VALUE"""),47.72)</f>
        <v>47.72</v>
      </c>
      <c r="C960" s="1">
        <f>IFERROR(__xludf.DUMMYFUNCTION("""COMPUTED_VALUE"""),48.38)</f>
        <v>48.38</v>
      </c>
      <c r="D960" s="1">
        <f>IFERROR(__xludf.DUMMYFUNCTION("""COMPUTED_VALUE"""),47.33)</f>
        <v>47.33</v>
      </c>
      <c r="E960" s="1">
        <f>IFERROR(__xludf.DUMMYFUNCTION("""COMPUTED_VALUE"""),48.35)</f>
        <v>48.35</v>
      </c>
      <c r="F960" s="1">
        <f>IFERROR(__xludf.DUMMYFUNCTION("""COMPUTED_VALUE"""),372567.0)</f>
        <v>372567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IFERROR(__xludf.DUMMYFUNCTION("""COMPUTED_VALUE"""),48.59)</f>
        <v>48.59</v>
      </c>
      <c r="C961" s="1">
        <f>IFERROR(__xludf.DUMMYFUNCTION("""COMPUTED_VALUE"""),49.24)</f>
        <v>49.24</v>
      </c>
      <c r="D961" s="1">
        <f>IFERROR(__xludf.DUMMYFUNCTION("""COMPUTED_VALUE"""),48.43)</f>
        <v>48.43</v>
      </c>
      <c r="E961" s="1">
        <f>IFERROR(__xludf.DUMMYFUNCTION("""COMPUTED_VALUE"""),49.22)</f>
        <v>49.22</v>
      </c>
      <c r="F961" s="1">
        <f>IFERROR(__xludf.DUMMYFUNCTION("""COMPUTED_VALUE"""),424956.0)</f>
        <v>424956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IFERROR(__xludf.DUMMYFUNCTION("""COMPUTED_VALUE"""),49.25)</f>
        <v>49.25</v>
      </c>
      <c r="C962" s="1">
        <f>IFERROR(__xludf.DUMMYFUNCTION("""COMPUTED_VALUE"""),49.48)</f>
        <v>49.48</v>
      </c>
      <c r="D962" s="1">
        <f>IFERROR(__xludf.DUMMYFUNCTION("""COMPUTED_VALUE"""),48.71)</f>
        <v>48.71</v>
      </c>
      <c r="E962" s="1">
        <f>IFERROR(__xludf.DUMMYFUNCTION("""COMPUTED_VALUE"""),49.43)</f>
        <v>49.43</v>
      </c>
      <c r="F962" s="1">
        <f>IFERROR(__xludf.DUMMYFUNCTION("""COMPUTED_VALUE"""),267212.0)</f>
        <v>267212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IFERROR(__xludf.DUMMYFUNCTION("""COMPUTED_VALUE"""),49.39)</f>
        <v>49.39</v>
      </c>
      <c r="C963" s="1">
        <f>IFERROR(__xludf.DUMMYFUNCTION("""COMPUTED_VALUE"""),49.45)</f>
        <v>49.45</v>
      </c>
      <c r="D963" s="1">
        <f>IFERROR(__xludf.DUMMYFUNCTION("""COMPUTED_VALUE"""),48.86)</f>
        <v>48.86</v>
      </c>
      <c r="E963" s="1">
        <f>IFERROR(__xludf.DUMMYFUNCTION("""COMPUTED_VALUE"""),49.12)</f>
        <v>49.12</v>
      </c>
      <c r="F963" s="1">
        <f>IFERROR(__xludf.DUMMYFUNCTION("""COMPUTED_VALUE"""),378228.0)</f>
        <v>378228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IFERROR(__xludf.DUMMYFUNCTION("""COMPUTED_VALUE"""),49.13)</f>
        <v>49.13</v>
      </c>
      <c r="C964" s="1">
        <f>IFERROR(__xludf.DUMMYFUNCTION("""COMPUTED_VALUE"""),49.17)</f>
        <v>49.17</v>
      </c>
      <c r="D964" s="1">
        <f>IFERROR(__xludf.DUMMYFUNCTION("""COMPUTED_VALUE"""),48.57)</f>
        <v>48.57</v>
      </c>
      <c r="E964" s="1">
        <f>IFERROR(__xludf.DUMMYFUNCTION("""COMPUTED_VALUE"""),48.99)</f>
        <v>48.99</v>
      </c>
      <c r="F964" s="1">
        <f>IFERROR(__xludf.DUMMYFUNCTION("""COMPUTED_VALUE"""),450806.0)</f>
        <v>450806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IFERROR(__xludf.DUMMYFUNCTION("""COMPUTED_VALUE"""),49.5)</f>
        <v>49.5</v>
      </c>
      <c r="C965" s="1">
        <f>IFERROR(__xludf.DUMMYFUNCTION("""COMPUTED_VALUE"""),49.5)</f>
        <v>49.5</v>
      </c>
      <c r="D965" s="1">
        <f>IFERROR(__xludf.DUMMYFUNCTION("""COMPUTED_VALUE"""),48.33)</f>
        <v>48.33</v>
      </c>
      <c r="E965" s="1">
        <f>IFERROR(__xludf.DUMMYFUNCTION("""COMPUTED_VALUE"""),48.55)</f>
        <v>48.55</v>
      </c>
      <c r="F965" s="1">
        <f>IFERROR(__xludf.DUMMYFUNCTION("""COMPUTED_VALUE"""),587505.0)</f>
        <v>587505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IFERROR(__xludf.DUMMYFUNCTION("""COMPUTED_VALUE"""),48.45)</f>
        <v>48.45</v>
      </c>
      <c r="C966" s="1">
        <f>IFERROR(__xludf.DUMMYFUNCTION("""COMPUTED_VALUE"""),49.32)</f>
        <v>49.32</v>
      </c>
      <c r="D966" s="1">
        <f>IFERROR(__xludf.DUMMYFUNCTION("""COMPUTED_VALUE"""),48.21)</f>
        <v>48.21</v>
      </c>
      <c r="E966" s="1">
        <f>IFERROR(__xludf.DUMMYFUNCTION("""COMPUTED_VALUE"""),49.21)</f>
        <v>49.21</v>
      </c>
      <c r="F966" s="1">
        <f>IFERROR(__xludf.DUMMYFUNCTION("""COMPUTED_VALUE"""),485074.0)</f>
        <v>485074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IFERROR(__xludf.DUMMYFUNCTION("""COMPUTED_VALUE"""),49.44)</f>
        <v>49.44</v>
      </c>
      <c r="C967" s="1">
        <f>IFERROR(__xludf.DUMMYFUNCTION("""COMPUTED_VALUE"""),49.87)</f>
        <v>49.87</v>
      </c>
      <c r="D967" s="1">
        <f>IFERROR(__xludf.DUMMYFUNCTION("""COMPUTED_VALUE"""),49.21)</f>
        <v>49.21</v>
      </c>
      <c r="E967" s="1">
        <f>IFERROR(__xludf.DUMMYFUNCTION("""COMPUTED_VALUE"""),49.61)</f>
        <v>49.61</v>
      </c>
      <c r="F967" s="1">
        <f>IFERROR(__xludf.DUMMYFUNCTION("""COMPUTED_VALUE"""),507666.0)</f>
        <v>507666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IFERROR(__xludf.DUMMYFUNCTION("""COMPUTED_VALUE"""),49.76)</f>
        <v>49.76</v>
      </c>
      <c r="C968" s="1">
        <f>IFERROR(__xludf.DUMMYFUNCTION("""COMPUTED_VALUE"""),50.18)</f>
        <v>50.18</v>
      </c>
      <c r="D968" s="1">
        <f>IFERROR(__xludf.DUMMYFUNCTION("""COMPUTED_VALUE"""),49.73)</f>
        <v>49.73</v>
      </c>
      <c r="E968" s="1">
        <f>IFERROR(__xludf.DUMMYFUNCTION("""COMPUTED_VALUE"""),49.82)</f>
        <v>49.82</v>
      </c>
      <c r="F968" s="1">
        <f>IFERROR(__xludf.DUMMYFUNCTION("""COMPUTED_VALUE"""),648503.0)</f>
        <v>648503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IFERROR(__xludf.DUMMYFUNCTION("""COMPUTED_VALUE"""),49.8)</f>
        <v>49.8</v>
      </c>
      <c r="C969" s="1">
        <f>IFERROR(__xludf.DUMMYFUNCTION("""COMPUTED_VALUE"""),51.12)</f>
        <v>51.12</v>
      </c>
      <c r="D969" s="1">
        <f>IFERROR(__xludf.DUMMYFUNCTION("""COMPUTED_VALUE"""),49.6)</f>
        <v>49.6</v>
      </c>
      <c r="E969" s="1">
        <f>IFERROR(__xludf.DUMMYFUNCTION("""COMPUTED_VALUE"""),50.96)</f>
        <v>50.96</v>
      </c>
      <c r="F969" s="1">
        <f>IFERROR(__xludf.DUMMYFUNCTION("""COMPUTED_VALUE"""),678371.0)</f>
        <v>678371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IFERROR(__xludf.DUMMYFUNCTION("""COMPUTED_VALUE"""),51.0)</f>
        <v>51</v>
      </c>
      <c r="C970" s="1">
        <f>IFERROR(__xludf.DUMMYFUNCTION("""COMPUTED_VALUE"""),51.11)</f>
        <v>51.11</v>
      </c>
      <c r="D970" s="1">
        <f>IFERROR(__xludf.DUMMYFUNCTION("""COMPUTED_VALUE"""),50.09)</f>
        <v>50.09</v>
      </c>
      <c r="E970" s="1">
        <f>IFERROR(__xludf.DUMMYFUNCTION("""COMPUTED_VALUE"""),50.14)</f>
        <v>50.14</v>
      </c>
      <c r="F970" s="1">
        <f>IFERROR(__xludf.DUMMYFUNCTION("""COMPUTED_VALUE"""),492225.0)</f>
        <v>492225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IFERROR(__xludf.DUMMYFUNCTION("""COMPUTED_VALUE"""),50.21)</f>
        <v>50.21</v>
      </c>
      <c r="C971" s="1">
        <f>IFERROR(__xludf.DUMMYFUNCTION("""COMPUTED_VALUE"""),50.66)</f>
        <v>50.66</v>
      </c>
      <c r="D971" s="1">
        <f>IFERROR(__xludf.DUMMYFUNCTION("""COMPUTED_VALUE"""),49.25)</f>
        <v>49.25</v>
      </c>
      <c r="E971" s="1">
        <f>IFERROR(__xludf.DUMMYFUNCTION("""COMPUTED_VALUE"""),49.33)</f>
        <v>49.33</v>
      </c>
      <c r="F971" s="1">
        <f>IFERROR(__xludf.DUMMYFUNCTION("""COMPUTED_VALUE"""),500326.0)</f>
        <v>500326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IFERROR(__xludf.DUMMYFUNCTION("""COMPUTED_VALUE"""),49.42)</f>
        <v>49.42</v>
      </c>
      <c r="C972" s="1">
        <f>IFERROR(__xludf.DUMMYFUNCTION("""COMPUTED_VALUE"""),50.39)</f>
        <v>50.39</v>
      </c>
      <c r="D972" s="1">
        <f>IFERROR(__xludf.DUMMYFUNCTION("""COMPUTED_VALUE"""),49.39)</f>
        <v>49.39</v>
      </c>
      <c r="E972" s="1">
        <f>IFERROR(__xludf.DUMMYFUNCTION("""COMPUTED_VALUE"""),49.87)</f>
        <v>49.87</v>
      </c>
      <c r="F972" s="1">
        <f>IFERROR(__xludf.DUMMYFUNCTION("""COMPUTED_VALUE"""),351996.0)</f>
        <v>351996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IFERROR(__xludf.DUMMYFUNCTION("""COMPUTED_VALUE"""),49.91)</f>
        <v>49.91</v>
      </c>
      <c r="C973" s="1">
        <f>IFERROR(__xludf.DUMMYFUNCTION("""COMPUTED_VALUE"""),50.47)</f>
        <v>50.47</v>
      </c>
      <c r="D973" s="1">
        <f>IFERROR(__xludf.DUMMYFUNCTION("""COMPUTED_VALUE"""),49.74)</f>
        <v>49.74</v>
      </c>
      <c r="E973" s="1">
        <f>IFERROR(__xludf.DUMMYFUNCTION("""COMPUTED_VALUE"""),49.98)</f>
        <v>49.98</v>
      </c>
      <c r="F973" s="1">
        <f>IFERROR(__xludf.DUMMYFUNCTION("""COMPUTED_VALUE"""),316906.0)</f>
        <v>316906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IFERROR(__xludf.DUMMYFUNCTION("""COMPUTED_VALUE"""),49.62)</f>
        <v>49.62</v>
      </c>
      <c r="C974" s="1">
        <f>IFERROR(__xludf.DUMMYFUNCTION("""COMPUTED_VALUE"""),51.02)</f>
        <v>51.02</v>
      </c>
      <c r="D974" s="1">
        <f>IFERROR(__xludf.DUMMYFUNCTION("""COMPUTED_VALUE"""),49.62)</f>
        <v>49.62</v>
      </c>
      <c r="E974" s="1">
        <f>IFERROR(__xludf.DUMMYFUNCTION("""COMPUTED_VALUE"""),50.98)</f>
        <v>50.98</v>
      </c>
      <c r="F974" s="1">
        <f>IFERROR(__xludf.DUMMYFUNCTION("""COMPUTED_VALUE"""),492929.0)</f>
        <v>492929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IFERROR(__xludf.DUMMYFUNCTION("""COMPUTED_VALUE"""),50.69)</f>
        <v>50.69</v>
      </c>
      <c r="C975" s="1">
        <f>IFERROR(__xludf.DUMMYFUNCTION("""COMPUTED_VALUE"""),51.28)</f>
        <v>51.28</v>
      </c>
      <c r="D975" s="1">
        <f>IFERROR(__xludf.DUMMYFUNCTION("""COMPUTED_VALUE"""),50.69)</f>
        <v>50.69</v>
      </c>
      <c r="E975" s="1">
        <f>IFERROR(__xludf.DUMMYFUNCTION("""COMPUTED_VALUE"""),51.03)</f>
        <v>51.03</v>
      </c>
      <c r="F975" s="1">
        <f>IFERROR(__xludf.DUMMYFUNCTION("""COMPUTED_VALUE"""),516726.0)</f>
        <v>516726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IFERROR(__xludf.DUMMYFUNCTION("""COMPUTED_VALUE"""),50.98)</f>
        <v>50.98</v>
      </c>
      <c r="C976" s="1">
        <f>IFERROR(__xludf.DUMMYFUNCTION("""COMPUTED_VALUE"""),51.74)</f>
        <v>51.74</v>
      </c>
      <c r="D976" s="1">
        <f>IFERROR(__xludf.DUMMYFUNCTION("""COMPUTED_VALUE"""),50.98)</f>
        <v>50.98</v>
      </c>
      <c r="E976" s="1">
        <f>IFERROR(__xludf.DUMMYFUNCTION("""COMPUTED_VALUE"""),51.65)</f>
        <v>51.65</v>
      </c>
      <c r="F976" s="1">
        <f>IFERROR(__xludf.DUMMYFUNCTION("""COMPUTED_VALUE"""),346189.0)</f>
        <v>346189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IFERROR(__xludf.DUMMYFUNCTION("""COMPUTED_VALUE"""),51.58)</f>
        <v>51.58</v>
      </c>
      <c r="C977" s="1">
        <f>IFERROR(__xludf.DUMMYFUNCTION("""COMPUTED_VALUE"""),51.84)</f>
        <v>51.84</v>
      </c>
      <c r="D977" s="1">
        <f>IFERROR(__xludf.DUMMYFUNCTION("""COMPUTED_VALUE"""),51.34)</f>
        <v>51.34</v>
      </c>
      <c r="E977" s="1">
        <f>IFERROR(__xludf.DUMMYFUNCTION("""COMPUTED_VALUE"""),51.73)</f>
        <v>51.73</v>
      </c>
      <c r="F977" s="1">
        <f>IFERROR(__xludf.DUMMYFUNCTION("""COMPUTED_VALUE"""),365883.0)</f>
        <v>365883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IFERROR(__xludf.DUMMYFUNCTION("""COMPUTED_VALUE"""),51.9)</f>
        <v>51.9</v>
      </c>
      <c r="C978" s="1">
        <f>IFERROR(__xludf.DUMMYFUNCTION("""COMPUTED_VALUE"""),51.9)</f>
        <v>51.9</v>
      </c>
      <c r="D978" s="1">
        <f>IFERROR(__xludf.DUMMYFUNCTION("""COMPUTED_VALUE"""),50.8)</f>
        <v>50.8</v>
      </c>
      <c r="E978" s="1">
        <f>IFERROR(__xludf.DUMMYFUNCTION("""COMPUTED_VALUE"""),51.1)</f>
        <v>51.1</v>
      </c>
      <c r="F978" s="1">
        <f>IFERROR(__xludf.DUMMYFUNCTION("""COMPUTED_VALUE"""),376036.0)</f>
        <v>376036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IFERROR(__xludf.DUMMYFUNCTION("""COMPUTED_VALUE"""),51.0)</f>
        <v>51</v>
      </c>
      <c r="C979" s="1">
        <f>IFERROR(__xludf.DUMMYFUNCTION("""COMPUTED_VALUE"""),51.52)</f>
        <v>51.52</v>
      </c>
      <c r="D979" s="1">
        <f>IFERROR(__xludf.DUMMYFUNCTION("""COMPUTED_VALUE"""),50.79)</f>
        <v>50.79</v>
      </c>
      <c r="E979" s="1">
        <f>IFERROR(__xludf.DUMMYFUNCTION("""COMPUTED_VALUE"""),51.24)</f>
        <v>51.24</v>
      </c>
      <c r="F979" s="1">
        <f>IFERROR(__xludf.DUMMYFUNCTION("""COMPUTED_VALUE"""),231725.0)</f>
        <v>231725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IFERROR(__xludf.DUMMYFUNCTION("""COMPUTED_VALUE"""),51.36)</f>
        <v>51.36</v>
      </c>
      <c r="C980" s="1">
        <f>IFERROR(__xludf.DUMMYFUNCTION("""COMPUTED_VALUE"""),51.9)</f>
        <v>51.9</v>
      </c>
      <c r="D980" s="1">
        <f>IFERROR(__xludf.DUMMYFUNCTION("""COMPUTED_VALUE"""),51.12)</f>
        <v>51.12</v>
      </c>
      <c r="E980" s="1">
        <f>IFERROR(__xludf.DUMMYFUNCTION("""COMPUTED_VALUE"""),51.51)</f>
        <v>51.51</v>
      </c>
      <c r="F980" s="1">
        <f>IFERROR(__xludf.DUMMYFUNCTION("""COMPUTED_VALUE"""),285269.0)</f>
        <v>285269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IFERROR(__xludf.DUMMYFUNCTION("""COMPUTED_VALUE"""),51.24)</f>
        <v>51.24</v>
      </c>
      <c r="C981" s="1">
        <f>IFERROR(__xludf.DUMMYFUNCTION("""COMPUTED_VALUE"""),51.83)</f>
        <v>51.83</v>
      </c>
      <c r="D981" s="1">
        <f>IFERROR(__xludf.DUMMYFUNCTION("""COMPUTED_VALUE"""),51.24)</f>
        <v>51.24</v>
      </c>
      <c r="E981" s="1">
        <f>IFERROR(__xludf.DUMMYFUNCTION("""COMPUTED_VALUE"""),51.56)</f>
        <v>51.56</v>
      </c>
      <c r="F981" s="1">
        <f>IFERROR(__xludf.DUMMYFUNCTION("""COMPUTED_VALUE"""),358153.0)</f>
        <v>358153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IFERROR(__xludf.DUMMYFUNCTION("""COMPUTED_VALUE"""),51.59)</f>
        <v>51.59</v>
      </c>
      <c r="C982" s="1">
        <f>IFERROR(__xludf.DUMMYFUNCTION("""COMPUTED_VALUE"""),52.46)</f>
        <v>52.46</v>
      </c>
      <c r="D982" s="1">
        <f>IFERROR(__xludf.DUMMYFUNCTION("""COMPUTED_VALUE"""),51.5)</f>
        <v>51.5</v>
      </c>
      <c r="E982" s="1">
        <f>IFERROR(__xludf.DUMMYFUNCTION("""COMPUTED_VALUE"""),52.11)</f>
        <v>52.11</v>
      </c>
      <c r="F982" s="1">
        <f>IFERROR(__xludf.DUMMYFUNCTION("""COMPUTED_VALUE"""),527712.0)</f>
        <v>527712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IFERROR(__xludf.DUMMYFUNCTION("""COMPUTED_VALUE"""),52.14)</f>
        <v>52.14</v>
      </c>
      <c r="C983" s="1">
        <f>IFERROR(__xludf.DUMMYFUNCTION("""COMPUTED_VALUE"""),52.72)</f>
        <v>52.72</v>
      </c>
      <c r="D983" s="1">
        <f>IFERROR(__xludf.DUMMYFUNCTION("""COMPUTED_VALUE"""),52.05)</f>
        <v>52.05</v>
      </c>
      <c r="E983" s="1">
        <f>IFERROR(__xludf.DUMMYFUNCTION("""COMPUTED_VALUE"""),52.45)</f>
        <v>52.45</v>
      </c>
      <c r="F983" s="1">
        <f>IFERROR(__xludf.DUMMYFUNCTION("""COMPUTED_VALUE"""),348732.0)</f>
        <v>348732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IFERROR(__xludf.DUMMYFUNCTION("""COMPUTED_VALUE"""),52.37)</f>
        <v>52.37</v>
      </c>
      <c r="C984" s="1">
        <f>IFERROR(__xludf.DUMMYFUNCTION("""COMPUTED_VALUE"""),52.56)</f>
        <v>52.56</v>
      </c>
      <c r="D984" s="1">
        <f>IFERROR(__xludf.DUMMYFUNCTION("""COMPUTED_VALUE"""),52.18)</f>
        <v>52.18</v>
      </c>
      <c r="E984" s="1">
        <f>IFERROR(__xludf.DUMMYFUNCTION("""COMPUTED_VALUE"""),52.28)</f>
        <v>52.28</v>
      </c>
      <c r="F984" s="1">
        <f>IFERROR(__xludf.DUMMYFUNCTION("""COMPUTED_VALUE"""),289931.0)</f>
        <v>289931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IFERROR(__xludf.DUMMYFUNCTION("""COMPUTED_VALUE"""),52.39)</f>
        <v>52.39</v>
      </c>
      <c r="C985" s="1">
        <f>IFERROR(__xludf.DUMMYFUNCTION("""COMPUTED_VALUE"""),52.39)</f>
        <v>52.39</v>
      </c>
      <c r="D985" s="1">
        <f>IFERROR(__xludf.DUMMYFUNCTION("""COMPUTED_VALUE"""),52.0)</f>
        <v>52</v>
      </c>
      <c r="E985" s="1">
        <f>IFERROR(__xludf.DUMMYFUNCTION("""COMPUTED_VALUE"""),52.04)</f>
        <v>52.04</v>
      </c>
      <c r="F985" s="1">
        <f>IFERROR(__xludf.DUMMYFUNCTION("""COMPUTED_VALUE"""),225387.0)</f>
        <v>225387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IFERROR(__xludf.DUMMYFUNCTION("""COMPUTED_VALUE"""),52.07)</f>
        <v>52.07</v>
      </c>
      <c r="C986" s="1">
        <f>IFERROR(__xludf.DUMMYFUNCTION("""COMPUTED_VALUE"""),52.31)</f>
        <v>52.31</v>
      </c>
      <c r="D986" s="1">
        <f>IFERROR(__xludf.DUMMYFUNCTION("""COMPUTED_VALUE"""),51.73)</f>
        <v>51.73</v>
      </c>
      <c r="E986" s="1">
        <f>IFERROR(__xludf.DUMMYFUNCTION("""COMPUTED_VALUE"""),52.17)</f>
        <v>52.17</v>
      </c>
      <c r="F986" s="1">
        <f>IFERROR(__xludf.DUMMYFUNCTION("""COMPUTED_VALUE"""),120288.0)</f>
        <v>120288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IFERROR(__xludf.DUMMYFUNCTION("""COMPUTED_VALUE"""),52.22)</f>
        <v>52.22</v>
      </c>
      <c r="C987" s="1">
        <f>IFERROR(__xludf.DUMMYFUNCTION("""COMPUTED_VALUE"""),52.98)</f>
        <v>52.98</v>
      </c>
      <c r="D987" s="1">
        <f>IFERROR(__xludf.DUMMYFUNCTION("""COMPUTED_VALUE"""),51.91)</f>
        <v>51.91</v>
      </c>
      <c r="E987" s="1">
        <f>IFERROR(__xludf.DUMMYFUNCTION("""COMPUTED_VALUE"""),52.07)</f>
        <v>52.07</v>
      </c>
      <c r="F987" s="1">
        <f>IFERROR(__xludf.DUMMYFUNCTION("""COMPUTED_VALUE"""),421947.0)</f>
        <v>421947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IFERROR(__xludf.DUMMYFUNCTION("""COMPUTED_VALUE"""),51.87)</f>
        <v>51.87</v>
      </c>
      <c r="C988" s="1">
        <f>IFERROR(__xludf.DUMMYFUNCTION("""COMPUTED_VALUE"""),52.36)</f>
        <v>52.36</v>
      </c>
      <c r="D988" s="1">
        <f>IFERROR(__xludf.DUMMYFUNCTION("""COMPUTED_VALUE"""),51.4)</f>
        <v>51.4</v>
      </c>
      <c r="E988" s="1">
        <f>IFERROR(__xludf.DUMMYFUNCTION("""COMPUTED_VALUE"""),51.65)</f>
        <v>51.65</v>
      </c>
      <c r="F988" s="1">
        <f>IFERROR(__xludf.DUMMYFUNCTION("""COMPUTED_VALUE"""),387793.0)</f>
        <v>387793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IFERROR(__xludf.DUMMYFUNCTION("""COMPUTED_VALUE"""),51.71)</f>
        <v>51.71</v>
      </c>
      <c r="C989" s="1">
        <f>IFERROR(__xludf.DUMMYFUNCTION("""COMPUTED_VALUE"""),52.07)</f>
        <v>52.07</v>
      </c>
      <c r="D989" s="1">
        <f>IFERROR(__xludf.DUMMYFUNCTION("""COMPUTED_VALUE"""),51.24)</f>
        <v>51.24</v>
      </c>
      <c r="E989" s="1">
        <f>IFERROR(__xludf.DUMMYFUNCTION("""COMPUTED_VALUE"""),51.77)</f>
        <v>51.77</v>
      </c>
      <c r="F989" s="1">
        <f>IFERROR(__xludf.DUMMYFUNCTION("""COMPUTED_VALUE"""),330503.0)</f>
        <v>330503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IFERROR(__xludf.DUMMYFUNCTION("""COMPUTED_VALUE"""),51.66)</f>
        <v>51.66</v>
      </c>
      <c r="C990" s="1">
        <f>IFERROR(__xludf.DUMMYFUNCTION("""COMPUTED_VALUE"""),52.26)</f>
        <v>52.26</v>
      </c>
      <c r="D990" s="1">
        <f>IFERROR(__xludf.DUMMYFUNCTION("""COMPUTED_VALUE"""),51.05)</f>
        <v>51.05</v>
      </c>
      <c r="E990" s="1">
        <f>IFERROR(__xludf.DUMMYFUNCTION("""COMPUTED_VALUE"""),52.06)</f>
        <v>52.06</v>
      </c>
      <c r="F990" s="1">
        <f>IFERROR(__xludf.DUMMYFUNCTION("""COMPUTED_VALUE"""),345884.0)</f>
        <v>345884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IFERROR(__xludf.DUMMYFUNCTION("""COMPUTED_VALUE"""),52.3)</f>
        <v>52.3</v>
      </c>
      <c r="C991" s="1">
        <f>IFERROR(__xludf.DUMMYFUNCTION("""COMPUTED_VALUE"""),53.01)</f>
        <v>53.01</v>
      </c>
      <c r="D991" s="1">
        <f>IFERROR(__xludf.DUMMYFUNCTION("""COMPUTED_VALUE"""),52.19)</f>
        <v>52.19</v>
      </c>
      <c r="E991" s="1">
        <f>IFERROR(__xludf.DUMMYFUNCTION("""COMPUTED_VALUE"""),52.92)</f>
        <v>52.92</v>
      </c>
      <c r="F991" s="1">
        <f>IFERROR(__xludf.DUMMYFUNCTION("""COMPUTED_VALUE"""),451318.0)</f>
        <v>451318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IFERROR(__xludf.DUMMYFUNCTION("""COMPUTED_VALUE"""),52.88)</f>
        <v>52.88</v>
      </c>
      <c r="C992" s="1">
        <f>IFERROR(__xludf.DUMMYFUNCTION("""COMPUTED_VALUE"""),53.03)</f>
        <v>53.03</v>
      </c>
      <c r="D992" s="1">
        <f>IFERROR(__xludf.DUMMYFUNCTION("""COMPUTED_VALUE"""),52.38)</f>
        <v>52.38</v>
      </c>
      <c r="E992" s="1">
        <f>IFERROR(__xludf.DUMMYFUNCTION("""COMPUTED_VALUE"""),52.88)</f>
        <v>52.88</v>
      </c>
      <c r="F992" s="1">
        <f>IFERROR(__xludf.DUMMYFUNCTION("""COMPUTED_VALUE"""),394439.0)</f>
        <v>394439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IFERROR(__xludf.DUMMYFUNCTION("""COMPUTED_VALUE"""),52.63)</f>
        <v>52.63</v>
      </c>
      <c r="C993" s="1">
        <f>IFERROR(__xludf.DUMMYFUNCTION("""COMPUTED_VALUE"""),53.18)</f>
        <v>53.18</v>
      </c>
      <c r="D993" s="1">
        <f>IFERROR(__xludf.DUMMYFUNCTION("""COMPUTED_VALUE"""),52.34)</f>
        <v>52.34</v>
      </c>
      <c r="E993" s="1">
        <f>IFERROR(__xludf.DUMMYFUNCTION("""COMPUTED_VALUE"""),52.62)</f>
        <v>52.62</v>
      </c>
      <c r="F993" s="1">
        <f>IFERROR(__xludf.DUMMYFUNCTION("""COMPUTED_VALUE"""),238214.0)</f>
        <v>238214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IFERROR(__xludf.DUMMYFUNCTION("""COMPUTED_VALUE"""),53.5)</f>
        <v>53.5</v>
      </c>
      <c r="C994" s="1">
        <f>IFERROR(__xludf.DUMMYFUNCTION("""COMPUTED_VALUE"""),53.81)</f>
        <v>53.81</v>
      </c>
      <c r="D994" s="1">
        <f>IFERROR(__xludf.DUMMYFUNCTION("""COMPUTED_VALUE"""),52.11)</f>
        <v>52.11</v>
      </c>
      <c r="E994" s="1">
        <f>IFERROR(__xludf.DUMMYFUNCTION("""COMPUTED_VALUE"""),52.15)</f>
        <v>52.15</v>
      </c>
      <c r="F994" s="1">
        <f>IFERROR(__xludf.DUMMYFUNCTION("""COMPUTED_VALUE"""),451433.0)</f>
        <v>451433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IFERROR(__xludf.DUMMYFUNCTION("""COMPUTED_VALUE"""),52.15)</f>
        <v>52.15</v>
      </c>
      <c r="C995" s="1">
        <f>IFERROR(__xludf.DUMMYFUNCTION("""COMPUTED_VALUE"""),52.59)</f>
        <v>52.59</v>
      </c>
      <c r="D995" s="1">
        <f>IFERROR(__xludf.DUMMYFUNCTION("""COMPUTED_VALUE"""),51.94)</f>
        <v>51.94</v>
      </c>
      <c r="E995" s="1">
        <f>IFERROR(__xludf.DUMMYFUNCTION("""COMPUTED_VALUE"""),52.36)</f>
        <v>52.36</v>
      </c>
      <c r="F995" s="1">
        <f>IFERROR(__xludf.DUMMYFUNCTION("""COMPUTED_VALUE"""),276924.0)</f>
        <v>276924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IFERROR(__xludf.DUMMYFUNCTION("""COMPUTED_VALUE"""),52.54)</f>
        <v>52.54</v>
      </c>
      <c r="C996" s="1">
        <f>IFERROR(__xludf.DUMMYFUNCTION("""COMPUTED_VALUE"""),52.7)</f>
        <v>52.7</v>
      </c>
      <c r="D996" s="1">
        <f>IFERROR(__xludf.DUMMYFUNCTION("""COMPUTED_VALUE"""),52.12)</f>
        <v>52.12</v>
      </c>
      <c r="E996" s="1">
        <f>IFERROR(__xludf.DUMMYFUNCTION("""COMPUTED_VALUE"""),52.54)</f>
        <v>52.54</v>
      </c>
      <c r="F996" s="1">
        <f>IFERROR(__xludf.DUMMYFUNCTION("""COMPUTED_VALUE"""),293173.0)</f>
        <v>293173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IFERROR(__xludf.DUMMYFUNCTION("""COMPUTED_VALUE"""),52.43)</f>
        <v>52.43</v>
      </c>
      <c r="C997" s="1">
        <f>IFERROR(__xludf.DUMMYFUNCTION("""COMPUTED_VALUE"""),53.24)</f>
        <v>53.24</v>
      </c>
      <c r="D997" s="1">
        <f>IFERROR(__xludf.DUMMYFUNCTION("""COMPUTED_VALUE"""),52.43)</f>
        <v>52.43</v>
      </c>
      <c r="E997" s="1">
        <f>IFERROR(__xludf.DUMMYFUNCTION("""COMPUTED_VALUE"""),52.8)</f>
        <v>52.8</v>
      </c>
      <c r="F997" s="1">
        <f>IFERROR(__xludf.DUMMYFUNCTION("""COMPUTED_VALUE"""),284131.0)</f>
        <v>284131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IFERROR(__xludf.DUMMYFUNCTION("""COMPUTED_VALUE"""),52.89)</f>
        <v>52.89</v>
      </c>
      <c r="C998" s="1">
        <f>IFERROR(__xludf.DUMMYFUNCTION("""COMPUTED_VALUE"""),52.89)</f>
        <v>52.89</v>
      </c>
      <c r="D998" s="1">
        <f>IFERROR(__xludf.DUMMYFUNCTION("""COMPUTED_VALUE"""),52.09)</f>
        <v>52.09</v>
      </c>
      <c r="E998" s="1">
        <f>IFERROR(__xludf.DUMMYFUNCTION("""COMPUTED_VALUE"""),52.17)</f>
        <v>52.17</v>
      </c>
      <c r="F998" s="1">
        <f>IFERROR(__xludf.DUMMYFUNCTION("""COMPUTED_VALUE"""),309854.0)</f>
        <v>309854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IFERROR(__xludf.DUMMYFUNCTION("""COMPUTED_VALUE"""),52.25)</f>
        <v>52.25</v>
      </c>
      <c r="C999" s="1">
        <f>IFERROR(__xludf.DUMMYFUNCTION("""COMPUTED_VALUE"""),52.91)</f>
        <v>52.91</v>
      </c>
      <c r="D999" s="1">
        <f>IFERROR(__xludf.DUMMYFUNCTION("""COMPUTED_VALUE"""),51.99)</f>
        <v>51.99</v>
      </c>
      <c r="E999" s="1">
        <f>IFERROR(__xludf.DUMMYFUNCTION("""COMPUTED_VALUE"""),52.78)</f>
        <v>52.78</v>
      </c>
      <c r="F999" s="1">
        <f>IFERROR(__xludf.DUMMYFUNCTION("""COMPUTED_VALUE"""),438741.0)</f>
        <v>438741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IFERROR(__xludf.DUMMYFUNCTION("""COMPUTED_VALUE"""),52.61)</f>
        <v>52.61</v>
      </c>
      <c r="C1000" s="1">
        <f>IFERROR(__xludf.DUMMYFUNCTION("""COMPUTED_VALUE"""),52.99)</f>
        <v>52.99</v>
      </c>
      <c r="D1000" s="1">
        <f>IFERROR(__xludf.DUMMYFUNCTION("""COMPUTED_VALUE"""),52.1)</f>
        <v>52.1</v>
      </c>
      <c r="E1000" s="1">
        <f>IFERROR(__xludf.DUMMYFUNCTION("""COMPUTED_VALUE"""),52.29)</f>
        <v>52.29</v>
      </c>
      <c r="F1000" s="1">
        <f>IFERROR(__xludf.DUMMYFUNCTION("""COMPUTED_VALUE"""),423374.0)</f>
        <v>423374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IFERROR(__xludf.DUMMYFUNCTION("""COMPUTED_VALUE"""),52.43)</f>
        <v>52.43</v>
      </c>
      <c r="C1001" s="1">
        <f>IFERROR(__xludf.DUMMYFUNCTION("""COMPUTED_VALUE"""),53.14)</f>
        <v>53.14</v>
      </c>
      <c r="D1001" s="1">
        <f>IFERROR(__xludf.DUMMYFUNCTION("""COMPUTED_VALUE"""),52.34)</f>
        <v>52.34</v>
      </c>
      <c r="E1001" s="1">
        <f>IFERROR(__xludf.DUMMYFUNCTION("""COMPUTED_VALUE"""),52.75)</f>
        <v>52.75</v>
      </c>
      <c r="F1001" s="1">
        <f>IFERROR(__xludf.DUMMYFUNCTION("""COMPUTED_VALUE"""),810175.0)</f>
        <v>810175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IFERROR(__xludf.DUMMYFUNCTION("""COMPUTED_VALUE"""),52.72)</f>
        <v>52.72</v>
      </c>
      <c r="C1002" s="1">
        <f>IFERROR(__xludf.DUMMYFUNCTION("""COMPUTED_VALUE"""),53.09)</f>
        <v>53.09</v>
      </c>
      <c r="D1002" s="1">
        <f>IFERROR(__xludf.DUMMYFUNCTION("""COMPUTED_VALUE"""),52.24)</f>
        <v>52.24</v>
      </c>
      <c r="E1002" s="1">
        <f>IFERROR(__xludf.DUMMYFUNCTION("""COMPUTED_VALUE"""),52.95)</f>
        <v>52.95</v>
      </c>
      <c r="F1002" s="1">
        <f>IFERROR(__xludf.DUMMYFUNCTION("""COMPUTED_VALUE"""),437712.0)</f>
        <v>437712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IFERROR(__xludf.DUMMYFUNCTION("""COMPUTED_VALUE"""),52.99)</f>
        <v>52.99</v>
      </c>
      <c r="C1003" s="1">
        <f>IFERROR(__xludf.DUMMYFUNCTION("""COMPUTED_VALUE"""),53.46)</f>
        <v>53.46</v>
      </c>
      <c r="D1003" s="1">
        <f>IFERROR(__xludf.DUMMYFUNCTION("""COMPUTED_VALUE"""),52.81)</f>
        <v>52.81</v>
      </c>
      <c r="E1003" s="1">
        <f>IFERROR(__xludf.DUMMYFUNCTION("""COMPUTED_VALUE"""),53.19)</f>
        <v>53.19</v>
      </c>
      <c r="F1003" s="1">
        <f>IFERROR(__xludf.DUMMYFUNCTION("""COMPUTED_VALUE"""),159072.0)</f>
        <v>159072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IFERROR(__xludf.DUMMYFUNCTION("""COMPUTED_VALUE"""),53.39)</f>
        <v>53.39</v>
      </c>
      <c r="C1004" s="1">
        <f>IFERROR(__xludf.DUMMYFUNCTION("""COMPUTED_VALUE"""),53.56)</f>
        <v>53.56</v>
      </c>
      <c r="D1004" s="1">
        <f>IFERROR(__xludf.DUMMYFUNCTION("""COMPUTED_VALUE"""),52.63)</f>
        <v>52.63</v>
      </c>
      <c r="E1004" s="1">
        <f>IFERROR(__xludf.DUMMYFUNCTION("""COMPUTED_VALUE"""),53.25)</f>
        <v>53.25</v>
      </c>
      <c r="F1004" s="1">
        <f>IFERROR(__xludf.DUMMYFUNCTION("""COMPUTED_VALUE"""),181144.0)</f>
        <v>181144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IFERROR(__xludf.DUMMYFUNCTION("""COMPUTED_VALUE"""),53.29)</f>
        <v>53.29</v>
      </c>
      <c r="C1005" s="1">
        <f>IFERROR(__xludf.DUMMYFUNCTION("""COMPUTED_VALUE"""),53.62)</f>
        <v>53.62</v>
      </c>
      <c r="D1005" s="1">
        <f>IFERROR(__xludf.DUMMYFUNCTION("""COMPUTED_VALUE"""),53.04)</f>
        <v>53.04</v>
      </c>
      <c r="E1005" s="1">
        <f>IFERROR(__xludf.DUMMYFUNCTION("""COMPUTED_VALUE"""),53.33)</f>
        <v>53.33</v>
      </c>
      <c r="F1005" s="1">
        <f>IFERROR(__xludf.DUMMYFUNCTION("""COMPUTED_VALUE"""),176108.0)</f>
        <v>176108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IFERROR(__xludf.DUMMYFUNCTION("""COMPUTED_VALUE"""),53.21)</f>
        <v>53.21</v>
      </c>
      <c r="C1006" s="1">
        <f>IFERROR(__xludf.DUMMYFUNCTION("""COMPUTED_VALUE"""),53.5)</f>
        <v>53.5</v>
      </c>
      <c r="D1006" s="1">
        <f>IFERROR(__xludf.DUMMYFUNCTION("""COMPUTED_VALUE"""),52.88)</f>
        <v>52.88</v>
      </c>
      <c r="E1006" s="1">
        <f>IFERROR(__xludf.DUMMYFUNCTION("""COMPUTED_VALUE"""),53.36)</f>
        <v>53.36</v>
      </c>
      <c r="F1006" s="1">
        <f>IFERROR(__xludf.DUMMYFUNCTION("""COMPUTED_VALUE"""),197723.0)</f>
        <v>197723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IFERROR(__xludf.DUMMYFUNCTION("""COMPUTED_VALUE"""),53.59)</f>
        <v>53.59</v>
      </c>
      <c r="C1007" s="1">
        <f>IFERROR(__xludf.DUMMYFUNCTION("""COMPUTED_VALUE"""),53.6)</f>
        <v>53.6</v>
      </c>
      <c r="D1007" s="1">
        <f>IFERROR(__xludf.DUMMYFUNCTION("""COMPUTED_VALUE"""),52.72)</f>
        <v>52.72</v>
      </c>
      <c r="E1007" s="1">
        <f>IFERROR(__xludf.DUMMYFUNCTION("""COMPUTED_VALUE"""),53.04)</f>
        <v>53.04</v>
      </c>
      <c r="F1007" s="1">
        <f>IFERROR(__xludf.DUMMYFUNCTION("""COMPUTED_VALUE"""),408903.0)</f>
        <v>408903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IFERROR(__xludf.DUMMYFUNCTION("""COMPUTED_VALUE"""),52.57)</f>
        <v>52.57</v>
      </c>
      <c r="C1008" s="1">
        <f>IFERROR(__xludf.DUMMYFUNCTION("""COMPUTED_VALUE"""),53.36)</f>
        <v>53.36</v>
      </c>
      <c r="D1008" s="1">
        <f>IFERROR(__xludf.DUMMYFUNCTION("""COMPUTED_VALUE"""),52.41)</f>
        <v>52.41</v>
      </c>
      <c r="E1008" s="1">
        <f>IFERROR(__xludf.DUMMYFUNCTION("""COMPUTED_VALUE"""),52.88)</f>
        <v>52.88</v>
      </c>
      <c r="F1008" s="1">
        <f>IFERROR(__xludf.DUMMYFUNCTION("""COMPUTED_VALUE"""),580526.0)</f>
        <v>580526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IFERROR(__xludf.DUMMYFUNCTION("""COMPUTED_VALUE"""),53.11)</f>
        <v>53.11</v>
      </c>
      <c r="C1009" s="1">
        <f>IFERROR(__xludf.DUMMYFUNCTION("""COMPUTED_VALUE"""),53.84)</f>
        <v>53.84</v>
      </c>
      <c r="D1009" s="1">
        <f>IFERROR(__xludf.DUMMYFUNCTION("""COMPUTED_VALUE"""),53.11)</f>
        <v>53.11</v>
      </c>
      <c r="E1009" s="1">
        <f>IFERROR(__xludf.DUMMYFUNCTION("""COMPUTED_VALUE"""),53.46)</f>
        <v>53.46</v>
      </c>
      <c r="F1009" s="1">
        <f>IFERROR(__xludf.DUMMYFUNCTION("""COMPUTED_VALUE"""),390380.0)</f>
        <v>390380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IFERROR(__xludf.DUMMYFUNCTION("""COMPUTED_VALUE"""),53.42)</f>
        <v>53.42</v>
      </c>
      <c r="C1010" s="1">
        <f>IFERROR(__xludf.DUMMYFUNCTION("""COMPUTED_VALUE"""),53.68)</f>
        <v>53.68</v>
      </c>
      <c r="D1010" s="1">
        <f>IFERROR(__xludf.DUMMYFUNCTION("""COMPUTED_VALUE"""),52.76)</f>
        <v>52.76</v>
      </c>
      <c r="E1010" s="1">
        <f>IFERROR(__xludf.DUMMYFUNCTION("""COMPUTED_VALUE"""),52.98)</f>
        <v>52.98</v>
      </c>
      <c r="F1010" s="1">
        <f>IFERROR(__xludf.DUMMYFUNCTION("""COMPUTED_VALUE"""),709207.0)</f>
        <v>709207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IFERROR(__xludf.DUMMYFUNCTION("""COMPUTED_VALUE"""),53.59)</f>
        <v>53.59</v>
      </c>
      <c r="C1011" s="1">
        <f>IFERROR(__xludf.DUMMYFUNCTION("""COMPUTED_VALUE"""),56.59)</f>
        <v>56.59</v>
      </c>
      <c r="D1011" s="1">
        <f>IFERROR(__xludf.DUMMYFUNCTION("""COMPUTED_VALUE"""),53.59)</f>
        <v>53.59</v>
      </c>
      <c r="E1011" s="1">
        <f>IFERROR(__xludf.DUMMYFUNCTION("""COMPUTED_VALUE"""),56.3)</f>
        <v>56.3</v>
      </c>
      <c r="F1011" s="1">
        <f>IFERROR(__xludf.DUMMYFUNCTION("""COMPUTED_VALUE"""),1690240.0)</f>
        <v>1690240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IFERROR(__xludf.DUMMYFUNCTION("""COMPUTED_VALUE"""),56.3)</f>
        <v>56.3</v>
      </c>
      <c r="C1012" s="1">
        <f>IFERROR(__xludf.DUMMYFUNCTION("""COMPUTED_VALUE"""),57.12)</f>
        <v>57.12</v>
      </c>
      <c r="D1012" s="1">
        <f>IFERROR(__xludf.DUMMYFUNCTION("""COMPUTED_VALUE"""),55.81)</f>
        <v>55.81</v>
      </c>
      <c r="E1012" s="1">
        <f>IFERROR(__xludf.DUMMYFUNCTION("""COMPUTED_VALUE"""),56.02)</f>
        <v>56.02</v>
      </c>
      <c r="F1012" s="1">
        <f>IFERROR(__xludf.DUMMYFUNCTION("""COMPUTED_VALUE"""),895950.0)</f>
        <v>895950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IFERROR(__xludf.DUMMYFUNCTION("""COMPUTED_VALUE"""),56.23)</f>
        <v>56.23</v>
      </c>
      <c r="C1013" s="1">
        <f>IFERROR(__xludf.DUMMYFUNCTION("""COMPUTED_VALUE"""),56.88)</f>
        <v>56.88</v>
      </c>
      <c r="D1013" s="1">
        <f>IFERROR(__xludf.DUMMYFUNCTION("""COMPUTED_VALUE"""),55.97)</f>
        <v>55.97</v>
      </c>
      <c r="E1013" s="1">
        <f>IFERROR(__xludf.DUMMYFUNCTION("""COMPUTED_VALUE"""),56.44)</f>
        <v>56.44</v>
      </c>
      <c r="F1013" s="1">
        <f>IFERROR(__xludf.DUMMYFUNCTION("""COMPUTED_VALUE"""),385996.0)</f>
        <v>385996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IFERROR(__xludf.DUMMYFUNCTION("""COMPUTED_VALUE"""),56.41)</f>
        <v>56.41</v>
      </c>
      <c r="C1014" s="1">
        <f>IFERROR(__xludf.DUMMYFUNCTION("""COMPUTED_VALUE"""),56.94)</f>
        <v>56.94</v>
      </c>
      <c r="D1014" s="1">
        <f>IFERROR(__xludf.DUMMYFUNCTION("""COMPUTED_VALUE"""),56.15)</f>
        <v>56.15</v>
      </c>
      <c r="E1014" s="1">
        <f>IFERROR(__xludf.DUMMYFUNCTION("""COMPUTED_VALUE"""),56.86)</f>
        <v>56.86</v>
      </c>
      <c r="F1014" s="1">
        <f>IFERROR(__xludf.DUMMYFUNCTION("""COMPUTED_VALUE"""),582992.0)</f>
        <v>582992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IFERROR(__xludf.DUMMYFUNCTION("""COMPUTED_VALUE"""),57.12)</f>
        <v>57.12</v>
      </c>
      <c r="C1015" s="1">
        <f>IFERROR(__xludf.DUMMYFUNCTION("""COMPUTED_VALUE"""),59.57)</f>
        <v>59.57</v>
      </c>
      <c r="D1015" s="1">
        <f>IFERROR(__xludf.DUMMYFUNCTION("""COMPUTED_VALUE"""),56.87)</f>
        <v>56.87</v>
      </c>
      <c r="E1015" s="1">
        <f>IFERROR(__xludf.DUMMYFUNCTION("""COMPUTED_VALUE"""),57.99)</f>
        <v>57.99</v>
      </c>
      <c r="F1015" s="1">
        <f>IFERROR(__xludf.DUMMYFUNCTION("""COMPUTED_VALUE"""),1438426.0)</f>
        <v>1438426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IFERROR(__xludf.DUMMYFUNCTION("""COMPUTED_VALUE"""),57.91)</f>
        <v>57.91</v>
      </c>
      <c r="C1016" s="1">
        <f>IFERROR(__xludf.DUMMYFUNCTION("""COMPUTED_VALUE"""),58.78)</f>
        <v>58.78</v>
      </c>
      <c r="D1016" s="1">
        <f>IFERROR(__xludf.DUMMYFUNCTION("""COMPUTED_VALUE"""),57.91)</f>
        <v>57.91</v>
      </c>
      <c r="E1016" s="1">
        <f>IFERROR(__xludf.DUMMYFUNCTION("""COMPUTED_VALUE"""),58.57)</f>
        <v>58.57</v>
      </c>
      <c r="F1016" s="1">
        <f>IFERROR(__xludf.DUMMYFUNCTION("""COMPUTED_VALUE"""),477303.0)</f>
        <v>477303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IFERROR(__xludf.DUMMYFUNCTION("""COMPUTED_VALUE"""),58.79)</f>
        <v>58.79</v>
      </c>
      <c r="C1017" s="1">
        <f>IFERROR(__xludf.DUMMYFUNCTION("""COMPUTED_VALUE"""),59.21)</f>
        <v>59.21</v>
      </c>
      <c r="D1017" s="1">
        <f>IFERROR(__xludf.DUMMYFUNCTION("""COMPUTED_VALUE"""),58.4)</f>
        <v>58.4</v>
      </c>
      <c r="E1017" s="1">
        <f>IFERROR(__xludf.DUMMYFUNCTION("""COMPUTED_VALUE"""),58.78)</f>
        <v>58.78</v>
      </c>
      <c r="F1017" s="1">
        <f>IFERROR(__xludf.DUMMYFUNCTION("""COMPUTED_VALUE"""),374581.0)</f>
        <v>374581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IFERROR(__xludf.DUMMYFUNCTION("""COMPUTED_VALUE"""),58.71)</f>
        <v>58.71</v>
      </c>
      <c r="C1018" s="1">
        <f>IFERROR(__xludf.DUMMYFUNCTION("""COMPUTED_VALUE"""),59.44)</f>
        <v>59.44</v>
      </c>
      <c r="D1018" s="1">
        <f>IFERROR(__xludf.DUMMYFUNCTION("""COMPUTED_VALUE"""),58.71)</f>
        <v>58.71</v>
      </c>
      <c r="E1018" s="1">
        <f>IFERROR(__xludf.DUMMYFUNCTION("""COMPUTED_VALUE"""),59.19)</f>
        <v>59.19</v>
      </c>
      <c r="F1018" s="1">
        <f>IFERROR(__xludf.DUMMYFUNCTION("""COMPUTED_VALUE"""),279197.0)</f>
        <v>279197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IFERROR(__xludf.DUMMYFUNCTION("""COMPUTED_VALUE"""),58.97)</f>
        <v>58.97</v>
      </c>
      <c r="C1019" s="1">
        <f>IFERROR(__xludf.DUMMYFUNCTION("""COMPUTED_VALUE"""),59.17)</f>
        <v>59.17</v>
      </c>
      <c r="D1019" s="1">
        <f>IFERROR(__xludf.DUMMYFUNCTION("""COMPUTED_VALUE"""),58.52)</f>
        <v>58.52</v>
      </c>
      <c r="E1019" s="1">
        <f>IFERROR(__xludf.DUMMYFUNCTION("""COMPUTED_VALUE"""),58.7)</f>
        <v>58.7</v>
      </c>
      <c r="F1019" s="1">
        <f>IFERROR(__xludf.DUMMYFUNCTION("""COMPUTED_VALUE"""),351995.0)</f>
        <v>351995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IFERROR(__xludf.DUMMYFUNCTION("""COMPUTED_VALUE"""),58.89)</f>
        <v>58.89</v>
      </c>
      <c r="C1020" s="1">
        <f>IFERROR(__xludf.DUMMYFUNCTION("""COMPUTED_VALUE"""),59.35)</f>
        <v>59.35</v>
      </c>
      <c r="D1020" s="1">
        <f>IFERROR(__xludf.DUMMYFUNCTION("""COMPUTED_VALUE"""),58.45)</f>
        <v>58.45</v>
      </c>
      <c r="E1020" s="1">
        <f>IFERROR(__xludf.DUMMYFUNCTION("""COMPUTED_VALUE"""),58.7)</f>
        <v>58.7</v>
      </c>
      <c r="F1020" s="1">
        <f>IFERROR(__xludf.DUMMYFUNCTION("""COMPUTED_VALUE"""),258717.0)</f>
        <v>258717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IFERROR(__xludf.DUMMYFUNCTION("""COMPUTED_VALUE"""),58.7)</f>
        <v>58.7</v>
      </c>
      <c r="C1021" s="1">
        <f>IFERROR(__xludf.DUMMYFUNCTION("""COMPUTED_VALUE"""),58.81)</f>
        <v>58.81</v>
      </c>
      <c r="D1021" s="1">
        <f>IFERROR(__xludf.DUMMYFUNCTION("""COMPUTED_VALUE"""),57.83)</f>
        <v>57.83</v>
      </c>
      <c r="E1021" s="1">
        <f>IFERROR(__xludf.DUMMYFUNCTION("""COMPUTED_VALUE"""),58.28)</f>
        <v>58.28</v>
      </c>
      <c r="F1021" s="1">
        <f>IFERROR(__xludf.DUMMYFUNCTION("""COMPUTED_VALUE"""),516332.0)</f>
        <v>516332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IFERROR(__xludf.DUMMYFUNCTION("""COMPUTED_VALUE"""),58.14)</f>
        <v>58.14</v>
      </c>
      <c r="C1022" s="1">
        <f>IFERROR(__xludf.DUMMYFUNCTION("""COMPUTED_VALUE"""),58.3)</f>
        <v>58.3</v>
      </c>
      <c r="D1022" s="1">
        <f>IFERROR(__xludf.DUMMYFUNCTION("""COMPUTED_VALUE"""),57.43)</f>
        <v>57.43</v>
      </c>
      <c r="E1022" s="1">
        <f>IFERROR(__xludf.DUMMYFUNCTION("""COMPUTED_VALUE"""),57.97)</f>
        <v>57.97</v>
      </c>
      <c r="F1022" s="1">
        <f>IFERROR(__xludf.DUMMYFUNCTION("""COMPUTED_VALUE"""),521044.0)</f>
        <v>521044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IFERROR(__xludf.DUMMYFUNCTION("""COMPUTED_VALUE"""),57.83)</f>
        <v>57.83</v>
      </c>
      <c r="C1023" s="1">
        <f>IFERROR(__xludf.DUMMYFUNCTION("""COMPUTED_VALUE"""),57.98)</f>
        <v>57.98</v>
      </c>
      <c r="D1023" s="1">
        <f>IFERROR(__xludf.DUMMYFUNCTION("""COMPUTED_VALUE"""),56.87)</f>
        <v>56.87</v>
      </c>
      <c r="E1023" s="1">
        <f>IFERROR(__xludf.DUMMYFUNCTION("""COMPUTED_VALUE"""),56.99)</f>
        <v>56.99</v>
      </c>
      <c r="F1023" s="1">
        <f>IFERROR(__xludf.DUMMYFUNCTION("""COMPUTED_VALUE"""),416562.0)</f>
        <v>416562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IFERROR(__xludf.DUMMYFUNCTION("""COMPUTED_VALUE"""),57.03)</f>
        <v>57.03</v>
      </c>
      <c r="C1024" s="1">
        <f>IFERROR(__xludf.DUMMYFUNCTION("""COMPUTED_VALUE"""),57.83)</f>
        <v>57.83</v>
      </c>
      <c r="D1024" s="1">
        <f>IFERROR(__xludf.DUMMYFUNCTION("""COMPUTED_VALUE"""),56.4)</f>
        <v>56.4</v>
      </c>
      <c r="E1024" s="1">
        <f>IFERROR(__xludf.DUMMYFUNCTION("""COMPUTED_VALUE"""),57.02)</f>
        <v>57.02</v>
      </c>
      <c r="F1024" s="1">
        <f>IFERROR(__xludf.DUMMYFUNCTION("""COMPUTED_VALUE"""),803172.0)</f>
        <v>803172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IFERROR(__xludf.DUMMYFUNCTION("""COMPUTED_VALUE"""),57.11)</f>
        <v>57.11</v>
      </c>
      <c r="C1025" s="1">
        <f>IFERROR(__xludf.DUMMYFUNCTION("""COMPUTED_VALUE"""),57.36)</f>
        <v>57.36</v>
      </c>
      <c r="D1025" s="1">
        <f>IFERROR(__xludf.DUMMYFUNCTION("""COMPUTED_VALUE"""),56.76)</f>
        <v>56.76</v>
      </c>
      <c r="E1025" s="1">
        <f>IFERROR(__xludf.DUMMYFUNCTION("""COMPUTED_VALUE"""),56.83)</f>
        <v>56.83</v>
      </c>
      <c r="F1025" s="1">
        <f>IFERROR(__xludf.DUMMYFUNCTION("""COMPUTED_VALUE"""),464827.0)</f>
        <v>464827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IFERROR(__xludf.DUMMYFUNCTION("""COMPUTED_VALUE"""),56.88)</f>
        <v>56.88</v>
      </c>
      <c r="C1026" s="1">
        <f>IFERROR(__xludf.DUMMYFUNCTION("""COMPUTED_VALUE"""),57.36)</f>
        <v>57.36</v>
      </c>
      <c r="D1026" s="1">
        <f>IFERROR(__xludf.DUMMYFUNCTION("""COMPUTED_VALUE"""),56.39)</f>
        <v>56.39</v>
      </c>
      <c r="E1026" s="1">
        <f>IFERROR(__xludf.DUMMYFUNCTION("""COMPUTED_VALUE"""),56.42)</f>
        <v>56.42</v>
      </c>
      <c r="F1026" s="1">
        <f>IFERROR(__xludf.DUMMYFUNCTION("""COMPUTED_VALUE"""),642564.0)</f>
        <v>642564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IFERROR(__xludf.DUMMYFUNCTION("""COMPUTED_VALUE"""),56.89)</f>
        <v>56.89</v>
      </c>
      <c r="C1027" s="1">
        <f>IFERROR(__xludf.DUMMYFUNCTION("""COMPUTED_VALUE"""),57.67)</f>
        <v>57.67</v>
      </c>
      <c r="D1027" s="1">
        <f>IFERROR(__xludf.DUMMYFUNCTION("""COMPUTED_VALUE"""),56.59)</f>
        <v>56.59</v>
      </c>
      <c r="E1027" s="1">
        <f>IFERROR(__xludf.DUMMYFUNCTION("""COMPUTED_VALUE"""),57.56)</f>
        <v>57.56</v>
      </c>
      <c r="F1027" s="1">
        <f>IFERROR(__xludf.DUMMYFUNCTION("""COMPUTED_VALUE"""),602023.0)</f>
        <v>602023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IFERROR(__xludf.DUMMYFUNCTION("""COMPUTED_VALUE"""),56.91)</f>
        <v>56.91</v>
      </c>
      <c r="C1028" s="1">
        <f>IFERROR(__xludf.DUMMYFUNCTION("""COMPUTED_VALUE"""),57.56)</f>
        <v>57.56</v>
      </c>
      <c r="D1028" s="1">
        <f>IFERROR(__xludf.DUMMYFUNCTION("""COMPUTED_VALUE"""),56.45)</f>
        <v>56.45</v>
      </c>
      <c r="E1028" s="1">
        <f>IFERROR(__xludf.DUMMYFUNCTION("""COMPUTED_VALUE"""),56.53)</f>
        <v>56.53</v>
      </c>
      <c r="F1028" s="1">
        <f>IFERROR(__xludf.DUMMYFUNCTION("""COMPUTED_VALUE"""),480368.0)</f>
        <v>480368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IFERROR(__xludf.DUMMYFUNCTION("""COMPUTED_VALUE"""),56.24)</f>
        <v>56.24</v>
      </c>
      <c r="C1029" s="1">
        <f>IFERROR(__xludf.DUMMYFUNCTION("""COMPUTED_VALUE"""),56.45)</f>
        <v>56.45</v>
      </c>
      <c r="D1029" s="1">
        <f>IFERROR(__xludf.DUMMYFUNCTION("""COMPUTED_VALUE"""),54.53)</f>
        <v>54.53</v>
      </c>
      <c r="E1029" s="1">
        <f>IFERROR(__xludf.DUMMYFUNCTION("""COMPUTED_VALUE"""),54.99)</f>
        <v>54.99</v>
      </c>
      <c r="F1029" s="1">
        <f>IFERROR(__xludf.DUMMYFUNCTION("""COMPUTED_VALUE"""),863603.0)</f>
        <v>863603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IFERROR(__xludf.DUMMYFUNCTION("""COMPUTED_VALUE"""),55.31)</f>
        <v>55.31</v>
      </c>
      <c r="C1030" s="1">
        <f>IFERROR(__xludf.DUMMYFUNCTION("""COMPUTED_VALUE"""),55.74)</f>
        <v>55.74</v>
      </c>
      <c r="D1030" s="1">
        <f>IFERROR(__xludf.DUMMYFUNCTION("""COMPUTED_VALUE"""),54.86)</f>
        <v>54.86</v>
      </c>
      <c r="E1030" s="1">
        <f>IFERROR(__xludf.DUMMYFUNCTION("""COMPUTED_VALUE"""),55.37)</f>
        <v>55.37</v>
      </c>
      <c r="F1030" s="1">
        <f>IFERROR(__xludf.DUMMYFUNCTION("""COMPUTED_VALUE"""),706843.0)</f>
        <v>706843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IFERROR(__xludf.DUMMYFUNCTION("""COMPUTED_VALUE"""),55.36)</f>
        <v>55.36</v>
      </c>
      <c r="C1031" s="1">
        <f>IFERROR(__xludf.DUMMYFUNCTION("""COMPUTED_VALUE"""),57.0)</f>
        <v>57</v>
      </c>
      <c r="D1031" s="1">
        <f>IFERROR(__xludf.DUMMYFUNCTION("""COMPUTED_VALUE"""),54.92)</f>
        <v>54.92</v>
      </c>
      <c r="E1031" s="1">
        <f>IFERROR(__xludf.DUMMYFUNCTION("""COMPUTED_VALUE"""),56.97)</f>
        <v>56.97</v>
      </c>
      <c r="F1031" s="1">
        <f>IFERROR(__xludf.DUMMYFUNCTION("""COMPUTED_VALUE"""),1148541.0)</f>
        <v>1148541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IFERROR(__xludf.DUMMYFUNCTION("""COMPUTED_VALUE"""),57.1)</f>
        <v>57.1</v>
      </c>
      <c r="C1032" s="1">
        <f>IFERROR(__xludf.DUMMYFUNCTION("""COMPUTED_VALUE"""),58.91)</f>
        <v>58.91</v>
      </c>
      <c r="D1032" s="1">
        <f>IFERROR(__xludf.DUMMYFUNCTION("""COMPUTED_VALUE"""),56.78)</f>
        <v>56.78</v>
      </c>
      <c r="E1032" s="1">
        <f>IFERROR(__xludf.DUMMYFUNCTION("""COMPUTED_VALUE"""),57.81)</f>
        <v>57.81</v>
      </c>
      <c r="F1032" s="1">
        <f>IFERROR(__xludf.DUMMYFUNCTION("""COMPUTED_VALUE"""),1045694.0)</f>
        <v>1045694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IFERROR(__xludf.DUMMYFUNCTION("""COMPUTED_VALUE"""),57.95)</f>
        <v>57.95</v>
      </c>
      <c r="C1033" s="1">
        <f>IFERROR(__xludf.DUMMYFUNCTION("""COMPUTED_VALUE"""),58.38)</f>
        <v>58.38</v>
      </c>
      <c r="D1033" s="1">
        <f>IFERROR(__xludf.DUMMYFUNCTION("""COMPUTED_VALUE"""),57.83)</f>
        <v>57.83</v>
      </c>
      <c r="E1033" s="1">
        <f>IFERROR(__xludf.DUMMYFUNCTION("""COMPUTED_VALUE"""),58.11)</f>
        <v>58.11</v>
      </c>
      <c r="F1033" s="1">
        <f>IFERROR(__xludf.DUMMYFUNCTION("""COMPUTED_VALUE"""),598555.0)</f>
        <v>598555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IFERROR(__xludf.DUMMYFUNCTION("""COMPUTED_VALUE"""),58.11)</f>
        <v>58.11</v>
      </c>
      <c r="C1034" s="1">
        <f>IFERROR(__xludf.DUMMYFUNCTION("""COMPUTED_VALUE"""),58.54)</f>
        <v>58.54</v>
      </c>
      <c r="D1034" s="1">
        <f>IFERROR(__xludf.DUMMYFUNCTION("""COMPUTED_VALUE"""),57.67)</f>
        <v>57.67</v>
      </c>
      <c r="E1034" s="1">
        <f>IFERROR(__xludf.DUMMYFUNCTION("""COMPUTED_VALUE"""),58.49)</f>
        <v>58.49</v>
      </c>
      <c r="F1034" s="1">
        <f>IFERROR(__xludf.DUMMYFUNCTION("""COMPUTED_VALUE"""),642773.0)</f>
        <v>642773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IFERROR(__xludf.DUMMYFUNCTION("""COMPUTED_VALUE"""),58.66)</f>
        <v>58.66</v>
      </c>
      <c r="C1035" s="1">
        <f>IFERROR(__xludf.DUMMYFUNCTION("""COMPUTED_VALUE"""),58.66)</f>
        <v>58.66</v>
      </c>
      <c r="D1035" s="1">
        <f>IFERROR(__xludf.DUMMYFUNCTION("""COMPUTED_VALUE"""),57.73)</f>
        <v>57.73</v>
      </c>
      <c r="E1035" s="1">
        <f>IFERROR(__xludf.DUMMYFUNCTION("""COMPUTED_VALUE"""),57.99)</f>
        <v>57.99</v>
      </c>
      <c r="F1035" s="1">
        <f>IFERROR(__xludf.DUMMYFUNCTION("""COMPUTED_VALUE"""),752325.0)</f>
        <v>752325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IFERROR(__xludf.DUMMYFUNCTION("""COMPUTED_VALUE"""),56.79)</f>
        <v>56.79</v>
      </c>
      <c r="C1036" s="1">
        <f>IFERROR(__xludf.DUMMYFUNCTION("""COMPUTED_VALUE"""),57.82)</f>
        <v>57.82</v>
      </c>
      <c r="D1036" s="1">
        <f>IFERROR(__xludf.DUMMYFUNCTION("""COMPUTED_VALUE"""),55.95)</f>
        <v>55.95</v>
      </c>
      <c r="E1036" s="1">
        <f>IFERROR(__xludf.DUMMYFUNCTION("""COMPUTED_VALUE"""),57.58)</f>
        <v>57.58</v>
      </c>
      <c r="F1036" s="1">
        <f>IFERROR(__xludf.DUMMYFUNCTION("""COMPUTED_VALUE"""),1020316.0)</f>
        <v>1020316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IFERROR(__xludf.DUMMYFUNCTION("""COMPUTED_VALUE"""),57.41)</f>
        <v>57.41</v>
      </c>
      <c r="C1037" s="1">
        <f>IFERROR(__xludf.DUMMYFUNCTION("""COMPUTED_VALUE"""),58.86)</f>
        <v>58.86</v>
      </c>
      <c r="D1037" s="1">
        <f>IFERROR(__xludf.DUMMYFUNCTION("""COMPUTED_VALUE"""),57.41)</f>
        <v>57.41</v>
      </c>
      <c r="E1037" s="1">
        <f>IFERROR(__xludf.DUMMYFUNCTION("""COMPUTED_VALUE"""),58.38)</f>
        <v>58.38</v>
      </c>
      <c r="F1037" s="1">
        <f>IFERROR(__xludf.DUMMYFUNCTION("""COMPUTED_VALUE"""),663059.0)</f>
        <v>663059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IFERROR(__xludf.DUMMYFUNCTION("""COMPUTED_VALUE"""),58.43)</f>
        <v>58.43</v>
      </c>
      <c r="C1038" s="1">
        <f>IFERROR(__xludf.DUMMYFUNCTION("""COMPUTED_VALUE"""),59.0)</f>
        <v>59</v>
      </c>
      <c r="D1038" s="1">
        <f>IFERROR(__xludf.DUMMYFUNCTION("""COMPUTED_VALUE"""),57.94)</f>
        <v>57.94</v>
      </c>
      <c r="E1038" s="1">
        <f>IFERROR(__xludf.DUMMYFUNCTION("""COMPUTED_VALUE"""),58.28)</f>
        <v>58.28</v>
      </c>
      <c r="F1038" s="1">
        <f>IFERROR(__xludf.DUMMYFUNCTION("""COMPUTED_VALUE"""),516079.0)</f>
        <v>516079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IFERROR(__xludf.DUMMYFUNCTION("""COMPUTED_VALUE"""),58.0)</f>
        <v>58</v>
      </c>
      <c r="C1039" s="1">
        <f>IFERROR(__xludf.DUMMYFUNCTION("""COMPUTED_VALUE"""),58.46)</f>
        <v>58.46</v>
      </c>
      <c r="D1039" s="1">
        <f>IFERROR(__xludf.DUMMYFUNCTION("""COMPUTED_VALUE"""),57.84)</f>
        <v>57.84</v>
      </c>
      <c r="E1039" s="1">
        <f>IFERROR(__xludf.DUMMYFUNCTION("""COMPUTED_VALUE"""),58.13)</f>
        <v>58.13</v>
      </c>
      <c r="F1039" s="1">
        <f>IFERROR(__xludf.DUMMYFUNCTION("""COMPUTED_VALUE"""),470332.0)</f>
        <v>470332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IFERROR(__xludf.DUMMYFUNCTION("""COMPUTED_VALUE"""),58.17)</f>
        <v>58.17</v>
      </c>
      <c r="C1040" s="1">
        <f>IFERROR(__xludf.DUMMYFUNCTION("""COMPUTED_VALUE"""),58.75)</f>
        <v>58.75</v>
      </c>
      <c r="D1040" s="1">
        <f>IFERROR(__xludf.DUMMYFUNCTION("""COMPUTED_VALUE"""),58.01)</f>
        <v>58.01</v>
      </c>
      <c r="E1040" s="1">
        <f>IFERROR(__xludf.DUMMYFUNCTION("""COMPUTED_VALUE"""),58.09)</f>
        <v>58.09</v>
      </c>
      <c r="F1040" s="1">
        <f>IFERROR(__xludf.DUMMYFUNCTION("""COMPUTED_VALUE"""),304033.0)</f>
        <v>304033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IFERROR(__xludf.DUMMYFUNCTION("""COMPUTED_VALUE"""),58.26)</f>
        <v>58.26</v>
      </c>
      <c r="C1041" s="1">
        <f>IFERROR(__xludf.DUMMYFUNCTION("""COMPUTED_VALUE"""),59.06)</f>
        <v>59.06</v>
      </c>
      <c r="D1041" s="1">
        <f>IFERROR(__xludf.DUMMYFUNCTION("""COMPUTED_VALUE"""),57.79)</f>
        <v>57.79</v>
      </c>
      <c r="E1041" s="1">
        <f>IFERROR(__xludf.DUMMYFUNCTION("""COMPUTED_VALUE"""),58.99)</f>
        <v>58.99</v>
      </c>
      <c r="F1041" s="1">
        <f>IFERROR(__xludf.DUMMYFUNCTION("""COMPUTED_VALUE"""),436101.0)</f>
        <v>436101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IFERROR(__xludf.DUMMYFUNCTION("""COMPUTED_VALUE"""),59.14)</f>
        <v>59.14</v>
      </c>
      <c r="C1042" s="1">
        <f>IFERROR(__xludf.DUMMYFUNCTION("""COMPUTED_VALUE"""),59.95)</f>
        <v>59.95</v>
      </c>
      <c r="D1042" s="1">
        <f>IFERROR(__xludf.DUMMYFUNCTION("""COMPUTED_VALUE"""),58.54)</f>
        <v>58.54</v>
      </c>
      <c r="E1042" s="1">
        <f>IFERROR(__xludf.DUMMYFUNCTION("""COMPUTED_VALUE"""),59.15)</f>
        <v>59.15</v>
      </c>
      <c r="F1042" s="1">
        <f>IFERROR(__xludf.DUMMYFUNCTION("""COMPUTED_VALUE"""),482342.0)</f>
        <v>482342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IFERROR(__xludf.DUMMYFUNCTION("""COMPUTED_VALUE"""),59.05)</f>
        <v>59.05</v>
      </c>
      <c r="C1043" s="1">
        <f>IFERROR(__xludf.DUMMYFUNCTION("""COMPUTED_VALUE"""),59.49)</f>
        <v>59.49</v>
      </c>
      <c r="D1043" s="1">
        <f>IFERROR(__xludf.DUMMYFUNCTION("""COMPUTED_VALUE"""),58.59)</f>
        <v>58.59</v>
      </c>
      <c r="E1043" s="1">
        <f>IFERROR(__xludf.DUMMYFUNCTION("""COMPUTED_VALUE"""),58.78)</f>
        <v>58.78</v>
      </c>
      <c r="F1043" s="1">
        <f>IFERROR(__xludf.DUMMYFUNCTION("""COMPUTED_VALUE"""),319412.0)</f>
        <v>319412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IFERROR(__xludf.DUMMYFUNCTION("""COMPUTED_VALUE"""),58.77)</f>
        <v>58.77</v>
      </c>
      <c r="C1044" s="1">
        <f>IFERROR(__xludf.DUMMYFUNCTION("""COMPUTED_VALUE"""),58.92)</f>
        <v>58.92</v>
      </c>
      <c r="D1044" s="1">
        <f>IFERROR(__xludf.DUMMYFUNCTION("""COMPUTED_VALUE"""),57.84)</f>
        <v>57.84</v>
      </c>
      <c r="E1044" s="1">
        <f>IFERROR(__xludf.DUMMYFUNCTION("""COMPUTED_VALUE"""),58.78)</f>
        <v>58.78</v>
      </c>
      <c r="F1044" s="1">
        <f>IFERROR(__xludf.DUMMYFUNCTION("""COMPUTED_VALUE"""),412751.0)</f>
        <v>412751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IFERROR(__xludf.DUMMYFUNCTION("""COMPUTED_VALUE"""),58.79)</f>
        <v>58.79</v>
      </c>
      <c r="C1045" s="1">
        <f>IFERROR(__xludf.DUMMYFUNCTION("""COMPUTED_VALUE"""),59.5)</f>
        <v>59.5</v>
      </c>
      <c r="D1045" s="1">
        <f>IFERROR(__xludf.DUMMYFUNCTION("""COMPUTED_VALUE"""),58.22)</f>
        <v>58.22</v>
      </c>
      <c r="E1045" s="1">
        <f>IFERROR(__xludf.DUMMYFUNCTION("""COMPUTED_VALUE"""),59.49)</f>
        <v>59.49</v>
      </c>
      <c r="F1045" s="1">
        <f>IFERROR(__xludf.DUMMYFUNCTION("""COMPUTED_VALUE"""),600453.0)</f>
        <v>600453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IFERROR(__xludf.DUMMYFUNCTION("""COMPUTED_VALUE"""),59.25)</f>
        <v>59.25</v>
      </c>
      <c r="C1046" s="1">
        <f>IFERROR(__xludf.DUMMYFUNCTION("""COMPUTED_VALUE"""),60.67)</f>
        <v>60.67</v>
      </c>
      <c r="D1046" s="1">
        <f>IFERROR(__xludf.DUMMYFUNCTION("""COMPUTED_VALUE"""),59.21)</f>
        <v>59.21</v>
      </c>
      <c r="E1046" s="1">
        <f>IFERROR(__xludf.DUMMYFUNCTION("""COMPUTED_VALUE"""),60.5)</f>
        <v>60.5</v>
      </c>
      <c r="F1046" s="1">
        <f>IFERROR(__xludf.DUMMYFUNCTION("""COMPUTED_VALUE"""),913453.0)</f>
        <v>913453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IFERROR(__xludf.DUMMYFUNCTION("""COMPUTED_VALUE"""),60.27)</f>
        <v>60.27</v>
      </c>
      <c r="C1047" s="1">
        <f>IFERROR(__xludf.DUMMYFUNCTION("""COMPUTED_VALUE"""),60.72)</f>
        <v>60.72</v>
      </c>
      <c r="D1047" s="1">
        <f>IFERROR(__xludf.DUMMYFUNCTION("""COMPUTED_VALUE"""),58.85)</f>
        <v>58.85</v>
      </c>
      <c r="E1047" s="1">
        <f>IFERROR(__xludf.DUMMYFUNCTION("""COMPUTED_VALUE"""),59.41)</f>
        <v>59.41</v>
      </c>
      <c r="F1047" s="1">
        <f>IFERROR(__xludf.DUMMYFUNCTION("""COMPUTED_VALUE"""),421532.0)</f>
        <v>421532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IFERROR(__xludf.DUMMYFUNCTION("""COMPUTED_VALUE"""),58.7)</f>
        <v>58.7</v>
      </c>
      <c r="C1048" s="1">
        <f>IFERROR(__xludf.DUMMYFUNCTION("""COMPUTED_VALUE"""),59.08)</f>
        <v>59.08</v>
      </c>
      <c r="D1048" s="1">
        <f>IFERROR(__xludf.DUMMYFUNCTION("""COMPUTED_VALUE"""),58.06)</f>
        <v>58.06</v>
      </c>
      <c r="E1048" s="1">
        <f>IFERROR(__xludf.DUMMYFUNCTION("""COMPUTED_VALUE"""),58.2)</f>
        <v>58.2</v>
      </c>
      <c r="F1048" s="1">
        <f>IFERROR(__xludf.DUMMYFUNCTION("""COMPUTED_VALUE"""),602746.0)</f>
        <v>602746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IFERROR(__xludf.DUMMYFUNCTION("""COMPUTED_VALUE"""),58.66)</f>
        <v>58.66</v>
      </c>
      <c r="C1049" s="1">
        <f>IFERROR(__xludf.DUMMYFUNCTION("""COMPUTED_VALUE"""),59.21)</f>
        <v>59.21</v>
      </c>
      <c r="D1049" s="1">
        <f>IFERROR(__xludf.DUMMYFUNCTION("""COMPUTED_VALUE"""),58.49)</f>
        <v>58.49</v>
      </c>
      <c r="E1049" s="1">
        <f>IFERROR(__xludf.DUMMYFUNCTION("""COMPUTED_VALUE"""),59.01)</f>
        <v>59.01</v>
      </c>
      <c r="F1049" s="1">
        <f>IFERROR(__xludf.DUMMYFUNCTION("""COMPUTED_VALUE"""),605354.0)</f>
        <v>605354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IFERROR(__xludf.DUMMYFUNCTION("""COMPUTED_VALUE"""),59.09)</f>
        <v>59.09</v>
      </c>
      <c r="C1050" s="1">
        <f>IFERROR(__xludf.DUMMYFUNCTION("""COMPUTED_VALUE"""),59.09)</f>
        <v>59.09</v>
      </c>
      <c r="D1050" s="1">
        <f>IFERROR(__xludf.DUMMYFUNCTION("""COMPUTED_VALUE"""),58.26)</f>
        <v>58.26</v>
      </c>
      <c r="E1050" s="1">
        <f>IFERROR(__xludf.DUMMYFUNCTION("""COMPUTED_VALUE"""),58.31)</f>
        <v>58.31</v>
      </c>
      <c r="F1050" s="1">
        <f>IFERROR(__xludf.DUMMYFUNCTION("""COMPUTED_VALUE"""),309982.0)</f>
        <v>309982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IFERROR(__xludf.DUMMYFUNCTION("""COMPUTED_VALUE"""),58.46)</f>
        <v>58.46</v>
      </c>
      <c r="C1051" s="1">
        <f>IFERROR(__xludf.DUMMYFUNCTION("""COMPUTED_VALUE"""),58.91)</f>
        <v>58.91</v>
      </c>
      <c r="D1051" s="1">
        <f>IFERROR(__xludf.DUMMYFUNCTION("""COMPUTED_VALUE"""),58.06)</f>
        <v>58.06</v>
      </c>
      <c r="E1051" s="1">
        <f>IFERROR(__xludf.DUMMYFUNCTION("""COMPUTED_VALUE"""),58.16)</f>
        <v>58.16</v>
      </c>
      <c r="F1051" s="1">
        <f>IFERROR(__xludf.DUMMYFUNCTION("""COMPUTED_VALUE"""),470495.0)</f>
        <v>470495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IFERROR(__xludf.DUMMYFUNCTION("""COMPUTED_VALUE"""),58.4)</f>
        <v>58.4</v>
      </c>
      <c r="C1052" s="1">
        <f>IFERROR(__xludf.DUMMYFUNCTION("""COMPUTED_VALUE"""),58.42)</f>
        <v>58.42</v>
      </c>
      <c r="D1052" s="1">
        <f>IFERROR(__xludf.DUMMYFUNCTION("""COMPUTED_VALUE"""),57.03)</f>
        <v>57.03</v>
      </c>
      <c r="E1052" s="1">
        <f>IFERROR(__xludf.DUMMYFUNCTION("""COMPUTED_VALUE"""),57.55)</f>
        <v>57.55</v>
      </c>
      <c r="F1052" s="1">
        <f>IFERROR(__xludf.DUMMYFUNCTION("""COMPUTED_VALUE"""),767876.0)</f>
        <v>767876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IFERROR(__xludf.DUMMYFUNCTION("""COMPUTED_VALUE"""),57.42)</f>
        <v>57.42</v>
      </c>
      <c r="C1053" s="1">
        <f>IFERROR(__xludf.DUMMYFUNCTION("""COMPUTED_VALUE"""),58.06)</f>
        <v>58.06</v>
      </c>
      <c r="D1053" s="1">
        <f>IFERROR(__xludf.DUMMYFUNCTION("""COMPUTED_VALUE"""),57.28)</f>
        <v>57.28</v>
      </c>
      <c r="E1053" s="1">
        <f>IFERROR(__xludf.DUMMYFUNCTION("""COMPUTED_VALUE"""),57.95)</f>
        <v>57.95</v>
      </c>
      <c r="F1053" s="1">
        <f>IFERROR(__xludf.DUMMYFUNCTION("""COMPUTED_VALUE"""),333714.0)</f>
        <v>333714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IFERROR(__xludf.DUMMYFUNCTION("""COMPUTED_VALUE"""),57.87)</f>
        <v>57.87</v>
      </c>
      <c r="C1054" s="1">
        <f>IFERROR(__xludf.DUMMYFUNCTION("""COMPUTED_VALUE"""),58.62)</f>
        <v>58.62</v>
      </c>
      <c r="D1054" s="1">
        <f>IFERROR(__xludf.DUMMYFUNCTION("""COMPUTED_VALUE"""),57.71)</f>
        <v>57.71</v>
      </c>
      <c r="E1054" s="1">
        <f>IFERROR(__xludf.DUMMYFUNCTION("""COMPUTED_VALUE"""),58.05)</f>
        <v>58.05</v>
      </c>
      <c r="F1054" s="1">
        <f>IFERROR(__xludf.DUMMYFUNCTION("""COMPUTED_VALUE"""),339067.0)</f>
        <v>339067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IFERROR(__xludf.DUMMYFUNCTION("""COMPUTED_VALUE"""),57.91)</f>
        <v>57.91</v>
      </c>
      <c r="C1055" s="1">
        <f>IFERROR(__xludf.DUMMYFUNCTION("""COMPUTED_VALUE"""),60.43)</f>
        <v>60.43</v>
      </c>
      <c r="D1055" s="1">
        <f>IFERROR(__xludf.DUMMYFUNCTION("""COMPUTED_VALUE"""),57.62)</f>
        <v>57.62</v>
      </c>
      <c r="E1055" s="1">
        <f>IFERROR(__xludf.DUMMYFUNCTION("""COMPUTED_VALUE"""),60.33)</f>
        <v>60.33</v>
      </c>
      <c r="F1055" s="1">
        <f>IFERROR(__xludf.DUMMYFUNCTION("""COMPUTED_VALUE"""),1405752.0)</f>
        <v>1405752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IFERROR(__xludf.DUMMYFUNCTION("""COMPUTED_VALUE"""),60.66)</f>
        <v>60.66</v>
      </c>
      <c r="C1056" s="1">
        <f>IFERROR(__xludf.DUMMYFUNCTION("""COMPUTED_VALUE"""),61.15)</f>
        <v>61.15</v>
      </c>
      <c r="D1056" s="1">
        <f>IFERROR(__xludf.DUMMYFUNCTION("""COMPUTED_VALUE"""),59.22)</f>
        <v>59.22</v>
      </c>
      <c r="E1056" s="1">
        <f>IFERROR(__xludf.DUMMYFUNCTION("""COMPUTED_VALUE"""),59.48)</f>
        <v>59.48</v>
      </c>
      <c r="F1056" s="1">
        <f>IFERROR(__xludf.DUMMYFUNCTION("""COMPUTED_VALUE"""),844536.0)</f>
        <v>844536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IFERROR(__xludf.DUMMYFUNCTION("""COMPUTED_VALUE"""),59.61)</f>
        <v>59.61</v>
      </c>
      <c r="C1057" s="1">
        <f>IFERROR(__xludf.DUMMYFUNCTION("""COMPUTED_VALUE"""),61.15)</f>
        <v>61.15</v>
      </c>
      <c r="D1057" s="1">
        <f>IFERROR(__xludf.DUMMYFUNCTION("""COMPUTED_VALUE"""),59.33)</f>
        <v>59.33</v>
      </c>
      <c r="E1057" s="1">
        <f>IFERROR(__xludf.DUMMYFUNCTION("""COMPUTED_VALUE"""),60.73)</f>
        <v>60.73</v>
      </c>
      <c r="F1057" s="1">
        <f>IFERROR(__xludf.DUMMYFUNCTION("""COMPUTED_VALUE"""),509657.0)</f>
        <v>509657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IFERROR(__xludf.DUMMYFUNCTION("""COMPUTED_VALUE"""),60.79)</f>
        <v>60.79</v>
      </c>
      <c r="C1058" s="1">
        <f>IFERROR(__xludf.DUMMYFUNCTION("""COMPUTED_VALUE"""),61.6)</f>
        <v>61.6</v>
      </c>
      <c r="D1058" s="1">
        <f>IFERROR(__xludf.DUMMYFUNCTION("""COMPUTED_VALUE"""),60.79)</f>
        <v>60.79</v>
      </c>
      <c r="E1058" s="1">
        <f>IFERROR(__xludf.DUMMYFUNCTION("""COMPUTED_VALUE"""),61.09)</f>
        <v>61.09</v>
      </c>
      <c r="F1058" s="1">
        <f>IFERROR(__xludf.DUMMYFUNCTION("""COMPUTED_VALUE"""),597367.0)</f>
        <v>597367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IFERROR(__xludf.DUMMYFUNCTION("""COMPUTED_VALUE"""),61.04)</f>
        <v>61.04</v>
      </c>
      <c r="C1059" s="1">
        <f>IFERROR(__xludf.DUMMYFUNCTION("""COMPUTED_VALUE"""),62.5)</f>
        <v>62.5</v>
      </c>
      <c r="D1059" s="1">
        <f>IFERROR(__xludf.DUMMYFUNCTION("""COMPUTED_VALUE"""),61.03)</f>
        <v>61.03</v>
      </c>
      <c r="E1059" s="1">
        <f>IFERROR(__xludf.DUMMYFUNCTION("""COMPUTED_VALUE"""),61.85)</f>
        <v>61.85</v>
      </c>
      <c r="F1059" s="1">
        <f>IFERROR(__xludf.DUMMYFUNCTION("""COMPUTED_VALUE"""),635105.0)</f>
        <v>635105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IFERROR(__xludf.DUMMYFUNCTION("""COMPUTED_VALUE"""),62.1)</f>
        <v>62.1</v>
      </c>
      <c r="C1060" s="1">
        <f>IFERROR(__xludf.DUMMYFUNCTION("""COMPUTED_VALUE"""),62.5)</f>
        <v>62.5</v>
      </c>
      <c r="D1060" s="1">
        <f>IFERROR(__xludf.DUMMYFUNCTION("""COMPUTED_VALUE"""),61.53)</f>
        <v>61.53</v>
      </c>
      <c r="E1060" s="1">
        <f>IFERROR(__xludf.DUMMYFUNCTION("""COMPUTED_VALUE"""),62.0)</f>
        <v>62</v>
      </c>
      <c r="F1060" s="1">
        <f>IFERROR(__xludf.DUMMYFUNCTION("""COMPUTED_VALUE"""),823810.0)</f>
        <v>823810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IFERROR(__xludf.DUMMYFUNCTION("""COMPUTED_VALUE"""),61.68)</f>
        <v>61.68</v>
      </c>
      <c r="C1061" s="1">
        <f>IFERROR(__xludf.DUMMYFUNCTION("""COMPUTED_VALUE"""),62.26)</f>
        <v>62.26</v>
      </c>
      <c r="D1061" s="1">
        <f>IFERROR(__xludf.DUMMYFUNCTION("""COMPUTED_VALUE"""),61.49)</f>
        <v>61.49</v>
      </c>
      <c r="E1061" s="1">
        <f>IFERROR(__xludf.DUMMYFUNCTION("""COMPUTED_VALUE"""),62.01)</f>
        <v>62.01</v>
      </c>
      <c r="F1061" s="1">
        <f>IFERROR(__xludf.DUMMYFUNCTION("""COMPUTED_VALUE"""),510251.0)</f>
        <v>510251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IFERROR(__xludf.DUMMYFUNCTION("""COMPUTED_VALUE"""),62.09)</f>
        <v>62.09</v>
      </c>
      <c r="C1062" s="1">
        <f>IFERROR(__xludf.DUMMYFUNCTION("""COMPUTED_VALUE"""),62.17)</f>
        <v>62.17</v>
      </c>
      <c r="D1062" s="1">
        <f>IFERROR(__xludf.DUMMYFUNCTION("""COMPUTED_VALUE"""),60.56)</f>
        <v>60.56</v>
      </c>
      <c r="E1062" s="1">
        <f>IFERROR(__xludf.DUMMYFUNCTION("""COMPUTED_VALUE"""),60.83)</f>
        <v>60.83</v>
      </c>
      <c r="F1062" s="1">
        <f>IFERROR(__xludf.DUMMYFUNCTION("""COMPUTED_VALUE"""),863977.0)</f>
        <v>863977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IFERROR(__xludf.DUMMYFUNCTION("""COMPUTED_VALUE"""),60.89)</f>
        <v>60.89</v>
      </c>
      <c r="C1063" s="1">
        <f>IFERROR(__xludf.DUMMYFUNCTION("""COMPUTED_VALUE"""),61.32)</f>
        <v>61.32</v>
      </c>
      <c r="D1063" s="1">
        <f>IFERROR(__xludf.DUMMYFUNCTION("""COMPUTED_VALUE"""),59.16)</f>
        <v>59.16</v>
      </c>
      <c r="E1063" s="1">
        <f>IFERROR(__xludf.DUMMYFUNCTION("""COMPUTED_VALUE"""),60.53)</f>
        <v>60.53</v>
      </c>
      <c r="F1063" s="1">
        <f>IFERROR(__xludf.DUMMYFUNCTION("""COMPUTED_VALUE"""),429644.0)</f>
        <v>429644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IFERROR(__xludf.DUMMYFUNCTION("""COMPUTED_VALUE"""),60.95)</f>
        <v>60.95</v>
      </c>
      <c r="C1064" s="1">
        <f>IFERROR(__xludf.DUMMYFUNCTION("""COMPUTED_VALUE"""),62.2)</f>
        <v>62.2</v>
      </c>
      <c r="D1064" s="1">
        <f>IFERROR(__xludf.DUMMYFUNCTION("""COMPUTED_VALUE"""),60.42)</f>
        <v>60.42</v>
      </c>
      <c r="E1064" s="1">
        <f>IFERROR(__xludf.DUMMYFUNCTION("""COMPUTED_VALUE"""),60.6)</f>
        <v>60.6</v>
      </c>
      <c r="F1064" s="1">
        <f>IFERROR(__xludf.DUMMYFUNCTION("""COMPUTED_VALUE"""),787307.0)</f>
        <v>787307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IFERROR(__xludf.DUMMYFUNCTION("""COMPUTED_VALUE"""),60.9)</f>
        <v>60.9</v>
      </c>
      <c r="C1065" s="1">
        <f>IFERROR(__xludf.DUMMYFUNCTION("""COMPUTED_VALUE"""),61.2)</f>
        <v>61.2</v>
      </c>
      <c r="D1065" s="1">
        <f>IFERROR(__xludf.DUMMYFUNCTION("""COMPUTED_VALUE"""),59.93)</f>
        <v>59.93</v>
      </c>
      <c r="E1065" s="1">
        <f>IFERROR(__xludf.DUMMYFUNCTION("""COMPUTED_VALUE"""),60.0)</f>
        <v>60</v>
      </c>
      <c r="F1065" s="1">
        <f>IFERROR(__xludf.DUMMYFUNCTION("""COMPUTED_VALUE"""),560321.0)</f>
        <v>560321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IFERROR(__xludf.DUMMYFUNCTION("""COMPUTED_VALUE"""),60.0)</f>
        <v>60</v>
      </c>
      <c r="C1066" s="1">
        <f>IFERROR(__xludf.DUMMYFUNCTION("""COMPUTED_VALUE"""),60.24)</f>
        <v>60.24</v>
      </c>
      <c r="D1066" s="1">
        <f>IFERROR(__xludf.DUMMYFUNCTION("""COMPUTED_VALUE"""),59.0)</f>
        <v>59</v>
      </c>
      <c r="E1066" s="1">
        <f>IFERROR(__xludf.DUMMYFUNCTION("""COMPUTED_VALUE"""),59.54)</f>
        <v>59.54</v>
      </c>
      <c r="F1066" s="1">
        <f>IFERROR(__xludf.DUMMYFUNCTION("""COMPUTED_VALUE"""),327963.0)</f>
        <v>327963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IFERROR(__xludf.DUMMYFUNCTION("""COMPUTED_VALUE"""),59.77)</f>
        <v>59.77</v>
      </c>
      <c r="C1067" s="1">
        <f>IFERROR(__xludf.DUMMYFUNCTION("""COMPUTED_VALUE"""),60.45)</f>
        <v>60.45</v>
      </c>
      <c r="D1067" s="1">
        <f>IFERROR(__xludf.DUMMYFUNCTION("""COMPUTED_VALUE"""),59.09)</f>
        <v>59.09</v>
      </c>
      <c r="E1067" s="1">
        <f>IFERROR(__xludf.DUMMYFUNCTION("""COMPUTED_VALUE"""),59.39)</f>
        <v>59.39</v>
      </c>
      <c r="F1067" s="1">
        <f>IFERROR(__xludf.DUMMYFUNCTION("""COMPUTED_VALUE"""),251541.0)</f>
        <v>251541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IFERROR(__xludf.DUMMYFUNCTION("""COMPUTED_VALUE"""),59.6)</f>
        <v>59.6</v>
      </c>
      <c r="C1068" s="1">
        <f>IFERROR(__xludf.DUMMYFUNCTION("""COMPUTED_VALUE"""),60.57)</f>
        <v>60.57</v>
      </c>
      <c r="D1068" s="1">
        <f>IFERROR(__xludf.DUMMYFUNCTION("""COMPUTED_VALUE"""),59.13)</f>
        <v>59.13</v>
      </c>
      <c r="E1068" s="1">
        <f>IFERROR(__xludf.DUMMYFUNCTION("""COMPUTED_VALUE"""),60.34)</f>
        <v>60.34</v>
      </c>
      <c r="F1068" s="1">
        <f>IFERROR(__xludf.DUMMYFUNCTION("""COMPUTED_VALUE"""),345769.0)</f>
        <v>345769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IFERROR(__xludf.DUMMYFUNCTION("""COMPUTED_VALUE"""),60.47)</f>
        <v>60.47</v>
      </c>
      <c r="C1069" s="1">
        <f>IFERROR(__xludf.DUMMYFUNCTION("""COMPUTED_VALUE"""),61.31)</f>
        <v>61.31</v>
      </c>
      <c r="D1069" s="1">
        <f>IFERROR(__xludf.DUMMYFUNCTION("""COMPUTED_VALUE"""),60.47)</f>
        <v>60.47</v>
      </c>
      <c r="E1069" s="1">
        <f>IFERROR(__xludf.DUMMYFUNCTION("""COMPUTED_VALUE"""),61.25)</f>
        <v>61.25</v>
      </c>
      <c r="F1069" s="1">
        <f>IFERROR(__xludf.DUMMYFUNCTION("""COMPUTED_VALUE"""),434587.0)</f>
        <v>434587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IFERROR(__xludf.DUMMYFUNCTION("""COMPUTED_VALUE"""),61.53)</f>
        <v>61.53</v>
      </c>
      <c r="C1070" s="1">
        <f>IFERROR(__xludf.DUMMYFUNCTION("""COMPUTED_VALUE"""),61.92)</f>
        <v>61.92</v>
      </c>
      <c r="D1070" s="1">
        <f>IFERROR(__xludf.DUMMYFUNCTION("""COMPUTED_VALUE"""),60.98)</f>
        <v>60.98</v>
      </c>
      <c r="E1070" s="1">
        <f>IFERROR(__xludf.DUMMYFUNCTION("""COMPUTED_VALUE"""),61.4)</f>
        <v>61.4</v>
      </c>
      <c r="F1070" s="1">
        <f>IFERROR(__xludf.DUMMYFUNCTION("""COMPUTED_VALUE"""),312138.0)</f>
        <v>312138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IFERROR(__xludf.DUMMYFUNCTION("""COMPUTED_VALUE"""),61.44)</f>
        <v>61.44</v>
      </c>
      <c r="C1071" s="1">
        <f>IFERROR(__xludf.DUMMYFUNCTION("""COMPUTED_VALUE"""),61.61)</f>
        <v>61.61</v>
      </c>
      <c r="D1071" s="1">
        <f>IFERROR(__xludf.DUMMYFUNCTION("""COMPUTED_VALUE"""),60.58)</f>
        <v>60.58</v>
      </c>
      <c r="E1071" s="1">
        <f>IFERROR(__xludf.DUMMYFUNCTION("""COMPUTED_VALUE"""),61.47)</f>
        <v>61.47</v>
      </c>
      <c r="F1071" s="1">
        <f>IFERROR(__xludf.DUMMYFUNCTION("""COMPUTED_VALUE"""),630787.0)</f>
        <v>630787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IFERROR(__xludf.DUMMYFUNCTION("""COMPUTED_VALUE"""),61.8)</f>
        <v>61.8</v>
      </c>
      <c r="C1072" s="1">
        <f>IFERROR(__xludf.DUMMYFUNCTION("""COMPUTED_VALUE"""),61.8)</f>
        <v>61.8</v>
      </c>
      <c r="D1072" s="1">
        <f>IFERROR(__xludf.DUMMYFUNCTION("""COMPUTED_VALUE"""),57.46)</f>
        <v>57.46</v>
      </c>
      <c r="E1072" s="1">
        <f>IFERROR(__xludf.DUMMYFUNCTION("""COMPUTED_VALUE"""),57.8)</f>
        <v>57.8</v>
      </c>
      <c r="F1072" s="1">
        <f>IFERROR(__xludf.DUMMYFUNCTION("""COMPUTED_VALUE"""),962098.0)</f>
        <v>962098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IFERROR(__xludf.DUMMYFUNCTION("""COMPUTED_VALUE"""),57.62)</f>
        <v>57.62</v>
      </c>
      <c r="C1073" s="1">
        <f>IFERROR(__xludf.DUMMYFUNCTION("""COMPUTED_VALUE"""),57.63)</f>
        <v>57.63</v>
      </c>
      <c r="D1073" s="1">
        <f>IFERROR(__xludf.DUMMYFUNCTION("""COMPUTED_VALUE"""),56.01)</f>
        <v>56.01</v>
      </c>
      <c r="E1073" s="1">
        <f>IFERROR(__xludf.DUMMYFUNCTION("""COMPUTED_VALUE"""),56.87)</f>
        <v>56.87</v>
      </c>
      <c r="F1073" s="1">
        <f>IFERROR(__xludf.DUMMYFUNCTION("""COMPUTED_VALUE"""),939883.0)</f>
        <v>939883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IFERROR(__xludf.DUMMYFUNCTION("""COMPUTED_VALUE"""),57.04)</f>
        <v>57.04</v>
      </c>
      <c r="C1074" s="1">
        <f>IFERROR(__xludf.DUMMYFUNCTION("""COMPUTED_VALUE"""),58.29)</f>
        <v>58.29</v>
      </c>
      <c r="D1074" s="1">
        <f>IFERROR(__xludf.DUMMYFUNCTION("""COMPUTED_VALUE"""),56.81)</f>
        <v>56.81</v>
      </c>
      <c r="E1074" s="1">
        <f>IFERROR(__xludf.DUMMYFUNCTION("""COMPUTED_VALUE"""),58.25)</f>
        <v>58.25</v>
      </c>
      <c r="F1074" s="1">
        <f>IFERROR(__xludf.DUMMYFUNCTION("""COMPUTED_VALUE"""),905132.0)</f>
        <v>905132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IFERROR(__xludf.DUMMYFUNCTION("""COMPUTED_VALUE"""),58.34)</f>
        <v>58.34</v>
      </c>
      <c r="C1075" s="1">
        <f>IFERROR(__xludf.DUMMYFUNCTION("""COMPUTED_VALUE"""),59.05)</f>
        <v>59.05</v>
      </c>
      <c r="D1075" s="1">
        <f>IFERROR(__xludf.DUMMYFUNCTION("""COMPUTED_VALUE"""),57.9)</f>
        <v>57.9</v>
      </c>
      <c r="E1075" s="1">
        <f>IFERROR(__xludf.DUMMYFUNCTION("""COMPUTED_VALUE"""),59.01)</f>
        <v>59.01</v>
      </c>
      <c r="F1075" s="1">
        <f>IFERROR(__xludf.DUMMYFUNCTION("""COMPUTED_VALUE"""),500402.0)</f>
        <v>500402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IFERROR(__xludf.DUMMYFUNCTION("""COMPUTED_VALUE"""),59.28)</f>
        <v>59.28</v>
      </c>
      <c r="C1076" s="1">
        <f>IFERROR(__xludf.DUMMYFUNCTION("""COMPUTED_VALUE"""),59.28)</f>
        <v>59.28</v>
      </c>
      <c r="D1076" s="1">
        <f>IFERROR(__xludf.DUMMYFUNCTION("""COMPUTED_VALUE"""),57.14)</f>
        <v>57.14</v>
      </c>
      <c r="E1076" s="1">
        <f>IFERROR(__xludf.DUMMYFUNCTION("""COMPUTED_VALUE"""),57.42)</f>
        <v>57.42</v>
      </c>
      <c r="F1076" s="1">
        <f>IFERROR(__xludf.DUMMYFUNCTION("""COMPUTED_VALUE"""),533550.0)</f>
        <v>533550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IFERROR(__xludf.DUMMYFUNCTION("""COMPUTED_VALUE"""),56.96)</f>
        <v>56.96</v>
      </c>
      <c r="C1077" s="1">
        <f>IFERROR(__xludf.DUMMYFUNCTION("""COMPUTED_VALUE"""),57.85)</f>
        <v>57.85</v>
      </c>
      <c r="D1077" s="1">
        <f>IFERROR(__xludf.DUMMYFUNCTION("""COMPUTED_VALUE"""),56.09)</f>
        <v>56.09</v>
      </c>
      <c r="E1077" s="1">
        <f>IFERROR(__xludf.DUMMYFUNCTION("""COMPUTED_VALUE"""),56.36)</f>
        <v>56.36</v>
      </c>
      <c r="F1077" s="1">
        <f>IFERROR(__xludf.DUMMYFUNCTION("""COMPUTED_VALUE"""),420819.0)</f>
        <v>420819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IFERROR(__xludf.DUMMYFUNCTION("""COMPUTED_VALUE"""),56.72)</f>
        <v>56.72</v>
      </c>
      <c r="C1078" s="1">
        <f>IFERROR(__xludf.DUMMYFUNCTION("""COMPUTED_VALUE"""),57.55)</f>
        <v>57.55</v>
      </c>
      <c r="D1078" s="1">
        <f>IFERROR(__xludf.DUMMYFUNCTION("""COMPUTED_VALUE"""),55.9)</f>
        <v>55.9</v>
      </c>
      <c r="E1078" s="1">
        <f>IFERROR(__xludf.DUMMYFUNCTION("""COMPUTED_VALUE"""),56.59)</f>
        <v>56.59</v>
      </c>
      <c r="F1078" s="1">
        <f>IFERROR(__xludf.DUMMYFUNCTION("""COMPUTED_VALUE"""),339149.0)</f>
        <v>339149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IFERROR(__xludf.DUMMYFUNCTION("""COMPUTED_VALUE"""),56.66)</f>
        <v>56.66</v>
      </c>
      <c r="C1079" s="1">
        <f>IFERROR(__xludf.DUMMYFUNCTION("""COMPUTED_VALUE"""),57.46)</f>
        <v>57.46</v>
      </c>
      <c r="D1079" s="1">
        <f>IFERROR(__xludf.DUMMYFUNCTION("""COMPUTED_VALUE"""),55.38)</f>
        <v>55.38</v>
      </c>
      <c r="E1079" s="1">
        <f>IFERROR(__xludf.DUMMYFUNCTION("""COMPUTED_VALUE"""),56.8)</f>
        <v>56.8</v>
      </c>
      <c r="F1079" s="1">
        <f>IFERROR(__xludf.DUMMYFUNCTION("""COMPUTED_VALUE"""),451951.0)</f>
        <v>451951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IFERROR(__xludf.DUMMYFUNCTION("""COMPUTED_VALUE"""),57.41)</f>
        <v>57.41</v>
      </c>
      <c r="C1080" s="1">
        <f>IFERROR(__xludf.DUMMYFUNCTION("""COMPUTED_VALUE"""),57.92)</f>
        <v>57.92</v>
      </c>
      <c r="D1080" s="1">
        <f>IFERROR(__xludf.DUMMYFUNCTION("""COMPUTED_VALUE"""),57.01)</f>
        <v>57.01</v>
      </c>
      <c r="E1080" s="1">
        <f>IFERROR(__xludf.DUMMYFUNCTION("""COMPUTED_VALUE"""),57.62)</f>
        <v>57.62</v>
      </c>
      <c r="F1080" s="1">
        <f>IFERROR(__xludf.DUMMYFUNCTION("""COMPUTED_VALUE"""),232846.0)</f>
        <v>232846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IFERROR(__xludf.DUMMYFUNCTION("""COMPUTED_VALUE"""),57.54)</f>
        <v>57.54</v>
      </c>
      <c r="C1081" s="1">
        <f>IFERROR(__xludf.DUMMYFUNCTION("""COMPUTED_VALUE"""),58.25)</f>
        <v>58.25</v>
      </c>
      <c r="D1081" s="1">
        <f>IFERROR(__xludf.DUMMYFUNCTION("""COMPUTED_VALUE"""),56.95)</f>
        <v>56.95</v>
      </c>
      <c r="E1081" s="1">
        <f>IFERROR(__xludf.DUMMYFUNCTION("""COMPUTED_VALUE"""),57.09)</f>
        <v>57.09</v>
      </c>
      <c r="F1081" s="1">
        <f>IFERROR(__xludf.DUMMYFUNCTION("""COMPUTED_VALUE"""),377734.0)</f>
        <v>377734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IFERROR(__xludf.DUMMYFUNCTION("""COMPUTED_VALUE"""),57.12)</f>
        <v>57.12</v>
      </c>
      <c r="C1082" s="1">
        <f>IFERROR(__xludf.DUMMYFUNCTION("""COMPUTED_VALUE"""),58.2)</f>
        <v>58.2</v>
      </c>
      <c r="D1082" s="1">
        <f>IFERROR(__xludf.DUMMYFUNCTION("""COMPUTED_VALUE"""),56.93)</f>
        <v>56.93</v>
      </c>
      <c r="E1082" s="1">
        <f>IFERROR(__xludf.DUMMYFUNCTION("""COMPUTED_VALUE"""),57.97)</f>
        <v>57.97</v>
      </c>
      <c r="F1082" s="1">
        <f>IFERROR(__xludf.DUMMYFUNCTION("""COMPUTED_VALUE"""),395727.0)</f>
        <v>395727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IFERROR(__xludf.DUMMYFUNCTION("""COMPUTED_VALUE"""),58.06)</f>
        <v>58.06</v>
      </c>
      <c r="C1083" s="1">
        <f>IFERROR(__xludf.DUMMYFUNCTION("""COMPUTED_VALUE"""),59.11)</f>
        <v>59.11</v>
      </c>
      <c r="D1083" s="1">
        <f>IFERROR(__xludf.DUMMYFUNCTION("""COMPUTED_VALUE"""),57.85)</f>
        <v>57.85</v>
      </c>
      <c r="E1083" s="1">
        <f>IFERROR(__xludf.DUMMYFUNCTION("""COMPUTED_VALUE"""),58.17)</f>
        <v>58.17</v>
      </c>
      <c r="F1083" s="1">
        <f>IFERROR(__xludf.DUMMYFUNCTION("""COMPUTED_VALUE"""),623983.0)</f>
        <v>623983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IFERROR(__xludf.DUMMYFUNCTION("""COMPUTED_VALUE"""),58.1)</f>
        <v>58.1</v>
      </c>
      <c r="C1084" s="1">
        <f>IFERROR(__xludf.DUMMYFUNCTION("""COMPUTED_VALUE"""),58.27)</f>
        <v>58.27</v>
      </c>
      <c r="D1084" s="1">
        <f>IFERROR(__xludf.DUMMYFUNCTION("""COMPUTED_VALUE"""),57.02)</f>
        <v>57.02</v>
      </c>
      <c r="E1084" s="1">
        <f>IFERROR(__xludf.DUMMYFUNCTION("""COMPUTED_VALUE"""),57.31)</f>
        <v>57.31</v>
      </c>
      <c r="F1084" s="1">
        <f>IFERROR(__xludf.DUMMYFUNCTION("""COMPUTED_VALUE"""),558833.0)</f>
        <v>558833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IFERROR(__xludf.DUMMYFUNCTION("""COMPUTED_VALUE"""),57.74)</f>
        <v>57.74</v>
      </c>
      <c r="C1085" s="1">
        <f>IFERROR(__xludf.DUMMYFUNCTION("""COMPUTED_VALUE"""),58.01)</f>
        <v>58.01</v>
      </c>
      <c r="D1085" s="1">
        <f>IFERROR(__xludf.DUMMYFUNCTION("""COMPUTED_VALUE"""),56.36)</f>
        <v>56.36</v>
      </c>
      <c r="E1085" s="1">
        <f>IFERROR(__xludf.DUMMYFUNCTION("""COMPUTED_VALUE"""),57.52)</f>
        <v>57.52</v>
      </c>
      <c r="F1085" s="1">
        <f>IFERROR(__xludf.DUMMYFUNCTION("""COMPUTED_VALUE"""),420575.0)</f>
        <v>420575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IFERROR(__xludf.DUMMYFUNCTION("""COMPUTED_VALUE"""),57.26)</f>
        <v>57.26</v>
      </c>
      <c r="C1086" s="1">
        <f>IFERROR(__xludf.DUMMYFUNCTION("""COMPUTED_VALUE"""),57.48)</f>
        <v>57.48</v>
      </c>
      <c r="D1086" s="1">
        <f>IFERROR(__xludf.DUMMYFUNCTION("""COMPUTED_VALUE"""),56.11)</f>
        <v>56.11</v>
      </c>
      <c r="E1086" s="1">
        <f>IFERROR(__xludf.DUMMYFUNCTION("""COMPUTED_VALUE"""),56.65)</f>
        <v>56.65</v>
      </c>
      <c r="F1086" s="1">
        <f>IFERROR(__xludf.DUMMYFUNCTION("""COMPUTED_VALUE"""),485632.0)</f>
        <v>485632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IFERROR(__xludf.DUMMYFUNCTION("""COMPUTED_VALUE"""),56.88)</f>
        <v>56.88</v>
      </c>
      <c r="C1087" s="1">
        <f>IFERROR(__xludf.DUMMYFUNCTION("""COMPUTED_VALUE"""),56.88)</f>
        <v>56.88</v>
      </c>
      <c r="D1087" s="1">
        <f>IFERROR(__xludf.DUMMYFUNCTION("""COMPUTED_VALUE"""),53.03)</f>
        <v>53.03</v>
      </c>
      <c r="E1087" s="1">
        <f>IFERROR(__xludf.DUMMYFUNCTION("""COMPUTED_VALUE"""),53.64)</f>
        <v>53.64</v>
      </c>
      <c r="F1087" s="1">
        <f>IFERROR(__xludf.DUMMYFUNCTION("""COMPUTED_VALUE"""),1199632.0)</f>
        <v>1199632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IFERROR(__xludf.DUMMYFUNCTION("""COMPUTED_VALUE"""),53.51)</f>
        <v>53.51</v>
      </c>
      <c r="C1088" s="1">
        <f>IFERROR(__xludf.DUMMYFUNCTION("""COMPUTED_VALUE"""),55.46)</f>
        <v>55.46</v>
      </c>
      <c r="D1088" s="1">
        <f>IFERROR(__xludf.DUMMYFUNCTION("""COMPUTED_VALUE"""),53.2)</f>
        <v>53.2</v>
      </c>
      <c r="E1088" s="1">
        <f>IFERROR(__xludf.DUMMYFUNCTION("""COMPUTED_VALUE"""),55.06)</f>
        <v>55.06</v>
      </c>
      <c r="F1088" s="1">
        <f>IFERROR(__xludf.DUMMYFUNCTION("""COMPUTED_VALUE"""),1091747.0)</f>
        <v>1091747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IFERROR(__xludf.DUMMYFUNCTION("""COMPUTED_VALUE"""),55.55)</f>
        <v>55.55</v>
      </c>
      <c r="C1089" s="1">
        <f>IFERROR(__xludf.DUMMYFUNCTION("""COMPUTED_VALUE"""),55.55)</f>
        <v>55.55</v>
      </c>
      <c r="D1089" s="1">
        <f>IFERROR(__xludf.DUMMYFUNCTION("""COMPUTED_VALUE"""),52.47)</f>
        <v>52.47</v>
      </c>
      <c r="E1089" s="1">
        <f>IFERROR(__xludf.DUMMYFUNCTION("""COMPUTED_VALUE"""),53.72)</f>
        <v>53.72</v>
      </c>
      <c r="F1089" s="1">
        <f>IFERROR(__xludf.DUMMYFUNCTION("""COMPUTED_VALUE"""),1001689.0)</f>
        <v>1001689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IFERROR(__xludf.DUMMYFUNCTION("""COMPUTED_VALUE"""),54.29)</f>
        <v>54.29</v>
      </c>
      <c r="C1090" s="1">
        <f>IFERROR(__xludf.DUMMYFUNCTION("""COMPUTED_VALUE"""),55.0)</f>
        <v>55</v>
      </c>
      <c r="D1090" s="1">
        <f>IFERROR(__xludf.DUMMYFUNCTION("""COMPUTED_VALUE"""),50.64)</f>
        <v>50.64</v>
      </c>
      <c r="E1090" s="1">
        <f>IFERROR(__xludf.DUMMYFUNCTION("""COMPUTED_VALUE"""),51.45)</f>
        <v>51.45</v>
      </c>
      <c r="F1090" s="1">
        <f>IFERROR(__xludf.DUMMYFUNCTION("""COMPUTED_VALUE"""),1984981.0)</f>
        <v>1984981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IFERROR(__xludf.DUMMYFUNCTION("""COMPUTED_VALUE"""),51.33)</f>
        <v>51.33</v>
      </c>
      <c r="C1091" s="1">
        <f>IFERROR(__xludf.DUMMYFUNCTION("""COMPUTED_VALUE"""),51.41)</f>
        <v>51.41</v>
      </c>
      <c r="D1091" s="1">
        <f>IFERROR(__xludf.DUMMYFUNCTION("""COMPUTED_VALUE"""),49.6)</f>
        <v>49.6</v>
      </c>
      <c r="E1091" s="1">
        <f>IFERROR(__xludf.DUMMYFUNCTION("""COMPUTED_VALUE"""),50.74)</f>
        <v>50.74</v>
      </c>
      <c r="F1091" s="1">
        <f>IFERROR(__xludf.DUMMYFUNCTION("""COMPUTED_VALUE"""),1771535.0)</f>
        <v>1771535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IFERROR(__xludf.DUMMYFUNCTION("""COMPUTED_VALUE"""),50.37)</f>
        <v>50.37</v>
      </c>
      <c r="C1092" s="1">
        <f>IFERROR(__xludf.DUMMYFUNCTION("""COMPUTED_VALUE"""),51.41)</f>
        <v>51.41</v>
      </c>
      <c r="D1092" s="1">
        <f>IFERROR(__xludf.DUMMYFUNCTION("""COMPUTED_VALUE"""),49.86)</f>
        <v>49.86</v>
      </c>
      <c r="E1092" s="1">
        <f>IFERROR(__xludf.DUMMYFUNCTION("""COMPUTED_VALUE"""),51.16)</f>
        <v>51.16</v>
      </c>
      <c r="F1092" s="1">
        <f>IFERROR(__xludf.DUMMYFUNCTION("""COMPUTED_VALUE"""),833436.0)</f>
        <v>833436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IFERROR(__xludf.DUMMYFUNCTION("""COMPUTED_VALUE"""),50.75)</f>
        <v>50.75</v>
      </c>
      <c r="C1093" s="1">
        <f>IFERROR(__xludf.DUMMYFUNCTION("""COMPUTED_VALUE"""),51.93)</f>
        <v>51.93</v>
      </c>
      <c r="D1093" s="1">
        <f>IFERROR(__xludf.DUMMYFUNCTION("""COMPUTED_VALUE"""),50.5)</f>
        <v>50.5</v>
      </c>
      <c r="E1093" s="1">
        <f>IFERROR(__xludf.DUMMYFUNCTION("""COMPUTED_VALUE"""),50.96)</f>
        <v>50.96</v>
      </c>
      <c r="F1093" s="1">
        <f>IFERROR(__xludf.DUMMYFUNCTION("""COMPUTED_VALUE"""),1049082.0)</f>
        <v>1049082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IFERROR(__xludf.DUMMYFUNCTION("""COMPUTED_VALUE"""),51.17)</f>
        <v>51.17</v>
      </c>
      <c r="C1094" s="1">
        <f>IFERROR(__xludf.DUMMYFUNCTION("""COMPUTED_VALUE"""),52.35)</f>
        <v>52.35</v>
      </c>
      <c r="D1094" s="1">
        <f>IFERROR(__xludf.DUMMYFUNCTION("""COMPUTED_VALUE"""),51.12)</f>
        <v>51.12</v>
      </c>
      <c r="E1094" s="1">
        <f>IFERROR(__xludf.DUMMYFUNCTION("""COMPUTED_VALUE"""),52.29)</f>
        <v>52.29</v>
      </c>
      <c r="F1094" s="1">
        <f>IFERROR(__xludf.DUMMYFUNCTION("""COMPUTED_VALUE"""),1372364.0)</f>
        <v>1372364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IFERROR(__xludf.DUMMYFUNCTION("""COMPUTED_VALUE"""),52.05)</f>
        <v>52.05</v>
      </c>
      <c r="C1095" s="1">
        <f>IFERROR(__xludf.DUMMYFUNCTION("""COMPUTED_VALUE"""),53.25)</f>
        <v>53.25</v>
      </c>
      <c r="D1095" s="1">
        <f>IFERROR(__xludf.DUMMYFUNCTION("""COMPUTED_VALUE"""),51.99)</f>
        <v>51.99</v>
      </c>
      <c r="E1095" s="1">
        <f>IFERROR(__xludf.DUMMYFUNCTION("""COMPUTED_VALUE"""),52.31)</f>
        <v>52.31</v>
      </c>
      <c r="F1095" s="1">
        <f>IFERROR(__xludf.DUMMYFUNCTION("""COMPUTED_VALUE"""),1078561.0)</f>
        <v>1078561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IFERROR(__xludf.DUMMYFUNCTION("""COMPUTED_VALUE"""),52.22)</f>
        <v>52.22</v>
      </c>
      <c r="C1096" s="1">
        <f>IFERROR(__xludf.DUMMYFUNCTION("""COMPUTED_VALUE"""),53.68)</f>
        <v>53.68</v>
      </c>
      <c r="D1096" s="1">
        <f>IFERROR(__xludf.DUMMYFUNCTION("""COMPUTED_VALUE"""),51.94)</f>
        <v>51.94</v>
      </c>
      <c r="E1096" s="1">
        <f>IFERROR(__xludf.DUMMYFUNCTION("""COMPUTED_VALUE"""),53.39)</f>
        <v>53.39</v>
      </c>
      <c r="F1096" s="1">
        <f>IFERROR(__xludf.DUMMYFUNCTION("""COMPUTED_VALUE"""),655543.0)</f>
        <v>655543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IFERROR(__xludf.DUMMYFUNCTION("""COMPUTED_VALUE"""),53.7)</f>
        <v>53.7</v>
      </c>
      <c r="C1097" s="1">
        <f>IFERROR(__xludf.DUMMYFUNCTION("""COMPUTED_VALUE"""),54.27)</f>
        <v>54.27</v>
      </c>
      <c r="D1097" s="1">
        <f>IFERROR(__xludf.DUMMYFUNCTION("""COMPUTED_VALUE"""),53.44)</f>
        <v>53.44</v>
      </c>
      <c r="E1097" s="1">
        <f>IFERROR(__xludf.DUMMYFUNCTION("""COMPUTED_VALUE"""),53.93)</f>
        <v>53.93</v>
      </c>
      <c r="F1097" s="1">
        <f>IFERROR(__xludf.DUMMYFUNCTION("""COMPUTED_VALUE"""),533124.0)</f>
        <v>533124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IFERROR(__xludf.DUMMYFUNCTION("""COMPUTED_VALUE"""),54.0)</f>
        <v>54</v>
      </c>
      <c r="C1098" s="1">
        <f>IFERROR(__xludf.DUMMYFUNCTION("""COMPUTED_VALUE"""),54.45)</f>
        <v>54.45</v>
      </c>
      <c r="D1098" s="1">
        <f>IFERROR(__xludf.DUMMYFUNCTION("""COMPUTED_VALUE"""),53.55)</f>
        <v>53.55</v>
      </c>
      <c r="E1098" s="1">
        <f>IFERROR(__xludf.DUMMYFUNCTION("""COMPUTED_VALUE"""),53.94)</f>
        <v>53.94</v>
      </c>
      <c r="F1098" s="1">
        <f>IFERROR(__xludf.DUMMYFUNCTION("""COMPUTED_VALUE"""),561212.0)</f>
        <v>561212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IFERROR(__xludf.DUMMYFUNCTION("""COMPUTED_VALUE"""),53.76)</f>
        <v>53.76</v>
      </c>
      <c r="C1099" s="1">
        <f>IFERROR(__xludf.DUMMYFUNCTION("""COMPUTED_VALUE"""),54.45)</f>
        <v>54.45</v>
      </c>
      <c r="D1099" s="1">
        <f>IFERROR(__xludf.DUMMYFUNCTION("""COMPUTED_VALUE"""),53.38)</f>
        <v>53.38</v>
      </c>
      <c r="E1099" s="1">
        <f>IFERROR(__xludf.DUMMYFUNCTION("""COMPUTED_VALUE"""),53.83)</f>
        <v>53.83</v>
      </c>
      <c r="F1099" s="1">
        <f>IFERROR(__xludf.DUMMYFUNCTION("""COMPUTED_VALUE"""),597640.0)</f>
        <v>597640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IFERROR(__xludf.DUMMYFUNCTION("""COMPUTED_VALUE"""),53.61)</f>
        <v>53.61</v>
      </c>
      <c r="C1100" s="1">
        <f>IFERROR(__xludf.DUMMYFUNCTION("""COMPUTED_VALUE"""),53.76)</f>
        <v>53.76</v>
      </c>
      <c r="D1100" s="1">
        <f>IFERROR(__xludf.DUMMYFUNCTION("""COMPUTED_VALUE"""),52.86)</f>
        <v>52.86</v>
      </c>
      <c r="E1100" s="1">
        <f>IFERROR(__xludf.DUMMYFUNCTION("""COMPUTED_VALUE"""),53.68)</f>
        <v>53.68</v>
      </c>
      <c r="F1100" s="1">
        <f>IFERROR(__xludf.DUMMYFUNCTION("""COMPUTED_VALUE"""),547494.0)</f>
        <v>547494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IFERROR(__xludf.DUMMYFUNCTION("""COMPUTED_VALUE"""),53.84)</f>
        <v>53.84</v>
      </c>
      <c r="C1101" s="1">
        <f>IFERROR(__xludf.DUMMYFUNCTION("""COMPUTED_VALUE"""),53.96)</f>
        <v>53.96</v>
      </c>
      <c r="D1101" s="1">
        <f>IFERROR(__xludf.DUMMYFUNCTION("""COMPUTED_VALUE"""),52.96)</f>
        <v>52.96</v>
      </c>
      <c r="E1101" s="1">
        <f>IFERROR(__xludf.DUMMYFUNCTION("""COMPUTED_VALUE"""),53.24)</f>
        <v>53.24</v>
      </c>
      <c r="F1101" s="1">
        <f>IFERROR(__xludf.DUMMYFUNCTION("""COMPUTED_VALUE"""),732556.0)</f>
        <v>732556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IFERROR(__xludf.DUMMYFUNCTION("""COMPUTED_VALUE"""),53.29)</f>
        <v>53.29</v>
      </c>
      <c r="C1102" s="1">
        <f>IFERROR(__xludf.DUMMYFUNCTION("""COMPUTED_VALUE"""),54.78)</f>
        <v>54.78</v>
      </c>
      <c r="D1102" s="1">
        <f>IFERROR(__xludf.DUMMYFUNCTION("""COMPUTED_VALUE"""),53.29)</f>
        <v>53.29</v>
      </c>
      <c r="E1102" s="1">
        <f>IFERROR(__xludf.DUMMYFUNCTION("""COMPUTED_VALUE"""),54.02)</f>
        <v>54.02</v>
      </c>
      <c r="F1102" s="1">
        <f>IFERROR(__xludf.DUMMYFUNCTION("""COMPUTED_VALUE"""),563573.0)</f>
        <v>563573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IFERROR(__xludf.DUMMYFUNCTION("""COMPUTED_VALUE"""),54.06)</f>
        <v>54.06</v>
      </c>
      <c r="C1103" s="1">
        <f>IFERROR(__xludf.DUMMYFUNCTION("""COMPUTED_VALUE"""),54.47)</f>
        <v>54.47</v>
      </c>
      <c r="D1103" s="1">
        <f>IFERROR(__xludf.DUMMYFUNCTION("""COMPUTED_VALUE"""),52.92)</f>
        <v>52.92</v>
      </c>
      <c r="E1103" s="1">
        <f>IFERROR(__xludf.DUMMYFUNCTION("""COMPUTED_VALUE"""),53.16)</f>
        <v>53.16</v>
      </c>
      <c r="F1103" s="1">
        <f>IFERROR(__xludf.DUMMYFUNCTION("""COMPUTED_VALUE"""),904972.0)</f>
        <v>904972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IFERROR(__xludf.DUMMYFUNCTION("""COMPUTED_VALUE"""),53.24)</f>
        <v>53.24</v>
      </c>
      <c r="C1104" s="1">
        <f>IFERROR(__xludf.DUMMYFUNCTION("""COMPUTED_VALUE"""),54.07)</f>
        <v>54.07</v>
      </c>
      <c r="D1104" s="1">
        <f>IFERROR(__xludf.DUMMYFUNCTION("""COMPUTED_VALUE"""),53.05)</f>
        <v>53.05</v>
      </c>
      <c r="E1104" s="1">
        <f>IFERROR(__xludf.DUMMYFUNCTION("""COMPUTED_VALUE"""),53.39)</f>
        <v>53.39</v>
      </c>
      <c r="F1104" s="1">
        <f>IFERROR(__xludf.DUMMYFUNCTION("""COMPUTED_VALUE"""),535222.0)</f>
        <v>535222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IFERROR(__xludf.DUMMYFUNCTION("""COMPUTED_VALUE"""),53.33)</f>
        <v>53.33</v>
      </c>
      <c r="C1105" s="1">
        <f>IFERROR(__xludf.DUMMYFUNCTION("""COMPUTED_VALUE"""),54.04)</f>
        <v>54.04</v>
      </c>
      <c r="D1105" s="1">
        <f>IFERROR(__xludf.DUMMYFUNCTION("""COMPUTED_VALUE"""),52.82)</f>
        <v>52.82</v>
      </c>
      <c r="E1105" s="1">
        <f>IFERROR(__xludf.DUMMYFUNCTION("""COMPUTED_VALUE"""),53.5)</f>
        <v>53.5</v>
      </c>
      <c r="F1105" s="1">
        <f>IFERROR(__xludf.DUMMYFUNCTION("""COMPUTED_VALUE"""),380719.0)</f>
        <v>380719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IFERROR(__xludf.DUMMYFUNCTION("""COMPUTED_VALUE"""),53.61)</f>
        <v>53.61</v>
      </c>
      <c r="C1106" s="1">
        <f>IFERROR(__xludf.DUMMYFUNCTION("""COMPUTED_VALUE"""),54.14)</f>
        <v>54.14</v>
      </c>
      <c r="D1106" s="1">
        <f>IFERROR(__xludf.DUMMYFUNCTION("""COMPUTED_VALUE"""),53.25)</f>
        <v>53.25</v>
      </c>
      <c r="E1106" s="1">
        <f>IFERROR(__xludf.DUMMYFUNCTION("""COMPUTED_VALUE"""),53.73)</f>
        <v>53.73</v>
      </c>
      <c r="F1106" s="1">
        <f>IFERROR(__xludf.DUMMYFUNCTION("""COMPUTED_VALUE"""),323194.0)</f>
        <v>323194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IFERROR(__xludf.DUMMYFUNCTION("""COMPUTED_VALUE"""),53.87)</f>
        <v>53.87</v>
      </c>
      <c r="C1107" s="1">
        <f>IFERROR(__xludf.DUMMYFUNCTION("""COMPUTED_VALUE"""),54.22)</f>
        <v>54.22</v>
      </c>
      <c r="D1107" s="1">
        <f>IFERROR(__xludf.DUMMYFUNCTION("""COMPUTED_VALUE"""),53.71)</f>
        <v>53.71</v>
      </c>
      <c r="E1107" s="1">
        <f>IFERROR(__xludf.DUMMYFUNCTION("""COMPUTED_VALUE"""),54.03)</f>
        <v>54.03</v>
      </c>
      <c r="F1107" s="1">
        <f>IFERROR(__xludf.DUMMYFUNCTION("""COMPUTED_VALUE"""),498200.0)</f>
        <v>498200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IFERROR(__xludf.DUMMYFUNCTION("""COMPUTED_VALUE"""),54.08)</f>
        <v>54.08</v>
      </c>
      <c r="C1108" s="1">
        <f>IFERROR(__xludf.DUMMYFUNCTION("""COMPUTED_VALUE"""),54.2)</f>
        <v>54.2</v>
      </c>
      <c r="D1108" s="1">
        <f>IFERROR(__xludf.DUMMYFUNCTION("""COMPUTED_VALUE"""),53.5)</f>
        <v>53.5</v>
      </c>
      <c r="E1108" s="1">
        <f>IFERROR(__xludf.DUMMYFUNCTION("""COMPUTED_VALUE"""),53.6)</f>
        <v>53.6</v>
      </c>
      <c r="F1108" s="1">
        <f>IFERROR(__xludf.DUMMYFUNCTION("""COMPUTED_VALUE"""),364193.0)</f>
        <v>364193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IFERROR(__xludf.DUMMYFUNCTION("""COMPUTED_VALUE"""),53.67)</f>
        <v>53.67</v>
      </c>
      <c r="C1109" s="1">
        <f>IFERROR(__xludf.DUMMYFUNCTION("""COMPUTED_VALUE"""),53.74)</f>
        <v>53.74</v>
      </c>
      <c r="D1109" s="1">
        <f>IFERROR(__xludf.DUMMYFUNCTION("""COMPUTED_VALUE"""),53.23)</f>
        <v>53.23</v>
      </c>
      <c r="E1109" s="1">
        <f>IFERROR(__xludf.DUMMYFUNCTION("""COMPUTED_VALUE"""),53.61)</f>
        <v>53.61</v>
      </c>
      <c r="F1109" s="1">
        <f>IFERROR(__xludf.DUMMYFUNCTION("""COMPUTED_VALUE"""),328896.0)</f>
        <v>328896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IFERROR(__xludf.DUMMYFUNCTION("""COMPUTED_VALUE"""),53.61)</f>
        <v>53.61</v>
      </c>
      <c r="C1110" s="1">
        <f>IFERROR(__xludf.DUMMYFUNCTION("""COMPUTED_VALUE"""),54.48)</f>
        <v>54.48</v>
      </c>
      <c r="D1110" s="1">
        <f>IFERROR(__xludf.DUMMYFUNCTION("""COMPUTED_VALUE"""),53.37)</f>
        <v>53.37</v>
      </c>
      <c r="E1110" s="1">
        <f>IFERROR(__xludf.DUMMYFUNCTION("""COMPUTED_VALUE"""),53.58)</f>
        <v>53.58</v>
      </c>
      <c r="F1110" s="1">
        <f>IFERROR(__xludf.DUMMYFUNCTION("""COMPUTED_VALUE"""),467586.0)</f>
        <v>467586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IFERROR(__xludf.DUMMYFUNCTION("""COMPUTED_VALUE"""),53.59)</f>
        <v>53.59</v>
      </c>
      <c r="C1111" s="1">
        <f>IFERROR(__xludf.DUMMYFUNCTION("""COMPUTED_VALUE"""),53.66)</f>
        <v>53.66</v>
      </c>
      <c r="D1111" s="1">
        <f>IFERROR(__xludf.DUMMYFUNCTION("""COMPUTED_VALUE"""),52.76)</f>
        <v>52.76</v>
      </c>
      <c r="E1111" s="1">
        <f>IFERROR(__xludf.DUMMYFUNCTION("""COMPUTED_VALUE"""),53.48)</f>
        <v>53.48</v>
      </c>
      <c r="F1111" s="1">
        <f>IFERROR(__xludf.DUMMYFUNCTION("""COMPUTED_VALUE"""),372607.0)</f>
        <v>372607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IFERROR(__xludf.DUMMYFUNCTION("""COMPUTED_VALUE"""),53.16)</f>
        <v>53.16</v>
      </c>
      <c r="C1112" s="1">
        <f>IFERROR(__xludf.DUMMYFUNCTION("""COMPUTED_VALUE"""),54.43)</f>
        <v>54.43</v>
      </c>
      <c r="D1112" s="1">
        <f>IFERROR(__xludf.DUMMYFUNCTION("""COMPUTED_VALUE"""),53.03)</f>
        <v>53.03</v>
      </c>
      <c r="E1112" s="1">
        <f>IFERROR(__xludf.DUMMYFUNCTION("""COMPUTED_VALUE"""),54.14)</f>
        <v>54.14</v>
      </c>
      <c r="F1112" s="1">
        <f>IFERROR(__xludf.DUMMYFUNCTION("""COMPUTED_VALUE"""),350387.0)</f>
        <v>350387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IFERROR(__xludf.DUMMYFUNCTION("""COMPUTED_VALUE"""),53.97)</f>
        <v>53.97</v>
      </c>
      <c r="C1113" s="1">
        <f>IFERROR(__xludf.DUMMYFUNCTION("""COMPUTED_VALUE"""),54.74)</f>
        <v>54.74</v>
      </c>
      <c r="D1113" s="1">
        <f>IFERROR(__xludf.DUMMYFUNCTION("""COMPUTED_VALUE"""),53.77)</f>
        <v>53.77</v>
      </c>
      <c r="E1113" s="1">
        <f>IFERROR(__xludf.DUMMYFUNCTION("""COMPUTED_VALUE"""),54.5)</f>
        <v>54.5</v>
      </c>
      <c r="F1113" s="1">
        <f>IFERROR(__xludf.DUMMYFUNCTION("""COMPUTED_VALUE"""),361336.0)</f>
        <v>361336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IFERROR(__xludf.DUMMYFUNCTION("""COMPUTED_VALUE"""),54.56)</f>
        <v>54.56</v>
      </c>
      <c r="C1114" s="1">
        <f>IFERROR(__xludf.DUMMYFUNCTION("""COMPUTED_VALUE"""),55.69)</f>
        <v>55.69</v>
      </c>
      <c r="D1114" s="1">
        <f>IFERROR(__xludf.DUMMYFUNCTION("""COMPUTED_VALUE"""),54.47)</f>
        <v>54.47</v>
      </c>
      <c r="E1114" s="1">
        <f>IFERROR(__xludf.DUMMYFUNCTION("""COMPUTED_VALUE"""),55.01)</f>
        <v>55.01</v>
      </c>
      <c r="F1114" s="1">
        <f>IFERROR(__xludf.DUMMYFUNCTION("""COMPUTED_VALUE"""),311795.0)</f>
        <v>311795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IFERROR(__xludf.DUMMYFUNCTION("""COMPUTED_VALUE"""),55.09)</f>
        <v>55.09</v>
      </c>
      <c r="C1115" s="1">
        <f>IFERROR(__xludf.DUMMYFUNCTION("""COMPUTED_VALUE"""),55.13)</f>
        <v>55.13</v>
      </c>
      <c r="D1115" s="1">
        <f>IFERROR(__xludf.DUMMYFUNCTION("""COMPUTED_VALUE"""),54.37)</f>
        <v>54.37</v>
      </c>
      <c r="E1115" s="1">
        <f>IFERROR(__xludf.DUMMYFUNCTION("""COMPUTED_VALUE"""),54.81)</f>
        <v>54.81</v>
      </c>
      <c r="F1115" s="1">
        <f>IFERROR(__xludf.DUMMYFUNCTION("""COMPUTED_VALUE"""),218318.0)</f>
        <v>218318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IFERROR(__xludf.DUMMYFUNCTION("""COMPUTED_VALUE"""),54.66)</f>
        <v>54.66</v>
      </c>
      <c r="C1116" s="1">
        <f>IFERROR(__xludf.DUMMYFUNCTION("""COMPUTED_VALUE"""),55.24)</f>
        <v>55.24</v>
      </c>
      <c r="D1116" s="1">
        <f>IFERROR(__xludf.DUMMYFUNCTION("""COMPUTED_VALUE"""),54.61)</f>
        <v>54.61</v>
      </c>
      <c r="E1116" s="1">
        <f>IFERROR(__xludf.DUMMYFUNCTION("""COMPUTED_VALUE"""),54.98)</f>
        <v>54.98</v>
      </c>
      <c r="F1116" s="1">
        <f>IFERROR(__xludf.DUMMYFUNCTION("""COMPUTED_VALUE"""),204787.0)</f>
        <v>204787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IFERROR(__xludf.DUMMYFUNCTION("""COMPUTED_VALUE"""),54.85)</f>
        <v>54.85</v>
      </c>
      <c r="C1117" s="1">
        <f>IFERROR(__xludf.DUMMYFUNCTION("""COMPUTED_VALUE"""),55.05)</f>
        <v>55.05</v>
      </c>
      <c r="D1117" s="1">
        <f>IFERROR(__xludf.DUMMYFUNCTION("""COMPUTED_VALUE"""),54.26)</f>
        <v>54.26</v>
      </c>
      <c r="E1117" s="1">
        <f>IFERROR(__xludf.DUMMYFUNCTION("""COMPUTED_VALUE"""),54.71)</f>
        <v>54.71</v>
      </c>
      <c r="F1117" s="1">
        <f>IFERROR(__xludf.DUMMYFUNCTION("""COMPUTED_VALUE"""),163666.0)</f>
        <v>163666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IFERROR(__xludf.DUMMYFUNCTION("""COMPUTED_VALUE"""),54.42)</f>
        <v>54.42</v>
      </c>
      <c r="C1118" s="1">
        <f>IFERROR(__xludf.DUMMYFUNCTION("""COMPUTED_VALUE"""),54.5)</f>
        <v>54.5</v>
      </c>
      <c r="D1118" s="1">
        <f>IFERROR(__xludf.DUMMYFUNCTION("""COMPUTED_VALUE"""),53.98)</f>
        <v>53.98</v>
      </c>
      <c r="E1118" s="1">
        <f>IFERROR(__xludf.DUMMYFUNCTION("""COMPUTED_VALUE"""),54.46)</f>
        <v>54.46</v>
      </c>
      <c r="F1118" s="1">
        <f>IFERROR(__xludf.DUMMYFUNCTION("""COMPUTED_VALUE"""),286641.0)</f>
        <v>286641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IFERROR(__xludf.DUMMYFUNCTION("""COMPUTED_VALUE"""),54.33)</f>
        <v>54.33</v>
      </c>
      <c r="C1119" s="1">
        <f>IFERROR(__xludf.DUMMYFUNCTION("""COMPUTED_VALUE"""),54.8)</f>
        <v>54.8</v>
      </c>
      <c r="D1119" s="1">
        <f>IFERROR(__xludf.DUMMYFUNCTION("""COMPUTED_VALUE"""),54.08)</f>
        <v>54.08</v>
      </c>
      <c r="E1119" s="1">
        <f>IFERROR(__xludf.DUMMYFUNCTION("""COMPUTED_VALUE"""),54.41)</f>
        <v>54.41</v>
      </c>
      <c r="F1119" s="1">
        <f>IFERROR(__xludf.DUMMYFUNCTION("""COMPUTED_VALUE"""),193415.0)</f>
        <v>193415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IFERROR(__xludf.DUMMYFUNCTION("""COMPUTED_VALUE"""),54.57)</f>
        <v>54.57</v>
      </c>
      <c r="C1120" s="1">
        <f>IFERROR(__xludf.DUMMYFUNCTION("""COMPUTED_VALUE"""),54.57)</f>
        <v>54.57</v>
      </c>
      <c r="D1120" s="1">
        <f>IFERROR(__xludf.DUMMYFUNCTION("""COMPUTED_VALUE"""),53.94)</f>
        <v>53.94</v>
      </c>
      <c r="E1120" s="1">
        <f>IFERROR(__xludf.DUMMYFUNCTION("""COMPUTED_VALUE"""),54.45)</f>
        <v>54.45</v>
      </c>
      <c r="F1120" s="1">
        <f>IFERROR(__xludf.DUMMYFUNCTION("""COMPUTED_VALUE"""),271538.0)</f>
        <v>271538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IFERROR(__xludf.DUMMYFUNCTION("""COMPUTED_VALUE"""),54.36)</f>
        <v>54.36</v>
      </c>
      <c r="C1121" s="1">
        <f>IFERROR(__xludf.DUMMYFUNCTION("""COMPUTED_VALUE"""),55.18)</f>
        <v>55.18</v>
      </c>
      <c r="D1121" s="1">
        <f>IFERROR(__xludf.DUMMYFUNCTION("""COMPUTED_VALUE"""),54.06)</f>
        <v>54.06</v>
      </c>
      <c r="E1121" s="1">
        <f>IFERROR(__xludf.DUMMYFUNCTION("""COMPUTED_VALUE"""),54.12)</f>
        <v>54.12</v>
      </c>
      <c r="F1121" s="1">
        <f>IFERROR(__xludf.DUMMYFUNCTION("""COMPUTED_VALUE"""),209937.0)</f>
        <v>209937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IFERROR(__xludf.DUMMYFUNCTION("""COMPUTED_VALUE"""),54.0)</f>
        <v>54</v>
      </c>
      <c r="C1122" s="1">
        <f>IFERROR(__xludf.DUMMYFUNCTION("""COMPUTED_VALUE"""),54.47)</f>
        <v>54.47</v>
      </c>
      <c r="D1122" s="1">
        <f>IFERROR(__xludf.DUMMYFUNCTION("""COMPUTED_VALUE"""),53.7)</f>
        <v>53.7</v>
      </c>
      <c r="E1122" s="1">
        <f>IFERROR(__xludf.DUMMYFUNCTION("""COMPUTED_VALUE"""),54.0)</f>
        <v>54</v>
      </c>
      <c r="F1122" s="1">
        <f>IFERROR(__xludf.DUMMYFUNCTION("""COMPUTED_VALUE"""),327069.0)</f>
        <v>327069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IFERROR(__xludf.DUMMYFUNCTION("""COMPUTED_VALUE"""),53.98)</f>
        <v>53.98</v>
      </c>
      <c r="C1123" s="1">
        <f>IFERROR(__xludf.DUMMYFUNCTION("""COMPUTED_VALUE"""),54.26)</f>
        <v>54.26</v>
      </c>
      <c r="D1123" s="1">
        <f>IFERROR(__xludf.DUMMYFUNCTION("""COMPUTED_VALUE"""),53.65)</f>
        <v>53.65</v>
      </c>
      <c r="E1123" s="1">
        <f>IFERROR(__xludf.DUMMYFUNCTION("""COMPUTED_VALUE"""),54.03)</f>
        <v>54.03</v>
      </c>
      <c r="F1123" s="1">
        <f>IFERROR(__xludf.DUMMYFUNCTION("""COMPUTED_VALUE"""),281840.0)</f>
        <v>281840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IFERROR(__xludf.DUMMYFUNCTION("""COMPUTED_VALUE"""),54.16)</f>
        <v>54.16</v>
      </c>
      <c r="C1124" s="1">
        <f>IFERROR(__xludf.DUMMYFUNCTION("""COMPUTED_VALUE"""),54.32)</f>
        <v>54.32</v>
      </c>
      <c r="D1124" s="1">
        <f>IFERROR(__xludf.DUMMYFUNCTION("""COMPUTED_VALUE"""),53.44)</f>
        <v>53.44</v>
      </c>
      <c r="E1124" s="1">
        <f>IFERROR(__xludf.DUMMYFUNCTION("""COMPUTED_VALUE"""),53.87)</f>
        <v>53.87</v>
      </c>
      <c r="F1124" s="1">
        <f>IFERROR(__xludf.DUMMYFUNCTION("""COMPUTED_VALUE"""),422220.0)</f>
        <v>422220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IFERROR(__xludf.DUMMYFUNCTION("""COMPUTED_VALUE"""),53.83)</f>
        <v>53.83</v>
      </c>
      <c r="C1125" s="1">
        <f>IFERROR(__xludf.DUMMYFUNCTION("""COMPUTED_VALUE"""),54.87)</f>
        <v>54.87</v>
      </c>
      <c r="D1125" s="1">
        <f>IFERROR(__xludf.DUMMYFUNCTION("""COMPUTED_VALUE"""),53.71)</f>
        <v>53.71</v>
      </c>
      <c r="E1125" s="1">
        <f>IFERROR(__xludf.DUMMYFUNCTION("""COMPUTED_VALUE"""),54.34)</f>
        <v>54.34</v>
      </c>
      <c r="F1125" s="1">
        <f>IFERROR(__xludf.DUMMYFUNCTION("""COMPUTED_VALUE"""),506295.0)</f>
        <v>506295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IFERROR(__xludf.DUMMYFUNCTION("""COMPUTED_VALUE"""),54.37)</f>
        <v>54.37</v>
      </c>
      <c r="C1126" s="1">
        <f>IFERROR(__xludf.DUMMYFUNCTION("""COMPUTED_VALUE"""),54.78)</f>
        <v>54.78</v>
      </c>
      <c r="D1126" s="1">
        <f>IFERROR(__xludf.DUMMYFUNCTION("""COMPUTED_VALUE"""),53.33)</f>
        <v>53.33</v>
      </c>
      <c r="E1126" s="1">
        <f>IFERROR(__xludf.DUMMYFUNCTION("""COMPUTED_VALUE"""),53.83)</f>
        <v>53.83</v>
      </c>
      <c r="F1126" s="1">
        <f>IFERROR(__xludf.DUMMYFUNCTION("""COMPUTED_VALUE"""),596471.0)</f>
        <v>596471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IFERROR(__xludf.DUMMYFUNCTION("""COMPUTED_VALUE"""),53.57)</f>
        <v>53.57</v>
      </c>
      <c r="C1127" s="1">
        <f>IFERROR(__xludf.DUMMYFUNCTION("""COMPUTED_VALUE"""),53.97)</f>
        <v>53.97</v>
      </c>
      <c r="D1127" s="1">
        <f>IFERROR(__xludf.DUMMYFUNCTION("""COMPUTED_VALUE"""),53.0)</f>
        <v>53</v>
      </c>
      <c r="E1127" s="1">
        <f>IFERROR(__xludf.DUMMYFUNCTION("""COMPUTED_VALUE"""),53.12)</f>
        <v>53.12</v>
      </c>
      <c r="F1127" s="1">
        <f>IFERROR(__xludf.DUMMYFUNCTION("""COMPUTED_VALUE"""),304732.0)</f>
        <v>304732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IFERROR(__xludf.DUMMYFUNCTION("""COMPUTED_VALUE"""),52.95)</f>
        <v>52.95</v>
      </c>
      <c r="C1128" s="1">
        <f>IFERROR(__xludf.DUMMYFUNCTION("""COMPUTED_VALUE"""),53.87)</f>
        <v>53.87</v>
      </c>
      <c r="D1128" s="1">
        <f>IFERROR(__xludf.DUMMYFUNCTION("""COMPUTED_VALUE"""),52.94)</f>
        <v>52.94</v>
      </c>
      <c r="E1128" s="1">
        <f>IFERROR(__xludf.DUMMYFUNCTION("""COMPUTED_VALUE"""),53.76)</f>
        <v>53.76</v>
      </c>
      <c r="F1128" s="1">
        <f>IFERROR(__xludf.DUMMYFUNCTION("""COMPUTED_VALUE"""),301607.0)</f>
        <v>301607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IFERROR(__xludf.DUMMYFUNCTION("""COMPUTED_VALUE"""),53.92)</f>
        <v>53.92</v>
      </c>
      <c r="C1129" s="1">
        <f>IFERROR(__xludf.DUMMYFUNCTION("""COMPUTED_VALUE"""),53.92)</f>
        <v>53.92</v>
      </c>
      <c r="D1129" s="1">
        <f>IFERROR(__xludf.DUMMYFUNCTION("""COMPUTED_VALUE"""),52.78)</f>
        <v>52.78</v>
      </c>
      <c r="E1129" s="1">
        <f>IFERROR(__xludf.DUMMYFUNCTION("""COMPUTED_VALUE"""),53.24)</f>
        <v>53.24</v>
      </c>
      <c r="F1129" s="1">
        <f>IFERROR(__xludf.DUMMYFUNCTION("""COMPUTED_VALUE"""),198473.0)</f>
        <v>198473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IFERROR(__xludf.DUMMYFUNCTION("""COMPUTED_VALUE"""),53.04)</f>
        <v>53.04</v>
      </c>
      <c r="C1130" s="1">
        <f>IFERROR(__xludf.DUMMYFUNCTION("""COMPUTED_VALUE"""),53.41)</f>
        <v>53.41</v>
      </c>
      <c r="D1130" s="1">
        <f>IFERROR(__xludf.DUMMYFUNCTION("""COMPUTED_VALUE"""),52.62)</f>
        <v>52.62</v>
      </c>
      <c r="E1130" s="1">
        <f>IFERROR(__xludf.DUMMYFUNCTION("""COMPUTED_VALUE"""),52.72)</f>
        <v>52.72</v>
      </c>
      <c r="F1130" s="1">
        <f>IFERROR(__xludf.DUMMYFUNCTION("""COMPUTED_VALUE"""),364779.0)</f>
        <v>364779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IFERROR(__xludf.DUMMYFUNCTION("""COMPUTED_VALUE"""),52.62)</f>
        <v>52.62</v>
      </c>
      <c r="C1131" s="1">
        <f>IFERROR(__xludf.DUMMYFUNCTION("""COMPUTED_VALUE"""),53.57)</f>
        <v>53.57</v>
      </c>
      <c r="D1131" s="1">
        <f>IFERROR(__xludf.DUMMYFUNCTION("""COMPUTED_VALUE"""),52.36)</f>
        <v>52.36</v>
      </c>
      <c r="E1131" s="1">
        <f>IFERROR(__xludf.DUMMYFUNCTION("""COMPUTED_VALUE"""),53.52)</f>
        <v>53.52</v>
      </c>
      <c r="F1131" s="1">
        <f>IFERROR(__xludf.DUMMYFUNCTION("""COMPUTED_VALUE"""),398820.0)</f>
        <v>398820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IFERROR(__xludf.DUMMYFUNCTION("""COMPUTED_VALUE"""),53.69)</f>
        <v>53.69</v>
      </c>
      <c r="C1132" s="1">
        <f>IFERROR(__xludf.DUMMYFUNCTION("""COMPUTED_VALUE"""),54.58)</f>
        <v>54.58</v>
      </c>
      <c r="D1132" s="1">
        <f>IFERROR(__xludf.DUMMYFUNCTION("""COMPUTED_VALUE"""),53.62)</f>
        <v>53.62</v>
      </c>
      <c r="E1132" s="1">
        <f>IFERROR(__xludf.DUMMYFUNCTION("""COMPUTED_VALUE"""),54.06)</f>
        <v>54.06</v>
      </c>
      <c r="F1132" s="1">
        <f>IFERROR(__xludf.DUMMYFUNCTION("""COMPUTED_VALUE"""),415168.0)</f>
        <v>415168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IFERROR(__xludf.DUMMYFUNCTION("""COMPUTED_VALUE"""),54.19)</f>
        <v>54.19</v>
      </c>
      <c r="C1133" s="1">
        <f>IFERROR(__xludf.DUMMYFUNCTION("""COMPUTED_VALUE"""),54.72)</f>
        <v>54.72</v>
      </c>
      <c r="D1133" s="1">
        <f>IFERROR(__xludf.DUMMYFUNCTION("""COMPUTED_VALUE"""),54.08)</f>
        <v>54.08</v>
      </c>
      <c r="E1133" s="1">
        <f>IFERROR(__xludf.DUMMYFUNCTION("""COMPUTED_VALUE"""),54.15)</f>
        <v>54.15</v>
      </c>
      <c r="F1133" s="1">
        <f>IFERROR(__xludf.DUMMYFUNCTION("""COMPUTED_VALUE"""),442248.0)</f>
        <v>442248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IFERROR(__xludf.DUMMYFUNCTION("""COMPUTED_VALUE"""),54.26)</f>
        <v>54.26</v>
      </c>
      <c r="C1134" s="1">
        <f>IFERROR(__xludf.DUMMYFUNCTION("""COMPUTED_VALUE"""),55.1)</f>
        <v>55.1</v>
      </c>
      <c r="D1134" s="1">
        <f>IFERROR(__xludf.DUMMYFUNCTION("""COMPUTED_VALUE"""),53.88)</f>
        <v>53.88</v>
      </c>
      <c r="E1134" s="1">
        <f>IFERROR(__xludf.DUMMYFUNCTION("""COMPUTED_VALUE"""),54.33)</f>
        <v>54.33</v>
      </c>
      <c r="F1134" s="1">
        <f>IFERROR(__xludf.DUMMYFUNCTION("""COMPUTED_VALUE"""),637505.0)</f>
        <v>637505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IFERROR(__xludf.DUMMYFUNCTION("""COMPUTED_VALUE"""),54.36)</f>
        <v>54.36</v>
      </c>
      <c r="C1135" s="1">
        <f>IFERROR(__xludf.DUMMYFUNCTION("""COMPUTED_VALUE"""),54.76)</f>
        <v>54.76</v>
      </c>
      <c r="D1135" s="1">
        <f>IFERROR(__xludf.DUMMYFUNCTION("""COMPUTED_VALUE"""),54.02)</f>
        <v>54.02</v>
      </c>
      <c r="E1135" s="1">
        <f>IFERROR(__xludf.DUMMYFUNCTION("""COMPUTED_VALUE"""),54.15)</f>
        <v>54.15</v>
      </c>
      <c r="F1135" s="1">
        <f>IFERROR(__xludf.DUMMYFUNCTION("""COMPUTED_VALUE"""),276082.0)</f>
        <v>276082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IFERROR(__xludf.DUMMYFUNCTION("""COMPUTED_VALUE"""),53.98)</f>
        <v>53.98</v>
      </c>
      <c r="C1136" s="1">
        <f>IFERROR(__xludf.DUMMYFUNCTION("""COMPUTED_VALUE"""),53.98)</f>
        <v>53.98</v>
      </c>
      <c r="D1136" s="1">
        <f>IFERROR(__xludf.DUMMYFUNCTION("""COMPUTED_VALUE"""),53.05)</f>
        <v>53.05</v>
      </c>
      <c r="E1136" s="1">
        <f>IFERROR(__xludf.DUMMYFUNCTION("""COMPUTED_VALUE"""),53.18)</f>
        <v>53.18</v>
      </c>
      <c r="F1136" s="1">
        <f>IFERROR(__xludf.DUMMYFUNCTION("""COMPUTED_VALUE"""),465871.0)</f>
        <v>465871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IFERROR(__xludf.DUMMYFUNCTION("""COMPUTED_VALUE"""),53.0)</f>
        <v>53</v>
      </c>
      <c r="C1137" s="1">
        <f>IFERROR(__xludf.DUMMYFUNCTION("""COMPUTED_VALUE"""),53.57)</f>
        <v>53.57</v>
      </c>
      <c r="D1137" s="1">
        <f>IFERROR(__xludf.DUMMYFUNCTION("""COMPUTED_VALUE"""),52.56)</f>
        <v>52.56</v>
      </c>
      <c r="E1137" s="1">
        <f>IFERROR(__xludf.DUMMYFUNCTION("""COMPUTED_VALUE"""),53.31)</f>
        <v>53.31</v>
      </c>
      <c r="F1137" s="1">
        <f>IFERROR(__xludf.DUMMYFUNCTION("""COMPUTED_VALUE"""),303929.0)</f>
        <v>303929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IFERROR(__xludf.DUMMYFUNCTION("""COMPUTED_VALUE"""),52.61)</f>
        <v>52.61</v>
      </c>
      <c r="C1138" s="1">
        <f>IFERROR(__xludf.DUMMYFUNCTION("""COMPUTED_VALUE"""),53.7)</f>
        <v>53.7</v>
      </c>
      <c r="D1138" s="1">
        <f>IFERROR(__xludf.DUMMYFUNCTION("""COMPUTED_VALUE"""),52.51)</f>
        <v>52.51</v>
      </c>
      <c r="E1138" s="1">
        <f>IFERROR(__xludf.DUMMYFUNCTION("""COMPUTED_VALUE"""),53.52)</f>
        <v>53.52</v>
      </c>
      <c r="F1138" s="1">
        <f>IFERROR(__xludf.DUMMYFUNCTION("""COMPUTED_VALUE"""),330944.0)</f>
        <v>330944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IFERROR(__xludf.DUMMYFUNCTION("""COMPUTED_VALUE"""),53.38)</f>
        <v>53.38</v>
      </c>
      <c r="C1139" s="1">
        <f>IFERROR(__xludf.DUMMYFUNCTION("""COMPUTED_VALUE"""),53.55)</f>
        <v>53.55</v>
      </c>
      <c r="D1139" s="1">
        <f>IFERROR(__xludf.DUMMYFUNCTION("""COMPUTED_VALUE"""),52.02)</f>
        <v>52.02</v>
      </c>
      <c r="E1139" s="1">
        <f>IFERROR(__xludf.DUMMYFUNCTION("""COMPUTED_VALUE"""),52.61)</f>
        <v>52.61</v>
      </c>
      <c r="F1139" s="1">
        <f>IFERROR(__xludf.DUMMYFUNCTION("""COMPUTED_VALUE"""),556927.0)</f>
        <v>556927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IFERROR(__xludf.DUMMYFUNCTION("""COMPUTED_VALUE"""),53.12)</f>
        <v>53.12</v>
      </c>
      <c r="C1140" s="1">
        <f>IFERROR(__xludf.DUMMYFUNCTION("""COMPUTED_VALUE"""),53.65)</f>
        <v>53.65</v>
      </c>
      <c r="D1140" s="1">
        <f>IFERROR(__xludf.DUMMYFUNCTION("""COMPUTED_VALUE"""),52.64)</f>
        <v>52.64</v>
      </c>
      <c r="E1140" s="1">
        <f>IFERROR(__xludf.DUMMYFUNCTION("""COMPUTED_VALUE"""),53.38)</f>
        <v>53.38</v>
      </c>
      <c r="F1140" s="1">
        <f>IFERROR(__xludf.DUMMYFUNCTION("""COMPUTED_VALUE"""),542180.0)</f>
        <v>542180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IFERROR(__xludf.DUMMYFUNCTION("""COMPUTED_VALUE"""),53.41)</f>
        <v>53.41</v>
      </c>
      <c r="C1141" s="1">
        <f>IFERROR(__xludf.DUMMYFUNCTION("""COMPUTED_VALUE"""),53.96)</f>
        <v>53.96</v>
      </c>
      <c r="D1141" s="1">
        <f>IFERROR(__xludf.DUMMYFUNCTION("""COMPUTED_VALUE"""),52.5)</f>
        <v>52.5</v>
      </c>
      <c r="E1141" s="1">
        <f>IFERROR(__xludf.DUMMYFUNCTION("""COMPUTED_VALUE"""),53.09)</f>
        <v>53.09</v>
      </c>
      <c r="F1141" s="1">
        <f>IFERROR(__xludf.DUMMYFUNCTION("""COMPUTED_VALUE"""),427725.0)</f>
        <v>427725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IFERROR(__xludf.DUMMYFUNCTION("""COMPUTED_VALUE"""),53.27)</f>
        <v>53.27</v>
      </c>
      <c r="C1142" s="1">
        <f>IFERROR(__xludf.DUMMYFUNCTION("""COMPUTED_VALUE"""),53.27)</f>
        <v>53.27</v>
      </c>
      <c r="D1142" s="1">
        <f>IFERROR(__xludf.DUMMYFUNCTION("""COMPUTED_VALUE"""),52.5)</f>
        <v>52.5</v>
      </c>
      <c r="E1142" s="1">
        <f>IFERROR(__xludf.DUMMYFUNCTION("""COMPUTED_VALUE"""),52.78)</f>
        <v>52.78</v>
      </c>
      <c r="F1142" s="1">
        <f>IFERROR(__xludf.DUMMYFUNCTION("""COMPUTED_VALUE"""),349169.0)</f>
        <v>349169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IFERROR(__xludf.DUMMYFUNCTION("""COMPUTED_VALUE"""),52.52)</f>
        <v>52.52</v>
      </c>
      <c r="C1143" s="1">
        <f>IFERROR(__xludf.DUMMYFUNCTION("""COMPUTED_VALUE"""),53.31)</f>
        <v>53.31</v>
      </c>
      <c r="D1143" s="1">
        <f>IFERROR(__xludf.DUMMYFUNCTION("""COMPUTED_VALUE"""),52.14)</f>
        <v>52.14</v>
      </c>
      <c r="E1143" s="1">
        <f>IFERROR(__xludf.DUMMYFUNCTION("""COMPUTED_VALUE"""),52.24)</f>
        <v>52.24</v>
      </c>
      <c r="F1143" s="1">
        <f>IFERROR(__xludf.DUMMYFUNCTION("""COMPUTED_VALUE"""),329600.0)</f>
        <v>329600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IFERROR(__xludf.DUMMYFUNCTION("""COMPUTED_VALUE"""),52.33)</f>
        <v>52.33</v>
      </c>
      <c r="C1144" s="1">
        <f>IFERROR(__xludf.DUMMYFUNCTION("""COMPUTED_VALUE"""),53.04)</f>
        <v>53.04</v>
      </c>
      <c r="D1144" s="1">
        <f>IFERROR(__xludf.DUMMYFUNCTION("""COMPUTED_VALUE"""),52.29)</f>
        <v>52.29</v>
      </c>
      <c r="E1144" s="1">
        <f>IFERROR(__xludf.DUMMYFUNCTION("""COMPUTED_VALUE"""),52.81)</f>
        <v>52.81</v>
      </c>
      <c r="F1144" s="1">
        <f>IFERROR(__xludf.DUMMYFUNCTION("""COMPUTED_VALUE"""),234885.0)</f>
        <v>234885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IFERROR(__xludf.DUMMYFUNCTION("""COMPUTED_VALUE"""),52.65)</f>
        <v>52.65</v>
      </c>
      <c r="C1145" s="1">
        <f>IFERROR(__xludf.DUMMYFUNCTION("""COMPUTED_VALUE"""),52.93)</f>
        <v>52.93</v>
      </c>
      <c r="D1145" s="1">
        <f>IFERROR(__xludf.DUMMYFUNCTION("""COMPUTED_VALUE"""),52.33)</f>
        <v>52.33</v>
      </c>
      <c r="E1145" s="1">
        <f>IFERROR(__xludf.DUMMYFUNCTION("""COMPUTED_VALUE"""),52.6)</f>
        <v>52.6</v>
      </c>
      <c r="F1145" s="1">
        <f>IFERROR(__xludf.DUMMYFUNCTION("""COMPUTED_VALUE"""),181181.0)</f>
        <v>181181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IFERROR(__xludf.DUMMYFUNCTION("""COMPUTED_VALUE"""),52.74)</f>
        <v>52.74</v>
      </c>
      <c r="C1146" s="1">
        <f>IFERROR(__xludf.DUMMYFUNCTION("""COMPUTED_VALUE"""),54.5)</f>
        <v>54.5</v>
      </c>
      <c r="D1146" s="1">
        <f>IFERROR(__xludf.DUMMYFUNCTION("""COMPUTED_VALUE"""),52.72)</f>
        <v>52.72</v>
      </c>
      <c r="E1146" s="1">
        <f>IFERROR(__xludf.DUMMYFUNCTION("""COMPUTED_VALUE"""),53.41)</f>
        <v>53.41</v>
      </c>
      <c r="F1146" s="1">
        <f>IFERROR(__xludf.DUMMYFUNCTION("""COMPUTED_VALUE"""),425944.0)</f>
        <v>425944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IFERROR(__xludf.DUMMYFUNCTION("""COMPUTED_VALUE"""),53.54)</f>
        <v>53.54</v>
      </c>
      <c r="C1147" s="1">
        <f>IFERROR(__xludf.DUMMYFUNCTION("""COMPUTED_VALUE"""),54.04)</f>
        <v>54.04</v>
      </c>
      <c r="D1147" s="1">
        <f>IFERROR(__xludf.DUMMYFUNCTION("""COMPUTED_VALUE"""),53.1)</f>
        <v>53.1</v>
      </c>
      <c r="E1147" s="1">
        <f>IFERROR(__xludf.DUMMYFUNCTION("""COMPUTED_VALUE"""),53.67)</f>
        <v>53.67</v>
      </c>
      <c r="F1147" s="1">
        <f>IFERROR(__xludf.DUMMYFUNCTION("""COMPUTED_VALUE"""),332828.0)</f>
        <v>332828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IFERROR(__xludf.DUMMYFUNCTION("""COMPUTED_VALUE"""),53.69)</f>
        <v>53.69</v>
      </c>
      <c r="C1148" s="1">
        <f>IFERROR(__xludf.DUMMYFUNCTION("""COMPUTED_VALUE"""),54.07)</f>
        <v>54.07</v>
      </c>
      <c r="D1148" s="1">
        <f>IFERROR(__xludf.DUMMYFUNCTION("""COMPUTED_VALUE"""),53.15)</f>
        <v>53.15</v>
      </c>
      <c r="E1148" s="1">
        <f>IFERROR(__xludf.DUMMYFUNCTION("""COMPUTED_VALUE"""),53.74)</f>
        <v>53.74</v>
      </c>
      <c r="F1148" s="1">
        <f>IFERROR(__xludf.DUMMYFUNCTION("""COMPUTED_VALUE"""),461284.0)</f>
        <v>461284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IFERROR(__xludf.DUMMYFUNCTION("""COMPUTED_VALUE"""),53.72)</f>
        <v>53.72</v>
      </c>
      <c r="C1149" s="1">
        <f>IFERROR(__xludf.DUMMYFUNCTION("""COMPUTED_VALUE"""),54.0)</f>
        <v>54</v>
      </c>
      <c r="D1149" s="1">
        <f>IFERROR(__xludf.DUMMYFUNCTION("""COMPUTED_VALUE"""),53.34)</f>
        <v>53.34</v>
      </c>
      <c r="E1149" s="1">
        <f>IFERROR(__xludf.DUMMYFUNCTION("""COMPUTED_VALUE"""),53.85)</f>
        <v>53.85</v>
      </c>
      <c r="F1149" s="1">
        <f>IFERROR(__xludf.DUMMYFUNCTION("""COMPUTED_VALUE"""),386674.0)</f>
        <v>386674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IFERROR(__xludf.DUMMYFUNCTION("""COMPUTED_VALUE"""),53.9)</f>
        <v>53.9</v>
      </c>
      <c r="C1150" s="1">
        <f>IFERROR(__xludf.DUMMYFUNCTION("""COMPUTED_VALUE"""),54.39)</f>
        <v>54.39</v>
      </c>
      <c r="D1150" s="1">
        <f>IFERROR(__xludf.DUMMYFUNCTION("""COMPUTED_VALUE"""),53.55)</f>
        <v>53.55</v>
      </c>
      <c r="E1150" s="1">
        <f>IFERROR(__xludf.DUMMYFUNCTION("""COMPUTED_VALUE"""),54.23)</f>
        <v>54.23</v>
      </c>
      <c r="F1150" s="1">
        <f>IFERROR(__xludf.DUMMYFUNCTION("""COMPUTED_VALUE"""),333077.0)</f>
        <v>333077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IFERROR(__xludf.DUMMYFUNCTION("""COMPUTED_VALUE"""),54.19)</f>
        <v>54.19</v>
      </c>
      <c r="C1151" s="1">
        <f>IFERROR(__xludf.DUMMYFUNCTION("""COMPUTED_VALUE"""),55.66)</f>
        <v>55.66</v>
      </c>
      <c r="D1151" s="1">
        <f>IFERROR(__xludf.DUMMYFUNCTION("""COMPUTED_VALUE"""),54.19)</f>
        <v>54.19</v>
      </c>
      <c r="E1151" s="1">
        <f>IFERROR(__xludf.DUMMYFUNCTION("""COMPUTED_VALUE"""),55.22)</f>
        <v>55.22</v>
      </c>
      <c r="F1151" s="1">
        <f>IFERROR(__xludf.DUMMYFUNCTION("""COMPUTED_VALUE"""),503005.0)</f>
        <v>503005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IFERROR(__xludf.DUMMYFUNCTION("""COMPUTED_VALUE"""),55.65)</f>
        <v>55.65</v>
      </c>
      <c r="C1152" s="1">
        <f>IFERROR(__xludf.DUMMYFUNCTION("""COMPUTED_VALUE"""),56.33)</f>
        <v>56.33</v>
      </c>
      <c r="D1152" s="1">
        <f>IFERROR(__xludf.DUMMYFUNCTION("""COMPUTED_VALUE"""),55.47)</f>
        <v>55.47</v>
      </c>
      <c r="E1152" s="1">
        <f>IFERROR(__xludf.DUMMYFUNCTION("""COMPUTED_VALUE"""),55.91)</f>
        <v>55.91</v>
      </c>
      <c r="F1152" s="1">
        <f>IFERROR(__xludf.DUMMYFUNCTION("""COMPUTED_VALUE"""),787493.0)</f>
        <v>787493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IFERROR(__xludf.DUMMYFUNCTION("""COMPUTED_VALUE"""),55.42)</f>
        <v>55.42</v>
      </c>
      <c r="C1153" s="1">
        <f>IFERROR(__xludf.DUMMYFUNCTION("""COMPUTED_VALUE"""),55.66)</f>
        <v>55.66</v>
      </c>
      <c r="D1153" s="1">
        <f>IFERROR(__xludf.DUMMYFUNCTION("""COMPUTED_VALUE"""),54.2)</f>
        <v>54.2</v>
      </c>
      <c r="E1153" s="1">
        <f>IFERROR(__xludf.DUMMYFUNCTION("""COMPUTED_VALUE"""),54.21)</f>
        <v>54.21</v>
      </c>
      <c r="F1153" s="1">
        <f>IFERROR(__xludf.DUMMYFUNCTION("""COMPUTED_VALUE"""),433174.0)</f>
        <v>433174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IFERROR(__xludf.DUMMYFUNCTION("""COMPUTED_VALUE"""),54.12)</f>
        <v>54.12</v>
      </c>
      <c r="C1154" s="1">
        <f>IFERROR(__xludf.DUMMYFUNCTION("""COMPUTED_VALUE"""),54.46)</f>
        <v>54.46</v>
      </c>
      <c r="D1154" s="1">
        <f>IFERROR(__xludf.DUMMYFUNCTION("""COMPUTED_VALUE"""),53.13)</f>
        <v>53.13</v>
      </c>
      <c r="E1154" s="1">
        <f>IFERROR(__xludf.DUMMYFUNCTION("""COMPUTED_VALUE"""),53.52)</f>
        <v>53.52</v>
      </c>
      <c r="F1154" s="1">
        <f>IFERROR(__xludf.DUMMYFUNCTION("""COMPUTED_VALUE"""),421726.0)</f>
        <v>421726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IFERROR(__xludf.DUMMYFUNCTION("""COMPUTED_VALUE"""),53.59)</f>
        <v>53.59</v>
      </c>
      <c r="C1155" s="1">
        <f>IFERROR(__xludf.DUMMYFUNCTION("""COMPUTED_VALUE"""),53.78)</f>
        <v>53.78</v>
      </c>
      <c r="D1155" s="1">
        <f>IFERROR(__xludf.DUMMYFUNCTION("""COMPUTED_VALUE"""),52.61)</f>
        <v>52.61</v>
      </c>
      <c r="E1155" s="1">
        <f>IFERROR(__xludf.DUMMYFUNCTION("""COMPUTED_VALUE"""),53.22)</f>
        <v>53.22</v>
      </c>
      <c r="F1155" s="1">
        <f>IFERROR(__xludf.DUMMYFUNCTION("""COMPUTED_VALUE"""),317293.0)</f>
        <v>317293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IFERROR(__xludf.DUMMYFUNCTION("""COMPUTED_VALUE"""),53.07)</f>
        <v>53.07</v>
      </c>
      <c r="C1156" s="1">
        <f>IFERROR(__xludf.DUMMYFUNCTION("""COMPUTED_VALUE"""),53.85)</f>
        <v>53.85</v>
      </c>
      <c r="D1156" s="1">
        <f>IFERROR(__xludf.DUMMYFUNCTION("""COMPUTED_VALUE"""),52.39)</f>
        <v>52.39</v>
      </c>
      <c r="E1156" s="1">
        <f>IFERROR(__xludf.DUMMYFUNCTION("""COMPUTED_VALUE"""),53.3)</f>
        <v>53.3</v>
      </c>
      <c r="F1156" s="1">
        <f>IFERROR(__xludf.DUMMYFUNCTION("""COMPUTED_VALUE"""),557140.0)</f>
        <v>557140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IFERROR(__xludf.DUMMYFUNCTION("""COMPUTED_VALUE"""),53.05)</f>
        <v>53.05</v>
      </c>
      <c r="C1157" s="1">
        <f>IFERROR(__xludf.DUMMYFUNCTION("""COMPUTED_VALUE"""),54.24)</f>
        <v>54.24</v>
      </c>
      <c r="D1157" s="1">
        <f>IFERROR(__xludf.DUMMYFUNCTION("""COMPUTED_VALUE"""),52.79)</f>
        <v>52.79</v>
      </c>
      <c r="E1157" s="1">
        <f>IFERROR(__xludf.DUMMYFUNCTION("""COMPUTED_VALUE"""),53.79)</f>
        <v>53.79</v>
      </c>
      <c r="F1157" s="1">
        <f>IFERROR(__xludf.DUMMYFUNCTION("""COMPUTED_VALUE"""),487324.0)</f>
        <v>487324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IFERROR(__xludf.DUMMYFUNCTION("""COMPUTED_VALUE"""),56.33)</f>
        <v>56.33</v>
      </c>
      <c r="C1158" s="1">
        <f>IFERROR(__xludf.DUMMYFUNCTION("""COMPUTED_VALUE"""),57.01)</f>
        <v>57.01</v>
      </c>
      <c r="D1158" s="1">
        <f>IFERROR(__xludf.DUMMYFUNCTION("""COMPUTED_VALUE"""),54.84)</f>
        <v>54.84</v>
      </c>
      <c r="E1158" s="1">
        <f>IFERROR(__xludf.DUMMYFUNCTION("""COMPUTED_VALUE"""),56.5)</f>
        <v>56.5</v>
      </c>
      <c r="F1158" s="1">
        <f>IFERROR(__xludf.DUMMYFUNCTION("""COMPUTED_VALUE"""),1279432.0)</f>
        <v>1279432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IFERROR(__xludf.DUMMYFUNCTION("""COMPUTED_VALUE"""),56.68)</f>
        <v>56.68</v>
      </c>
      <c r="C1159" s="1">
        <f>IFERROR(__xludf.DUMMYFUNCTION("""COMPUTED_VALUE"""),56.88)</f>
        <v>56.88</v>
      </c>
      <c r="D1159" s="1">
        <f>IFERROR(__xludf.DUMMYFUNCTION("""COMPUTED_VALUE"""),55.94)</f>
        <v>55.94</v>
      </c>
      <c r="E1159" s="1">
        <f>IFERROR(__xludf.DUMMYFUNCTION("""COMPUTED_VALUE"""),56.79)</f>
        <v>56.79</v>
      </c>
      <c r="F1159" s="1">
        <f>IFERROR(__xludf.DUMMYFUNCTION("""COMPUTED_VALUE"""),583830.0)</f>
        <v>583830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IFERROR(__xludf.DUMMYFUNCTION("""COMPUTED_VALUE"""),56.85)</f>
        <v>56.85</v>
      </c>
      <c r="C1160" s="1">
        <f>IFERROR(__xludf.DUMMYFUNCTION("""COMPUTED_VALUE"""),57.08)</f>
        <v>57.08</v>
      </c>
      <c r="D1160" s="1">
        <f>IFERROR(__xludf.DUMMYFUNCTION("""COMPUTED_VALUE"""),56.22)</f>
        <v>56.22</v>
      </c>
      <c r="E1160" s="1">
        <f>IFERROR(__xludf.DUMMYFUNCTION("""COMPUTED_VALUE"""),56.75)</f>
        <v>56.75</v>
      </c>
      <c r="F1160" s="1">
        <f>IFERROR(__xludf.DUMMYFUNCTION("""COMPUTED_VALUE"""),357389.0)</f>
        <v>357389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IFERROR(__xludf.DUMMYFUNCTION("""COMPUTED_VALUE"""),56.81)</f>
        <v>56.81</v>
      </c>
      <c r="C1161" s="1">
        <f>IFERROR(__xludf.DUMMYFUNCTION("""COMPUTED_VALUE"""),58.86)</f>
        <v>58.86</v>
      </c>
      <c r="D1161" s="1">
        <f>IFERROR(__xludf.DUMMYFUNCTION("""COMPUTED_VALUE"""),56.76)</f>
        <v>56.76</v>
      </c>
      <c r="E1161" s="1">
        <f>IFERROR(__xludf.DUMMYFUNCTION("""COMPUTED_VALUE"""),58.72)</f>
        <v>58.72</v>
      </c>
      <c r="F1161" s="1">
        <f>IFERROR(__xludf.DUMMYFUNCTION("""COMPUTED_VALUE"""),828887.0)</f>
        <v>828887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IFERROR(__xludf.DUMMYFUNCTION("""COMPUTED_VALUE"""),58.94)</f>
        <v>58.94</v>
      </c>
      <c r="C1162" s="1">
        <f>IFERROR(__xludf.DUMMYFUNCTION("""COMPUTED_VALUE"""),59.34)</f>
        <v>59.34</v>
      </c>
      <c r="D1162" s="1">
        <f>IFERROR(__xludf.DUMMYFUNCTION("""COMPUTED_VALUE"""),57.61)</f>
        <v>57.61</v>
      </c>
      <c r="E1162" s="1">
        <f>IFERROR(__xludf.DUMMYFUNCTION("""COMPUTED_VALUE"""),58.6)</f>
        <v>58.6</v>
      </c>
      <c r="F1162" s="1">
        <f>IFERROR(__xludf.DUMMYFUNCTION("""COMPUTED_VALUE"""),874541.0)</f>
        <v>874541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IFERROR(__xludf.DUMMYFUNCTION("""COMPUTED_VALUE"""),58.63)</f>
        <v>58.63</v>
      </c>
      <c r="C1163" s="1">
        <f>IFERROR(__xludf.DUMMYFUNCTION("""COMPUTED_VALUE"""),59.2)</f>
        <v>59.2</v>
      </c>
      <c r="D1163" s="1">
        <f>IFERROR(__xludf.DUMMYFUNCTION("""COMPUTED_VALUE"""),58.44)</f>
        <v>58.44</v>
      </c>
      <c r="E1163" s="1">
        <f>IFERROR(__xludf.DUMMYFUNCTION("""COMPUTED_VALUE"""),58.79)</f>
        <v>58.79</v>
      </c>
      <c r="F1163" s="1">
        <f>IFERROR(__xludf.DUMMYFUNCTION("""COMPUTED_VALUE"""),367038.0)</f>
        <v>367038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IFERROR(__xludf.DUMMYFUNCTION("""COMPUTED_VALUE"""),59.05)</f>
        <v>59.05</v>
      </c>
      <c r="C1164" s="1">
        <f>IFERROR(__xludf.DUMMYFUNCTION("""COMPUTED_VALUE"""),59.54)</f>
        <v>59.54</v>
      </c>
      <c r="D1164" s="1">
        <f>IFERROR(__xludf.DUMMYFUNCTION("""COMPUTED_VALUE"""),58.23)</f>
        <v>58.23</v>
      </c>
      <c r="E1164" s="1">
        <f>IFERROR(__xludf.DUMMYFUNCTION("""COMPUTED_VALUE"""),59.05)</f>
        <v>59.05</v>
      </c>
      <c r="F1164" s="1">
        <f>IFERROR(__xludf.DUMMYFUNCTION("""COMPUTED_VALUE"""),398643.0)</f>
        <v>398643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IFERROR(__xludf.DUMMYFUNCTION("""COMPUTED_VALUE"""),59.28)</f>
        <v>59.28</v>
      </c>
      <c r="C1165" s="1">
        <f>IFERROR(__xludf.DUMMYFUNCTION("""COMPUTED_VALUE"""),59.66)</f>
        <v>59.66</v>
      </c>
      <c r="D1165" s="1">
        <f>IFERROR(__xludf.DUMMYFUNCTION("""COMPUTED_VALUE"""),58.91)</f>
        <v>58.91</v>
      </c>
      <c r="E1165" s="1">
        <f>IFERROR(__xludf.DUMMYFUNCTION("""COMPUTED_VALUE"""),59.44)</f>
        <v>59.44</v>
      </c>
      <c r="F1165" s="1">
        <f>IFERROR(__xludf.DUMMYFUNCTION("""COMPUTED_VALUE"""),308569.0)</f>
        <v>308569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IFERROR(__xludf.DUMMYFUNCTION("""COMPUTED_VALUE"""),59.6)</f>
        <v>59.6</v>
      </c>
      <c r="C1166" s="1">
        <f>IFERROR(__xludf.DUMMYFUNCTION("""COMPUTED_VALUE"""),59.85)</f>
        <v>59.85</v>
      </c>
      <c r="D1166" s="1">
        <f>IFERROR(__xludf.DUMMYFUNCTION("""COMPUTED_VALUE"""),59.32)</f>
        <v>59.32</v>
      </c>
      <c r="E1166" s="1">
        <f>IFERROR(__xludf.DUMMYFUNCTION("""COMPUTED_VALUE"""),59.68)</f>
        <v>59.68</v>
      </c>
      <c r="F1166" s="1">
        <f>IFERROR(__xludf.DUMMYFUNCTION("""COMPUTED_VALUE"""),173755.0)</f>
        <v>173755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IFERROR(__xludf.DUMMYFUNCTION("""COMPUTED_VALUE"""),59.64)</f>
        <v>59.64</v>
      </c>
      <c r="C1167" s="1">
        <f>IFERROR(__xludf.DUMMYFUNCTION("""COMPUTED_VALUE"""),59.64)</f>
        <v>59.64</v>
      </c>
      <c r="D1167" s="1">
        <f>IFERROR(__xludf.DUMMYFUNCTION("""COMPUTED_VALUE"""),59.01)</f>
        <v>59.01</v>
      </c>
      <c r="E1167" s="1">
        <f>IFERROR(__xludf.DUMMYFUNCTION("""COMPUTED_VALUE"""),59.47)</f>
        <v>59.47</v>
      </c>
      <c r="F1167" s="1">
        <f>IFERROR(__xludf.DUMMYFUNCTION("""COMPUTED_VALUE"""),208246.0)</f>
        <v>208246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IFERROR(__xludf.DUMMYFUNCTION("""COMPUTED_VALUE"""),59.5)</f>
        <v>59.5</v>
      </c>
      <c r="C1168" s="1">
        <f>IFERROR(__xludf.DUMMYFUNCTION("""COMPUTED_VALUE"""),59.68)</f>
        <v>59.68</v>
      </c>
      <c r="D1168" s="1">
        <f>IFERROR(__xludf.DUMMYFUNCTION("""COMPUTED_VALUE"""),58.75)</f>
        <v>58.75</v>
      </c>
      <c r="E1168" s="1">
        <f>IFERROR(__xludf.DUMMYFUNCTION("""COMPUTED_VALUE"""),59.02)</f>
        <v>59.02</v>
      </c>
      <c r="F1168" s="1">
        <f>IFERROR(__xludf.DUMMYFUNCTION("""COMPUTED_VALUE"""),301801.0)</f>
        <v>301801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IFERROR(__xludf.DUMMYFUNCTION("""COMPUTED_VALUE"""),59.21)</f>
        <v>59.21</v>
      </c>
      <c r="C1169" s="1">
        <f>IFERROR(__xludf.DUMMYFUNCTION("""COMPUTED_VALUE"""),59.34)</f>
        <v>59.34</v>
      </c>
      <c r="D1169" s="1">
        <f>IFERROR(__xludf.DUMMYFUNCTION("""COMPUTED_VALUE"""),58.84)</f>
        <v>58.84</v>
      </c>
      <c r="E1169" s="1">
        <f>IFERROR(__xludf.DUMMYFUNCTION("""COMPUTED_VALUE"""),59.11)</f>
        <v>59.11</v>
      </c>
      <c r="F1169" s="1">
        <f>IFERROR(__xludf.DUMMYFUNCTION("""COMPUTED_VALUE"""),209959.0)</f>
        <v>209959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IFERROR(__xludf.DUMMYFUNCTION("""COMPUTED_VALUE"""),59.81)</f>
        <v>59.81</v>
      </c>
      <c r="C1170" s="1">
        <f>IFERROR(__xludf.DUMMYFUNCTION("""COMPUTED_VALUE"""),59.86)</f>
        <v>59.86</v>
      </c>
      <c r="D1170" s="1">
        <f>IFERROR(__xludf.DUMMYFUNCTION("""COMPUTED_VALUE"""),59.01)</f>
        <v>59.01</v>
      </c>
      <c r="E1170" s="1">
        <f>IFERROR(__xludf.DUMMYFUNCTION("""COMPUTED_VALUE"""),59.66)</f>
        <v>59.66</v>
      </c>
      <c r="F1170" s="1">
        <f>IFERROR(__xludf.DUMMYFUNCTION("""COMPUTED_VALUE"""),301967.0)</f>
        <v>301967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IFERROR(__xludf.DUMMYFUNCTION("""COMPUTED_VALUE"""),59.67)</f>
        <v>59.67</v>
      </c>
      <c r="C1171" s="1">
        <f>IFERROR(__xludf.DUMMYFUNCTION("""COMPUTED_VALUE"""),60.49)</f>
        <v>60.49</v>
      </c>
      <c r="D1171" s="1">
        <f>IFERROR(__xludf.DUMMYFUNCTION("""COMPUTED_VALUE"""),59.58)</f>
        <v>59.58</v>
      </c>
      <c r="E1171" s="1">
        <f>IFERROR(__xludf.DUMMYFUNCTION("""COMPUTED_VALUE"""),60.45)</f>
        <v>60.45</v>
      </c>
      <c r="F1171" s="1">
        <f>IFERROR(__xludf.DUMMYFUNCTION("""COMPUTED_VALUE"""),395174.0)</f>
        <v>395174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IFERROR(__xludf.DUMMYFUNCTION("""COMPUTED_VALUE"""),60.35)</f>
        <v>60.35</v>
      </c>
      <c r="C1172" s="1">
        <f>IFERROR(__xludf.DUMMYFUNCTION("""COMPUTED_VALUE"""),60.66)</f>
        <v>60.66</v>
      </c>
      <c r="D1172" s="1">
        <f>IFERROR(__xludf.DUMMYFUNCTION("""COMPUTED_VALUE"""),59.68)</f>
        <v>59.68</v>
      </c>
      <c r="E1172" s="1">
        <f>IFERROR(__xludf.DUMMYFUNCTION("""COMPUTED_VALUE"""),59.81)</f>
        <v>59.81</v>
      </c>
      <c r="F1172" s="1">
        <f>IFERROR(__xludf.DUMMYFUNCTION("""COMPUTED_VALUE"""),219426.0)</f>
        <v>219426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IFERROR(__xludf.DUMMYFUNCTION("""COMPUTED_VALUE"""),59.74)</f>
        <v>59.74</v>
      </c>
      <c r="C1173" s="1">
        <f>IFERROR(__xludf.DUMMYFUNCTION("""COMPUTED_VALUE"""),59.94)</f>
        <v>59.94</v>
      </c>
      <c r="D1173" s="1">
        <f>IFERROR(__xludf.DUMMYFUNCTION("""COMPUTED_VALUE"""),59.43)</f>
        <v>59.43</v>
      </c>
      <c r="E1173" s="1">
        <f>IFERROR(__xludf.DUMMYFUNCTION("""COMPUTED_VALUE"""),59.91)</f>
        <v>59.91</v>
      </c>
      <c r="F1173" s="1">
        <f>IFERROR(__xludf.DUMMYFUNCTION("""COMPUTED_VALUE"""),271793.0)</f>
        <v>271793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IFERROR(__xludf.DUMMYFUNCTION("""COMPUTED_VALUE"""),59.9)</f>
        <v>59.9</v>
      </c>
      <c r="C1174" s="1">
        <f>IFERROR(__xludf.DUMMYFUNCTION("""COMPUTED_VALUE"""),60.0)</f>
        <v>60</v>
      </c>
      <c r="D1174" s="1">
        <f>IFERROR(__xludf.DUMMYFUNCTION("""COMPUTED_VALUE"""),59.09)</f>
        <v>59.09</v>
      </c>
      <c r="E1174" s="1">
        <f>IFERROR(__xludf.DUMMYFUNCTION("""COMPUTED_VALUE"""),59.1)</f>
        <v>59.1</v>
      </c>
      <c r="F1174" s="1">
        <f>IFERROR(__xludf.DUMMYFUNCTION("""COMPUTED_VALUE"""),334830.0)</f>
        <v>334830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IFERROR(__xludf.DUMMYFUNCTION("""COMPUTED_VALUE"""),59.09)</f>
        <v>59.09</v>
      </c>
      <c r="C1175" s="1">
        <f>IFERROR(__xludf.DUMMYFUNCTION("""COMPUTED_VALUE"""),59.44)</f>
        <v>59.44</v>
      </c>
      <c r="D1175" s="1">
        <f>IFERROR(__xludf.DUMMYFUNCTION("""COMPUTED_VALUE"""),58.6)</f>
        <v>58.6</v>
      </c>
      <c r="E1175" s="1">
        <f>IFERROR(__xludf.DUMMYFUNCTION("""COMPUTED_VALUE"""),58.99)</f>
        <v>58.99</v>
      </c>
      <c r="F1175" s="1">
        <f>IFERROR(__xludf.DUMMYFUNCTION("""COMPUTED_VALUE"""),615106.0)</f>
        <v>615106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IFERROR(__xludf.DUMMYFUNCTION("""COMPUTED_VALUE"""),59.03)</f>
        <v>59.03</v>
      </c>
      <c r="C1176" s="1">
        <f>IFERROR(__xludf.DUMMYFUNCTION("""COMPUTED_VALUE"""),60.27)</f>
        <v>60.27</v>
      </c>
      <c r="D1176" s="1">
        <f>IFERROR(__xludf.DUMMYFUNCTION("""COMPUTED_VALUE"""),59.03)</f>
        <v>59.03</v>
      </c>
      <c r="E1176" s="1">
        <f>IFERROR(__xludf.DUMMYFUNCTION("""COMPUTED_VALUE"""),60.25)</f>
        <v>60.25</v>
      </c>
      <c r="F1176" s="1">
        <f>IFERROR(__xludf.DUMMYFUNCTION("""COMPUTED_VALUE"""),337583.0)</f>
        <v>337583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IFERROR(__xludf.DUMMYFUNCTION("""COMPUTED_VALUE"""),60.48)</f>
        <v>60.48</v>
      </c>
      <c r="C1177" s="1">
        <f>IFERROR(__xludf.DUMMYFUNCTION("""COMPUTED_VALUE"""),61.43)</f>
        <v>61.43</v>
      </c>
      <c r="D1177" s="1">
        <f>IFERROR(__xludf.DUMMYFUNCTION("""COMPUTED_VALUE"""),60.18)</f>
        <v>60.18</v>
      </c>
      <c r="E1177" s="1">
        <f>IFERROR(__xludf.DUMMYFUNCTION("""COMPUTED_VALUE"""),61.2)</f>
        <v>61.2</v>
      </c>
      <c r="F1177" s="1">
        <f>IFERROR(__xludf.DUMMYFUNCTION("""COMPUTED_VALUE"""),536630.0)</f>
        <v>536630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IFERROR(__xludf.DUMMYFUNCTION("""COMPUTED_VALUE"""),61.32)</f>
        <v>61.32</v>
      </c>
      <c r="C1178" s="1">
        <f>IFERROR(__xludf.DUMMYFUNCTION("""COMPUTED_VALUE"""),61.49)</f>
        <v>61.49</v>
      </c>
      <c r="D1178" s="1">
        <f>IFERROR(__xludf.DUMMYFUNCTION("""COMPUTED_VALUE"""),60.08)</f>
        <v>60.08</v>
      </c>
      <c r="E1178" s="1">
        <f>IFERROR(__xludf.DUMMYFUNCTION("""COMPUTED_VALUE"""),60.26)</f>
        <v>60.26</v>
      </c>
      <c r="F1178" s="1">
        <f>IFERROR(__xludf.DUMMYFUNCTION("""COMPUTED_VALUE"""),261931.0)</f>
        <v>261931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IFERROR(__xludf.DUMMYFUNCTION("""COMPUTED_VALUE"""),60.12)</f>
        <v>60.12</v>
      </c>
      <c r="C1179" s="1">
        <f>IFERROR(__xludf.DUMMYFUNCTION("""COMPUTED_VALUE"""),60.59)</f>
        <v>60.59</v>
      </c>
      <c r="D1179" s="1">
        <f>IFERROR(__xludf.DUMMYFUNCTION("""COMPUTED_VALUE"""),59.51)</f>
        <v>59.51</v>
      </c>
      <c r="E1179" s="1">
        <f>IFERROR(__xludf.DUMMYFUNCTION("""COMPUTED_VALUE"""),60.41)</f>
        <v>60.41</v>
      </c>
      <c r="F1179" s="1">
        <f>IFERROR(__xludf.DUMMYFUNCTION("""COMPUTED_VALUE"""),308200.0)</f>
        <v>308200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IFERROR(__xludf.DUMMYFUNCTION("""COMPUTED_VALUE"""),60.26)</f>
        <v>60.26</v>
      </c>
      <c r="C1180" s="1">
        <f>IFERROR(__xludf.DUMMYFUNCTION("""COMPUTED_VALUE"""),60.65)</f>
        <v>60.65</v>
      </c>
      <c r="D1180" s="1">
        <f>IFERROR(__xludf.DUMMYFUNCTION("""COMPUTED_VALUE"""),59.75)</f>
        <v>59.75</v>
      </c>
      <c r="E1180" s="1">
        <f>IFERROR(__xludf.DUMMYFUNCTION("""COMPUTED_VALUE"""),59.76)</f>
        <v>59.76</v>
      </c>
      <c r="F1180" s="1">
        <f>IFERROR(__xludf.DUMMYFUNCTION("""COMPUTED_VALUE"""),382666.0)</f>
        <v>382666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IFERROR(__xludf.DUMMYFUNCTION("""COMPUTED_VALUE"""),59.91)</f>
        <v>59.91</v>
      </c>
      <c r="C1181" s="1">
        <f>IFERROR(__xludf.DUMMYFUNCTION("""COMPUTED_VALUE"""),60.72)</f>
        <v>60.72</v>
      </c>
      <c r="D1181" s="1">
        <f>IFERROR(__xludf.DUMMYFUNCTION("""COMPUTED_VALUE"""),59.48)</f>
        <v>59.48</v>
      </c>
      <c r="E1181" s="1">
        <f>IFERROR(__xludf.DUMMYFUNCTION("""COMPUTED_VALUE"""),60.72)</f>
        <v>60.72</v>
      </c>
      <c r="F1181" s="1">
        <f>IFERROR(__xludf.DUMMYFUNCTION("""COMPUTED_VALUE"""),318263.0)</f>
        <v>318263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IFERROR(__xludf.DUMMYFUNCTION("""COMPUTED_VALUE"""),60.42)</f>
        <v>60.42</v>
      </c>
      <c r="C1182" s="1">
        <f>IFERROR(__xludf.DUMMYFUNCTION("""COMPUTED_VALUE"""),60.95)</f>
        <v>60.95</v>
      </c>
      <c r="D1182" s="1">
        <f>IFERROR(__xludf.DUMMYFUNCTION("""COMPUTED_VALUE"""),60.24)</f>
        <v>60.24</v>
      </c>
      <c r="E1182" s="1">
        <f>IFERROR(__xludf.DUMMYFUNCTION("""COMPUTED_VALUE"""),60.79)</f>
        <v>60.79</v>
      </c>
      <c r="F1182" s="1">
        <f>IFERROR(__xludf.DUMMYFUNCTION("""COMPUTED_VALUE"""),216662.0)</f>
        <v>216662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IFERROR(__xludf.DUMMYFUNCTION("""COMPUTED_VALUE"""),60.65)</f>
        <v>60.65</v>
      </c>
      <c r="C1183" s="1">
        <f>IFERROR(__xludf.DUMMYFUNCTION("""COMPUTED_VALUE"""),60.83)</f>
        <v>60.83</v>
      </c>
      <c r="D1183" s="1">
        <f>IFERROR(__xludf.DUMMYFUNCTION("""COMPUTED_VALUE"""),60.31)</f>
        <v>60.31</v>
      </c>
      <c r="E1183" s="1">
        <f>IFERROR(__xludf.DUMMYFUNCTION("""COMPUTED_VALUE"""),60.64)</f>
        <v>60.64</v>
      </c>
      <c r="F1183" s="1">
        <f>IFERROR(__xludf.DUMMYFUNCTION("""COMPUTED_VALUE"""),338872.0)</f>
        <v>338872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IFERROR(__xludf.DUMMYFUNCTION("""COMPUTED_VALUE"""),60.7)</f>
        <v>60.7</v>
      </c>
      <c r="C1184" s="1">
        <f>IFERROR(__xludf.DUMMYFUNCTION("""COMPUTED_VALUE"""),60.7)</f>
        <v>60.7</v>
      </c>
      <c r="D1184" s="1">
        <f>IFERROR(__xludf.DUMMYFUNCTION("""COMPUTED_VALUE"""),59.89)</f>
        <v>59.89</v>
      </c>
      <c r="E1184" s="1">
        <f>IFERROR(__xludf.DUMMYFUNCTION("""COMPUTED_VALUE"""),60.26)</f>
        <v>60.26</v>
      </c>
      <c r="F1184" s="1">
        <f>IFERROR(__xludf.DUMMYFUNCTION("""COMPUTED_VALUE"""),263155.0)</f>
        <v>263155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IFERROR(__xludf.DUMMYFUNCTION("""COMPUTED_VALUE"""),60.28)</f>
        <v>60.28</v>
      </c>
      <c r="C1185" s="1">
        <f>IFERROR(__xludf.DUMMYFUNCTION("""COMPUTED_VALUE"""),60.68)</f>
        <v>60.68</v>
      </c>
      <c r="D1185" s="1">
        <f>IFERROR(__xludf.DUMMYFUNCTION("""COMPUTED_VALUE"""),59.67)</f>
        <v>59.67</v>
      </c>
      <c r="E1185" s="1">
        <f>IFERROR(__xludf.DUMMYFUNCTION("""COMPUTED_VALUE"""),60.5)</f>
        <v>60.5</v>
      </c>
      <c r="F1185" s="1">
        <f>IFERROR(__xludf.DUMMYFUNCTION("""COMPUTED_VALUE"""),320466.0)</f>
        <v>320466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IFERROR(__xludf.DUMMYFUNCTION("""COMPUTED_VALUE"""),60.72)</f>
        <v>60.72</v>
      </c>
      <c r="C1186" s="1">
        <f>IFERROR(__xludf.DUMMYFUNCTION("""COMPUTED_VALUE"""),61.0)</f>
        <v>61</v>
      </c>
      <c r="D1186" s="1">
        <f>IFERROR(__xludf.DUMMYFUNCTION("""COMPUTED_VALUE"""),60.38)</f>
        <v>60.38</v>
      </c>
      <c r="E1186" s="1">
        <f>IFERROR(__xludf.DUMMYFUNCTION("""COMPUTED_VALUE"""),60.59)</f>
        <v>60.59</v>
      </c>
      <c r="F1186" s="1">
        <f>IFERROR(__xludf.DUMMYFUNCTION("""COMPUTED_VALUE"""),195633.0)</f>
        <v>195633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IFERROR(__xludf.DUMMYFUNCTION("""COMPUTED_VALUE"""),60.9)</f>
        <v>60.9</v>
      </c>
      <c r="C1187" s="1">
        <f>IFERROR(__xludf.DUMMYFUNCTION("""COMPUTED_VALUE"""),61.1)</f>
        <v>61.1</v>
      </c>
      <c r="D1187" s="1">
        <f>IFERROR(__xludf.DUMMYFUNCTION("""COMPUTED_VALUE"""),60.38)</f>
        <v>60.38</v>
      </c>
      <c r="E1187" s="1">
        <f>IFERROR(__xludf.DUMMYFUNCTION("""COMPUTED_VALUE"""),61.07)</f>
        <v>61.07</v>
      </c>
      <c r="F1187" s="1">
        <f>IFERROR(__xludf.DUMMYFUNCTION("""COMPUTED_VALUE"""),181118.0)</f>
        <v>181118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IFERROR(__xludf.DUMMYFUNCTION("""COMPUTED_VALUE"""),61.1)</f>
        <v>61.1</v>
      </c>
      <c r="C1188" s="1">
        <f>IFERROR(__xludf.DUMMYFUNCTION("""COMPUTED_VALUE"""),61.49)</f>
        <v>61.49</v>
      </c>
      <c r="D1188" s="1">
        <f>IFERROR(__xludf.DUMMYFUNCTION("""COMPUTED_VALUE"""),60.25)</f>
        <v>60.25</v>
      </c>
      <c r="E1188" s="1">
        <f>IFERROR(__xludf.DUMMYFUNCTION("""COMPUTED_VALUE"""),60.47)</f>
        <v>60.47</v>
      </c>
      <c r="F1188" s="1">
        <f>IFERROR(__xludf.DUMMYFUNCTION("""COMPUTED_VALUE"""),585686.0)</f>
        <v>585686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IFERROR(__xludf.DUMMYFUNCTION("""COMPUTED_VALUE"""),60.39)</f>
        <v>60.39</v>
      </c>
      <c r="C1189" s="1">
        <f>IFERROR(__xludf.DUMMYFUNCTION("""COMPUTED_VALUE"""),61.17)</f>
        <v>61.17</v>
      </c>
      <c r="D1189" s="1">
        <f>IFERROR(__xludf.DUMMYFUNCTION("""COMPUTED_VALUE"""),60.2)</f>
        <v>60.2</v>
      </c>
      <c r="E1189" s="1">
        <f>IFERROR(__xludf.DUMMYFUNCTION("""COMPUTED_VALUE"""),60.51)</f>
        <v>60.51</v>
      </c>
      <c r="F1189" s="1">
        <f>IFERROR(__xludf.DUMMYFUNCTION("""COMPUTED_VALUE"""),277005.0)</f>
        <v>277005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IFERROR(__xludf.DUMMYFUNCTION("""COMPUTED_VALUE"""),60.48)</f>
        <v>60.48</v>
      </c>
      <c r="C1190" s="1">
        <f>IFERROR(__xludf.DUMMYFUNCTION("""COMPUTED_VALUE"""),60.49)</f>
        <v>60.49</v>
      </c>
      <c r="D1190" s="1">
        <f>IFERROR(__xludf.DUMMYFUNCTION("""COMPUTED_VALUE"""),59.71)</f>
        <v>59.71</v>
      </c>
      <c r="E1190" s="1">
        <f>IFERROR(__xludf.DUMMYFUNCTION("""COMPUTED_VALUE"""),59.83)</f>
        <v>59.83</v>
      </c>
      <c r="F1190" s="1">
        <f>IFERROR(__xludf.DUMMYFUNCTION("""COMPUTED_VALUE"""),218192.0)</f>
        <v>218192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IFERROR(__xludf.DUMMYFUNCTION("""COMPUTED_VALUE"""),60.09)</f>
        <v>60.09</v>
      </c>
      <c r="C1191" s="1">
        <f>IFERROR(__xludf.DUMMYFUNCTION("""COMPUTED_VALUE"""),60.82)</f>
        <v>60.82</v>
      </c>
      <c r="D1191" s="1">
        <f>IFERROR(__xludf.DUMMYFUNCTION("""COMPUTED_VALUE"""),59.57)</f>
        <v>59.57</v>
      </c>
      <c r="E1191" s="1">
        <f>IFERROR(__xludf.DUMMYFUNCTION("""COMPUTED_VALUE"""),60.73)</f>
        <v>60.73</v>
      </c>
      <c r="F1191" s="1">
        <f>IFERROR(__xludf.DUMMYFUNCTION("""COMPUTED_VALUE"""),307534.0)</f>
        <v>307534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IFERROR(__xludf.DUMMYFUNCTION("""COMPUTED_VALUE"""),60.65)</f>
        <v>60.65</v>
      </c>
      <c r="C1192" s="1">
        <f>IFERROR(__xludf.DUMMYFUNCTION("""COMPUTED_VALUE"""),61.0)</f>
        <v>61</v>
      </c>
      <c r="D1192" s="1">
        <f>IFERROR(__xludf.DUMMYFUNCTION("""COMPUTED_VALUE"""),59.53)</f>
        <v>59.53</v>
      </c>
      <c r="E1192" s="1">
        <f>IFERROR(__xludf.DUMMYFUNCTION("""COMPUTED_VALUE"""),59.94)</f>
        <v>59.94</v>
      </c>
      <c r="F1192" s="1">
        <f>IFERROR(__xludf.DUMMYFUNCTION("""COMPUTED_VALUE"""),263206.0)</f>
        <v>263206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IFERROR(__xludf.DUMMYFUNCTION("""COMPUTED_VALUE"""),59.93)</f>
        <v>59.93</v>
      </c>
      <c r="C1193" s="1">
        <f>IFERROR(__xludf.DUMMYFUNCTION("""COMPUTED_VALUE"""),59.99)</f>
        <v>59.99</v>
      </c>
      <c r="D1193" s="1">
        <f>IFERROR(__xludf.DUMMYFUNCTION("""COMPUTED_VALUE"""),59.08)</f>
        <v>59.08</v>
      </c>
      <c r="E1193" s="1">
        <f>IFERROR(__xludf.DUMMYFUNCTION("""COMPUTED_VALUE"""),59.64)</f>
        <v>59.64</v>
      </c>
      <c r="F1193" s="1">
        <f>IFERROR(__xludf.DUMMYFUNCTION("""COMPUTED_VALUE"""),211093.0)</f>
        <v>211093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IFERROR(__xludf.DUMMYFUNCTION("""COMPUTED_VALUE"""),59.26)</f>
        <v>59.26</v>
      </c>
      <c r="C1194" s="1">
        <f>IFERROR(__xludf.DUMMYFUNCTION("""COMPUTED_VALUE"""),60.47)</f>
        <v>60.47</v>
      </c>
      <c r="D1194" s="1">
        <f>IFERROR(__xludf.DUMMYFUNCTION("""COMPUTED_VALUE"""),58.97)</f>
        <v>58.97</v>
      </c>
      <c r="E1194" s="1">
        <f>IFERROR(__xludf.DUMMYFUNCTION("""COMPUTED_VALUE"""),60.37)</f>
        <v>60.37</v>
      </c>
      <c r="F1194" s="1">
        <f>IFERROR(__xludf.DUMMYFUNCTION("""COMPUTED_VALUE"""),285032.0)</f>
        <v>285032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IFERROR(__xludf.DUMMYFUNCTION("""COMPUTED_VALUE"""),60.29)</f>
        <v>60.29</v>
      </c>
      <c r="C1195" s="1">
        <f>IFERROR(__xludf.DUMMYFUNCTION("""COMPUTED_VALUE"""),60.45)</f>
        <v>60.45</v>
      </c>
      <c r="D1195" s="1">
        <f>IFERROR(__xludf.DUMMYFUNCTION("""COMPUTED_VALUE"""),59.37)</f>
        <v>59.37</v>
      </c>
      <c r="E1195" s="1">
        <f>IFERROR(__xludf.DUMMYFUNCTION("""COMPUTED_VALUE"""),59.74)</f>
        <v>59.74</v>
      </c>
      <c r="F1195" s="1">
        <f>IFERROR(__xludf.DUMMYFUNCTION("""COMPUTED_VALUE"""),308938.0)</f>
        <v>308938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IFERROR(__xludf.DUMMYFUNCTION("""COMPUTED_VALUE"""),59.78)</f>
        <v>59.78</v>
      </c>
      <c r="C1196" s="1">
        <f>IFERROR(__xludf.DUMMYFUNCTION("""COMPUTED_VALUE"""),59.86)</f>
        <v>59.86</v>
      </c>
      <c r="D1196" s="1">
        <f>IFERROR(__xludf.DUMMYFUNCTION("""COMPUTED_VALUE"""),58.61)</f>
        <v>58.61</v>
      </c>
      <c r="E1196" s="1">
        <f>IFERROR(__xludf.DUMMYFUNCTION("""COMPUTED_VALUE"""),59.12)</f>
        <v>59.12</v>
      </c>
      <c r="F1196" s="1">
        <f>IFERROR(__xludf.DUMMYFUNCTION("""COMPUTED_VALUE"""),479811.0)</f>
        <v>479811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IFERROR(__xludf.DUMMYFUNCTION("""COMPUTED_VALUE"""),59.4)</f>
        <v>59.4</v>
      </c>
      <c r="C1197" s="1">
        <f>IFERROR(__xludf.DUMMYFUNCTION("""COMPUTED_VALUE"""),60.51)</f>
        <v>60.51</v>
      </c>
      <c r="D1197" s="1">
        <f>IFERROR(__xludf.DUMMYFUNCTION("""COMPUTED_VALUE"""),59.2)</f>
        <v>59.2</v>
      </c>
      <c r="E1197" s="1">
        <f>IFERROR(__xludf.DUMMYFUNCTION("""COMPUTED_VALUE"""),60.34)</f>
        <v>60.34</v>
      </c>
      <c r="F1197" s="1">
        <f>IFERROR(__xludf.DUMMYFUNCTION("""COMPUTED_VALUE"""),401039.0)</f>
        <v>401039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IFERROR(__xludf.DUMMYFUNCTION("""COMPUTED_VALUE"""),60.97)</f>
        <v>60.97</v>
      </c>
      <c r="C1198" s="1">
        <f>IFERROR(__xludf.DUMMYFUNCTION("""COMPUTED_VALUE"""),62.0)</f>
        <v>62</v>
      </c>
      <c r="D1198" s="1">
        <f>IFERROR(__xludf.DUMMYFUNCTION("""COMPUTED_VALUE"""),60.81)</f>
        <v>60.81</v>
      </c>
      <c r="E1198" s="1">
        <f>IFERROR(__xludf.DUMMYFUNCTION("""COMPUTED_VALUE"""),61.36)</f>
        <v>61.36</v>
      </c>
      <c r="F1198" s="1">
        <f>IFERROR(__xludf.DUMMYFUNCTION("""COMPUTED_VALUE"""),825700.0)</f>
        <v>825700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IFERROR(__xludf.DUMMYFUNCTION("""COMPUTED_VALUE"""),61.63)</f>
        <v>61.63</v>
      </c>
      <c r="C1199" s="1">
        <f>IFERROR(__xludf.DUMMYFUNCTION("""COMPUTED_VALUE"""),61.84)</f>
        <v>61.84</v>
      </c>
      <c r="D1199" s="1">
        <f>IFERROR(__xludf.DUMMYFUNCTION("""COMPUTED_VALUE"""),59.91)</f>
        <v>59.91</v>
      </c>
      <c r="E1199" s="1">
        <f>IFERROR(__xludf.DUMMYFUNCTION("""COMPUTED_VALUE"""),59.99)</f>
        <v>59.99</v>
      </c>
      <c r="F1199" s="1">
        <f>IFERROR(__xludf.DUMMYFUNCTION("""COMPUTED_VALUE"""),379436.0)</f>
        <v>379436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IFERROR(__xludf.DUMMYFUNCTION("""COMPUTED_VALUE"""),59.69)</f>
        <v>59.69</v>
      </c>
      <c r="C1200" s="1">
        <f>IFERROR(__xludf.DUMMYFUNCTION("""COMPUTED_VALUE"""),59.95)</f>
        <v>59.95</v>
      </c>
      <c r="D1200" s="1">
        <f>IFERROR(__xludf.DUMMYFUNCTION("""COMPUTED_VALUE"""),58.48)</f>
        <v>58.48</v>
      </c>
      <c r="E1200" s="1">
        <f>IFERROR(__xludf.DUMMYFUNCTION("""COMPUTED_VALUE"""),58.67)</f>
        <v>58.67</v>
      </c>
      <c r="F1200" s="1">
        <f>IFERROR(__xludf.DUMMYFUNCTION("""COMPUTED_VALUE"""),388916.0)</f>
        <v>388916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IFERROR(__xludf.DUMMYFUNCTION("""COMPUTED_VALUE"""),58.63)</f>
        <v>58.63</v>
      </c>
      <c r="C1201" s="1">
        <f>IFERROR(__xludf.DUMMYFUNCTION("""COMPUTED_VALUE"""),59.72)</f>
        <v>59.72</v>
      </c>
      <c r="D1201" s="1">
        <f>IFERROR(__xludf.DUMMYFUNCTION("""COMPUTED_VALUE"""),58.08)</f>
        <v>58.08</v>
      </c>
      <c r="E1201" s="1">
        <f>IFERROR(__xludf.DUMMYFUNCTION("""COMPUTED_VALUE"""),59.58)</f>
        <v>59.58</v>
      </c>
      <c r="F1201" s="1">
        <f>IFERROR(__xludf.DUMMYFUNCTION("""COMPUTED_VALUE"""),301657.0)</f>
        <v>301657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IFERROR(__xludf.DUMMYFUNCTION("""COMPUTED_VALUE"""),59.49)</f>
        <v>59.49</v>
      </c>
      <c r="C1202" s="1">
        <f>IFERROR(__xludf.DUMMYFUNCTION("""COMPUTED_VALUE"""),59.61)</f>
        <v>59.61</v>
      </c>
      <c r="D1202" s="1">
        <f>IFERROR(__xludf.DUMMYFUNCTION("""COMPUTED_VALUE"""),58.32)</f>
        <v>58.32</v>
      </c>
      <c r="E1202" s="1">
        <f>IFERROR(__xludf.DUMMYFUNCTION("""COMPUTED_VALUE"""),58.7)</f>
        <v>58.7</v>
      </c>
      <c r="F1202" s="1">
        <f>IFERROR(__xludf.DUMMYFUNCTION("""COMPUTED_VALUE"""),250755.0)</f>
        <v>250755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IFERROR(__xludf.DUMMYFUNCTION("""COMPUTED_VALUE"""),58.52)</f>
        <v>58.52</v>
      </c>
      <c r="C1203" s="1">
        <f>IFERROR(__xludf.DUMMYFUNCTION("""COMPUTED_VALUE"""),58.98)</f>
        <v>58.98</v>
      </c>
      <c r="D1203" s="1">
        <f>IFERROR(__xludf.DUMMYFUNCTION("""COMPUTED_VALUE"""),56.71)</f>
        <v>56.71</v>
      </c>
      <c r="E1203" s="1">
        <f>IFERROR(__xludf.DUMMYFUNCTION("""COMPUTED_VALUE"""),56.86)</f>
        <v>56.86</v>
      </c>
      <c r="F1203" s="1">
        <f>IFERROR(__xludf.DUMMYFUNCTION("""COMPUTED_VALUE"""),364891.0)</f>
        <v>364891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IFERROR(__xludf.DUMMYFUNCTION("""COMPUTED_VALUE"""),57.1)</f>
        <v>57.1</v>
      </c>
      <c r="C1204" s="1">
        <f>IFERROR(__xludf.DUMMYFUNCTION("""COMPUTED_VALUE"""),57.75)</f>
        <v>57.75</v>
      </c>
      <c r="D1204" s="1">
        <f>IFERROR(__xludf.DUMMYFUNCTION("""COMPUTED_VALUE"""),56.27)</f>
        <v>56.27</v>
      </c>
      <c r="E1204" s="1">
        <f>IFERROR(__xludf.DUMMYFUNCTION("""COMPUTED_VALUE"""),56.46)</f>
        <v>56.46</v>
      </c>
      <c r="F1204" s="1">
        <f>IFERROR(__xludf.DUMMYFUNCTION("""COMPUTED_VALUE"""),276597.0)</f>
        <v>276597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IFERROR(__xludf.DUMMYFUNCTION("""COMPUTED_VALUE"""),56.87)</f>
        <v>56.87</v>
      </c>
      <c r="C1205" s="1">
        <f>IFERROR(__xludf.DUMMYFUNCTION("""COMPUTED_VALUE"""),57.33)</f>
        <v>57.33</v>
      </c>
      <c r="D1205" s="1">
        <f>IFERROR(__xludf.DUMMYFUNCTION("""COMPUTED_VALUE"""),55.78)</f>
        <v>55.78</v>
      </c>
      <c r="E1205" s="1">
        <f>IFERROR(__xludf.DUMMYFUNCTION("""COMPUTED_VALUE"""),56.53)</f>
        <v>56.53</v>
      </c>
      <c r="F1205" s="1">
        <f>IFERROR(__xludf.DUMMYFUNCTION("""COMPUTED_VALUE"""),315357.0)</f>
        <v>315357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IFERROR(__xludf.DUMMYFUNCTION("""COMPUTED_VALUE"""),55.48)</f>
        <v>55.48</v>
      </c>
      <c r="C1206" s="1">
        <f>IFERROR(__xludf.DUMMYFUNCTION("""COMPUTED_VALUE"""),58.34)</f>
        <v>58.34</v>
      </c>
      <c r="D1206" s="1">
        <f>IFERROR(__xludf.DUMMYFUNCTION("""COMPUTED_VALUE"""),55.47)</f>
        <v>55.47</v>
      </c>
      <c r="E1206" s="1">
        <f>IFERROR(__xludf.DUMMYFUNCTION("""COMPUTED_VALUE"""),57.61)</f>
        <v>57.61</v>
      </c>
      <c r="F1206" s="1">
        <f>IFERROR(__xludf.DUMMYFUNCTION("""COMPUTED_VALUE"""),610628.0)</f>
        <v>610628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IFERROR(__xludf.DUMMYFUNCTION("""COMPUTED_VALUE"""),57.63)</f>
        <v>57.63</v>
      </c>
      <c r="C1207" s="1">
        <f>IFERROR(__xludf.DUMMYFUNCTION("""COMPUTED_VALUE"""),61.29)</f>
        <v>61.29</v>
      </c>
      <c r="D1207" s="1">
        <f>IFERROR(__xludf.DUMMYFUNCTION("""COMPUTED_VALUE"""),57.56)</f>
        <v>57.56</v>
      </c>
      <c r="E1207" s="1">
        <f>IFERROR(__xludf.DUMMYFUNCTION("""COMPUTED_VALUE"""),60.13)</f>
        <v>60.13</v>
      </c>
      <c r="F1207" s="1">
        <f>IFERROR(__xludf.DUMMYFUNCTION("""COMPUTED_VALUE"""),1203939.0)</f>
        <v>1203939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IFERROR(__xludf.DUMMYFUNCTION("""COMPUTED_VALUE"""),60.75)</f>
        <v>60.75</v>
      </c>
      <c r="C1208" s="1">
        <f>IFERROR(__xludf.DUMMYFUNCTION("""COMPUTED_VALUE"""),61.76)</f>
        <v>61.76</v>
      </c>
      <c r="D1208" s="1">
        <f>IFERROR(__xludf.DUMMYFUNCTION("""COMPUTED_VALUE"""),60.46)</f>
        <v>60.46</v>
      </c>
      <c r="E1208" s="1">
        <f>IFERROR(__xludf.DUMMYFUNCTION("""COMPUTED_VALUE"""),61.33)</f>
        <v>61.33</v>
      </c>
      <c r="F1208" s="1">
        <f>IFERROR(__xludf.DUMMYFUNCTION("""COMPUTED_VALUE"""),1802906.0)</f>
        <v>1802906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IFERROR(__xludf.DUMMYFUNCTION("""COMPUTED_VALUE"""),61.15)</f>
        <v>61.15</v>
      </c>
      <c r="C1209" s="1">
        <f>IFERROR(__xludf.DUMMYFUNCTION("""COMPUTED_VALUE"""),61.46)</f>
        <v>61.46</v>
      </c>
      <c r="D1209" s="1">
        <f>IFERROR(__xludf.DUMMYFUNCTION("""COMPUTED_VALUE"""),59.66)</f>
        <v>59.66</v>
      </c>
      <c r="E1209" s="1">
        <f>IFERROR(__xludf.DUMMYFUNCTION("""COMPUTED_VALUE"""),60.43)</f>
        <v>60.43</v>
      </c>
      <c r="F1209" s="1">
        <f>IFERROR(__xludf.DUMMYFUNCTION("""COMPUTED_VALUE"""),492556.0)</f>
        <v>492556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IFERROR(__xludf.DUMMYFUNCTION("""COMPUTED_VALUE"""),60.71)</f>
        <v>60.71</v>
      </c>
      <c r="C1210" s="1">
        <f>IFERROR(__xludf.DUMMYFUNCTION("""COMPUTED_VALUE"""),62.35)</f>
        <v>62.35</v>
      </c>
      <c r="D1210" s="1">
        <f>IFERROR(__xludf.DUMMYFUNCTION("""COMPUTED_VALUE"""),60.71)</f>
        <v>60.71</v>
      </c>
      <c r="E1210" s="1">
        <f>IFERROR(__xludf.DUMMYFUNCTION("""COMPUTED_VALUE"""),62.23)</f>
        <v>62.23</v>
      </c>
      <c r="F1210" s="1">
        <f>IFERROR(__xludf.DUMMYFUNCTION("""COMPUTED_VALUE"""),428253.0)</f>
        <v>428253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IFERROR(__xludf.DUMMYFUNCTION("""COMPUTED_VALUE"""),62.71)</f>
        <v>62.71</v>
      </c>
      <c r="C1211" s="1">
        <f>IFERROR(__xludf.DUMMYFUNCTION("""COMPUTED_VALUE"""),62.82)</f>
        <v>62.82</v>
      </c>
      <c r="D1211" s="1">
        <f>IFERROR(__xludf.DUMMYFUNCTION("""COMPUTED_VALUE"""),61.71)</f>
        <v>61.71</v>
      </c>
      <c r="E1211" s="1">
        <f>IFERROR(__xludf.DUMMYFUNCTION("""COMPUTED_VALUE"""),61.83)</f>
        <v>61.83</v>
      </c>
      <c r="F1211" s="1">
        <f>IFERROR(__xludf.DUMMYFUNCTION("""COMPUTED_VALUE"""),267520.0)</f>
        <v>267520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IFERROR(__xludf.DUMMYFUNCTION("""COMPUTED_VALUE"""),62.24)</f>
        <v>62.24</v>
      </c>
      <c r="C1212" s="1">
        <f>IFERROR(__xludf.DUMMYFUNCTION("""COMPUTED_VALUE"""),62.68)</f>
        <v>62.68</v>
      </c>
      <c r="D1212" s="1">
        <f>IFERROR(__xludf.DUMMYFUNCTION("""COMPUTED_VALUE"""),61.91)</f>
        <v>61.91</v>
      </c>
      <c r="E1212" s="1">
        <f>IFERROR(__xludf.DUMMYFUNCTION("""COMPUTED_VALUE"""),62.56)</f>
        <v>62.56</v>
      </c>
      <c r="F1212" s="1">
        <f>IFERROR(__xludf.DUMMYFUNCTION("""COMPUTED_VALUE"""),322683.0)</f>
        <v>322683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IFERROR(__xludf.DUMMYFUNCTION("""COMPUTED_VALUE"""),62.5)</f>
        <v>62.5</v>
      </c>
      <c r="C1213" s="1">
        <f>IFERROR(__xludf.DUMMYFUNCTION("""COMPUTED_VALUE"""),63.69)</f>
        <v>63.69</v>
      </c>
      <c r="D1213" s="1">
        <f>IFERROR(__xludf.DUMMYFUNCTION("""COMPUTED_VALUE"""),62.15)</f>
        <v>62.15</v>
      </c>
      <c r="E1213" s="1">
        <f>IFERROR(__xludf.DUMMYFUNCTION("""COMPUTED_VALUE"""),63.69)</f>
        <v>63.69</v>
      </c>
      <c r="F1213" s="1">
        <f>IFERROR(__xludf.DUMMYFUNCTION("""COMPUTED_VALUE"""),349492.0)</f>
        <v>349492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IFERROR(__xludf.DUMMYFUNCTION("""COMPUTED_VALUE"""),63.66)</f>
        <v>63.66</v>
      </c>
      <c r="C1214" s="1">
        <f>IFERROR(__xludf.DUMMYFUNCTION("""COMPUTED_VALUE"""),63.86)</f>
        <v>63.86</v>
      </c>
      <c r="D1214" s="1">
        <f>IFERROR(__xludf.DUMMYFUNCTION("""COMPUTED_VALUE"""),62.92)</f>
        <v>62.92</v>
      </c>
      <c r="E1214" s="1">
        <f>IFERROR(__xludf.DUMMYFUNCTION("""COMPUTED_VALUE"""),63.8)</f>
        <v>63.8</v>
      </c>
      <c r="F1214" s="1">
        <f>IFERROR(__xludf.DUMMYFUNCTION("""COMPUTED_VALUE"""),257912.0)</f>
        <v>257912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IFERROR(__xludf.DUMMYFUNCTION("""COMPUTED_VALUE"""),63.95)</f>
        <v>63.95</v>
      </c>
      <c r="C1215" s="1">
        <f>IFERROR(__xludf.DUMMYFUNCTION("""COMPUTED_VALUE"""),64.05)</f>
        <v>64.05</v>
      </c>
      <c r="D1215" s="1">
        <f>IFERROR(__xludf.DUMMYFUNCTION("""COMPUTED_VALUE"""),63.39)</f>
        <v>63.39</v>
      </c>
      <c r="E1215" s="1">
        <f>IFERROR(__xludf.DUMMYFUNCTION("""COMPUTED_VALUE"""),64.05)</f>
        <v>64.05</v>
      </c>
      <c r="F1215" s="1">
        <f>IFERROR(__xludf.DUMMYFUNCTION("""COMPUTED_VALUE"""),431596.0)</f>
        <v>431596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IFERROR(__xludf.DUMMYFUNCTION("""COMPUTED_VALUE"""),63.9)</f>
        <v>63.9</v>
      </c>
      <c r="C1216" s="1">
        <f>IFERROR(__xludf.DUMMYFUNCTION("""COMPUTED_VALUE"""),64.8)</f>
        <v>64.8</v>
      </c>
      <c r="D1216" s="1">
        <f>IFERROR(__xludf.DUMMYFUNCTION("""COMPUTED_VALUE"""),63.61)</f>
        <v>63.61</v>
      </c>
      <c r="E1216" s="1">
        <f>IFERROR(__xludf.DUMMYFUNCTION("""COMPUTED_VALUE"""),64.47)</f>
        <v>64.47</v>
      </c>
      <c r="F1216" s="1">
        <f>IFERROR(__xludf.DUMMYFUNCTION("""COMPUTED_VALUE"""),386349.0)</f>
        <v>386349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IFERROR(__xludf.DUMMYFUNCTION("""COMPUTED_VALUE"""),65.0)</f>
        <v>65</v>
      </c>
      <c r="C1217" s="1">
        <f>IFERROR(__xludf.DUMMYFUNCTION("""COMPUTED_VALUE"""),65.0)</f>
        <v>65</v>
      </c>
      <c r="D1217" s="1">
        <f>IFERROR(__xludf.DUMMYFUNCTION("""COMPUTED_VALUE"""),61.29)</f>
        <v>61.29</v>
      </c>
      <c r="E1217" s="1">
        <f>IFERROR(__xludf.DUMMYFUNCTION("""COMPUTED_VALUE"""),62.81)</f>
        <v>62.81</v>
      </c>
      <c r="F1217" s="1">
        <f>IFERROR(__xludf.DUMMYFUNCTION("""COMPUTED_VALUE"""),1142474.0)</f>
        <v>1142474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IFERROR(__xludf.DUMMYFUNCTION("""COMPUTED_VALUE"""),64.05)</f>
        <v>64.05</v>
      </c>
      <c r="C1218" s="1">
        <f>IFERROR(__xludf.DUMMYFUNCTION("""COMPUTED_VALUE"""),64.05)</f>
        <v>64.05</v>
      </c>
      <c r="D1218" s="1">
        <f>IFERROR(__xludf.DUMMYFUNCTION("""COMPUTED_VALUE"""),62.7)</f>
        <v>62.7</v>
      </c>
      <c r="E1218" s="1">
        <f>IFERROR(__xludf.DUMMYFUNCTION("""COMPUTED_VALUE"""),63.16)</f>
        <v>63.16</v>
      </c>
      <c r="F1218" s="1">
        <f>IFERROR(__xludf.DUMMYFUNCTION("""COMPUTED_VALUE"""),588873.0)</f>
        <v>588873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IFERROR(__xludf.DUMMYFUNCTION("""COMPUTED_VALUE"""),64.05)</f>
        <v>64.05</v>
      </c>
      <c r="C1219" s="1">
        <f>IFERROR(__xludf.DUMMYFUNCTION("""COMPUTED_VALUE"""),66.11)</f>
        <v>66.11</v>
      </c>
      <c r="D1219" s="1">
        <f>IFERROR(__xludf.DUMMYFUNCTION("""COMPUTED_VALUE"""),64.05)</f>
        <v>64.05</v>
      </c>
      <c r="E1219" s="1">
        <f>IFERROR(__xludf.DUMMYFUNCTION("""COMPUTED_VALUE"""),64.43)</f>
        <v>64.43</v>
      </c>
      <c r="F1219" s="1">
        <f>IFERROR(__xludf.DUMMYFUNCTION("""COMPUTED_VALUE"""),991487.0)</f>
        <v>991487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IFERROR(__xludf.DUMMYFUNCTION("""COMPUTED_VALUE"""),64.45)</f>
        <v>64.45</v>
      </c>
      <c r="C1220" s="1">
        <f>IFERROR(__xludf.DUMMYFUNCTION("""COMPUTED_VALUE"""),64.66)</f>
        <v>64.66</v>
      </c>
      <c r="D1220" s="1">
        <f>IFERROR(__xludf.DUMMYFUNCTION("""COMPUTED_VALUE"""),63.48)</f>
        <v>63.48</v>
      </c>
      <c r="E1220" s="1">
        <f>IFERROR(__xludf.DUMMYFUNCTION("""COMPUTED_VALUE"""),64.12)</f>
        <v>64.12</v>
      </c>
      <c r="F1220" s="1">
        <f>IFERROR(__xludf.DUMMYFUNCTION("""COMPUTED_VALUE"""),354683.0)</f>
        <v>354683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IFERROR(__xludf.DUMMYFUNCTION("""COMPUTED_VALUE"""),64.57)</f>
        <v>64.57</v>
      </c>
      <c r="C1221" s="1">
        <f>IFERROR(__xludf.DUMMYFUNCTION("""COMPUTED_VALUE"""),65.17)</f>
        <v>65.17</v>
      </c>
      <c r="D1221" s="1">
        <f>IFERROR(__xludf.DUMMYFUNCTION("""COMPUTED_VALUE"""),62.45)</f>
        <v>62.45</v>
      </c>
      <c r="E1221" s="1">
        <f>IFERROR(__xludf.DUMMYFUNCTION("""COMPUTED_VALUE"""),62.68)</f>
        <v>62.68</v>
      </c>
      <c r="F1221" s="1">
        <f>IFERROR(__xludf.DUMMYFUNCTION("""COMPUTED_VALUE"""),457003.0)</f>
        <v>457003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IFERROR(__xludf.DUMMYFUNCTION("""COMPUTED_VALUE"""),62.61)</f>
        <v>62.61</v>
      </c>
      <c r="C1222" s="1">
        <f>IFERROR(__xludf.DUMMYFUNCTION("""COMPUTED_VALUE"""),63.78)</f>
        <v>63.78</v>
      </c>
      <c r="D1222" s="1">
        <f>IFERROR(__xludf.DUMMYFUNCTION("""COMPUTED_VALUE"""),62.51)</f>
        <v>62.51</v>
      </c>
      <c r="E1222" s="1">
        <f>IFERROR(__xludf.DUMMYFUNCTION("""COMPUTED_VALUE"""),63.73)</f>
        <v>63.73</v>
      </c>
      <c r="F1222" s="1">
        <f>IFERROR(__xludf.DUMMYFUNCTION("""COMPUTED_VALUE"""),471953.0)</f>
        <v>471953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IFERROR(__xludf.DUMMYFUNCTION("""COMPUTED_VALUE"""),63.78)</f>
        <v>63.78</v>
      </c>
      <c r="C1223" s="1">
        <f>IFERROR(__xludf.DUMMYFUNCTION("""COMPUTED_VALUE"""),63.93)</f>
        <v>63.93</v>
      </c>
      <c r="D1223" s="1">
        <f>IFERROR(__xludf.DUMMYFUNCTION("""COMPUTED_VALUE"""),62.82)</f>
        <v>62.82</v>
      </c>
      <c r="E1223" s="1">
        <f>IFERROR(__xludf.DUMMYFUNCTION("""COMPUTED_VALUE"""),63.36)</f>
        <v>63.36</v>
      </c>
      <c r="F1223" s="1">
        <f>IFERROR(__xludf.DUMMYFUNCTION("""COMPUTED_VALUE"""),316602.0)</f>
        <v>316602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IFERROR(__xludf.DUMMYFUNCTION("""COMPUTED_VALUE"""),63.52)</f>
        <v>63.52</v>
      </c>
      <c r="C1224" s="1">
        <f>IFERROR(__xludf.DUMMYFUNCTION("""COMPUTED_VALUE"""),64.4)</f>
        <v>64.4</v>
      </c>
      <c r="D1224" s="1">
        <f>IFERROR(__xludf.DUMMYFUNCTION("""COMPUTED_VALUE"""),63.29)</f>
        <v>63.29</v>
      </c>
      <c r="E1224" s="1">
        <f>IFERROR(__xludf.DUMMYFUNCTION("""COMPUTED_VALUE"""),63.93)</f>
        <v>63.93</v>
      </c>
      <c r="F1224" s="1">
        <f>IFERROR(__xludf.DUMMYFUNCTION("""COMPUTED_VALUE"""),241199.0)</f>
        <v>241199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IFERROR(__xludf.DUMMYFUNCTION("""COMPUTED_VALUE"""),64.1)</f>
        <v>64.1</v>
      </c>
      <c r="C1225" s="1">
        <f>IFERROR(__xludf.DUMMYFUNCTION("""COMPUTED_VALUE"""),64.8)</f>
        <v>64.8</v>
      </c>
      <c r="D1225" s="1">
        <f>IFERROR(__xludf.DUMMYFUNCTION("""COMPUTED_VALUE"""),63.92)</f>
        <v>63.92</v>
      </c>
      <c r="E1225" s="1">
        <f>IFERROR(__xludf.DUMMYFUNCTION("""COMPUTED_VALUE"""),64.3)</f>
        <v>64.3</v>
      </c>
      <c r="F1225" s="1">
        <f>IFERROR(__xludf.DUMMYFUNCTION("""COMPUTED_VALUE"""),168918.0)</f>
        <v>168918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IFERROR(__xludf.DUMMYFUNCTION("""COMPUTED_VALUE"""),63.92)</f>
        <v>63.92</v>
      </c>
      <c r="C1226" s="1">
        <f>IFERROR(__xludf.DUMMYFUNCTION("""COMPUTED_VALUE"""),65.1)</f>
        <v>65.1</v>
      </c>
      <c r="D1226" s="1">
        <f>IFERROR(__xludf.DUMMYFUNCTION("""COMPUTED_VALUE"""),63.92)</f>
        <v>63.92</v>
      </c>
      <c r="E1226" s="1">
        <f>IFERROR(__xludf.DUMMYFUNCTION("""COMPUTED_VALUE"""),64.88)</f>
        <v>64.88</v>
      </c>
      <c r="F1226" s="1">
        <f>IFERROR(__xludf.DUMMYFUNCTION("""COMPUTED_VALUE"""),353705.0)</f>
        <v>353705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IFERROR(__xludf.DUMMYFUNCTION("""COMPUTED_VALUE"""),64.89)</f>
        <v>64.89</v>
      </c>
      <c r="C1227" s="1">
        <f>IFERROR(__xludf.DUMMYFUNCTION("""COMPUTED_VALUE"""),65.54)</f>
        <v>65.54</v>
      </c>
      <c r="D1227" s="1">
        <f>IFERROR(__xludf.DUMMYFUNCTION("""COMPUTED_VALUE"""),64.24)</f>
        <v>64.24</v>
      </c>
      <c r="E1227" s="1">
        <f>IFERROR(__xludf.DUMMYFUNCTION("""COMPUTED_VALUE"""),64.48)</f>
        <v>64.48</v>
      </c>
      <c r="F1227" s="1">
        <f>IFERROR(__xludf.DUMMYFUNCTION("""COMPUTED_VALUE"""),242685.0)</f>
        <v>242685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IFERROR(__xludf.DUMMYFUNCTION("""COMPUTED_VALUE"""),64.38)</f>
        <v>64.38</v>
      </c>
      <c r="C1228" s="1">
        <f>IFERROR(__xludf.DUMMYFUNCTION("""COMPUTED_VALUE"""),64.38)</f>
        <v>64.38</v>
      </c>
      <c r="D1228" s="1">
        <f>IFERROR(__xludf.DUMMYFUNCTION("""COMPUTED_VALUE"""),63.32)</f>
        <v>63.32</v>
      </c>
      <c r="E1228" s="1">
        <f>IFERROR(__xludf.DUMMYFUNCTION("""COMPUTED_VALUE"""),63.76)</f>
        <v>63.76</v>
      </c>
      <c r="F1228" s="1">
        <f>IFERROR(__xludf.DUMMYFUNCTION("""COMPUTED_VALUE"""),236887.0)</f>
        <v>236887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IFERROR(__xludf.DUMMYFUNCTION("""COMPUTED_VALUE"""),63.55)</f>
        <v>63.55</v>
      </c>
      <c r="C1229" s="1">
        <f>IFERROR(__xludf.DUMMYFUNCTION("""COMPUTED_VALUE"""),63.98)</f>
        <v>63.98</v>
      </c>
      <c r="D1229" s="1">
        <f>IFERROR(__xludf.DUMMYFUNCTION("""COMPUTED_VALUE"""),63.32)</f>
        <v>63.32</v>
      </c>
      <c r="E1229" s="1">
        <f>IFERROR(__xludf.DUMMYFUNCTION("""COMPUTED_VALUE"""),63.48)</f>
        <v>63.48</v>
      </c>
      <c r="F1229" s="1">
        <f>IFERROR(__xludf.DUMMYFUNCTION("""COMPUTED_VALUE"""),191051.0)</f>
        <v>191051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IFERROR(__xludf.DUMMYFUNCTION("""COMPUTED_VALUE"""),63.79)</f>
        <v>63.79</v>
      </c>
      <c r="C1230" s="1">
        <f>IFERROR(__xludf.DUMMYFUNCTION("""COMPUTED_VALUE"""),64.23)</f>
        <v>64.23</v>
      </c>
      <c r="D1230" s="1">
        <f>IFERROR(__xludf.DUMMYFUNCTION("""COMPUTED_VALUE"""),63.24)</f>
        <v>63.24</v>
      </c>
      <c r="E1230" s="1">
        <f>IFERROR(__xludf.DUMMYFUNCTION("""COMPUTED_VALUE"""),63.94)</f>
        <v>63.94</v>
      </c>
      <c r="F1230" s="1">
        <f>IFERROR(__xludf.DUMMYFUNCTION("""COMPUTED_VALUE"""),283940.0)</f>
        <v>283940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IFERROR(__xludf.DUMMYFUNCTION("""COMPUTED_VALUE"""),63.79)</f>
        <v>63.79</v>
      </c>
      <c r="C1231" s="1">
        <f>IFERROR(__xludf.DUMMYFUNCTION("""COMPUTED_VALUE"""),64.19)</f>
        <v>64.19</v>
      </c>
      <c r="D1231" s="1">
        <f>IFERROR(__xludf.DUMMYFUNCTION("""COMPUTED_VALUE"""),63.34)</f>
        <v>63.34</v>
      </c>
      <c r="E1231" s="1">
        <f>IFERROR(__xludf.DUMMYFUNCTION("""COMPUTED_VALUE"""),63.48)</f>
        <v>63.48</v>
      </c>
      <c r="F1231" s="1">
        <f>IFERROR(__xludf.DUMMYFUNCTION("""COMPUTED_VALUE"""),246422.0)</f>
        <v>246422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IFERROR(__xludf.DUMMYFUNCTION("""COMPUTED_VALUE"""),63.15)</f>
        <v>63.15</v>
      </c>
      <c r="C1232" s="1">
        <f>IFERROR(__xludf.DUMMYFUNCTION("""COMPUTED_VALUE"""),64.18)</f>
        <v>64.18</v>
      </c>
      <c r="D1232" s="1">
        <f>IFERROR(__xludf.DUMMYFUNCTION("""COMPUTED_VALUE"""),62.7)</f>
        <v>62.7</v>
      </c>
      <c r="E1232" s="1">
        <f>IFERROR(__xludf.DUMMYFUNCTION("""COMPUTED_VALUE"""),63.85)</f>
        <v>63.85</v>
      </c>
      <c r="F1232" s="1">
        <f>IFERROR(__xludf.DUMMYFUNCTION("""COMPUTED_VALUE"""),183734.0)</f>
        <v>183734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IFERROR(__xludf.DUMMYFUNCTION("""COMPUTED_VALUE"""),64.3)</f>
        <v>64.3</v>
      </c>
      <c r="C1233" s="1">
        <f>IFERROR(__xludf.DUMMYFUNCTION("""COMPUTED_VALUE"""),64.64)</f>
        <v>64.64</v>
      </c>
      <c r="D1233" s="1">
        <f>IFERROR(__xludf.DUMMYFUNCTION("""COMPUTED_VALUE"""),63.58)</f>
        <v>63.58</v>
      </c>
      <c r="E1233" s="1">
        <f>IFERROR(__xludf.DUMMYFUNCTION("""COMPUTED_VALUE"""),63.87)</f>
        <v>63.87</v>
      </c>
      <c r="F1233" s="1">
        <f>IFERROR(__xludf.DUMMYFUNCTION("""COMPUTED_VALUE"""),226926.0)</f>
        <v>226926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IFERROR(__xludf.DUMMYFUNCTION("""COMPUTED_VALUE"""),64.17)</f>
        <v>64.17</v>
      </c>
      <c r="C1234" s="1">
        <f>IFERROR(__xludf.DUMMYFUNCTION("""COMPUTED_VALUE"""),65.65)</f>
        <v>65.65</v>
      </c>
      <c r="D1234" s="1">
        <f>IFERROR(__xludf.DUMMYFUNCTION("""COMPUTED_VALUE"""),63.71)</f>
        <v>63.71</v>
      </c>
      <c r="E1234" s="1">
        <f>IFERROR(__xludf.DUMMYFUNCTION("""COMPUTED_VALUE"""),65.59)</f>
        <v>65.59</v>
      </c>
      <c r="F1234" s="1">
        <f>IFERROR(__xludf.DUMMYFUNCTION("""COMPUTED_VALUE"""),283032.0)</f>
        <v>283032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IFERROR(__xludf.DUMMYFUNCTION("""COMPUTED_VALUE"""),65.86)</f>
        <v>65.86</v>
      </c>
      <c r="C1235" s="1">
        <f>IFERROR(__xludf.DUMMYFUNCTION("""COMPUTED_VALUE"""),65.86)</f>
        <v>65.86</v>
      </c>
      <c r="D1235" s="1">
        <f>IFERROR(__xludf.DUMMYFUNCTION("""COMPUTED_VALUE"""),64.2)</f>
        <v>64.2</v>
      </c>
      <c r="E1235" s="1">
        <f>IFERROR(__xludf.DUMMYFUNCTION("""COMPUTED_VALUE"""),64.49)</f>
        <v>64.49</v>
      </c>
      <c r="F1235" s="1">
        <f>IFERROR(__xludf.DUMMYFUNCTION("""COMPUTED_VALUE"""),175878.0)</f>
        <v>175878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IFERROR(__xludf.DUMMYFUNCTION("""COMPUTED_VALUE"""),64.63)</f>
        <v>64.63</v>
      </c>
      <c r="C1236" s="1">
        <f>IFERROR(__xludf.DUMMYFUNCTION("""COMPUTED_VALUE"""),64.99)</f>
        <v>64.99</v>
      </c>
      <c r="D1236" s="1">
        <f>IFERROR(__xludf.DUMMYFUNCTION("""COMPUTED_VALUE"""),64.14)</f>
        <v>64.14</v>
      </c>
      <c r="E1236" s="1">
        <f>IFERROR(__xludf.DUMMYFUNCTION("""COMPUTED_VALUE"""),64.77)</f>
        <v>64.77</v>
      </c>
      <c r="F1236" s="1">
        <f>IFERROR(__xludf.DUMMYFUNCTION("""COMPUTED_VALUE"""),179340.0)</f>
        <v>179340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IFERROR(__xludf.DUMMYFUNCTION("""COMPUTED_VALUE"""),64.85)</f>
        <v>64.85</v>
      </c>
      <c r="C1237" s="1">
        <f>IFERROR(__xludf.DUMMYFUNCTION("""COMPUTED_VALUE"""),65.61)</f>
        <v>65.61</v>
      </c>
      <c r="D1237" s="1">
        <f>IFERROR(__xludf.DUMMYFUNCTION("""COMPUTED_VALUE"""),64.59)</f>
        <v>64.59</v>
      </c>
      <c r="E1237" s="1">
        <f>IFERROR(__xludf.DUMMYFUNCTION("""COMPUTED_VALUE"""),64.75)</f>
        <v>64.75</v>
      </c>
      <c r="F1237" s="1">
        <f>IFERROR(__xludf.DUMMYFUNCTION("""COMPUTED_VALUE"""),111913.0)</f>
        <v>111913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IFERROR(__xludf.DUMMYFUNCTION("""COMPUTED_VALUE"""),64.78)</f>
        <v>64.78</v>
      </c>
      <c r="C1238" s="1">
        <f>IFERROR(__xludf.DUMMYFUNCTION("""COMPUTED_VALUE"""),65.2)</f>
        <v>65.2</v>
      </c>
      <c r="D1238" s="1">
        <f>IFERROR(__xludf.DUMMYFUNCTION("""COMPUTED_VALUE"""),64.01)</f>
        <v>64.01</v>
      </c>
      <c r="E1238" s="1">
        <f>IFERROR(__xludf.DUMMYFUNCTION("""COMPUTED_VALUE"""),64.18)</f>
        <v>64.18</v>
      </c>
      <c r="F1238" s="1">
        <f>IFERROR(__xludf.DUMMYFUNCTION("""COMPUTED_VALUE"""),366103.0)</f>
        <v>366103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IFERROR(__xludf.DUMMYFUNCTION("""COMPUTED_VALUE"""),64.18)</f>
        <v>64.18</v>
      </c>
      <c r="C1239" s="1">
        <f>IFERROR(__xludf.DUMMYFUNCTION("""COMPUTED_VALUE"""),65.07)</f>
        <v>65.07</v>
      </c>
      <c r="D1239" s="1">
        <f>IFERROR(__xludf.DUMMYFUNCTION("""COMPUTED_VALUE"""),64.02)</f>
        <v>64.02</v>
      </c>
      <c r="E1239" s="1">
        <f>IFERROR(__xludf.DUMMYFUNCTION("""COMPUTED_VALUE"""),64.58)</f>
        <v>64.58</v>
      </c>
      <c r="F1239" s="1">
        <f>IFERROR(__xludf.DUMMYFUNCTION("""COMPUTED_VALUE"""),142919.0)</f>
        <v>142919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IFERROR(__xludf.DUMMYFUNCTION("""COMPUTED_VALUE"""),64.8)</f>
        <v>64.8</v>
      </c>
      <c r="C1240" s="1">
        <f>IFERROR(__xludf.DUMMYFUNCTION("""COMPUTED_VALUE"""),64.97)</f>
        <v>64.97</v>
      </c>
      <c r="D1240" s="1">
        <f>IFERROR(__xludf.DUMMYFUNCTION("""COMPUTED_VALUE"""),64.17)</f>
        <v>64.17</v>
      </c>
      <c r="E1240" s="1">
        <f>IFERROR(__xludf.DUMMYFUNCTION("""COMPUTED_VALUE"""),64.43)</f>
        <v>64.43</v>
      </c>
      <c r="F1240" s="1">
        <f>IFERROR(__xludf.DUMMYFUNCTION("""COMPUTED_VALUE"""),187723.0)</f>
        <v>187723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IFERROR(__xludf.DUMMYFUNCTION("""COMPUTED_VALUE"""),64.43)</f>
        <v>64.43</v>
      </c>
      <c r="C1241" s="1">
        <f>IFERROR(__xludf.DUMMYFUNCTION("""COMPUTED_VALUE"""),64.83)</f>
        <v>64.83</v>
      </c>
      <c r="D1241" s="1">
        <f>IFERROR(__xludf.DUMMYFUNCTION("""COMPUTED_VALUE"""),63.79)</f>
        <v>63.79</v>
      </c>
      <c r="E1241" s="1">
        <f>IFERROR(__xludf.DUMMYFUNCTION("""COMPUTED_VALUE"""),63.98)</f>
        <v>63.98</v>
      </c>
      <c r="F1241" s="1">
        <f>IFERROR(__xludf.DUMMYFUNCTION("""COMPUTED_VALUE"""),262668.0)</f>
        <v>262668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IFERROR(__xludf.DUMMYFUNCTION("""COMPUTED_VALUE"""),63.99)</f>
        <v>63.99</v>
      </c>
      <c r="C1242" s="1">
        <f>IFERROR(__xludf.DUMMYFUNCTION("""COMPUTED_VALUE"""),64.43)</f>
        <v>64.43</v>
      </c>
      <c r="D1242" s="1">
        <f>IFERROR(__xludf.DUMMYFUNCTION("""COMPUTED_VALUE"""),63.46)</f>
        <v>63.46</v>
      </c>
      <c r="E1242" s="1">
        <f>IFERROR(__xludf.DUMMYFUNCTION("""COMPUTED_VALUE"""),63.91)</f>
        <v>63.91</v>
      </c>
      <c r="F1242" s="1">
        <f>IFERROR(__xludf.DUMMYFUNCTION("""COMPUTED_VALUE"""),184083.0)</f>
        <v>184083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IFERROR(__xludf.DUMMYFUNCTION("""COMPUTED_VALUE"""),63.83)</f>
        <v>63.83</v>
      </c>
      <c r="C1243" s="1">
        <f>IFERROR(__xludf.DUMMYFUNCTION("""COMPUTED_VALUE"""),64.61)</f>
        <v>64.61</v>
      </c>
      <c r="D1243" s="1">
        <f>IFERROR(__xludf.DUMMYFUNCTION("""COMPUTED_VALUE"""),63.53)</f>
        <v>63.53</v>
      </c>
      <c r="E1243" s="1">
        <f>IFERROR(__xludf.DUMMYFUNCTION("""COMPUTED_VALUE"""),63.81)</f>
        <v>63.81</v>
      </c>
      <c r="F1243" s="1">
        <f>IFERROR(__xludf.DUMMYFUNCTION("""COMPUTED_VALUE"""),350227.0)</f>
        <v>350227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IFERROR(__xludf.DUMMYFUNCTION("""COMPUTED_VALUE"""),63.13)</f>
        <v>63.13</v>
      </c>
      <c r="C1244" s="1">
        <f>IFERROR(__xludf.DUMMYFUNCTION("""COMPUTED_VALUE"""),64.45)</f>
        <v>64.45</v>
      </c>
      <c r="D1244" s="1">
        <f>IFERROR(__xludf.DUMMYFUNCTION("""COMPUTED_VALUE"""),62.81)</f>
        <v>62.81</v>
      </c>
      <c r="E1244" s="1">
        <f>IFERROR(__xludf.DUMMYFUNCTION("""COMPUTED_VALUE"""),64.0)</f>
        <v>64</v>
      </c>
      <c r="F1244" s="1">
        <f>IFERROR(__xludf.DUMMYFUNCTION("""COMPUTED_VALUE"""),290246.0)</f>
        <v>290246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IFERROR(__xludf.DUMMYFUNCTION("""COMPUTED_VALUE"""),64.12)</f>
        <v>64.12</v>
      </c>
      <c r="C1245" s="1">
        <f>IFERROR(__xludf.DUMMYFUNCTION("""COMPUTED_VALUE"""),64.36)</f>
        <v>64.36</v>
      </c>
      <c r="D1245" s="1">
        <f>IFERROR(__xludf.DUMMYFUNCTION("""COMPUTED_VALUE"""),62.01)</f>
        <v>62.01</v>
      </c>
      <c r="E1245" s="1">
        <f>IFERROR(__xludf.DUMMYFUNCTION("""COMPUTED_VALUE"""),62.25)</f>
        <v>62.25</v>
      </c>
      <c r="F1245" s="1">
        <f>IFERROR(__xludf.DUMMYFUNCTION("""COMPUTED_VALUE"""),336836.0)</f>
        <v>336836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IFERROR(__xludf.DUMMYFUNCTION("""COMPUTED_VALUE"""),62.71)</f>
        <v>62.71</v>
      </c>
      <c r="C1246" s="1">
        <f>IFERROR(__xludf.DUMMYFUNCTION("""COMPUTED_VALUE"""),63.24)</f>
        <v>63.24</v>
      </c>
      <c r="D1246" s="1">
        <f>IFERROR(__xludf.DUMMYFUNCTION("""COMPUTED_VALUE"""),62.23)</f>
        <v>62.23</v>
      </c>
      <c r="E1246" s="1">
        <f>IFERROR(__xludf.DUMMYFUNCTION("""COMPUTED_VALUE"""),62.98)</f>
        <v>62.98</v>
      </c>
      <c r="F1246" s="1">
        <f>IFERROR(__xludf.DUMMYFUNCTION("""COMPUTED_VALUE"""),327044.0)</f>
        <v>327044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IFERROR(__xludf.DUMMYFUNCTION("""COMPUTED_VALUE"""),62.85)</f>
        <v>62.85</v>
      </c>
      <c r="C1247" s="1">
        <f>IFERROR(__xludf.DUMMYFUNCTION("""COMPUTED_VALUE"""),63.16)</f>
        <v>63.16</v>
      </c>
      <c r="D1247" s="1">
        <f>IFERROR(__xludf.DUMMYFUNCTION("""COMPUTED_VALUE"""),62.38)</f>
        <v>62.38</v>
      </c>
      <c r="E1247" s="1">
        <f>IFERROR(__xludf.DUMMYFUNCTION("""COMPUTED_VALUE"""),62.66)</f>
        <v>62.66</v>
      </c>
      <c r="F1247" s="1">
        <f>IFERROR(__xludf.DUMMYFUNCTION("""COMPUTED_VALUE"""),339286.0)</f>
        <v>339286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IFERROR(__xludf.DUMMYFUNCTION("""COMPUTED_VALUE"""),62.88)</f>
        <v>62.88</v>
      </c>
      <c r="C1248" s="1">
        <f>IFERROR(__xludf.DUMMYFUNCTION("""COMPUTED_VALUE"""),63.4)</f>
        <v>63.4</v>
      </c>
      <c r="D1248" s="1">
        <f>IFERROR(__xludf.DUMMYFUNCTION("""COMPUTED_VALUE"""),62.17)</f>
        <v>62.17</v>
      </c>
      <c r="E1248" s="1">
        <f>IFERROR(__xludf.DUMMYFUNCTION("""COMPUTED_VALUE"""),62.26)</f>
        <v>62.26</v>
      </c>
      <c r="F1248" s="1">
        <f>IFERROR(__xludf.DUMMYFUNCTION("""COMPUTED_VALUE"""),274398.0)</f>
        <v>274398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IFERROR(__xludf.DUMMYFUNCTION("""COMPUTED_VALUE"""),62.21)</f>
        <v>62.21</v>
      </c>
      <c r="C1249" s="1">
        <f>IFERROR(__xludf.DUMMYFUNCTION("""COMPUTED_VALUE"""),63.31)</f>
        <v>63.31</v>
      </c>
      <c r="D1249" s="1">
        <f>IFERROR(__xludf.DUMMYFUNCTION("""COMPUTED_VALUE"""),61.75)</f>
        <v>61.75</v>
      </c>
      <c r="E1249" s="1">
        <f>IFERROR(__xludf.DUMMYFUNCTION("""COMPUTED_VALUE"""),61.77)</f>
        <v>61.77</v>
      </c>
      <c r="F1249" s="1">
        <f>IFERROR(__xludf.DUMMYFUNCTION("""COMPUTED_VALUE"""),335265.0)</f>
        <v>335265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IFERROR(__xludf.DUMMYFUNCTION("""COMPUTED_VALUE"""),61.84)</f>
        <v>61.84</v>
      </c>
      <c r="C1250" s="1">
        <f>IFERROR(__xludf.DUMMYFUNCTION("""COMPUTED_VALUE"""),62.91)</f>
        <v>62.91</v>
      </c>
      <c r="D1250" s="1">
        <f>IFERROR(__xludf.DUMMYFUNCTION("""COMPUTED_VALUE"""),61.49)</f>
        <v>61.49</v>
      </c>
      <c r="E1250" s="1">
        <f>IFERROR(__xludf.DUMMYFUNCTION("""COMPUTED_VALUE"""),62.88)</f>
        <v>62.88</v>
      </c>
      <c r="F1250" s="1">
        <f>IFERROR(__xludf.DUMMYFUNCTION("""COMPUTED_VALUE"""),203228.0)</f>
        <v>203228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IFERROR(__xludf.DUMMYFUNCTION("""COMPUTED_VALUE"""),63.77)</f>
        <v>63.77</v>
      </c>
      <c r="C1251" s="1">
        <f>IFERROR(__xludf.DUMMYFUNCTION("""COMPUTED_VALUE"""),64.07)</f>
        <v>64.07</v>
      </c>
      <c r="D1251" s="1">
        <f>IFERROR(__xludf.DUMMYFUNCTION("""COMPUTED_VALUE"""),62.7)</f>
        <v>62.7</v>
      </c>
      <c r="E1251" s="1">
        <f>IFERROR(__xludf.DUMMYFUNCTION("""COMPUTED_VALUE"""),63.61)</f>
        <v>63.61</v>
      </c>
      <c r="F1251" s="1">
        <f>IFERROR(__xludf.DUMMYFUNCTION("""COMPUTED_VALUE"""),317371.0)</f>
        <v>317371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IFERROR(__xludf.DUMMYFUNCTION("""COMPUTED_VALUE"""),63.57)</f>
        <v>63.57</v>
      </c>
      <c r="C1252" s="1">
        <f>IFERROR(__xludf.DUMMYFUNCTION("""COMPUTED_VALUE"""),64.37)</f>
        <v>64.37</v>
      </c>
      <c r="D1252" s="1">
        <f>IFERROR(__xludf.DUMMYFUNCTION("""COMPUTED_VALUE"""),63.04)</f>
        <v>63.04</v>
      </c>
      <c r="E1252" s="1">
        <f>IFERROR(__xludf.DUMMYFUNCTION("""COMPUTED_VALUE"""),63.96)</f>
        <v>63.96</v>
      </c>
      <c r="F1252" s="1">
        <f>IFERROR(__xludf.DUMMYFUNCTION("""COMPUTED_VALUE"""),308583.0)</f>
        <v>308583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IFERROR(__xludf.DUMMYFUNCTION("""COMPUTED_VALUE"""),63.86)</f>
        <v>63.86</v>
      </c>
      <c r="C1253" s="1">
        <f>IFERROR(__xludf.DUMMYFUNCTION("""COMPUTED_VALUE"""),64.39)</f>
        <v>64.39</v>
      </c>
      <c r="D1253" s="1">
        <f>IFERROR(__xludf.DUMMYFUNCTION("""COMPUTED_VALUE"""),63.53)</f>
        <v>63.53</v>
      </c>
      <c r="E1253" s="1">
        <f>IFERROR(__xludf.DUMMYFUNCTION("""COMPUTED_VALUE"""),63.91)</f>
        <v>63.91</v>
      </c>
      <c r="F1253" s="1">
        <f>IFERROR(__xludf.DUMMYFUNCTION("""COMPUTED_VALUE"""),172561.0)</f>
        <v>172561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IFERROR(__xludf.DUMMYFUNCTION("""COMPUTED_VALUE"""),64.34)</f>
        <v>64.34</v>
      </c>
      <c r="C1254" s="1">
        <f>IFERROR(__xludf.DUMMYFUNCTION("""COMPUTED_VALUE"""),64.89)</f>
        <v>64.89</v>
      </c>
      <c r="D1254" s="1">
        <f>IFERROR(__xludf.DUMMYFUNCTION("""COMPUTED_VALUE"""),62.36)</f>
        <v>62.36</v>
      </c>
      <c r="E1254" s="1">
        <f>IFERROR(__xludf.DUMMYFUNCTION("""COMPUTED_VALUE"""),63.26)</f>
        <v>63.26</v>
      </c>
      <c r="F1254" s="1">
        <f>IFERROR(__xludf.DUMMYFUNCTION("""COMPUTED_VALUE"""),182379.0)</f>
        <v>182379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IFERROR(__xludf.DUMMYFUNCTION("""COMPUTED_VALUE"""),63.21)</f>
        <v>63.21</v>
      </c>
      <c r="C1255" s="1">
        <f>IFERROR(__xludf.DUMMYFUNCTION("""COMPUTED_VALUE"""),64.18)</f>
        <v>64.18</v>
      </c>
      <c r="D1255" s="1">
        <f>IFERROR(__xludf.DUMMYFUNCTION("""COMPUTED_VALUE"""),63.03)</f>
        <v>63.03</v>
      </c>
      <c r="E1255" s="1">
        <f>IFERROR(__xludf.DUMMYFUNCTION("""COMPUTED_VALUE"""),63.59)</f>
        <v>63.59</v>
      </c>
      <c r="F1255" s="1">
        <f>IFERROR(__xludf.DUMMYFUNCTION("""COMPUTED_VALUE"""),41252.0)</f>
        <v>41252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IFERROR(__xludf.DUMMYFUNCTION("""COMPUTED_VALUE"""),63.89)</f>
        <v>63.89</v>
      </c>
      <c r="C1256" s="1">
        <f>IFERROR(__xludf.DUMMYFUNCTION("""COMPUTED_VALUE"""),64.95)</f>
        <v>64.95</v>
      </c>
      <c r="D1256" s="1">
        <f>IFERROR(__xludf.DUMMYFUNCTION("""COMPUTED_VALUE"""),63.78)</f>
        <v>63.78</v>
      </c>
      <c r="E1256" s="1">
        <f>IFERROR(__xludf.DUMMYFUNCTION("""COMPUTED_VALUE"""),64.29)</f>
        <v>64.29</v>
      </c>
      <c r="F1256" s="1">
        <f>IFERROR(__xludf.DUMMYFUNCTION("""COMPUTED_VALUE"""),92064.0)</f>
        <v>92064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IFERROR(__xludf.DUMMYFUNCTION("""COMPUTED_VALUE"""),64.12)</f>
        <v>64.12</v>
      </c>
      <c r="C1257" s="1">
        <f>IFERROR(__xludf.DUMMYFUNCTION("""COMPUTED_VALUE"""),64.65)</f>
        <v>64.65</v>
      </c>
      <c r="D1257" s="1">
        <f>IFERROR(__xludf.DUMMYFUNCTION("""COMPUTED_VALUE"""),63.47)</f>
        <v>63.47</v>
      </c>
      <c r="E1257" s="1">
        <f>IFERROR(__xludf.DUMMYFUNCTION("""COMPUTED_VALUE"""),64.44)</f>
        <v>64.44</v>
      </c>
      <c r="F1257" s="1">
        <f>IFERROR(__xludf.DUMMYFUNCTION("""COMPUTED_VALUE"""),149315.0)</f>
        <v>149315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IFERROR(__xludf.DUMMYFUNCTION("""COMPUTED_VALUE"""),64.3)</f>
        <v>64.3</v>
      </c>
      <c r="C1258" s="1">
        <f>IFERROR(__xludf.DUMMYFUNCTION("""COMPUTED_VALUE"""),64.54)</f>
        <v>64.54</v>
      </c>
      <c r="D1258" s="1">
        <f>IFERROR(__xludf.DUMMYFUNCTION("""COMPUTED_VALUE"""),63.69)</f>
        <v>63.69</v>
      </c>
      <c r="E1258" s="1">
        <f>IFERROR(__xludf.DUMMYFUNCTION("""COMPUTED_VALUE"""),64.14)</f>
        <v>64.14</v>
      </c>
      <c r="F1258" s="1">
        <f>IFERROR(__xludf.DUMMYFUNCTION("""COMPUTED_VALUE"""),142781.0)</f>
        <v>142781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IFERROR(__xludf.DUMMYFUNCTION("""COMPUTED_VALUE"""),64.28)</f>
        <v>64.28</v>
      </c>
      <c r="C1259" s="1">
        <f>IFERROR(__xludf.DUMMYFUNCTION("""COMPUTED_VALUE"""),65.09)</f>
        <v>65.09</v>
      </c>
      <c r="D1259" s="1">
        <f>IFERROR(__xludf.DUMMYFUNCTION("""COMPUTED_VALUE"""),63.59)</f>
        <v>63.59</v>
      </c>
      <c r="E1259" s="1">
        <f>IFERROR(__xludf.DUMMYFUNCTION("""COMPUTED_VALUE"""),63.64)</f>
        <v>63.64</v>
      </c>
      <c r="F1259" s="1">
        <f>IFERROR(__xludf.DUMMYFUNCTION("""COMPUTED_VALUE"""),193789.0)</f>
        <v>193789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IFERROR(__xludf.DUMMYFUNCTION("""COMPUTED_VALUE"""),63.86)</f>
        <v>63.86</v>
      </c>
      <c r="C1260" s="1">
        <f>IFERROR(__xludf.DUMMYFUNCTION("""COMPUTED_VALUE"""),64.68)</f>
        <v>64.68</v>
      </c>
      <c r="D1260" s="1">
        <f>IFERROR(__xludf.DUMMYFUNCTION("""COMPUTED_VALUE"""),63.42)</f>
        <v>63.42</v>
      </c>
      <c r="E1260" s="1">
        <f>IFERROR(__xludf.DUMMYFUNCTION("""COMPUTED_VALUE"""),63.88)</f>
        <v>63.88</v>
      </c>
      <c r="F1260" s="1">
        <f>IFERROR(__xludf.DUMMYFUNCTION("""COMPUTED_VALUE"""),201631.0)</f>
        <v>201631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IFERROR(__xludf.DUMMYFUNCTION("""COMPUTED_VALUE"""),63.55)</f>
        <v>63.55</v>
      </c>
      <c r="C1261" s="1">
        <f>IFERROR(__xludf.DUMMYFUNCTION("""COMPUTED_VALUE"""),64.8)</f>
        <v>64.8</v>
      </c>
      <c r="D1261" s="1">
        <f>IFERROR(__xludf.DUMMYFUNCTION("""COMPUTED_VALUE"""),63.22)</f>
        <v>63.22</v>
      </c>
      <c r="E1261" s="1">
        <f>IFERROR(__xludf.DUMMYFUNCTION("""COMPUTED_VALUE"""),64.38)</f>
        <v>64.38</v>
      </c>
      <c r="F1261" s="1">
        <f>IFERROR(__xludf.DUMMYFUNCTION("""COMPUTED_VALUE"""),373620.0)</f>
        <v>373620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IFERROR(__xludf.DUMMYFUNCTION("""COMPUTED_VALUE"""),64.48)</f>
        <v>64.48</v>
      </c>
      <c r="C1262" s="1">
        <f>IFERROR(__xludf.DUMMYFUNCTION("""COMPUTED_VALUE"""),64.99)</f>
        <v>64.99</v>
      </c>
      <c r="D1262" s="1">
        <f>IFERROR(__xludf.DUMMYFUNCTION("""COMPUTED_VALUE"""),63.49)</f>
        <v>63.49</v>
      </c>
      <c r="E1262" s="1">
        <f>IFERROR(__xludf.DUMMYFUNCTION("""COMPUTED_VALUE"""),64.65)</f>
        <v>64.65</v>
      </c>
      <c r="F1262" s="1">
        <f>IFERROR(__xludf.DUMMYFUNCTION("""COMPUTED_VALUE"""),556873.0)</f>
        <v>556873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IFERROR(__xludf.DUMMYFUNCTION("""COMPUTED_VALUE"""),65.0)</f>
        <v>65</v>
      </c>
      <c r="C1263" s="1">
        <f>IFERROR(__xludf.DUMMYFUNCTION("""COMPUTED_VALUE"""),66.25)</f>
        <v>66.25</v>
      </c>
      <c r="D1263" s="1">
        <f>IFERROR(__xludf.DUMMYFUNCTION("""COMPUTED_VALUE"""),64.56)</f>
        <v>64.56</v>
      </c>
      <c r="E1263" s="1">
        <f>IFERROR(__xludf.DUMMYFUNCTION("""COMPUTED_VALUE"""),66.2)</f>
        <v>66.2</v>
      </c>
      <c r="F1263" s="1">
        <f>IFERROR(__xludf.DUMMYFUNCTION("""COMPUTED_VALUE"""),547810.0)</f>
        <v>547810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IFERROR(__xludf.DUMMYFUNCTION("""COMPUTED_VALUE"""),66.32)</f>
        <v>66.32</v>
      </c>
      <c r="C1264" s="1">
        <f>IFERROR(__xludf.DUMMYFUNCTION("""COMPUTED_VALUE"""),67.22)</f>
        <v>67.22</v>
      </c>
      <c r="D1264" s="1">
        <f>IFERROR(__xludf.DUMMYFUNCTION("""COMPUTED_VALUE"""),66.32)</f>
        <v>66.32</v>
      </c>
      <c r="E1264" s="1">
        <f>IFERROR(__xludf.DUMMYFUNCTION("""COMPUTED_VALUE"""),66.56)</f>
        <v>66.56</v>
      </c>
      <c r="F1264" s="1">
        <f>IFERROR(__xludf.DUMMYFUNCTION("""COMPUTED_VALUE"""),640598.0)</f>
        <v>640598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IFERROR(__xludf.DUMMYFUNCTION("""COMPUTED_VALUE"""),66.7)</f>
        <v>66.7</v>
      </c>
      <c r="C1265" s="1">
        <f>IFERROR(__xludf.DUMMYFUNCTION("""COMPUTED_VALUE"""),67.19)</f>
        <v>67.19</v>
      </c>
      <c r="D1265" s="1">
        <f>IFERROR(__xludf.DUMMYFUNCTION("""COMPUTED_VALUE"""),66.06)</f>
        <v>66.06</v>
      </c>
      <c r="E1265" s="1">
        <f>IFERROR(__xludf.DUMMYFUNCTION("""COMPUTED_VALUE"""),66.73)</f>
        <v>66.73</v>
      </c>
      <c r="F1265" s="1">
        <f>IFERROR(__xludf.DUMMYFUNCTION("""COMPUTED_VALUE"""),519143.0)</f>
        <v>519143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IFERROR(__xludf.DUMMYFUNCTION("""COMPUTED_VALUE"""),68.07)</f>
        <v>68.07</v>
      </c>
      <c r="C1266" s="1">
        <f>IFERROR(__xludf.DUMMYFUNCTION("""COMPUTED_VALUE"""),68.07)</f>
        <v>68.07</v>
      </c>
      <c r="D1266" s="1">
        <f>IFERROR(__xludf.DUMMYFUNCTION("""COMPUTED_VALUE"""),67.0)</f>
        <v>67</v>
      </c>
      <c r="E1266" s="1">
        <f>IFERROR(__xludf.DUMMYFUNCTION("""COMPUTED_VALUE"""),67.39)</f>
        <v>67.39</v>
      </c>
      <c r="F1266" s="1">
        <f>IFERROR(__xludf.DUMMYFUNCTION("""COMPUTED_VALUE"""),465844.0)</f>
        <v>465844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IFERROR(__xludf.DUMMYFUNCTION("""COMPUTED_VALUE"""),68.01)</f>
        <v>68.01</v>
      </c>
      <c r="C1267" s="1">
        <f>IFERROR(__xludf.DUMMYFUNCTION("""COMPUTED_VALUE"""),69.14)</f>
        <v>69.14</v>
      </c>
      <c r="D1267" s="1">
        <f>IFERROR(__xludf.DUMMYFUNCTION("""COMPUTED_VALUE"""),68.01)</f>
        <v>68.01</v>
      </c>
      <c r="E1267" s="1">
        <f>IFERROR(__xludf.DUMMYFUNCTION("""COMPUTED_VALUE"""),68.89)</f>
        <v>68.89</v>
      </c>
      <c r="F1267" s="1">
        <f>IFERROR(__xludf.DUMMYFUNCTION("""COMPUTED_VALUE"""),515326.0)</f>
        <v>515326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IFERROR(__xludf.DUMMYFUNCTION("""COMPUTED_VALUE"""),68.45)</f>
        <v>68.45</v>
      </c>
      <c r="C1268" s="1">
        <f>IFERROR(__xludf.DUMMYFUNCTION("""COMPUTED_VALUE"""),69.06)</f>
        <v>69.06</v>
      </c>
      <c r="D1268" s="1">
        <f>IFERROR(__xludf.DUMMYFUNCTION("""COMPUTED_VALUE"""),67.99)</f>
        <v>67.99</v>
      </c>
      <c r="E1268" s="1">
        <f>IFERROR(__xludf.DUMMYFUNCTION("""COMPUTED_VALUE"""),68.76)</f>
        <v>68.76</v>
      </c>
      <c r="F1268" s="1">
        <f>IFERROR(__xludf.DUMMYFUNCTION("""COMPUTED_VALUE"""),517983.0)</f>
        <v>517983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IFERROR(__xludf.DUMMYFUNCTION("""COMPUTED_VALUE"""),68.84)</f>
        <v>68.84</v>
      </c>
      <c r="C1269" s="1">
        <f>IFERROR(__xludf.DUMMYFUNCTION("""COMPUTED_VALUE"""),69.17)</f>
        <v>69.17</v>
      </c>
      <c r="D1269" s="1">
        <f>IFERROR(__xludf.DUMMYFUNCTION("""COMPUTED_VALUE"""),67.48)</f>
        <v>67.48</v>
      </c>
      <c r="E1269" s="1">
        <f>IFERROR(__xludf.DUMMYFUNCTION("""COMPUTED_VALUE"""),67.8)</f>
        <v>67.8</v>
      </c>
      <c r="F1269" s="1">
        <f>IFERROR(__xludf.DUMMYFUNCTION("""COMPUTED_VALUE"""),320027.0)</f>
        <v>320027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IFERROR(__xludf.DUMMYFUNCTION("""COMPUTED_VALUE"""),67.98)</f>
        <v>67.98</v>
      </c>
      <c r="C1270" s="1">
        <f>IFERROR(__xludf.DUMMYFUNCTION("""COMPUTED_VALUE"""),69.0)</f>
        <v>69</v>
      </c>
      <c r="D1270" s="1">
        <f>IFERROR(__xludf.DUMMYFUNCTION("""COMPUTED_VALUE"""),67.91)</f>
        <v>67.91</v>
      </c>
      <c r="E1270" s="1">
        <f>IFERROR(__xludf.DUMMYFUNCTION("""COMPUTED_VALUE"""),68.21)</f>
        <v>68.21</v>
      </c>
      <c r="F1270" s="1">
        <f>IFERROR(__xludf.DUMMYFUNCTION("""COMPUTED_VALUE"""),520443.0)</f>
        <v>520443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IFERROR(__xludf.DUMMYFUNCTION("""COMPUTED_VALUE"""),68.65)</f>
        <v>68.65</v>
      </c>
      <c r="C1271" s="1">
        <f>IFERROR(__xludf.DUMMYFUNCTION("""COMPUTED_VALUE"""),68.98)</f>
        <v>68.98</v>
      </c>
      <c r="D1271" s="1">
        <f>IFERROR(__xludf.DUMMYFUNCTION("""COMPUTED_VALUE"""),67.25)</f>
        <v>67.25</v>
      </c>
      <c r="E1271" s="1">
        <f>IFERROR(__xludf.DUMMYFUNCTION("""COMPUTED_VALUE"""),68.16)</f>
        <v>68.16</v>
      </c>
      <c r="F1271" s="1">
        <f>IFERROR(__xludf.DUMMYFUNCTION("""COMPUTED_VALUE"""),275493.0)</f>
        <v>275493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IFERROR(__xludf.DUMMYFUNCTION("""COMPUTED_VALUE"""),67.93)</f>
        <v>67.93</v>
      </c>
      <c r="C1272" s="1">
        <f>IFERROR(__xludf.DUMMYFUNCTION("""COMPUTED_VALUE"""),68.55)</f>
        <v>68.55</v>
      </c>
      <c r="D1272" s="1">
        <f>IFERROR(__xludf.DUMMYFUNCTION("""COMPUTED_VALUE"""),67.3)</f>
        <v>67.3</v>
      </c>
      <c r="E1272" s="1">
        <f>IFERROR(__xludf.DUMMYFUNCTION("""COMPUTED_VALUE"""),67.47)</f>
        <v>67.47</v>
      </c>
      <c r="F1272" s="1">
        <f>IFERROR(__xludf.DUMMYFUNCTION("""COMPUTED_VALUE"""),297434.0)</f>
        <v>297434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IFERROR(__xludf.DUMMYFUNCTION("""COMPUTED_VALUE"""),68.31)</f>
        <v>68.31</v>
      </c>
      <c r="C1273" s="1">
        <f>IFERROR(__xludf.DUMMYFUNCTION("""COMPUTED_VALUE"""),68.62)</f>
        <v>68.62</v>
      </c>
      <c r="D1273" s="1">
        <f>IFERROR(__xludf.DUMMYFUNCTION("""COMPUTED_VALUE"""),67.22)</f>
        <v>67.22</v>
      </c>
      <c r="E1273" s="1">
        <f>IFERROR(__xludf.DUMMYFUNCTION("""COMPUTED_VALUE"""),68.36)</f>
        <v>68.36</v>
      </c>
      <c r="F1273" s="1">
        <f>IFERROR(__xludf.DUMMYFUNCTION("""COMPUTED_VALUE"""),528634.0)</f>
        <v>528634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IFERROR(__xludf.DUMMYFUNCTION("""COMPUTED_VALUE"""),68.98)</f>
        <v>68.98</v>
      </c>
      <c r="C1274" s="1">
        <f>IFERROR(__xludf.DUMMYFUNCTION("""COMPUTED_VALUE"""),69.62)</f>
        <v>69.62</v>
      </c>
      <c r="D1274" s="1">
        <f>IFERROR(__xludf.DUMMYFUNCTION("""COMPUTED_VALUE"""),68.72)</f>
        <v>68.72</v>
      </c>
      <c r="E1274" s="1">
        <f>IFERROR(__xludf.DUMMYFUNCTION("""COMPUTED_VALUE"""),68.79)</f>
        <v>68.79</v>
      </c>
      <c r="F1274" s="1">
        <f>IFERROR(__xludf.DUMMYFUNCTION("""COMPUTED_VALUE"""),574980.0)</f>
        <v>574980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IFERROR(__xludf.DUMMYFUNCTION("""COMPUTED_VALUE"""),68.65)</f>
        <v>68.65</v>
      </c>
      <c r="C1275" s="1">
        <f>IFERROR(__xludf.DUMMYFUNCTION("""COMPUTED_VALUE"""),70.73)</f>
        <v>70.73</v>
      </c>
      <c r="D1275" s="1">
        <f>IFERROR(__xludf.DUMMYFUNCTION("""COMPUTED_VALUE"""),68.44)</f>
        <v>68.44</v>
      </c>
      <c r="E1275" s="1">
        <f>IFERROR(__xludf.DUMMYFUNCTION("""COMPUTED_VALUE"""),70.59)</f>
        <v>70.59</v>
      </c>
      <c r="F1275" s="1">
        <f>IFERROR(__xludf.DUMMYFUNCTION("""COMPUTED_VALUE"""),369649.0)</f>
        <v>369649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IFERROR(__xludf.DUMMYFUNCTION("""COMPUTED_VALUE"""),69.99)</f>
        <v>69.99</v>
      </c>
      <c r="C1276" s="1">
        <f>IFERROR(__xludf.DUMMYFUNCTION("""COMPUTED_VALUE"""),70.63)</f>
        <v>70.63</v>
      </c>
      <c r="D1276" s="1">
        <f>IFERROR(__xludf.DUMMYFUNCTION("""COMPUTED_VALUE"""),69.74)</f>
        <v>69.74</v>
      </c>
      <c r="E1276" s="1">
        <f>IFERROR(__xludf.DUMMYFUNCTION("""COMPUTED_VALUE"""),70.17)</f>
        <v>70.17</v>
      </c>
      <c r="F1276" s="1">
        <f>IFERROR(__xludf.DUMMYFUNCTION("""COMPUTED_VALUE"""),310647.0)</f>
        <v>310647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IFERROR(__xludf.DUMMYFUNCTION("""COMPUTED_VALUE"""),70.23)</f>
        <v>70.23</v>
      </c>
      <c r="C1277" s="1">
        <f>IFERROR(__xludf.DUMMYFUNCTION("""COMPUTED_VALUE"""),70.55)</f>
        <v>70.55</v>
      </c>
      <c r="D1277" s="1">
        <f>IFERROR(__xludf.DUMMYFUNCTION("""COMPUTED_VALUE"""),69.38)</f>
        <v>69.38</v>
      </c>
      <c r="E1277" s="1">
        <f>IFERROR(__xludf.DUMMYFUNCTION("""COMPUTED_VALUE"""),69.69)</f>
        <v>69.69</v>
      </c>
      <c r="F1277" s="1">
        <f>IFERROR(__xludf.DUMMYFUNCTION("""COMPUTED_VALUE"""),313016.0)</f>
        <v>313016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IFERROR(__xludf.DUMMYFUNCTION("""COMPUTED_VALUE"""),69.89)</f>
        <v>69.89</v>
      </c>
      <c r="C1278" s="1">
        <f>IFERROR(__xludf.DUMMYFUNCTION("""COMPUTED_VALUE"""),70.17)</f>
        <v>70.17</v>
      </c>
      <c r="D1278" s="1">
        <f>IFERROR(__xludf.DUMMYFUNCTION("""COMPUTED_VALUE"""),68.38)</f>
        <v>68.38</v>
      </c>
      <c r="E1278" s="1">
        <f>IFERROR(__xludf.DUMMYFUNCTION("""COMPUTED_VALUE"""),69.76)</f>
        <v>69.76</v>
      </c>
      <c r="F1278" s="1">
        <f>IFERROR(__xludf.DUMMYFUNCTION("""COMPUTED_VALUE"""),323685.0)</f>
        <v>323685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IFERROR(__xludf.DUMMYFUNCTION("""COMPUTED_VALUE"""),69.59)</f>
        <v>69.59</v>
      </c>
      <c r="C1279" s="1">
        <f>IFERROR(__xludf.DUMMYFUNCTION("""COMPUTED_VALUE"""),70.47)</f>
        <v>70.47</v>
      </c>
      <c r="D1279" s="1">
        <f>IFERROR(__xludf.DUMMYFUNCTION("""COMPUTED_VALUE"""),69.0)</f>
        <v>69</v>
      </c>
      <c r="E1279" s="1">
        <f>IFERROR(__xludf.DUMMYFUNCTION("""COMPUTED_VALUE"""),69.35)</f>
        <v>69.35</v>
      </c>
      <c r="F1279" s="1">
        <f>IFERROR(__xludf.DUMMYFUNCTION("""COMPUTED_VALUE"""),233170.0)</f>
        <v>233170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IFERROR(__xludf.DUMMYFUNCTION("""COMPUTED_VALUE"""),69.5)</f>
        <v>69.5</v>
      </c>
      <c r="C1280" s="1">
        <f>IFERROR(__xludf.DUMMYFUNCTION("""COMPUTED_VALUE"""),69.58)</f>
        <v>69.58</v>
      </c>
      <c r="D1280" s="1">
        <f>IFERROR(__xludf.DUMMYFUNCTION("""COMPUTED_VALUE"""),68.09)</f>
        <v>68.09</v>
      </c>
      <c r="E1280" s="1">
        <f>IFERROR(__xludf.DUMMYFUNCTION("""COMPUTED_VALUE"""),68.89)</f>
        <v>68.89</v>
      </c>
      <c r="F1280" s="1">
        <f>IFERROR(__xludf.DUMMYFUNCTION("""COMPUTED_VALUE"""),421647.0)</f>
        <v>421647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IFERROR(__xludf.DUMMYFUNCTION("""COMPUTED_VALUE"""),69.02)</f>
        <v>69.02</v>
      </c>
      <c r="C1281" s="1">
        <f>IFERROR(__xludf.DUMMYFUNCTION("""COMPUTED_VALUE"""),69.83)</f>
        <v>69.83</v>
      </c>
      <c r="D1281" s="1">
        <f>IFERROR(__xludf.DUMMYFUNCTION("""COMPUTED_VALUE"""),68.43)</f>
        <v>68.43</v>
      </c>
      <c r="E1281" s="1">
        <f>IFERROR(__xludf.DUMMYFUNCTION("""COMPUTED_VALUE"""),69.78)</f>
        <v>69.78</v>
      </c>
      <c r="F1281" s="1">
        <f>IFERROR(__xludf.DUMMYFUNCTION("""COMPUTED_VALUE"""),382533.0)</f>
        <v>382533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IFERROR(__xludf.DUMMYFUNCTION("""COMPUTED_VALUE"""),69.28)</f>
        <v>69.28</v>
      </c>
      <c r="C1282" s="1">
        <f>IFERROR(__xludf.DUMMYFUNCTION("""COMPUTED_VALUE"""),69.74)</f>
        <v>69.74</v>
      </c>
      <c r="D1282" s="1">
        <f>IFERROR(__xludf.DUMMYFUNCTION("""COMPUTED_VALUE"""),68.43)</f>
        <v>68.43</v>
      </c>
      <c r="E1282" s="1">
        <f>IFERROR(__xludf.DUMMYFUNCTION("""COMPUTED_VALUE"""),69.07)</f>
        <v>69.07</v>
      </c>
      <c r="F1282" s="1">
        <f>IFERROR(__xludf.DUMMYFUNCTION("""COMPUTED_VALUE"""),395439.0)</f>
        <v>395439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IFERROR(__xludf.DUMMYFUNCTION("""COMPUTED_VALUE"""),69.44)</f>
        <v>69.44</v>
      </c>
      <c r="C1283" s="1">
        <f>IFERROR(__xludf.DUMMYFUNCTION("""COMPUTED_VALUE"""),70.4)</f>
        <v>70.4</v>
      </c>
      <c r="D1283" s="1">
        <f>IFERROR(__xludf.DUMMYFUNCTION("""COMPUTED_VALUE"""),68.97)</f>
        <v>68.97</v>
      </c>
      <c r="E1283" s="1">
        <f>IFERROR(__xludf.DUMMYFUNCTION("""COMPUTED_VALUE"""),70.31)</f>
        <v>70.31</v>
      </c>
      <c r="F1283" s="1">
        <f>IFERROR(__xludf.DUMMYFUNCTION("""COMPUTED_VALUE"""),251593.0)</f>
        <v>251593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IFERROR(__xludf.DUMMYFUNCTION("""COMPUTED_VALUE"""),70.12)</f>
        <v>70.12</v>
      </c>
      <c r="C1284" s="1">
        <f>IFERROR(__xludf.DUMMYFUNCTION("""COMPUTED_VALUE"""),70.5)</f>
        <v>70.5</v>
      </c>
      <c r="D1284" s="1">
        <f>IFERROR(__xludf.DUMMYFUNCTION("""COMPUTED_VALUE"""),69.04)</f>
        <v>69.04</v>
      </c>
      <c r="E1284" s="1">
        <f>IFERROR(__xludf.DUMMYFUNCTION("""COMPUTED_VALUE"""),69.55)</f>
        <v>69.55</v>
      </c>
      <c r="F1284" s="1">
        <f>IFERROR(__xludf.DUMMYFUNCTION("""COMPUTED_VALUE"""),278261.0)</f>
        <v>278261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IFERROR(__xludf.DUMMYFUNCTION("""COMPUTED_VALUE"""),69.53)</f>
        <v>69.53</v>
      </c>
      <c r="C1285" s="1">
        <f>IFERROR(__xludf.DUMMYFUNCTION("""COMPUTED_VALUE"""),69.77)</f>
        <v>69.77</v>
      </c>
      <c r="D1285" s="1">
        <f>IFERROR(__xludf.DUMMYFUNCTION("""COMPUTED_VALUE"""),68.75)</f>
        <v>68.75</v>
      </c>
      <c r="E1285" s="1">
        <f>IFERROR(__xludf.DUMMYFUNCTION("""COMPUTED_VALUE"""),68.8)</f>
        <v>68.8</v>
      </c>
      <c r="F1285" s="1">
        <f>IFERROR(__xludf.DUMMYFUNCTION("""COMPUTED_VALUE"""),299696.0)</f>
        <v>299696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IFERROR(__xludf.DUMMYFUNCTION("""COMPUTED_VALUE"""),68.18)</f>
        <v>68.18</v>
      </c>
      <c r="C1286" s="1">
        <f>IFERROR(__xludf.DUMMYFUNCTION("""COMPUTED_VALUE"""),69.98)</f>
        <v>69.98</v>
      </c>
      <c r="D1286" s="1">
        <f>IFERROR(__xludf.DUMMYFUNCTION("""COMPUTED_VALUE"""),68.18)</f>
        <v>68.18</v>
      </c>
      <c r="E1286" s="1">
        <f>IFERROR(__xludf.DUMMYFUNCTION("""COMPUTED_VALUE"""),69.7)</f>
        <v>69.7</v>
      </c>
      <c r="F1286" s="1">
        <f>IFERROR(__xludf.DUMMYFUNCTION("""COMPUTED_VALUE"""),535462.0)</f>
        <v>535462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IFERROR(__xludf.DUMMYFUNCTION("""COMPUTED_VALUE"""),72.25)</f>
        <v>72.25</v>
      </c>
      <c r="C1287" s="1">
        <f>IFERROR(__xludf.DUMMYFUNCTION("""COMPUTED_VALUE"""),73.48)</f>
        <v>73.48</v>
      </c>
      <c r="D1287" s="1">
        <f>IFERROR(__xludf.DUMMYFUNCTION("""COMPUTED_VALUE"""),70.5)</f>
        <v>70.5</v>
      </c>
      <c r="E1287" s="1">
        <f>IFERROR(__xludf.DUMMYFUNCTION("""COMPUTED_VALUE"""),73.14)</f>
        <v>73.14</v>
      </c>
      <c r="F1287" s="1">
        <f>IFERROR(__xludf.DUMMYFUNCTION("""COMPUTED_VALUE"""),1237715.0)</f>
        <v>1237715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IFERROR(__xludf.DUMMYFUNCTION("""COMPUTED_VALUE"""),73.98)</f>
        <v>73.98</v>
      </c>
      <c r="C1288" s="1">
        <f>IFERROR(__xludf.DUMMYFUNCTION("""COMPUTED_VALUE"""),74.48)</f>
        <v>74.48</v>
      </c>
      <c r="D1288" s="1">
        <f>IFERROR(__xludf.DUMMYFUNCTION("""COMPUTED_VALUE"""),73.4)</f>
        <v>73.4</v>
      </c>
      <c r="E1288" s="1">
        <f>IFERROR(__xludf.DUMMYFUNCTION("""COMPUTED_VALUE"""),73.94)</f>
        <v>73.94</v>
      </c>
      <c r="F1288" s="1">
        <f>IFERROR(__xludf.DUMMYFUNCTION("""COMPUTED_VALUE"""),865457.0)</f>
        <v>865457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IFERROR(__xludf.DUMMYFUNCTION("""COMPUTED_VALUE"""),74.0)</f>
        <v>74</v>
      </c>
      <c r="C1289" s="1">
        <f>IFERROR(__xludf.DUMMYFUNCTION("""COMPUTED_VALUE"""),74.38)</f>
        <v>74.38</v>
      </c>
      <c r="D1289" s="1">
        <f>IFERROR(__xludf.DUMMYFUNCTION("""COMPUTED_VALUE"""),73.41)</f>
        <v>73.41</v>
      </c>
      <c r="E1289" s="1">
        <f>IFERROR(__xludf.DUMMYFUNCTION("""COMPUTED_VALUE"""),73.61)</f>
        <v>73.61</v>
      </c>
      <c r="F1289" s="1">
        <f>IFERROR(__xludf.DUMMYFUNCTION("""COMPUTED_VALUE"""),531813.0)</f>
        <v>531813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IFERROR(__xludf.DUMMYFUNCTION("""COMPUTED_VALUE"""),73.59)</f>
        <v>73.59</v>
      </c>
      <c r="C1290" s="1">
        <f>IFERROR(__xludf.DUMMYFUNCTION("""COMPUTED_VALUE"""),73.89)</f>
        <v>73.89</v>
      </c>
      <c r="D1290" s="1">
        <f>IFERROR(__xludf.DUMMYFUNCTION("""COMPUTED_VALUE"""),72.83)</f>
        <v>72.83</v>
      </c>
      <c r="E1290" s="1">
        <f>IFERROR(__xludf.DUMMYFUNCTION("""COMPUTED_VALUE"""),73.75)</f>
        <v>73.75</v>
      </c>
      <c r="F1290" s="1">
        <f>IFERROR(__xludf.DUMMYFUNCTION("""COMPUTED_VALUE"""),526093.0)</f>
        <v>526093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IFERROR(__xludf.DUMMYFUNCTION("""COMPUTED_VALUE"""),73.98)</f>
        <v>73.98</v>
      </c>
      <c r="C1291" s="1">
        <f>IFERROR(__xludf.DUMMYFUNCTION("""COMPUTED_VALUE"""),74.63)</f>
        <v>74.63</v>
      </c>
      <c r="D1291" s="1">
        <f>IFERROR(__xludf.DUMMYFUNCTION("""COMPUTED_VALUE"""),73.18)</f>
        <v>73.18</v>
      </c>
      <c r="E1291" s="1">
        <f>IFERROR(__xludf.DUMMYFUNCTION("""COMPUTED_VALUE"""),74.6)</f>
        <v>74.6</v>
      </c>
      <c r="F1291" s="1">
        <f>IFERROR(__xludf.DUMMYFUNCTION("""COMPUTED_VALUE"""),752769.0)</f>
        <v>752769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IFERROR(__xludf.DUMMYFUNCTION("""COMPUTED_VALUE"""),74.62)</f>
        <v>74.62</v>
      </c>
      <c r="C1292" s="1">
        <f>IFERROR(__xludf.DUMMYFUNCTION("""COMPUTED_VALUE"""),75.0)</f>
        <v>75</v>
      </c>
      <c r="D1292" s="1">
        <f>IFERROR(__xludf.DUMMYFUNCTION("""COMPUTED_VALUE"""),73.94)</f>
        <v>73.94</v>
      </c>
      <c r="E1292" s="1">
        <f>IFERROR(__xludf.DUMMYFUNCTION("""COMPUTED_VALUE"""),74.85)</f>
        <v>74.85</v>
      </c>
      <c r="F1292" s="1">
        <f>IFERROR(__xludf.DUMMYFUNCTION("""COMPUTED_VALUE"""),541568.0)</f>
        <v>541568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IFERROR(__xludf.DUMMYFUNCTION("""COMPUTED_VALUE"""),74.88)</f>
        <v>74.88</v>
      </c>
      <c r="C1293" s="1">
        <f>IFERROR(__xludf.DUMMYFUNCTION("""COMPUTED_VALUE"""),76.36)</f>
        <v>76.36</v>
      </c>
      <c r="D1293" s="1">
        <f>IFERROR(__xludf.DUMMYFUNCTION("""COMPUTED_VALUE"""),74.55)</f>
        <v>74.55</v>
      </c>
      <c r="E1293" s="1">
        <f>IFERROR(__xludf.DUMMYFUNCTION("""COMPUTED_VALUE"""),76.18)</f>
        <v>76.18</v>
      </c>
      <c r="F1293" s="1">
        <f>IFERROR(__xludf.DUMMYFUNCTION("""COMPUTED_VALUE"""),717708.0)</f>
        <v>717708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IFERROR(__xludf.DUMMYFUNCTION("""COMPUTED_VALUE"""),76.1)</f>
        <v>76.1</v>
      </c>
      <c r="C1294" s="1">
        <f>IFERROR(__xludf.DUMMYFUNCTION("""COMPUTED_VALUE"""),77.1)</f>
        <v>77.1</v>
      </c>
      <c r="D1294" s="1">
        <f>IFERROR(__xludf.DUMMYFUNCTION("""COMPUTED_VALUE"""),75.81)</f>
        <v>75.81</v>
      </c>
      <c r="E1294" s="1">
        <f>IFERROR(__xludf.DUMMYFUNCTION("""COMPUTED_VALUE"""),76.72)</f>
        <v>76.72</v>
      </c>
      <c r="F1294" s="1">
        <f>IFERROR(__xludf.DUMMYFUNCTION("""COMPUTED_VALUE"""),436268.0)</f>
        <v>436268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IFERROR(__xludf.DUMMYFUNCTION("""COMPUTED_VALUE"""),76.65)</f>
        <v>76.65</v>
      </c>
      <c r="C1295" s="1">
        <f>IFERROR(__xludf.DUMMYFUNCTION("""COMPUTED_VALUE"""),76.71)</f>
        <v>76.71</v>
      </c>
      <c r="D1295" s="1">
        <f>IFERROR(__xludf.DUMMYFUNCTION("""COMPUTED_VALUE"""),75.52)</f>
        <v>75.52</v>
      </c>
      <c r="E1295" s="1">
        <f>IFERROR(__xludf.DUMMYFUNCTION("""COMPUTED_VALUE"""),76.3)</f>
        <v>76.3</v>
      </c>
      <c r="F1295" s="1">
        <f>IFERROR(__xludf.DUMMYFUNCTION("""COMPUTED_VALUE"""),385229.0)</f>
        <v>385229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IFERROR(__xludf.DUMMYFUNCTION("""COMPUTED_VALUE"""),76.09)</f>
        <v>76.09</v>
      </c>
      <c r="C1296" s="1">
        <f>IFERROR(__xludf.DUMMYFUNCTION("""COMPUTED_VALUE"""),77.01)</f>
        <v>77.01</v>
      </c>
      <c r="D1296" s="1">
        <f>IFERROR(__xludf.DUMMYFUNCTION("""COMPUTED_VALUE"""),75.53)</f>
        <v>75.53</v>
      </c>
      <c r="E1296" s="1">
        <f>IFERROR(__xludf.DUMMYFUNCTION("""COMPUTED_VALUE"""),76.8)</f>
        <v>76.8</v>
      </c>
      <c r="F1296" s="1">
        <f>IFERROR(__xludf.DUMMYFUNCTION("""COMPUTED_VALUE"""),469561.0)</f>
        <v>469561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IFERROR(__xludf.DUMMYFUNCTION("""COMPUTED_VALUE"""),76.76)</f>
        <v>76.76</v>
      </c>
      <c r="C1297" s="1">
        <f>IFERROR(__xludf.DUMMYFUNCTION("""COMPUTED_VALUE"""),77.14)</f>
        <v>77.14</v>
      </c>
      <c r="D1297" s="1">
        <f>IFERROR(__xludf.DUMMYFUNCTION("""COMPUTED_VALUE"""),76.26)</f>
        <v>76.26</v>
      </c>
      <c r="E1297" s="1">
        <f>IFERROR(__xludf.DUMMYFUNCTION("""COMPUTED_VALUE"""),76.77)</f>
        <v>76.77</v>
      </c>
      <c r="F1297" s="1">
        <f>IFERROR(__xludf.DUMMYFUNCTION("""COMPUTED_VALUE"""),331136.0)</f>
        <v>331136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IFERROR(__xludf.DUMMYFUNCTION("""COMPUTED_VALUE"""),76.73)</f>
        <v>76.73</v>
      </c>
      <c r="C1298" s="1">
        <f>IFERROR(__xludf.DUMMYFUNCTION("""COMPUTED_VALUE"""),77.17)</f>
        <v>77.17</v>
      </c>
      <c r="D1298" s="1">
        <f>IFERROR(__xludf.DUMMYFUNCTION("""COMPUTED_VALUE"""),76.58)</f>
        <v>76.58</v>
      </c>
      <c r="E1298" s="1">
        <f>IFERROR(__xludf.DUMMYFUNCTION("""COMPUTED_VALUE"""),76.67)</f>
        <v>76.67</v>
      </c>
      <c r="F1298" s="1">
        <f>IFERROR(__xludf.DUMMYFUNCTION("""COMPUTED_VALUE"""),337259.0)</f>
        <v>337259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IFERROR(__xludf.DUMMYFUNCTION("""COMPUTED_VALUE"""),76.54)</f>
        <v>76.54</v>
      </c>
      <c r="C1299" s="1">
        <f>IFERROR(__xludf.DUMMYFUNCTION("""COMPUTED_VALUE"""),77.16)</f>
        <v>77.16</v>
      </c>
      <c r="D1299" s="1">
        <f>IFERROR(__xludf.DUMMYFUNCTION("""COMPUTED_VALUE"""),76.35)</f>
        <v>76.35</v>
      </c>
      <c r="E1299" s="1">
        <f>IFERROR(__xludf.DUMMYFUNCTION("""COMPUTED_VALUE"""),76.75)</f>
        <v>76.75</v>
      </c>
      <c r="F1299" s="1">
        <f>IFERROR(__xludf.DUMMYFUNCTION("""COMPUTED_VALUE"""),382239.0)</f>
        <v>382239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IFERROR(__xludf.DUMMYFUNCTION("""COMPUTED_VALUE"""),75.94)</f>
        <v>75.94</v>
      </c>
      <c r="C1300" s="1">
        <f>IFERROR(__xludf.DUMMYFUNCTION("""COMPUTED_VALUE"""),76.16)</f>
        <v>76.16</v>
      </c>
      <c r="D1300" s="1">
        <f>IFERROR(__xludf.DUMMYFUNCTION("""COMPUTED_VALUE"""),75.08)</f>
        <v>75.08</v>
      </c>
      <c r="E1300" s="1">
        <f>IFERROR(__xludf.DUMMYFUNCTION("""COMPUTED_VALUE"""),75.62)</f>
        <v>75.62</v>
      </c>
      <c r="F1300" s="1">
        <f>IFERROR(__xludf.DUMMYFUNCTION("""COMPUTED_VALUE"""),529183.0)</f>
        <v>529183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IFERROR(__xludf.DUMMYFUNCTION("""COMPUTED_VALUE"""),75.5)</f>
        <v>75.5</v>
      </c>
      <c r="C1301" s="1">
        <f>IFERROR(__xludf.DUMMYFUNCTION("""COMPUTED_VALUE"""),76.65)</f>
        <v>76.65</v>
      </c>
      <c r="D1301" s="1">
        <f>IFERROR(__xludf.DUMMYFUNCTION("""COMPUTED_VALUE"""),75.33)</f>
        <v>75.33</v>
      </c>
      <c r="E1301" s="1">
        <f>IFERROR(__xludf.DUMMYFUNCTION("""COMPUTED_VALUE"""),76.61)</f>
        <v>76.61</v>
      </c>
      <c r="F1301" s="1">
        <f>IFERROR(__xludf.DUMMYFUNCTION("""COMPUTED_VALUE"""),434725.0)</f>
        <v>434725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IFERROR(__xludf.DUMMYFUNCTION("""COMPUTED_VALUE"""),76.8)</f>
        <v>76.8</v>
      </c>
      <c r="C1302" s="1">
        <f>IFERROR(__xludf.DUMMYFUNCTION("""COMPUTED_VALUE"""),77.96)</f>
        <v>77.96</v>
      </c>
      <c r="D1302" s="1">
        <f>IFERROR(__xludf.DUMMYFUNCTION("""COMPUTED_VALUE"""),76.76)</f>
        <v>76.76</v>
      </c>
      <c r="E1302" s="1">
        <f>IFERROR(__xludf.DUMMYFUNCTION("""COMPUTED_VALUE"""),77.7)</f>
        <v>77.7</v>
      </c>
      <c r="F1302" s="1">
        <f>IFERROR(__xludf.DUMMYFUNCTION("""COMPUTED_VALUE"""),518164.0)</f>
        <v>518164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IFERROR(__xludf.DUMMYFUNCTION("""COMPUTED_VALUE"""),77.48)</f>
        <v>77.48</v>
      </c>
      <c r="C1303" s="1">
        <f>IFERROR(__xludf.DUMMYFUNCTION("""COMPUTED_VALUE"""),77.68)</f>
        <v>77.68</v>
      </c>
      <c r="D1303" s="1">
        <f>IFERROR(__xludf.DUMMYFUNCTION("""COMPUTED_VALUE"""),76.35)</f>
        <v>76.35</v>
      </c>
      <c r="E1303" s="1">
        <f>IFERROR(__xludf.DUMMYFUNCTION("""COMPUTED_VALUE"""),76.77)</f>
        <v>76.77</v>
      </c>
      <c r="F1303" s="1">
        <f>IFERROR(__xludf.DUMMYFUNCTION("""COMPUTED_VALUE"""),317172.0)</f>
        <v>317172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IFERROR(__xludf.DUMMYFUNCTION("""COMPUTED_VALUE"""),77.01)</f>
        <v>77.01</v>
      </c>
      <c r="C1304" s="1">
        <f>IFERROR(__xludf.DUMMYFUNCTION("""COMPUTED_VALUE"""),78.16)</f>
        <v>78.16</v>
      </c>
      <c r="D1304" s="1">
        <f>IFERROR(__xludf.DUMMYFUNCTION("""COMPUTED_VALUE"""),76.65)</f>
        <v>76.65</v>
      </c>
      <c r="E1304" s="1">
        <f>IFERROR(__xludf.DUMMYFUNCTION("""COMPUTED_VALUE"""),78.15)</f>
        <v>78.15</v>
      </c>
      <c r="F1304" s="1">
        <f>IFERROR(__xludf.DUMMYFUNCTION("""COMPUTED_VALUE"""),639630.0)</f>
        <v>639630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IFERROR(__xludf.DUMMYFUNCTION("""COMPUTED_VALUE"""),77.9)</f>
        <v>77.9</v>
      </c>
      <c r="C1305" s="1">
        <f>IFERROR(__xludf.DUMMYFUNCTION("""COMPUTED_VALUE"""),78.93)</f>
        <v>78.93</v>
      </c>
      <c r="D1305" s="1">
        <f>IFERROR(__xludf.DUMMYFUNCTION("""COMPUTED_VALUE"""),77.15)</f>
        <v>77.15</v>
      </c>
      <c r="E1305" s="1">
        <f>IFERROR(__xludf.DUMMYFUNCTION("""COMPUTED_VALUE"""),78.4)</f>
        <v>78.4</v>
      </c>
      <c r="F1305" s="1">
        <f>IFERROR(__xludf.DUMMYFUNCTION("""COMPUTED_VALUE"""),517796.0)</f>
        <v>517796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IFERROR(__xludf.DUMMYFUNCTION("""COMPUTED_VALUE"""),78.41)</f>
        <v>78.41</v>
      </c>
      <c r="C1306" s="1">
        <f>IFERROR(__xludf.DUMMYFUNCTION("""COMPUTED_VALUE"""),79.55)</f>
        <v>79.55</v>
      </c>
      <c r="D1306" s="1">
        <f>IFERROR(__xludf.DUMMYFUNCTION("""COMPUTED_VALUE"""),77.73)</f>
        <v>77.73</v>
      </c>
      <c r="E1306" s="1">
        <f>IFERROR(__xludf.DUMMYFUNCTION("""COMPUTED_VALUE"""),79.5)</f>
        <v>79.5</v>
      </c>
      <c r="F1306" s="1">
        <f>IFERROR(__xludf.DUMMYFUNCTION("""COMPUTED_VALUE"""),533875.0)</f>
        <v>533875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IFERROR(__xludf.DUMMYFUNCTION("""COMPUTED_VALUE"""),79.71)</f>
        <v>79.71</v>
      </c>
      <c r="C1307" s="1">
        <f>IFERROR(__xludf.DUMMYFUNCTION("""COMPUTED_VALUE"""),80.5)</f>
        <v>80.5</v>
      </c>
      <c r="D1307" s="1">
        <f>IFERROR(__xludf.DUMMYFUNCTION("""COMPUTED_VALUE"""),79.59)</f>
        <v>79.59</v>
      </c>
      <c r="E1307" s="1">
        <f>IFERROR(__xludf.DUMMYFUNCTION("""COMPUTED_VALUE"""),80.29)</f>
        <v>80.29</v>
      </c>
      <c r="F1307" s="1">
        <f>IFERROR(__xludf.DUMMYFUNCTION("""COMPUTED_VALUE"""),654931.0)</f>
        <v>654931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IFERROR(__xludf.DUMMYFUNCTION("""COMPUTED_VALUE"""),79.98)</f>
        <v>79.98</v>
      </c>
      <c r="C1308" s="1">
        <f>IFERROR(__xludf.DUMMYFUNCTION("""COMPUTED_VALUE"""),80.58)</f>
        <v>80.58</v>
      </c>
      <c r="D1308" s="1">
        <f>IFERROR(__xludf.DUMMYFUNCTION("""COMPUTED_VALUE"""),79.64)</f>
        <v>79.64</v>
      </c>
      <c r="E1308" s="1">
        <f>IFERROR(__xludf.DUMMYFUNCTION("""COMPUTED_VALUE"""),80.19)</f>
        <v>80.19</v>
      </c>
      <c r="F1308" s="1">
        <f>IFERROR(__xludf.DUMMYFUNCTION("""COMPUTED_VALUE"""),327862.0)</f>
        <v>327862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IFERROR(__xludf.DUMMYFUNCTION("""COMPUTED_VALUE"""),80.5)</f>
        <v>80.5</v>
      </c>
      <c r="C1309" s="1">
        <f>IFERROR(__xludf.DUMMYFUNCTION("""COMPUTED_VALUE"""),82.22)</f>
        <v>82.22</v>
      </c>
      <c r="D1309" s="1">
        <f>IFERROR(__xludf.DUMMYFUNCTION("""COMPUTED_VALUE"""),80.48)</f>
        <v>80.48</v>
      </c>
      <c r="E1309" s="1">
        <f>IFERROR(__xludf.DUMMYFUNCTION("""COMPUTED_VALUE"""),81.97)</f>
        <v>81.97</v>
      </c>
      <c r="F1309" s="1">
        <f>IFERROR(__xludf.DUMMYFUNCTION("""COMPUTED_VALUE"""),490373.0)</f>
        <v>490373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IFERROR(__xludf.DUMMYFUNCTION("""COMPUTED_VALUE"""),81.65)</f>
        <v>81.65</v>
      </c>
      <c r="C1310" s="1">
        <f>IFERROR(__xludf.DUMMYFUNCTION("""COMPUTED_VALUE"""),82.07)</f>
        <v>82.07</v>
      </c>
      <c r="D1310" s="1">
        <f>IFERROR(__xludf.DUMMYFUNCTION("""COMPUTED_VALUE"""),80.88)</f>
        <v>80.88</v>
      </c>
      <c r="E1310" s="1">
        <f>IFERROR(__xludf.DUMMYFUNCTION("""COMPUTED_VALUE"""),81.9)</f>
        <v>81.9</v>
      </c>
      <c r="F1310" s="1">
        <f>IFERROR(__xludf.DUMMYFUNCTION("""COMPUTED_VALUE"""),345859.0)</f>
        <v>345859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IFERROR(__xludf.DUMMYFUNCTION("""COMPUTED_VALUE"""),81.9)</f>
        <v>81.9</v>
      </c>
      <c r="C1311" s="1">
        <f>IFERROR(__xludf.DUMMYFUNCTION("""COMPUTED_VALUE"""),82.46)</f>
        <v>82.46</v>
      </c>
      <c r="D1311" s="1">
        <f>IFERROR(__xludf.DUMMYFUNCTION("""COMPUTED_VALUE"""),81.17)</f>
        <v>81.17</v>
      </c>
      <c r="E1311" s="1">
        <f>IFERROR(__xludf.DUMMYFUNCTION("""COMPUTED_VALUE"""),81.95)</f>
        <v>81.95</v>
      </c>
      <c r="F1311" s="1">
        <f>IFERROR(__xludf.DUMMYFUNCTION("""COMPUTED_VALUE"""),522699.0)</f>
        <v>522699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IFERROR(__xludf.DUMMYFUNCTION("""COMPUTED_VALUE"""),81.95)</f>
        <v>81.95</v>
      </c>
      <c r="C1312" s="1">
        <f>IFERROR(__xludf.DUMMYFUNCTION("""COMPUTED_VALUE"""),84.21)</f>
        <v>84.21</v>
      </c>
      <c r="D1312" s="1">
        <f>IFERROR(__xludf.DUMMYFUNCTION("""COMPUTED_VALUE"""),81.93)</f>
        <v>81.93</v>
      </c>
      <c r="E1312" s="1">
        <f>IFERROR(__xludf.DUMMYFUNCTION("""COMPUTED_VALUE"""),84.2)</f>
        <v>84.2</v>
      </c>
      <c r="F1312" s="1">
        <f>IFERROR(__xludf.DUMMYFUNCTION("""COMPUTED_VALUE"""),636311.0)</f>
        <v>636311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IFERROR(__xludf.DUMMYFUNCTION("""COMPUTED_VALUE"""),84.34)</f>
        <v>84.34</v>
      </c>
      <c r="C1313" s="1">
        <f>IFERROR(__xludf.DUMMYFUNCTION("""COMPUTED_VALUE"""),84.69)</f>
        <v>84.69</v>
      </c>
      <c r="D1313" s="1">
        <f>IFERROR(__xludf.DUMMYFUNCTION("""COMPUTED_VALUE"""),83.92)</f>
        <v>83.92</v>
      </c>
      <c r="E1313" s="1">
        <f>IFERROR(__xludf.DUMMYFUNCTION("""COMPUTED_VALUE"""),84.08)</f>
        <v>84.08</v>
      </c>
      <c r="F1313" s="1">
        <f>IFERROR(__xludf.DUMMYFUNCTION("""COMPUTED_VALUE"""),1031987.0)</f>
        <v>1031987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IFERROR(__xludf.DUMMYFUNCTION("""COMPUTED_VALUE"""),83.8)</f>
        <v>83.8</v>
      </c>
      <c r="C1314" s="1">
        <f>IFERROR(__xludf.DUMMYFUNCTION("""COMPUTED_VALUE"""),84.14)</f>
        <v>84.14</v>
      </c>
      <c r="D1314" s="1">
        <f>IFERROR(__xludf.DUMMYFUNCTION("""COMPUTED_VALUE"""),83.22)</f>
        <v>83.22</v>
      </c>
      <c r="E1314" s="1">
        <f>IFERROR(__xludf.DUMMYFUNCTION("""COMPUTED_VALUE"""),83.31)</f>
        <v>83.31</v>
      </c>
      <c r="F1314" s="1">
        <f>IFERROR(__xludf.DUMMYFUNCTION("""COMPUTED_VALUE"""),391386.0)</f>
        <v>391386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IFERROR(__xludf.DUMMYFUNCTION("""COMPUTED_VALUE"""),83.3)</f>
        <v>83.3</v>
      </c>
      <c r="C1315" s="1">
        <f>IFERROR(__xludf.DUMMYFUNCTION("""COMPUTED_VALUE"""),83.45)</f>
        <v>83.45</v>
      </c>
      <c r="D1315" s="1">
        <f>IFERROR(__xludf.DUMMYFUNCTION("""COMPUTED_VALUE"""),81.35)</f>
        <v>81.35</v>
      </c>
      <c r="E1315" s="1">
        <f>IFERROR(__xludf.DUMMYFUNCTION("""COMPUTED_VALUE"""),81.82)</f>
        <v>81.82</v>
      </c>
      <c r="F1315" s="1">
        <f>IFERROR(__xludf.DUMMYFUNCTION("""COMPUTED_VALUE"""),799534.0)</f>
        <v>799534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IFERROR(__xludf.DUMMYFUNCTION("""COMPUTED_VALUE"""),82.15)</f>
        <v>82.15</v>
      </c>
      <c r="C1316" s="1">
        <f>IFERROR(__xludf.DUMMYFUNCTION("""COMPUTED_VALUE"""),82.49)</f>
        <v>82.49</v>
      </c>
      <c r="D1316" s="1">
        <f>IFERROR(__xludf.DUMMYFUNCTION("""COMPUTED_VALUE"""),78.02)</f>
        <v>78.02</v>
      </c>
      <c r="E1316" s="1">
        <f>IFERROR(__xludf.DUMMYFUNCTION("""COMPUTED_VALUE"""),78.07)</f>
        <v>78.07</v>
      </c>
      <c r="F1316" s="1">
        <f>IFERROR(__xludf.DUMMYFUNCTION("""COMPUTED_VALUE"""),779103.0)</f>
        <v>779103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IFERROR(__xludf.DUMMYFUNCTION("""COMPUTED_VALUE"""),76.94)</f>
        <v>76.94</v>
      </c>
      <c r="C1317" s="1">
        <f>IFERROR(__xludf.DUMMYFUNCTION("""COMPUTED_VALUE"""),79.72)</f>
        <v>79.72</v>
      </c>
      <c r="D1317" s="1">
        <f>IFERROR(__xludf.DUMMYFUNCTION("""COMPUTED_VALUE"""),76.15)</f>
        <v>76.15</v>
      </c>
      <c r="E1317" s="1">
        <f>IFERROR(__xludf.DUMMYFUNCTION("""COMPUTED_VALUE"""),79.01)</f>
        <v>79.01</v>
      </c>
      <c r="F1317" s="1">
        <f>IFERROR(__xludf.DUMMYFUNCTION("""COMPUTED_VALUE"""),661672.0)</f>
        <v>661672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IFERROR(__xludf.DUMMYFUNCTION("""COMPUTED_VALUE"""),79.13)</f>
        <v>79.13</v>
      </c>
      <c r="C1318" s="1">
        <f>IFERROR(__xludf.DUMMYFUNCTION("""COMPUTED_VALUE"""),80.26)</f>
        <v>80.26</v>
      </c>
      <c r="D1318" s="1">
        <f>IFERROR(__xludf.DUMMYFUNCTION("""COMPUTED_VALUE"""),78.89)</f>
        <v>78.89</v>
      </c>
      <c r="E1318" s="1">
        <f>IFERROR(__xludf.DUMMYFUNCTION("""COMPUTED_VALUE"""),79.61)</f>
        <v>79.61</v>
      </c>
      <c r="F1318" s="1">
        <f>IFERROR(__xludf.DUMMYFUNCTION("""COMPUTED_VALUE"""),303677.0)</f>
        <v>303677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IFERROR(__xludf.DUMMYFUNCTION("""COMPUTED_VALUE"""),79.98)</f>
        <v>79.98</v>
      </c>
      <c r="C1319" s="1">
        <f>IFERROR(__xludf.DUMMYFUNCTION("""COMPUTED_VALUE"""),80.3)</f>
        <v>80.3</v>
      </c>
      <c r="D1319" s="1">
        <f>IFERROR(__xludf.DUMMYFUNCTION("""COMPUTED_VALUE"""),79.28)</f>
        <v>79.28</v>
      </c>
      <c r="E1319" s="1">
        <f>IFERROR(__xludf.DUMMYFUNCTION("""COMPUTED_VALUE"""),79.83)</f>
        <v>79.83</v>
      </c>
      <c r="F1319" s="1">
        <f>IFERROR(__xludf.DUMMYFUNCTION("""COMPUTED_VALUE"""),397198.0)</f>
        <v>397198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IFERROR(__xludf.DUMMYFUNCTION("""COMPUTED_VALUE"""),79.26)</f>
        <v>79.26</v>
      </c>
      <c r="C1320" s="1">
        <f>IFERROR(__xludf.DUMMYFUNCTION("""COMPUTED_VALUE"""),79.9)</f>
        <v>79.9</v>
      </c>
      <c r="D1320" s="1">
        <f>IFERROR(__xludf.DUMMYFUNCTION("""COMPUTED_VALUE"""),79.14)</f>
        <v>79.14</v>
      </c>
      <c r="E1320" s="1">
        <f>IFERROR(__xludf.DUMMYFUNCTION("""COMPUTED_VALUE"""),79.29)</f>
        <v>79.29</v>
      </c>
      <c r="F1320" s="1">
        <f>IFERROR(__xludf.DUMMYFUNCTION("""COMPUTED_VALUE"""),470475.0)</f>
        <v>470475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IFERROR(__xludf.DUMMYFUNCTION("""COMPUTED_VALUE"""),79.15)</f>
        <v>79.15</v>
      </c>
      <c r="C1321" s="1">
        <f>IFERROR(__xludf.DUMMYFUNCTION("""COMPUTED_VALUE"""),79.44)</f>
        <v>79.44</v>
      </c>
      <c r="D1321" s="1">
        <f>IFERROR(__xludf.DUMMYFUNCTION("""COMPUTED_VALUE"""),77.26)</f>
        <v>77.26</v>
      </c>
      <c r="E1321" s="1">
        <f>IFERROR(__xludf.DUMMYFUNCTION("""COMPUTED_VALUE"""),78.69)</f>
        <v>78.69</v>
      </c>
      <c r="F1321" s="1">
        <f>IFERROR(__xludf.DUMMYFUNCTION("""COMPUTED_VALUE"""),596144.0)</f>
        <v>596144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IFERROR(__xludf.DUMMYFUNCTION("""COMPUTED_VALUE"""),78.87)</f>
        <v>78.87</v>
      </c>
      <c r="C1322" s="1">
        <f>IFERROR(__xludf.DUMMYFUNCTION("""COMPUTED_VALUE"""),79.38)</f>
        <v>79.38</v>
      </c>
      <c r="D1322" s="1">
        <f>IFERROR(__xludf.DUMMYFUNCTION("""COMPUTED_VALUE"""),77.71)</f>
        <v>77.71</v>
      </c>
      <c r="E1322" s="1">
        <f>IFERROR(__xludf.DUMMYFUNCTION("""COMPUTED_VALUE"""),77.85)</f>
        <v>77.85</v>
      </c>
      <c r="F1322" s="1">
        <f>IFERROR(__xludf.DUMMYFUNCTION("""COMPUTED_VALUE"""),847218.0)</f>
        <v>847218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IFERROR(__xludf.DUMMYFUNCTION("""COMPUTED_VALUE"""),77.5)</f>
        <v>77.5</v>
      </c>
      <c r="C1323" s="1">
        <f>IFERROR(__xludf.DUMMYFUNCTION("""COMPUTED_VALUE"""),79.11)</f>
        <v>79.11</v>
      </c>
      <c r="D1323" s="1">
        <f>IFERROR(__xludf.DUMMYFUNCTION("""COMPUTED_VALUE"""),77.5)</f>
        <v>77.5</v>
      </c>
      <c r="E1323" s="1">
        <f>IFERROR(__xludf.DUMMYFUNCTION("""COMPUTED_VALUE"""),78.67)</f>
        <v>78.67</v>
      </c>
      <c r="F1323" s="1">
        <f>IFERROR(__xludf.DUMMYFUNCTION("""COMPUTED_VALUE"""),1009371.0)</f>
        <v>1009371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IFERROR(__xludf.DUMMYFUNCTION("""COMPUTED_VALUE"""),77.65)</f>
        <v>77.65</v>
      </c>
      <c r="C1324" s="1">
        <f>IFERROR(__xludf.DUMMYFUNCTION("""COMPUTED_VALUE"""),79.28)</f>
        <v>79.28</v>
      </c>
      <c r="D1324" s="1">
        <f>IFERROR(__xludf.DUMMYFUNCTION("""COMPUTED_VALUE"""),77.63)</f>
        <v>77.63</v>
      </c>
      <c r="E1324" s="1">
        <f>IFERROR(__xludf.DUMMYFUNCTION("""COMPUTED_VALUE"""),77.66)</f>
        <v>77.66</v>
      </c>
      <c r="F1324" s="1">
        <f>IFERROR(__xludf.DUMMYFUNCTION("""COMPUTED_VALUE"""),664523.0)</f>
        <v>664523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IFERROR(__xludf.DUMMYFUNCTION("""COMPUTED_VALUE"""),77.51)</f>
        <v>77.51</v>
      </c>
      <c r="C1325" s="1">
        <f>IFERROR(__xludf.DUMMYFUNCTION("""COMPUTED_VALUE"""),78.64)</f>
        <v>78.64</v>
      </c>
      <c r="D1325" s="1">
        <f>IFERROR(__xludf.DUMMYFUNCTION("""COMPUTED_VALUE"""),77.48)</f>
        <v>77.48</v>
      </c>
      <c r="E1325" s="1">
        <f>IFERROR(__xludf.DUMMYFUNCTION("""COMPUTED_VALUE"""),78.45)</f>
        <v>78.45</v>
      </c>
      <c r="F1325" s="1">
        <f>IFERROR(__xludf.DUMMYFUNCTION("""COMPUTED_VALUE"""),580984.0)</f>
        <v>580984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IFERROR(__xludf.DUMMYFUNCTION("""COMPUTED_VALUE"""),78.45)</f>
        <v>78.45</v>
      </c>
      <c r="C1326" s="1">
        <f>IFERROR(__xludf.DUMMYFUNCTION("""COMPUTED_VALUE"""),79.39)</f>
        <v>79.39</v>
      </c>
      <c r="D1326" s="1">
        <f>IFERROR(__xludf.DUMMYFUNCTION("""COMPUTED_VALUE"""),78.0)</f>
        <v>78</v>
      </c>
      <c r="E1326" s="1">
        <f>IFERROR(__xludf.DUMMYFUNCTION("""COMPUTED_VALUE"""),79.04)</f>
        <v>79.04</v>
      </c>
      <c r="F1326" s="1">
        <f>IFERROR(__xludf.DUMMYFUNCTION("""COMPUTED_VALUE"""),338495.0)</f>
        <v>338495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IFERROR(__xludf.DUMMYFUNCTION("""COMPUTED_VALUE"""),78.99)</f>
        <v>78.99</v>
      </c>
      <c r="C1327" s="1">
        <f>IFERROR(__xludf.DUMMYFUNCTION("""COMPUTED_VALUE"""),79.42)</f>
        <v>79.42</v>
      </c>
      <c r="D1327" s="1">
        <f>IFERROR(__xludf.DUMMYFUNCTION("""COMPUTED_VALUE"""),78.61)</f>
        <v>78.61</v>
      </c>
      <c r="E1327" s="1">
        <f>IFERROR(__xludf.DUMMYFUNCTION("""COMPUTED_VALUE"""),78.77)</f>
        <v>78.77</v>
      </c>
      <c r="F1327" s="1">
        <f>IFERROR(__xludf.DUMMYFUNCTION("""COMPUTED_VALUE"""),255588.0)</f>
        <v>255588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IFERROR(__xludf.DUMMYFUNCTION("""COMPUTED_VALUE"""),78.67)</f>
        <v>78.67</v>
      </c>
      <c r="C1328" s="1">
        <f>IFERROR(__xludf.DUMMYFUNCTION("""COMPUTED_VALUE"""),79.39)</f>
        <v>79.39</v>
      </c>
      <c r="D1328" s="1">
        <f>IFERROR(__xludf.DUMMYFUNCTION("""COMPUTED_VALUE"""),78.47)</f>
        <v>78.47</v>
      </c>
      <c r="E1328" s="1">
        <f>IFERROR(__xludf.DUMMYFUNCTION("""COMPUTED_VALUE"""),79.07)</f>
        <v>79.07</v>
      </c>
      <c r="F1328" s="1">
        <f>IFERROR(__xludf.DUMMYFUNCTION("""COMPUTED_VALUE"""),265287.0)</f>
        <v>265287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IFERROR(__xludf.DUMMYFUNCTION("""COMPUTED_VALUE"""),78.94)</f>
        <v>78.94</v>
      </c>
      <c r="C1329" s="1">
        <f>IFERROR(__xludf.DUMMYFUNCTION("""COMPUTED_VALUE"""),79.2)</f>
        <v>79.2</v>
      </c>
      <c r="D1329" s="1">
        <f>IFERROR(__xludf.DUMMYFUNCTION("""COMPUTED_VALUE"""),78.07)</f>
        <v>78.07</v>
      </c>
      <c r="E1329" s="1">
        <f>IFERROR(__xludf.DUMMYFUNCTION("""COMPUTED_VALUE"""),78.81)</f>
        <v>78.81</v>
      </c>
      <c r="F1329" s="1">
        <f>IFERROR(__xludf.DUMMYFUNCTION("""COMPUTED_VALUE"""),201283.0)</f>
        <v>201283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IFERROR(__xludf.DUMMYFUNCTION("""COMPUTED_VALUE"""),79.0)</f>
        <v>79</v>
      </c>
      <c r="C1330" s="1">
        <f>IFERROR(__xludf.DUMMYFUNCTION("""COMPUTED_VALUE"""),79.25)</f>
        <v>79.25</v>
      </c>
      <c r="D1330" s="1">
        <f>IFERROR(__xludf.DUMMYFUNCTION("""COMPUTED_VALUE"""),78.49)</f>
        <v>78.49</v>
      </c>
      <c r="E1330" s="1">
        <f>IFERROR(__xludf.DUMMYFUNCTION("""COMPUTED_VALUE"""),78.71)</f>
        <v>78.71</v>
      </c>
      <c r="F1330" s="1">
        <f>IFERROR(__xludf.DUMMYFUNCTION("""COMPUTED_VALUE"""),282075.0)</f>
        <v>282075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IFERROR(__xludf.DUMMYFUNCTION("""COMPUTED_VALUE"""),78.55)</f>
        <v>78.55</v>
      </c>
      <c r="C1331" s="1">
        <f>IFERROR(__xludf.DUMMYFUNCTION("""COMPUTED_VALUE"""),79.17)</f>
        <v>79.17</v>
      </c>
      <c r="D1331" s="1">
        <f>IFERROR(__xludf.DUMMYFUNCTION("""COMPUTED_VALUE"""),78.11)</f>
        <v>78.11</v>
      </c>
      <c r="E1331" s="1">
        <f>IFERROR(__xludf.DUMMYFUNCTION("""COMPUTED_VALUE"""),78.24)</f>
        <v>78.24</v>
      </c>
      <c r="F1331" s="1">
        <f>IFERROR(__xludf.DUMMYFUNCTION("""COMPUTED_VALUE"""),223543.0)</f>
        <v>223543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IFERROR(__xludf.DUMMYFUNCTION("""COMPUTED_VALUE"""),77.93)</f>
        <v>77.93</v>
      </c>
      <c r="C1332" s="1">
        <f>IFERROR(__xludf.DUMMYFUNCTION("""COMPUTED_VALUE"""),78.44)</f>
        <v>78.44</v>
      </c>
      <c r="D1332" s="1">
        <f>IFERROR(__xludf.DUMMYFUNCTION("""COMPUTED_VALUE"""),77.08)</f>
        <v>77.08</v>
      </c>
      <c r="E1332" s="1">
        <f>IFERROR(__xludf.DUMMYFUNCTION("""COMPUTED_VALUE"""),78.26)</f>
        <v>78.26</v>
      </c>
      <c r="F1332" s="1">
        <f>IFERROR(__xludf.DUMMYFUNCTION("""COMPUTED_VALUE"""),460284.0)</f>
        <v>460284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IFERROR(__xludf.DUMMYFUNCTION("""COMPUTED_VALUE"""),78.62)</f>
        <v>78.62</v>
      </c>
      <c r="C1333" s="1">
        <f>IFERROR(__xludf.DUMMYFUNCTION("""COMPUTED_VALUE"""),79.0)</f>
        <v>79</v>
      </c>
      <c r="D1333" s="1">
        <f>IFERROR(__xludf.DUMMYFUNCTION("""COMPUTED_VALUE"""),77.84)</f>
        <v>77.84</v>
      </c>
      <c r="E1333" s="1">
        <f>IFERROR(__xludf.DUMMYFUNCTION("""COMPUTED_VALUE"""),78.54)</f>
        <v>78.54</v>
      </c>
      <c r="F1333" s="1">
        <f>IFERROR(__xludf.DUMMYFUNCTION("""COMPUTED_VALUE"""),244905.0)</f>
        <v>244905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IFERROR(__xludf.DUMMYFUNCTION("""COMPUTED_VALUE"""),79.15)</f>
        <v>79.15</v>
      </c>
      <c r="C1334" s="1">
        <f>IFERROR(__xludf.DUMMYFUNCTION("""COMPUTED_VALUE"""),79.21)</f>
        <v>79.21</v>
      </c>
      <c r="D1334" s="1">
        <f>IFERROR(__xludf.DUMMYFUNCTION("""COMPUTED_VALUE"""),78.41)</f>
        <v>78.41</v>
      </c>
      <c r="E1334" s="1">
        <f>IFERROR(__xludf.DUMMYFUNCTION("""COMPUTED_VALUE"""),78.59)</f>
        <v>78.59</v>
      </c>
      <c r="F1334" s="1">
        <f>IFERROR(__xludf.DUMMYFUNCTION("""COMPUTED_VALUE"""),280784.0)</f>
        <v>280784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IFERROR(__xludf.DUMMYFUNCTION("""COMPUTED_VALUE"""),78.5)</f>
        <v>78.5</v>
      </c>
      <c r="C1335" s="1">
        <f>IFERROR(__xludf.DUMMYFUNCTION("""COMPUTED_VALUE"""),78.9)</f>
        <v>78.9</v>
      </c>
      <c r="D1335" s="1">
        <f>IFERROR(__xludf.DUMMYFUNCTION("""COMPUTED_VALUE"""),77.21)</f>
        <v>77.21</v>
      </c>
      <c r="E1335" s="1">
        <f>IFERROR(__xludf.DUMMYFUNCTION("""COMPUTED_VALUE"""),78.06)</f>
        <v>78.06</v>
      </c>
      <c r="F1335" s="1">
        <f>IFERROR(__xludf.DUMMYFUNCTION("""COMPUTED_VALUE"""),525067.0)</f>
        <v>525067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IFERROR(__xludf.DUMMYFUNCTION("""COMPUTED_VALUE"""),78.05)</f>
        <v>78.05</v>
      </c>
      <c r="C1336" s="1">
        <f>IFERROR(__xludf.DUMMYFUNCTION("""COMPUTED_VALUE"""),78.36)</f>
        <v>78.36</v>
      </c>
      <c r="D1336" s="1">
        <f>IFERROR(__xludf.DUMMYFUNCTION("""COMPUTED_VALUE"""),77.58)</f>
        <v>77.58</v>
      </c>
      <c r="E1336" s="1">
        <f>IFERROR(__xludf.DUMMYFUNCTION("""COMPUTED_VALUE"""),77.89)</f>
        <v>77.89</v>
      </c>
      <c r="F1336" s="1">
        <f>IFERROR(__xludf.DUMMYFUNCTION("""COMPUTED_VALUE"""),332630.0)</f>
        <v>332630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IFERROR(__xludf.DUMMYFUNCTION("""COMPUTED_VALUE"""),78.21)</f>
        <v>78.21</v>
      </c>
      <c r="C1337" s="1">
        <f>IFERROR(__xludf.DUMMYFUNCTION("""COMPUTED_VALUE"""),78.21)</f>
        <v>78.21</v>
      </c>
      <c r="D1337" s="1">
        <f>IFERROR(__xludf.DUMMYFUNCTION("""COMPUTED_VALUE"""),77.16)</f>
        <v>77.16</v>
      </c>
      <c r="E1337" s="1">
        <f>IFERROR(__xludf.DUMMYFUNCTION("""COMPUTED_VALUE"""),77.4)</f>
        <v>77.4</v>
      </c>
      <c r="F1337" s="1">
        <f>IFERROR(__xludf.DUMMYFUNCTION("""COMPUTED_VALUE"""),494431.0)</f>
        <v>494431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IFERROR(__xludf.DUMMYFUNCTION("""COMPUTED_VALUE"""),78.06)</f>
        <v>78.06</v>
      </c>
      <c r="C1338" s="1">
        <f>IFERROR(__xludf.DUMMYFUNCTION("""COMPUTED_VALUE"""),78.09)</f>
        <v>78.09</v>
      </c>
      <c r="D1338" s="1">
        <f>IFERROR(__xludf.DUMMYFUNCTION("""COMPUTED_VALUE"""),76.03)</f>
        <v>76.03</v>
      </c>
      <c r="E1338" s="1">
        <f>IFERROR(__xludf.DUMMYFUNCTION("""COMPUTED_VALUE"""),76.87)</f>
        <v>76.87</v>
      </c>
      <c r="F1338" s="1">
        <f>IFERROR(__xludf.DUMMYFUNCTION("""COMPUTED_VALUE"""),795272.0)</f>
        <v>795272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IFERROR(__xludf.DUMMYFUNCTION("""COMPUTED_VALUE"""),77.22)</f>
        <v>77.22</v>
      </c>
      <c r="C1339" s="1">
        <f>IFERROR(__xludf.DUMMYFUNCTION("""COMPUTED_VALUE"""),77.54)</f>
        <v>77.54</v>
      </c>
      <c r="D1339" s="1">
        <f>IFERROR(__xludf.DUMMYFUNCTION("""COMPUTED_VALUE"""),74.26)</f>
        <v>74.26</v>
      </c>
      <c r="E1339" s="1">
        <f>IFERROR(__xludf.DUMMYFUNCTION("""COMPUTED_VALUE"""),75.81)</f>
        <v>75.81</v>
      </c>
      <c r="F1339" s="1">
        <f>IFERROR(__xludf.DUMMYFUNCTION("""COMPUTED_VALUE"""),632946.0)</f>
        <v>632946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IFERROR(__xludf.DUMMYFUNCTION("""COMPUTED_VALUE"""),75.33)</f>
        <v>75.33</v>
      </c>
      <c r="C1340" s="1">
        <f>IFERROR(__xludf.DUMMYFUNCTION("""COMPUTED_VALUE"""),76.9)</f>
        <v>76.9</v>
      </c>
      <c r="D1340" s="1">
        <f>IFERROR(__xludf.DUMMYFUNCTION("""COMPUTED_VALUE"""),75.1)</f>
        <v>75.1</v>
      </c>
      <c r="E1340" s="1">
        <f>IFERROR(__xludf.DUMMYFUNCTION("""COMPUTED_VALUE"""),76.25)</f>
        <v>76.25</v>
      </c>
      <c r="F1340" s="1">
        <f>IFERROR(__xludf.DUMMYFUNCTION("""COMPUTED_VALUE"""),576437.0)</f>
        <v>576437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IFERROR(__xludf.DUMMYFUNCTION("""COMPUTED_VALUE"""),72.54)</f>
        <v>72.54</v>
      </c>
      <c r="C1341" s="1">
        <f>IFERROR(__xludf.DUMMYFUNCTION("""COMPUTED_VALUE"""),72.54)</f>
        <v>72.54</v>
      </c>
      <c r="D1341" s="1">
        <f>IFERROR(__xludf.DUMMYFUNCTION("""COMPUTED_VALUE"""),68.97)</f>
        <v>68.97</v>
      </c>
      <c r="E1341" s="1">
        <f>IFERROR(__xludf.DUMMYFUNCTION("""COMPUTED_VALUE"""),69.16)</f>
        <v>69.16</v>
      </c>
      <c r="F1341" s="1">
        <f>IFERROR(__xludf.DUMMYFUNCTION("""COMPUTED_VALUE"""),2178735.0)</f>
        <v>2178735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IFERROR(__xludf.DUMMYFUNCTION("""COMPUTED_VALUE"""),68.79)</f>
        <v>68.79</v>
      </c>
      <c r="C1342" s="1">
        <f>IFERROR(__xludf.DUMMYFUNCTION("""COMPUTED_VALUE"""),70.65)</f>
        <v>70.65</v>
      </c>
      <c r="D1342" s="1">
        <f>IFERROR(__xludf.DUMMYFUNCTION("""COMPUTED_VALUE"""),68.59)</f>
        <v>68.59</v>
      </c>
      <c r="E1342" s="1">
        <f>IFERROR(__xludf.DUMMYFUNCTION("""COMPUTED_VALUE"""),70.62)</f>
        <v>70.62</v>
      </c>
      <c r="F1342" s="1">
        <f>IFERROR(__xludf.DUMMYFUNCTION("""COMPUTED_VALUE"""),1396347.0)</f>
        <v>1396347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IFERROR(__xludf.DUMMYFUNCTION("""COMPUTED_VALUE"""),71.99)</f>
        <v>71.99</v>
      </c>
      <c r="C1343" s="1">
        <f>IFERROR(__xludf.DUMMYFUNCTION("""COMPUTED_VALUE"""),73.32)</f>
        <v>73.32</v>
      </c>
      <c r="D1343" s="1">
        <f>IFERROR(__xludf.DUMMYFUNCTION("""COMPUTED_VALUE"""),71.3)</f>
        <v>71.3</v>
      </c>
      <c r="E1343" s="1">
        <f>IFERROR(__xludf.DUMMYFUNCTION("""COMPUTED_VALUE"""),71.94)</f>
        <v>71.94</v>
      </c>
      <c r="F1343" s="1">
        <f>IFERROR(__xludf.DUMMYFUNCTION("""COMPUTED_VALUE"""),757072.0)</f>
        <v>757072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IFERROR(__xludf.DUMMYFUNCTION("""COMPUTED_VALUE"""),71.94)</f>
        <v>71.94</v>
      </c>
      <c r="C1344" s="1">
        <f>IFERROR(__xludf.DUMMYFUNCTION("""COMPUTED_VALUE"""),72.32)</f>
        <v>72.32</v>
      </c>
      <c r="D1344" s="1">
        <f>IFERROR(__xludf.DUMMYFUNCTION("""COMPUTED_VALUE"""),70.02)</f>
        <v>70.02</v>
      </c>
      <c r="E1344" s="1">
        <f>IFERROR(__xludf.DUMMYFUNCTION("""COMPUTED_VALUE"""),70.39)</f>
        <v>70.39</v>
      </c>
      <c r="F1344" s="1">
        <f>IFERROR(__xludf.DUMMYFUNCTION("""COMPUTED_VALUE"""),427739.0)</f>
        <v>427739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IFERROR(__xludf.DUMMYFUNCTION("""COMPUTED_VALUE"""),70.24)</f>
        <v>70.24</v>
      </c>
      <c r="C1345" s="1">
        <f>IFERROR(__xludf.DUMMYFUNCTION("""COMPUTED_VALUE"""),70.78)</f>
        <v>70.78</v>
      </c>
      <c r="D1345" s="1">
        <f>IFERROR(__xludf.DUMMYFUNCTION("""COMPUTED_VALUE"""),69.51)</f>
        <v>69.51</v>
      </c>
      <c r="E1345" s="1">
        <f>IFERROR(__xludf.DUMMYFUNCTION("""COMPUTED_VALUE"""),70.29)</f>
        <v>70.29</v>
      </c>
      <c r="F1345" s="1">
        <f>IFERROR(__xludf.DUMMYFUNCTION("""COMPUTED_VALUE"""),412713.0)</f>
        <v>412713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IFERROR(__xludf.DUMMYFUNCTION("""COMPUTED_VALUE"""),70.3)</f>
        <v>70.3</v>
      </c>
      <c r="C1346" s="1">
        <f>IFERROR(__xludf.DUMMYFUNCTION("""COMPUTED_VALUE"""),71.18)</f>
        <v>71.18</v>
      </c>
      <c r="D1346" s="1">
        <f>IFERROR(__xludf.DUMMYFUNCTION("""COMPUTED_VALUE"""),69.65)</f>
        <v>69.65</v>
      </c>
      <c r="E1346" s="1">
        <f>IFERROR(__xludf.DUMMYFUNCTION("""COMPUTED_VALUE"""),69.77)</f>
        <v>69.77</v>
      </c>
      <c r="F1346" s="1">
        <f>IFERROR(__xludf.DUMMYFUNCTION("""COMPUTED_VALUE"""),348503.0)</f>
        <v>348503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IFERROR(__xludf.DUMMYFUNCTION("""COMPUTED_VALUE"""),70.47)</f>
        <v>70.47</v>
      </c>
      <c r="C1347" s="1">
        <f>IFERROR(__xludf.DUMMYFUNCTION("""COMPUTED_VALUE"""),71.03)</f>
        <v>71.03</v>
      </c>
      <c r="D1347" s="1">
        <f>IFERROR(__xludf.DUMMYFUNCTION("""COMPUTED_VALUE"""),69.9)</f>
        <v>69.9</v>
      </c>
      <c r="E1347" s="1">
        <f>IFERROR(__xludf.DUMMYFUNCTION("""COMPUTED_VALUE"""),70.48)</f>
        <v>70.48</v>
      </c>
      <c r="F1347" s="1">
        <f>IFERROR(__xludf.DUMMYFUNCTION("""COMPUTED_VALUE"""),418864.0)</f>
        <v>418864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IFERROR(__xludf.DUMMYFUNCTION("""COMPUTED_VALUE"""),70.49)</f>
        <v>70.49</v>
      </c>
      <c r="C1348" s="1">
        <f>IFERROR(__xludf.DUMMYFUNCTION("""COMPUTED_VALUE"""),70.92)</f>
        <v>70.92</v>
      </c>
      <c r="D1348" s="1">
        <f>IFERROR(__xludf.DUMMYFUNCTION("""COMPUTED_VALUE"""),70.04)</f>
        <v>70.04</v>
      </c>
      <c r="E1348" s="1">
        <f>IFERROR(__xludf.DUMMYFUNCTION("""COMPUTED_VALUE"""),70.49)</f>
        <v>70.49</v>
      </c>
      <c r="F1348" s="1">
        <f>IFERROR(__xludf.DUMMYFUNCTION("""COMPUTED_VALUE"""),357481.0)</f>
        <v>357481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IFERROR(__xludf.DUMMYFUNCTION("""COMPUTED_VALUE"""),70.0)</f>
        <v>70</v>
      </c>
      <c r="C1349" s="1">
        <f>IFERROR(__xludf.DUMMYFUNCTION("""COMPUTED_VALUE"""),70.27)</f>
        <v>70.27</v>
      </c>
      <c r="D1349" s="1">
        <f>IFERROR(__xludf.DUMMYFUNCTION("""COMPUTED_VALUE"""),69.17)</f>
        <v>69.17</v>
      </c>
      <c r="E1349" s="1">
        <f>IFERROR(__xludf.DUMMYFUNCTION("""COMPUTED_VALUE"""),69.88)</f>
        <v>69.88</v>
      </c>
      <c r="F1349" s="1">
        <f>IFERROR(__xludf.DUMMYFUNCTION("""COMPUTED_VALUE"""),292052.0)</f>
        <v>292052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IFERROR(__xludf.DUMMYFUNCTION("""COMPUTED_VALUE"""),70.42)</f>
        <v>70.42</v>
      </c>
      <c r="C1350" s="1">
        <f>IFERROR(__xludf.DUMMYFUNCTION("""COMPUTED_VALUE"""),70.91)</f>
        <v>70.91</v>
      </c>
      <c r="D1350" s="1">
        <f>IFERROR(__xludf.DUMMYFUNCTION("""COMPUTED_VALUE"""),69.93)</f>
        <v>69.93</v>
      </c>
      <c r="E1350" s="1">
        <f>IFERROR(__xludf.DUMMYFUNCTION("""COMPUTED_VALUE"""),70.39)</f>
        <v>70.39</v>
      </c>
      <c r="F1350" s="1">
        <f>IFERROR(__xludf.DUMMYFUNCTION("""COMPUTED_VALUE"""),428632.0)</f>
        <v>428632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IFERROR(__xludf.DUMMYFUNCTION("""COMPUTED_VALUE"""),70.82)</f>
        <v>70.82</v>
      </c>
      <c r="C1351" s="1">
        <f>IFERROR(__xludf.DUMMYFUNCTION("""COMPUTED_VALUE"""),71.6)</f>
        <v>71.6</v>
      </c>
      <c r="D1351" s="1">
        <f>IFERROR(__xludf.DUMMYFUNCTION("""COMPUTED_VALUE"""),69.95)</f>
        <v>69.95</v>
      </c>
      <c r="E1351" s="1">
        <f>IFERROR(__xludf.DUMMYFUNCTION("""COMPUTED_VALUE"""),71.39)</f>
        <v>71.39</v>
      </c>
      <c r="F1351" s="1">
        <f>IFERROR(__xludf.DUMMYFUNCTION("""COMPUTED_VALUE"""),357411.0)</f>
        <v>357411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IFERROR(__xludf.DUMMYFUNCTION("""COMPUTED_VALUE"""),71.59)</f>
        <v>71.59</v>
      </c>
      <c r="C1352" s="1">
        <f>IFERROR(__xludf.DUMMYFUNCTION("""COMPUTED_VALUE"""),71.59)</f>
        <v>71.59</v>
      </c>
      <c r="D1352" s="1">
        <f>IFERROR(__xludf.DUMMYFUNCTION("""COMPUTED_VALUE"""),70.24)</f>
        <v>70.24</v>
      </c>
      <c r="E1352" s="1">
        <f>IFERROR(__xludf.DUMMYFUNCTION("""COMPUTED_VALUE"""),70.54)</f>
        <v>70.54</v>
      </c>
      <c r="F1352" s="1">
        <f>IFERROR(__xludf.DUMMYFUNCTION("""COMPUTED_VALUE"""),317883.0)</f>
        <v>317883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IFERROR(__xludf.DUMMYFUNCTION("""COMPUTED_VALUE"""),70.54)</f>
        <v>70.54</v>
      </c>
      <c r="C1353" s="1">
        <f>IFERROR(__xludf.DUMMYFUNCTION("""COMPUTED_VALUE"""),71.8)</f>
        <v>71.8</v>
      </c>
      <c r="D1353" s="1">
        <f>IFERROR(__xludf.DUMMYFUNCTION("""COMPUTED_VALUE"""),70.43)</f>
        <v>70.43</v>
      </c>
      <c r="E1353" s="1">
        <f>IFERROR(__xludf.DUMMYFUNCTION("""COMPUTED_VALUE"""),71.73)</f>
        <v>71.73</v>
      </c>
      <c r="F1353" s="1">
        <f>IFERROR(__xludf.DUMMYFUNCTION("""COMPUTED_VALUE"""),267142.0)</f>
        <v>267142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IFERROR(__xludf.DUMMYFUNCTION("""COMPUTED_VALUE"""),71.91)</f>
        <v>71.91</v>
      </c>
      <c r="C1354" s="1">
        <f>IFERROR(__xludf.DUMMYFUNCTION("""COMPUTED_VALUE"""),72.24)</f>
        <v>72.24</v>
      </c>
      <c r="D1354" s="1">
        <f>IFERROR(__xludf.DUMMYFUNCTION("""COMPUTED_VALUE"""),71.29)</f>
        <v>71.29</v>
      </c>
      <c r="E1354" s="1">
        <f>IFERROR(__xludf.DUMMYFUNCTION("""COMPUTED_VALUE"""),71.69)</f>
        <v>71.69</v>
      </c>
      <c r="F1354" s="1">
        <f>IFERROR(__xludf.DUMMYFUNCTION("""COMPUTED_VALUE"""),270978.0)</f>
        <v>270978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IFERROR(__xludf.DUMMYFUNCTION("""COMPUTED_VALUE"""),71.7)</f>
        <v>71.7</v>
      </c>
      <c r="C1355" s="1">
        <f>IFERROR(__xludf.DUMMYFUNCTION("""COMPUTED_VALUE"""),72.79)</f>
        <v>72.79</v>
      </c>
      <c r="D1355" s="1">
        <f>IFERROR(__xludf.DUMMYFUNCTION("""COMPUTED_VALUE"""),70.85)</f>
        <v>70.85</v>
      </c>
      <c r="E1355" s="1">
        <f>IFERROR(__xludf.DUMMYFUNCTION("""COMPUTED_VALUE"""),72.44)</f>
        <v>72.44</v>
      </c>
      <c r="F1355" s="1">
        <f>IFERROR(__xludf.DUMMYFUNCTION("""COMPUTED_VALUE"""),336146.0)</f>
        <v>336146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IFERROR(__xludf.DUMMYFUNCTION("""COMPUTED_VALUE"""),72.48)</f>
        <v>72.48</v>
      </c>
      <c r="C1356" s="1">
        <f>IFERROR(__xludf.DUMMYFUNCTION("""COMPUTED_VALUE"""),72.85)</f>
        <v>72.85</v>
      </c>
      <c r="D1356" s="1">
        <f>IFERROR(__xludf.DUMMYFUNCTION("""COMPUTED_VALUE"""),71.84)</f>
        <v>71.84</v>
      </c>
      <c r="E1356" s="1">
        <f>IFERROR(__xludf.DUMMYFUNCTION("""COMPUTED_VALUE"""),72.57)</f>
        <v>72.57</v>
      </c>
      <c r="F1356" s="1">
        <f>IFERROR(__xludf.DUMMYFUNCTION("""COMPUTED_VALUE"""),291653.0)</f>
        <v>291653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IFERROR(__xludf.DUMMYFUNCTION("""COMPUTED_VALUE"""),72.45)</f>
        <v>72.45</v>
      </c>
      <c r="C1357" s="1">
        <f>IFERROR(__xludf.DUMMYFUNCTION("""COMPUTED_VALUE"""),72.86)</f>
        <v>72.86</v>
      </c>
      <c r="D1357" s="1">
        <f>IFERROR(__xludf.DUMMYFUNCTION("""COMPUTED_VALUE"""),72.16)</f>
        <v>72.16</v>
      </c>
      <c r="E1357" s="1">
        <f>IFERROR(__xludf.DUMMYFUNCTION("""COMPUTED_VALUE"""),72.62)</f>
        <v>72.62</v>
      </c>
      <c r="F1357" s="1">
        <f>IFERROR(__xludf.DUMMYFUNCTION("""COMPUTED_VALUE"""),213458.0)</f>
        <v>213458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IFERROR(__xludf.DUMMYFUNCTION("""COMPUTED_VALUE"""),72.25)</f>
        <v>72.25</v>
      </c>
      <c r="C1358" s="1">
        <f>IFERROR(__xludf.DUMMYFUNCTION("""COMPUTED_VALUE"""),72.99)</f>
        <v>72.99</v>
      </c>
      <c r="D1358" s="1">
        <f>IFERROR(__xludf.DUMMYFUNCTION("""COMPUTED_VALUE"""),71.79)</f>
        <v>71.79</v>
      </c>
      <c r="E1358" s="1">
        <f>IFERROR(__xludf.DUMMYFUNCTION("""COMPUTED_VALUE"""),72.14)</f>
        <v>72.14</v>
      </c>
      <c r="F1358" s="1">
        <f>IFERROR(__xludf.DUMMYFUNCTION("""COMPUTED_VALUE"""),282302.0)</f>
        <v>282302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IFERROR(__xludf.DUMMYFUNCTION("""COMPUTED_VALUE"""),72.58)</f>
        <v>72.58</v>
      </c>
      <c r="C1359" s="1">
        <f>IFERROR(__xludf.DUMMYFUNCTION("""COMPUTED_VALUE"""),73.07)</f>
        <v>73.07</v>
      </c>
      <c r="D1359" s="1">
        <f>IFERROR(__xludf.DUMMYFUNCTION("""COMPUTED_VALUE"""),71.99)</f>
        <v>71.99</v>
      </c>
      <c r="E1359" s="1">
        <f>IFERROR(__xludf.DUMMYFUNCTION("""COMPUTED_VALUE"""),72.95)</f>
        <v>72.95</v>
      </c>
      <c r="F1359" s="1">
        <f>IFERROR(__xludf.DUMMYFUNCTION("""COMPUTED_VALUE"""),328038.0)</f>
        <v>328038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IFERROR(__xludf.DUMMYFUNCTION("""COMPUTED_VALUE"""),72.77)</f>
        <v>72.77</v>
      </c>
      <c r="C1360" s="1">
        <f>IFERROR(__xludf.DUMMYFUNCTION("""COMPUTED_VALUE"""),73.65)</f>
        <v>73.65</v>
      </c>
      <c r="D1360" s="1">
        <f>IFERROR(__xludf.DUMMYFUNCTION("""COMPUTED_VALUE"""),72.77)</f>
        <v>72.77</v>
      </c>
      <c r="E1360" s="1">
        <f>IFERROR(__xludf.DUMMYFUNCTION("""COMPUTED_VALUE"""),73.55)</f>
        <v>73.55</v>
      </c>
      <c r="F1360" s="1">
        <f>IFERROR(__xludf.DUMMYFUNCTION("""COMPUTED_VALUE"""),339552.0)</f>
        <v>339552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IFERROR(__xludf.DUMMYFUNCTION("""COMPUTED_VALUE"""),73.3)</f>
        <v>73.3</v>
      </c>
      <c r="C1361" s="1">
        <f>IFERROR(__xludf.DUMMYFUNCTION("""COMPUTED_VALUE"""),73.88)</f>
        <v>73.88</v>
      </c>
      <c r="D1361" s="1">
        <f>IFERROR(__xludf.DUMMYFUNCTION("""COMPUTED_VALUE"""),72.23)</f>
        <v>72.23</v>
      </c>
      <c r="E1361" s="1">
        <f>IFERROR(__xludf.DUMMYFUNCTION("""COMPUTED_VALUE"""),72.34)</f>
        <v>72.34</v>
      </c>
      <c r="F1361" s="1">
        <f>IFERROR(__xludf.DUMMYFUNCTION("""COMPUTED_VALUE"""),402601.0)</f>
        <v>402601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IFERROR(__xludf.DUMMYFUNCTION("""COMPUTED_VALUE"""),72.49)</f>
        <v>72.49</v>
      </c>
      <c r="C1362" s="1">
        <f>IFERROR(__xludf.DUMMYFUNCTION("""COMPUTED_VALUE"""),73.04)</f>
        <v>73.04</v>
      </c>
      <c r="D1362" s="1">
        <f>IFERROR(__xludf.DUMMYFUNCTION("""COMPUTED_VALUE"""),71.75)</f>
        <v>71.75</v>
      </c>
      <c r="E1362" s="1">
        <f>IFERROR(__xludf.DUMMYFUNCTION("""COMPUTED_VALUE"""),72.44)</f>
        <v>72.44</v>
      </c>
      <c r="F1362" s="1">
        <f>IFERROR(__xludf.DUMMYFUNCTION("""COMPUTED_VALUE"""),309373.0)</f>
        <v>309373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IFERROR(__xludf.DUMMYFUNCTION("""COMPUTED_VALUE"""),72.33)</f>
        <v>72.33</v>
      </c>
      <c r="C1363" s="1">
        <f>IFERROR(__xludf.DUMMYFUNCTION("""COMPUTED_VALUE"""),73.07)</f>
        <v>73.07</v>
      </c>
      <c r="D1363" s="1">
        <f>IFERROR(__xludf.DUMMYFUNCTION("""COMPUTED_VALUE"""),71.82)</f>
        <v>71.82</v>
      </c>
      <c r="E1363" s="1">
        <f>IFERROR(__xludf.DUMMYFUNCTION("""COMPUTED_VALUE"""),72.6)</f>
        <v>72.6</v>
      </c>
      <c r="F1363" s="1">
        <f>IFERROR(__xludf.DUMMYFUNCTION("""COMPUTED_VALUE"""),187508.0)</f>
        <v>187508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IFERROR(__xludf.DUMMYFUNCTION("""COMPUTED_VALUE"""),73.01)</f>
        <v>73.01</v>
      </c>
      <c r="C1364" s="1">
        <f>IFERROR(__xludf.DUMMYFUNCTION("""COMPUTED_VALUE"""),73.56)</f>
        <v>73.56</v>
      </c>
      <c r="D1364" s="1">
        <f>IFERROR(__xludf.DUMMYFUNCTION("""COMPUTED_VALUE"""),72.29)</f>
        <v>72.29</v>
      </c>
      <c r="E1364" s="1">
        <f>IFERROR(__xludf.DUMMYFUNCTION("""COMPUTED_VALUE"""),73.53)</f>
        <v>73.53</v>
      </c>
      <c r="F1364" s="1">
        <f>IFERROR(__xludf.DUMMYFUNCTION("""COMPUTED_VALUE"""),247938.0)</f>
        <v>247938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IFERROR(__xludf.DUMMYFUNCTION("""COMPUTED_VALUE"""),73.11)</f>
        <v>73.11</v>
      </c>
      <c r="C1365" s="1">
        <f>IFERROR(__xludf.DUMMYFUNCTION("""COMPUTED_VALUE"""),73.89)</f>
        <v>73.89</v>
      </c>
      <c r="D1365" s="1">
        <f>IFERROR(__xludf.DUMMYFUNCTION("""COMPUTED_VALUE"""),72.58)</f>
        <v>72.58</v>
      </c>
      <c r="E1365" s="1">
        <f>IFERROR(__xludf.DUMMYFUNCTION("""COMPUTED_VALUE"""),73.15)</f>
        <v>73.15</v>
      </c>
      <c r="F1365" s="1">
        <f>IFERROR(__xludf.DUMMYFUNCTION("""COMPUTED_VALUE"""),222484.0)</f>
        <v>222484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IFERROR(__xludf.DUMMYFUNCTION("""COMPUTED_VALUE"""),72.91)</f>
        <v>72.91</v>
      </c>
      <c r="C1366" s="1">
        <f>IFERROR(__xludf.DUMMYFUNCTION("""COMPUTED_VALUE"""),73.48)</f>
        <v>73.48</v>
      </c>
      <c r="D1366" s="1">
        <f>IFERROR(__xludf.DUMMYFUNCTION("""COMPUTED_VALUE"""),71.98)</f>
        <v>71.98</v>
      </c>
      <c r="E1366" s="1">
        <f>IFERROR(__xludf.DUMMYFUNCTION("""COMPUTED_VALUE"""),73.2)</f>
        <v>73.2</v>
      </c>
      <c r="F1366" s="1">
        <f>IFERROR(__xludf.DUMMYFUNCTION("""COMPUTED_VALUE"""),174342.0)</f>
        <v>174342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IFERROR(__xludf.DUMMYFUNCTION("""COMPUTED_VALUE"""),73.1)</f>
        <v>73.1</v>
      </c>
      <c r="C1367" s="1">
        <f>IFERROR(__xludf.DUMMYFUNCTION("""COMPUTED_VALUE"""),74.05)</f>
        <v>74.05</v>
      </c>
      <c r="D1367" s="1">
        <f>IFERROR(__xludf.DUMMYFUNCTION("""COMPUTED_VALUE"""),73.09)</f>
        <v>73.09</v>
      </c>
      <c r="E1367" s="1">
        <f>IFERROR(__xludf.DUMMYFUNCTION("""COMPUTED_VALUE"""),73.46)</f>
        <v>73.46</v>
      </c>
      <c r="F1367" s="1">
        <f>IFERROR(__xludf.DUMMYFUNCTION("""COMPUTED_VALUE"""),257897.0)</f>
        <v>257897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IFERROR(__xludf.DUMMYFUNCTION("""COMPUTED_VALUE"""),73.29)</f>
        <v>73.29</v>
      </c>
      <c r="C1368" s="1">
        <f>IFERROR(__xludf.DUMMYFUNCTION("""COMPUTED_VALUE"""),73.85)</f>
        <v>73.85</v>
      </c>
      <c r="D1368" s="1">
        <f>IFERROR(__xludf.DUMMYFUNCTION("""COMPUTED_VALUE"""),72.7)</f>
        <v>72.7</v>
      </c>
      <c r="E1368" s="1">
        <f>IFERROR(__xludf.DUMMYFUNCTION("""COMPUTED_VALUE"""),72.91)</f>
        <v>72.91</v>
      </c>
      <c r="F1368" s="1">
        <f>IFERROR(__xludf.DUMMYFUNCTION("""COMPUTED_VALUE"""),244698.0)</f>
        <v>244698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IFERROR(__xludf.DUMMYFUNCTION("""COMPUTED_VALUE"""),73.07)</f>
        <v>73.07</v>
      </c>
      <c r="C1369" s="1">
        <f>IFERROR(__xludf.DUMMYFUNCTION("""COMPUTED_VALUE"""),74.04)</f>
        <v>74.04</v>
      </c>
      <c r="D1369" s="1">
        <f>IFERROR(__xludf.DUMMYFUNCTION("""COMPUTED_VALUE"""),72.71)</f>
        <v>72.71</v>
      </c>
      <c r="E1369" s="1">
        <f>IFERROR(__xludf.DUMMYFUNCTION("""COMPUTED_VALUE"""),73.45)</f>
        <v>73.45</v>
      </c>
      <c r="F1369" s="1">
        <f>IFERROR(__xludf.DUMMYFUNCTION("""COMPUTED_VALUE"""),219298.0)</f>
        <v>219298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IFERROR(__xludf.DUMMYFUNCTION("""COMPUTED_VALUE"""),73.68)</f>
        <v>73.68</v>
      </c>
      <c r="C1370" s="1">
        <f>IFERROR(__xludf.DUMMYFUNCTION("""COMPUTED_VALUE"""),74.07)</f>
        <v>74.07</v>
      </c>
      <c r="D1370" s="1">
        <f>IFERROR(__xludf.DUMMYFUNCTION("""COMPUTED_VALUE"""),73.57)</f>
        <v>73.57</v>
      </c>
      <c r="E1370" s="1">
        <f>IFERROR(__xludf.DUMMYFUNCTION("""COMPUTED_VALUE"""),73.75)</f>
        <v>73.75</v>
      </c>
      <c r="F1370" s="1">
        <f>IFERROR(__xludf.DUMMYFUNCTION("""COMPUTED_VALUE"""),271542.0)</f>
        <v>271542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IFERROR(__xludf.DUMMYFUNCTION("""COMPUTED_VALUE"""),73.42)</f>
        <v>73.42</v>
      </c>
      <c r="C1371" s="1">
        <f>IFERROR(__xludf.DUMMYFUNCTION("""COMPUTED_VALUE"""),73.52)</f>
        <v>73.52</v>
      </c>
      <c r="D1371" s="1">
        <f>IFERROR(__xludf.DUMMYFUNCTION("""COMPUTED_VALUE"""),72.64)</f>
        <v>72.64</v>
      </c>
      <c r="E1371" s="1">
        <f>IFERROR(__xludf.DUMMYFUNCTION("""COMPUTED_VALUE"""),72.8)</f>
        <v>72.8</v>
      </c>
      <c r="F1371" s="1">
        <f>IFERROR(__xludf.DUMMYFUNCTION("""COMPUTED_VALUE"""),248191.0)</f>
        <v>248191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IFERROR(__xludf.DUMMYFUNCTION("""COMPUTED_VALUE"""),72.34)</f>
        <v>72.34</v>
      </c>
      <c r="C1372" s="1">
        <f>IFERROR(__xludf.DUMMYFUNCTION("""COMPUTED_VALUE"""),72.53)</f>
        <v>72.53</v>
      </c>
      <c r="D1372" s="1">
        <f>IFERROR(__xludf.DUMMYFUNCTION("""COMPUTED_VALUE"""),71.34)</f>
        <v>71.34</v>
      </c>
      <c r="E1372" s="1">
        <f>IFERROR(__xludf.DUMMYFUNCTION("""COMPUTED_VALUE"""),72.4)</f>
        <v>72.4</v>
      </c>
      <c r="F1372" s="1">
        <f>IFERROR(__xludf.DUMMYFUNCTION("""COMPUTED_VALUE"""),214429.0)</f>
        <v>214429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IFERROR(__xludf.DUMMYFUNCTION("""COMPUTED_VALUE"""),72.46)</f>
        <v>72.46</v>
      </c>
      <c r="C1373" s="1">
        <f>IFERROR(__xludf.DUMMYFUNCTION("""COMPUTED_VALUE"""),73.2)</f>
        <v>73.2</v>
      </c>
      <c r="D1373" s="1">
        <f>IFERROR(__xludf.DUMMYFUNCTION("""COMPUTED_VALUE"""),72.29)</f>
        <v>72.29</v>
      </c>
      <c r="E1373" s="1">
        <f>IFERROR(__xludf.DUMMYFUNCTION("""COMPUTED_VALUE"""),72.38)</f>
        <v>72.38</v>
      </c>
      <c r="F1373" s="1">
        <f>IFERROR(__xludf.DUMMYFUNCTION("""COMPUTED_VALUE"""),252377.0)</f>
        <v>252377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IFERROR(__xludf.DUMMYFUNCTION("""COMPUTED_VALUE"""),72.65)</f>
        <v>72.65</v>
      </c>
      <c r="C1374" s="1">
        <f>IFERROR(__xludf.DUMMYFUNCTION("""COMPUTED_VALUE"""),72.89)</f>
        <v>72.89</v>
      </c>
      <c r="D1374" s="1">
        <f>IFERROR(__xludf.DUMMYFUNCTION("""COMPUTED_VALUE"""),71.91)</f>
        <v>71.91</v>
      </c>
      <c r="E1374" s="1">
        <f>IFERROR(__xludf.DUMMYFUNCTION("""COMPUTED_VALUE"""),72.01)</f>
        <v>72.01</v>
      </c>
      <c r="F1374" s="1">
        <f>IFERROR(__xludf.DUMMYFUNCTION("""COMPUTED_VALUE"""),347883.0)</f>
        <v>347883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IFERROR(__xludf.DUMMYFUNCTION("""COMPUTED_VALUE"""),72.26)</f>
        <v>72.26</v>
      </c>
      <c r="C1375" s="1">
        <f>IFERROR(__xludf.DUMMYFUNCTION("""COMPUTED_VALUE"""),73.99)</f>
        <v>73.99</v>
      </c>
      <c r="D1375" s="1">
        <f>IFERROR(__xludf.DUMMYFUNCTION("""COMPUTED_VALUE"""),72.13)</f>
        <v>72.13</v>
      </c>
      <c r="E1375" s="1">
        <f>IFERROR(__xludf.DUMMYFUNCTION("""COMPUTED_VALUE"""),73.56)</f>
        <v>73.56</v>
      </c>
      <c r="F1375" s="1">
        <f>IFERROR(__xludf.DUMMYFUNCTION("""COMPUTED_VALUE"""),371546.0)</f>
        <v>371546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IFERROR(__xludf.DUMMYFUNCTION("""COMPUTED_VALUE"""),73.49)</f>
        <v>73.49</v>
      </c>
      <c r="C1376" s="1">
        <f>IFERROR(__xludf.DUMMYFUNCTION("""COMPUTED_VALUE"""),73.96)</f>
        <v>73.96</v>
      </c>
      <c r="D1376" s="1">
        <f>IFERROR(__xludf.DUMMYFUNCTION("""COMPUTED_VALUE"""),72.82)</f>
        <v>72.82</v>
      </c>
      <c r="E1376" s="1">
        <f>IFERROR(__xludf.DUMMYFUNCTION("""COMPUTED_VALUE"""),73.67)</f>
        <v>73.67</v>
      </c>
      <c r="F1376" s="1">
        <f>IFERROR(__xludf.DUMMYFUNCTION("""COMPUTED_VALUE"""),329157.0)</f>
        <v>329157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IFERROR(__xludf.DUMMYFUNCTION("""COMPUTED_VALUE"""),74.16)</f>
        <v>74.16</v>
      </c>
      <c r="C1377" s="1">
        <f>IFERROR(__xludf.DUMMYFUNCTION("""COMPUTED_VALUE"""),74.82)</f>
        <v>74.82</v>
      </c>
      <c r="D1377" s="1">
        <f>IFERROR(__xludf.DUMMYFUNCTION("""COMPUTED_VALUE"""),73.68)</f>
        <v>73.68</v>
      </c>
      <c r="E1377" s="1">
        <f>IFERROR(__xludf.DUMMYFUNCTION("""COMPUTED_VALUE"""),74.73)</f>
        <v>74.73</v>
      </c>
      <c r="F1377" s="1">
        <f>IFERROR(__xludf.DUMMYFUNCTION("""COMPUTED_VALUE"""),260147.0)</f>
        <v>260147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IFERROR(__xludf.DUMMYFUNCTION("""COMPUTED_VALUE"""),74.74)</f>
        <v>74.74</v>
      </c>
      <c r="C1378" s="1">
        <f>IFERROR(__xludf.DUMMYFUNCTION("""COMPUTED_VALUE"""),74.97)</f>
        <v>74.97</v>
      </c>
      <c r="D1378" s="1">
        <f>IFERROR(__xludf.DUMMYFUNCTION("""COMPUTED_VALUE"""),74.26)</f>
        <v>74.26</v>
      </c>
      <c r="E1378" s="1">
        <f>IFERROR(__xludf.DUMMYFUNCTION("""COMPUTED_VALUE"""),74.61)</f>
        <v>74.61</v>
      </c>
      <c r="F1378" s="1">
        <f>IFERROR(__xludf.DUMMYFUNCTION("""COMPUTED_VALUE"""),201549.0)</f>
        <v>201549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IFERROR(__xludf.DUMMYFUNCTION("""COMPUTED_VALUE"""),74.04)</f>
        <v>74.04</v>
      </c>
      <c r="C1379" s="1">
        <f>IFERROR(__xludf.DUMMYFUNCTION("""COMPUTED_VALUE"""),74.33)</f>
        <v>74.33</v>
      </c>
      <c r="D1379" s="1">
        <f>IFERROR(__xludf.DUMMYFUNCTION("""COMPUTED_VALUE"""),73.02)</f>
        <v>73.02</v>
      </c>
      <c r="E1379" s="1">
        <f>IFERROR(__xludf.DUMMYFUNCTION("""COMPUTED_VALUE"""),73.14)</f>
        <v>73.14</v>
      </c>
      <c r="F1379" s="1">
        <f>IFERROR(__xludf.DUMMYFUNCTION("""COMPUTED_VALUE"""),233373.0)</f>
        <v>233373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IFERROR(__xludf.DUMMYFUNCTION("""COMPUTED_VALUE"""),73.29)</f>
        <v>73.29</v>
      </c>
      <c r="C1380" s="1">
        <f>IFERROR(__xludf.DUMMYFUNCTION("""COMPUTED_VALUE"""),73.37)</f>
        <v>73.37</v>
      </c>
      <c r="D1380" s="1">
        <f>IFERROR(__xludf.DUMMYFUNCTION("""COMPUTED_VALUE"""),72.04)</f>
        <v>72.04</v>
      </c>
      <c r="E1380" s="1">
        <f>IFERROR(__xludf.DUMMYFUNCTION("""COMPUTED_VALUE"""),72.85)</f>
        <v>72.85</v>
      </c>
      <c r="F1380" s="1">
        <f>IFERROR(__xludf.DUMMYFUNCTION("""COMPUTED_VALUE"""),263489.0)</f>
        <v>263489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IFERROR(__xludf.DUMMYFUNCTION("""COMPUTED_VALUE"""),72.92)</f>
        <v>72.92</v>
      </c>
      <c r="C1381" s="1">
        <f>IFERROR(__xludf.DUMMYFUNCTION("""COMPUTED_VALUE"""),72.92)</f>
        <v>72.92</v>
      </c>
      <c r="D1381" s="1">
        <f>IFERROR(__xludf.DUMMYFUNCTION("""COMPUTED_VALUE"""),71.19)</f>
        <v>71.19</v>
      </c>
      <c r="E1381" s="1">
        <f>IFERROR(__xludf.DUMMYFUNCTION("""COMPUTED_VALUE"""),71.69)</f>
        <v>71.69</v>
      </c>
      <c r="F1381" s="1">
        <f>IFERROR(__xludf.DUMMYFUNCTION("""COMPUTED_VALUE"""),805282.0)</f>
        <v>805282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IFERROR(__xludf.DUMMYFUNCTION("""COMPUTED_VALUE"""),71.3)</f>
        <v>71.3</v>
      </c>
      <c r="C1382" s="1">
        <f>IFERROR(__xludf.DUMMYFUNCTION("""COMPUTED_VALUE"""),71.83)</f>
        <v>71.83</v>
      </c>
      <c r="D1382" s="1">
        <f>IFERROR(__xludf.DUMMYFUNCTION("""COMPUTED_VALUE"""),70.12)</f>
        <v>70.12</v>
      </c>
      <c r="E1382" s="1">
        <f>IFERROR(__xludf.DUMMYFUNCTION("""COMPUTED_VALUE"""),70.37)</f>
        <v>70.37</v>
      </c>
      <c r="F1382" s="1">
        <f>IFERROR(__xludf.DUMMYFUNCTION("""COMPUTED_VALUE"""),526202.0)</f>
        <v>526202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IFERROR(__xludf.DUMMYFUNCTION("""COMPUTED_VALUE"""),71.06)</f>
        <v>71.06</v>
      </c>
      <c r="C1383" s="1">
        <f>IFERROR(__xludf.DUMMYFUNCTION("""COMPUTED_VALUE"""),71.27)</f>
        <v>71.27</v>
      </c>
      <c r="D1383" s="1">
        <f>IFERROR(__xludf.DUMMYFUNCTION("""COMPUTED_VALUE"""),70.15)</f>
        <v>70.15</v>
      </c>
      <c r="E1383" s="1">
        <f>IFERROR(__xludf.DUMMYFUNCTION("""COMPUTED_VALUE"""),70.34)</f>
        <v>70.34</v>
      </c>
      <c r="F1383" s="1">
        <f>IFERROR(__xludf.DUMMYFUNCTION("""COMPUTED_VALUE"""),467462.0)</f>
        <v>467462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IFERROR(__xludf.DUMMYFUNCTION("""COMPUTED_VALUE"""),71.1)</f>
        <v>71.1</v>
      </c>
      <c r="C1384" s="1">
        <f>IFERROR(__xludf.DUMMYFUNCTION("""COMPUTED_VALUE"""),72.01)</f>
        <v>72.01</v>
      </c>
      <c r="D1384" s="1">
        <f>IFERROR(__xludf.DUMMYFUNCTION("""COMPUTED_VALUE"""),69.79)</f>
        <v>69.79</v>
      </c>
      <c r="E1384" s="1">
        <f>IFERROR(__xludf.DUMMYFUNCTION("""COMPUTED_VALUE"""),70.01)</f>
        <v>70.01</v>
      </c>
      <c r="F1384" s="1">
        <f>IFERROR(__xludf.DUMMYFUNCTION("""COMPUTED_VALUE"""),435290.0)</f>
        <v>435290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IFERROR(__xludf.DUMMYFUNCTION("""COMPUTED_VALUE"""),70.0)</f>
        <v>70</v>
      </c>
      <c r="C1385" s="1">
        <f>IFERROR(__xludf.DUMMYFUNCTION("""COMPUTED_VALUE"""),70.0)</f>
        <v>70</v>
      </c>
      <c r="D1385" s="1">
        <f>IFERROR(__xludf.DUMMYFUNCTION("""COMPUTED_VALUE"""),68.67)</f>
        <v>68.67</v>
      </c>
      <c r="E1385" s="1">
        <f>IFERROR(__xludf.DUMMYFUNCTION("""COMPUTED_VALUE"""),69.54)</f>
        <v>69.54</v>
      </c>
      <c r="F1385" s="1">
        <f>IFERROR(__xludf.DUMMYFUNCTION("""COMPUTED_VALUE"""),734761.0)</f>
        <v>734761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IFERROR(__xludf.DUMMYFUNCTION("""COMPUTED_VALUE"""),68.97)</f>
        <v>68.97</v>
      </c>
      <c r="C1386" s="1">
        <f>IFERROR(__xludf.DUMMYFUNCTION("""COMPUTED_VALUE"""),70.44)</f>
        <v>70.44</v>
      </c>
      <c r="D1386" s="1">
        <f>IFERROR(__xludf.DUMMYFUNCTION("""COMPUTED_VALUE"""),68.66)</f>
        <v>68.66</v>
      </c>
      <c r="E1386" s="1">
        <f>IFERROR(__xludf.DUMMYFUNCTION("""COMPUTED_VALUE"""),70.13)</f>
        <v>70.13</v>
      </c>
      <c r="F1386" s="1">
        <f>IFERROR(__xludf.DUMMYFUNCTION("""COMPUTED_VALUE"""),2009161.0)</f>
        <v>2009161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IFERROR(__xludf.DUMMYFUNCTION("""COMPUTED_VALUE"""),70.28)</f>
        <v>70.28</v>
      </c>
      <c r="C1387" s="1">
        <f>IFERROR(__xludf.DUMMYFUNCTION("""COMPUTED_VALUE"""),70.97)</f>
        <v>70.97</v>
      </c>
      <c r="D1387" s="1">
        <f>IFERROR(__xludf.DUMMYFUNCTION("""COMPUTED_VALUE"""),69.25)</f>
        <v>69.25</v>
      </c>
      <c r="E1387" s="1">
        <f>IFERROR(__xludf.DUMMYFUNCTION("""COMPUTED_VALUE"""),70.41)</f>
        <v>70.41</v>
      </c>
      <c r="F1387" s="1">
        <f>IFERROR(__xludf.DUMMYFUNCTION("""COMPUTED_VALUE"""),524111.0)</f>
        <v>524111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IFERROR(__xludf.DUMMYFUNCTION("""COMPUTED_VALUE"""),69.85)</f>
        <v>69.85</v>
      </c>
      <c r="C1388" s="1">
        <f>IFERROR(__xludf.DUMMYFUNCTION("""COMPUTED_VALUE"""),70.46)</f>
        <v>70.46</v>
      </c>
      <c r="D1388" s="1">
        <f>IFERROR(__xludf.DUMMYFUNCTION("""COMPUTED_VALUE"""),68.92)</f>
        <v>68.92</v>
      </c>
      <c r="E1388" s="1">
        <f>IFERROR(__xludf.DUMMYFUNCTION("""COMPUTED_VALUE"""),68.92)</f>
        <v>68.92</v>
      </c>
      <c r="F1388" s="1">
        <f>IFERROR(__xludf.DUMMYFUNCTION("""COMPUTED_VALUE"""),441040.0)</f>
        <v>441040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IFERROR(__xludf.DUMMYFUNCTION("""COMPUTED_VALUE"""),70.28)</f>
        <v>70.28</v>
      </c>
      <c r="C1389" s="1">
        <f>IFERROR(__xludf.DUMMYFUNCTION("""COMPUTED_VALUE"""),72.36)</f>
        <v>72.36</v>
      </c>
      <c r="D1389" s="1">
        <f>IFERROR(__xludf.DUMMYFUNCTION("""COMPUTED_VALUE"""),70.24)</f>
        <v>70.24</v>
      </c>
      <c r="E1389" s="1">
        <f>IFERROR(__xludf.DUMMYFUNCTION("""COMPUTED_VALUE"""),71.98)</f>
        <v>71.98</v>
      </c>
      <c r="F1389" s="1">
        <f>IFERROR(__xludf.DUMMYFUNCTION("""COMPUTED_VALUE"""),528558.0)</f>
        <v>528558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IFERROR(__xludf.DUMMYFUNCTION("""COMPUTED_VALUE"""),74.03)</f>
        <v>74.03</v>
      </c>
      <c r="C1390" s="1">
        <f>IFERROR(__xludf.DUMMYFUNCTION("""COMPUTED_VALUE"""),74.03)</f>
        <v>74.03</v>
      </c>
      <c r="D1390" s="1">
        <f>IFERROR(__xludf.DUMMYFUNCTION("""COMPUTED_VALUE"""),72.8)</f>
        <v>72.8</v>
      </c>
      <c r="E1390" s="1">
        <f>IFERROR(__xludf.DUMMYFUNCTION("""COMPUTED_VALUE"""),73.29)</f>
        <v>73.29</v>
      </c>
      <c r="F1390" s="1">
        <f>IFERROR(__xludf.DUMMYFUNCTION("""COMPUTED_VALUE"""),557591.0)</f>
        <v>557591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IFERROR(__xludf.DUMMYFUNCTION("""COMPUTED_VALUE"""),73.94)</f>
        <v>73.94</v>
      </c>
      <c r="C1391" s="1">
        <f>IFERROR(__xludf.DUMMYFUNCTION("""COMPUTED_VALUE"""),74.43)</f>
        <v>74.43</v>
      </c>
      <c r="D1391" s="1">
        <f>IFERROR(__xludf.DUMMYFUNCTION("""COMPUTED_VALUE"""),73.64)</f>
        <v>73.64</v>
      </c>
      <c r="E1391" s="1">
        <f>IFERROR(__xludf.DUMMYFUNCTION("""COMPUTED_VALUE"""),74.27)</f>
        <v>74.27</v>
      </c>
      <c r="F1391" s="1">
        <f>IFERROR(__xludf.DUMMYFUNCTION("""COMPUTED_VALUE"""),324268.0)</f>
        <v>324268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IFERROR(__xludf.DUMMYFUNCTION("""COMPUTED_VALUE"""),74.37)</f>
        <v>74.37</v>
      </c>
      <c r="C1392" s="1">
        <f>IFERROR(__xludf.DUMMYFUNCTION("""COMPUTED_VALUE"""),75.0)</f>
        <v>75</v>
      </c>
      <c r="D1392" s="1">
        <f>IFERROR(__xludf.DUMMYFUNCTION("""COMPUTED_VALUE"""),74.02)</f>
        <v>74.02</v>
      </c>
      <c r="E1392" s="1">
        <f>IFERROR(__xludf.DUMMYFUNCTION("""COMPUTED_VALUE"""),74.71)</f>
        <v>74.71</v>
      </c>
      <c r="F1392" s="1">
        <f>IFERROR(__xludf.DUMMYFUNCTION("""COMPUTED_VALUE"""),418064.0)</f>
        <v>418064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IFERROR(__xludf.DUMMYFUNCTION("""COMPUTED_VALUE"""),74.98)</f>
        <v>74.98</v>
      </c>
      <c r="C1393" s="1">
        <f>IFERROR(__xludf.DUMMYFUNCTION("""COMPUTED_VALUE"""),75.7)</f>
        <v>75.7</v>
      </c>
      <c r="D1393" s="1">
        <f>IFERROR(__xludf.DUMMYFUNCTION("""COMPUTED_VALUE"""),74.44)</f>
        <v>74.44</v>
      </c>
      <c r="E1393" s="1">
        <f>IFERROR(__xludf.DUMMYFUNCTION("""COMPUTED_VALUE"""),74.89)</f>
        <v>74.89</v>
      </c>
      <c r="F1393" s="1">
        <f>IFERROR(__xludf.DUMMYFUNCTION("""COMPUTED_VALUE"""),375527.0)</f>
        <v>375527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IFERROR(__xludf.DUMMYFUNCTION("""COMPUTED_VALUE"""),75.71)</f>
        <v>75.71</v>
      </c>
      <c r="C1394" s="1">
        <f>IFERROR(__xludf.DUMMYFUNCTION("""COMPUTED_VALUE"""),75.71)</f>
        <v>75.71</v>
      </c>
      <c r="D1394" s="1">
        <f>IFERROR(__xludf.DUMMYFUNCTION("""COMPUTED_VALUE"""),74.09)</f>
        <v>74.09</v>
      </c>
      <c r="E1394" s="1">
        <f>IFERROR(__xludf.DUMMYFUNCTION("""COMPUTED_VALUE"""),75.12)</f>
        <v>75.12</v>
      </c>
      <c r="F1394" s="1">
        <f>IFERROR(__xludf.DUMMYFUNCTION("""COMPUTED_VALUE"""),266270.0)</f>
        <v>266270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IFERROR(__xludf.DUMMYFUNCTION("""COMPUTED_VALUE"""),75.27)</f>
        <v>75.27</v>
      </c>
      <c r="C1395" s="1">
        <f>IFERROR(__xludf.DUMMYFUNCTION("""COMPUTED_VALUE"""),75.57)</f>
        <v>75.57</v>
      </c>
      <c r="D1395" s="1">
        <f>IFERROR(__xludf.DUMMYFUNCTION("""COMPUTED_VALUE"""),74.93)</f>
        <v>74.93</v>
      </c>
      <c r="E1395" s="1">
        <f>IFERROR(__xludf.DUMMYFUNCTION("""COMPUTED_VALUE"""),75.21)</f>
        <v>75.21</v>
      </c>
      <c r="F1395" s="1">
        <f>IFERROR(__xludf.DUMMYFUNCTION("""COMPUTED_VALUE"""),705275.0)</f>
        <v>705275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IFERROR(__xludf.DUMMYFUNCTION("""COMPUTED_VALUE"""),75.53)</f>
        <v>75.53</v>
      </c>
      <c r="C1396" s="1">
        <f>IFERROR(__xludf.DUMMYFUNCTION("""COMPUTED_VALUE"""),76.13)</f>
        <v>76.13</v>
      </c>
      <c r="D1396" s="1">
        <f>IFERROR(__xludf.DUMMYFUNCTION("""COMPUTED_VALUE"""),75.0)</f>
        <v>75</v>
      </c>
      <c r="E1396" s="1">
        <f>IFERROR(__xludf.DUMMYFUNCTION("""COMPUTED_VALUE"""),75.83)</f>
        <v>75.83</v>
      </c>
      <c r="F1396" s="1">
        <f>IFERROR(__xludf.DUMMYFUNCTION("""COMPUTED_VALUE"""),495627.0)</f>
        <v>495627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IFERROR(__xludf.DUMMYFUNCTION("""COMPUTED_VALUE"""),75.87)</f>
        <v>75.87</v>
      </c>
      <c r="C1397" s="1">
        <f>IFERROR(__xludf.DUMMYFUNCTION("""COMPUTED_VALUE"""),76.14)</f>
        <v>76.14</v>
      </c>
      <c r="D1397" s="1">
        <f>IFERROR(__xludf.DUMMYFUNCTION("""COMPUTED_VALUE"""),74.07)</f>
        <v>74.07</v>
      </c>
      <c r="E1397" s="1">
        <f>IFERROR(__xludf.DUMMYFUNCTION("""COMPUTED_VALUE"""),75.44)</f>
        <v>75.44</v>
      </c>
      <c r="F1397" s="1">
        <f>IFERROR(__xludf.DUMMYFUNCTION("""COMPUTED_VALUE"""),339903.0)</f>
        <v>339903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IFERROR(__xludf.DUMMYFUNCTION("""COMPUTED_VALUE"""),75.16)</f>
        <v>75.16</v>
      </c>
      <c r="C1398" s="1">
        <f>IFERROR(__xludf.DUMMYFUNCTION("""COMPUTED_VALUE"""),76.68)</f>
        <v>76.68</v>
      </c>
      <c r="D1398" s="1">
        <f>IFERROR(__xludf.DUMMYFUNCTION("""COMPUTED_VALUE"""),74.78)</f>
        <v>74.78</v>
      </c>
      <c r="E1398" s="1">
        <f>IFERROR(__xludf.DUMMYFUNCTION("""COMPUTED_VALUE"""),75.86)</f>
        <v>75.86</v>
      </c>
      <c r="F1398" s="1">
        <f>IFERROR(__xludf.DUMMYFUNCTION("""COMPUTED_VALUE"""),487692.0)</f>
        <v>487692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IFERROR(__xludf.DUMMYFUNCTION("""COMPUTED_VALUE"""),75.91)</f>
        <v>75.91</v>
      </c>
      <c r="C1399" s="1">
        <f>IFERROR(__xludf.DUMMYFUNCTION("""COMPUTED_VALUE"""),76.11)</f>
        <v>76.11</v>
      </c>
      <c r="D1399" s="1">
        <f>IFERROR(__xludf.DUMMYFUNCTION("""COMPUTED_VALUE"""),75.06)</f>
        <v>75.06</v>
      </c>
      <c r="E1399" s="1">
        <f>IFERROR(__xludf.DUMMYFUNCTION("""COMPUTED_VALUE"""),75.79)</f>
        <v>75.79</v>
      </c>
      <c r="F1399" s="1">
        <f>IFERROR(__xludf.DUMMYFUNCTION("""COMPUTED_VALUE"""),250407.0)</f>
        <v>250407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IFERROR(__xludf.DUMMYFUNCTION("""COMPUTED_VALUE"""),75.41)</f>
        <v>75.41</v>
      </c>
      <c r="C1400" s="1">
        <f>IFERROR(__xludf.DUMMYFUNCTION("""COMPUTED_VALUE"""),76.14)</f>
        <v>76.14</v>
      </c>
      <c r="D1400" s="1">
        <f>IFERROR(__xludf.DUMMYFUNCTION("""COMPUTED_VALUE"""),74.47)</f>
        <v>74.47</v>
      </c>
      <c r="E1400" s="1">
        <f>IFERROR(__xludf.DUMMYFUNCTION("""COMPUTED_VALUE"""),75.12)</f>
        <v>75.12</v>
      </c>
      <c r="F1400" s="1">
        <f>IFERROR(__xludf.DUMMYFUNCTION("""COMPUTED_VALUE"""),384744.0)</f>
        <v>384744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IFERROR(__xludf.DUMMYFUNCTION("""COMPUTED_VALUE"""),74.55)</f>
        <v>74.55</v>
      </c>
      <c r="C1401" s="1">
        <f>IFERROR(__xludf.DUMMYFUNCTION("""COMPUTED_VALUE"""),75.41)</f>
        <v>75.41</v>
      </c>
      <c r="D1401" s="1">
        <f>IFERROR(__xludf.DUMMYFUNCTION("""COMPUTED_VALUE"""),74.15)</f>
        <v>74.15</v>
      </c>
      <c r="E1401" s="1">
        <f>IFERROR(__xludf.DUMMYFUNCTION("""COMPUTED_VALUE"""),75.03)</f>
        <v>75.03</v>
      </c>
      <c r="F1401" s="1">
        <f>IFERROR(__xludf.DUMMYFUNCTION("""COMPUTED_VALUE"""),365268.0)</f>
        <v>365268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IFERROR(__xludf.DUMMYFUNCTION("""COMPUTED_VALUE"""),75.52)</f>
        <v>75.52</v>
      </c>
      <c r="C1402" s="1">
        <f>IFERROR(__xludf.DUMMYFUNCTION("""COMPUTED_VALUE"""),76.42)</f>
        <v>76.42</v>
      </c>
      <c r="D1402" s="1">
        <f>IFERROR(__xludf.DUMMYFUNCTION("""COMPUTED_VALUE"""),74.82)</f>
        <v>74.82</v>
      </c>
      <c r="E1402" s="1">
        <f>IFERROR(__xludf.DUMMYFUNCTION("""COMPUTED_VALUE"""),76.35)</f>
        <v>76.35</v>
      </c>
      <c r="F1402" s="1">
        <f>IFERROR(__xludf.DUMMYFUNCTION("""COMPUTED_VALUE"""),377142.0)</f>
        <v>377142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IFERROR(__xludf.DUMMYFUNCTION("""COMPUTED_VALUE"""),76.51)</f>
        <v>76.51</v>
      </c>
      <c r="C1403" s="1">
        <f>IFERROR(__xludf.DUMMYFUNCTION("""COMPUTED_VALUE"""),77.16)</f>
        <v>77.16</v>
      </c>
      <c r="D1403" s="1">
        <f>IFERROR(__xludf.DUMMYFUNCTION("""COMPUTED_VALUE"""),75.88)</f>
        <v>75.88</v>
      </c>
      <c r="E1403" s="1">
        <f>IFERROR(__xludf.DUMMYFUNCTION("""COMPUTED_VALUE"""),76.52)</f>
        <v>76.52</v>
      </c>
      <c r="F1403" s="1">
        <f>IFERROR(__xludf.DUMMYFUNCTION("""COMPUTED_VALUE"""),358915.0)</f>
        <v>358915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IFERROR(__xludf.DUMMYFUNCTION("""COMPUTED_VALUE"""),66.51)</f>
        <v>66.51</v>
      </c>
      <c r="C1404" s="1">
        <f>IFERROR(__xludf.DUMMYFUNCTION("""COMPUTED_VALUE"""),75.75)</f>
        <v>75.75</v>
      </c>
      <c r="D1404" s="1">
        <f>IFERROR(__xludf.DUMMYFUNCTION("""COMPUTED_VALUE"""),66.3)</f>
        <v>66.3</v>
      </c>
      <c r="E1404" s="1">
        <f>IFERROR(__xludf.DUMMYFUNCTION("""COMPUTED_VALUE"""),74.44)</f>
        <v>74.44</v>
      </c>
      <c r="F1404" s="1">
        <f>IFERROR(__xludf.DUMMYFUNCTION("""COMPUTED_VALUE"""),1034901.0)</f>
        <v>1034901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IFERROR(__xludf.DUMMYFUNCTION("""COMPUTED_VALUE"""),74.48)</f>
        <v>74.48</v>
      </c>
      <c r="C1405" s="1">
        <f>IFERROR(__xludf.DUMMYFUNCTION("""COMPUTED_VALUE"""),78.5)</f>
        <v>78.5</v>
      </c>
      <c r="D1405" s="1">
        <f>IFERROR(__xludf.DUMMYFUNCTION("""COMPUTED_VALUE"""),73.18)</f>
        <v>73.18</v>
      </c>
      <c r="E1405" s="1">
        <f>IFERROR(__xludf.DUMMYFUNCTION("""COMPUTED_VALUE"""),77.62)</f>
        <v>77.62</v>
      </c>
      <c r="F1405" s="1">
        <f>IFERROR(__xludf.DUMMYFUNCTION("""COMPUTED_VALUE"""),1061598.0)</f>
        <v>1061598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IFERROR(__xludf.DUMMYFUNCTION("""COMPUTED_VALUE"""),77.65)</f>
        <v>77.65</v>
      </c>
      <c r="C1406" s="1">
        <f>IFERROR(__xludf.DUMMYFUNCTION("""COMPUTED_VALUE"""),78.22)</f>
        <v>78.22</v>
      </c>
      <c r="D1406" s="1">
        <f>IFERROR(__xludf.DUMMYFUNCTION("""COMPUTED_VALUE"""),75.98)</f>
        <v>75.98</v>
      </c>
      <c r="E1406" s="1">
        <f>IFERROR(__xludf.DUMMYFUNCTION("""COMPUTED_VALUE"""),76.86)</f>
        <v>76.86</v>
      </c>
      <c r="F1406" s="1">
        <f>IFERROR(__xludf.DUMMYFUNCTION("""COMPUTED_VALUE"""),445468.0)</f>
        <v>445468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IFERROR(__xludf.DUMMYFUNCTION("""COMPUTED_VALUE"""),76.92)</f>
        <v>76.92</v>
      </c>
      <c r="C1407" s="1">
        <f>IFERROR(__xludf.DUMMYFUNCTION("""COMPUTED_VALUE"""),77.65)</f>
        <v>77.65</v>
      </c>
      <c r="D1407" s="1">
        <f>IFERROR(__xludf.DUMMYFUNCTION("""COMPUTED_VALUE"""),76.15)</f>
        <v>76.15</v>
      </c>
      <c r="E1407" s="1">
        <f>IFERROR(__xludf.DUMMYFUNCTION("""COMPUTED_VALUE"""),76.3)</f>
        <v>76.3</v>
      </c>
      <c r="F1407" s="1">
        <f>IFERROR(__xludf.DUMMYFUNCTION("""COMPUTED_VALUE"""),297768.0)</f>
        <v>297768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IFERROR(__xludf.DUMMYFUNCTION("""COMPUTED_VALUE"""),76.83)</f>
        <v>76.83</v>
      </c>
      <c r="C1408" s="1">
        <f>IFERROR(__xludf.DUMMYFUNCTION("""COMPUTED_VALUE"""),77.08)</f>
        <v>77.08</v>
      </c>
      <c r="D1408" s="1">
        <f>IFERROR(__xludf.DUMMYFUNCTION("""COMPUTED_VALUE"""),76.09)</f>
        <v>76.09</v>
      </c>
      <c r="E1408" s="1">
        <f>IFERROR(__xludf.DUMMYFUNCTION("""COMPUTED_VALUE"""),76.2)</f>
        <v>76.2</v>
      </c>
      <c r="F1408" s="1">
        <f>IFERROR(__xludf.DUMMYFUNCTION("""COMPUTED_VALUE"""),344299.0)</f>
        <v>344299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IFERROR(__xludf.DUMMYFUNCTION("""COMPUTED_VALUE"""),76.83)</f>
        <v>76.83</v>
      </c>
      <c r="C1409" s="1">
        <f>IFERROR(__xludf.DUMMYFUNCTION("""COMPUTED_VALUE"""),77.03)</f>
        <v>77.03</v>
      </c>
      <c r="D1409" s="1">
        <f>IFERROR(__xludf.DUMMYFUNCTION("""COMPUTED_VALUE"""),73.23)</f>
        <v>73.23</v>
      </c>
      <c r="E1409" s="1">
        <f>IFERROR(__xludf.DUMMYFUNCTION("""COMPUTED_VALUE"""),73.96)</f>
        <v>73.96</v>
      </c>
      <c r="F1409" s="1">
        <f>IFERROR(__xludf.DUMMYFUNCTION("""COMPUTED_VALUE"""),399474.0)</f>
        <v>399474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IFERROR(__xludf.DUMMYFUNCTION("""COMPUTED_VALUE"""),73.84)</f>
        <v>73.84</v>
      </c>
      <c r="C1410" s="1">
        <f>IFERROR(__xludf.DUMMYFUNCTION("""COMPUTED_VALUE"""),75.35)</f>
        <v>75.35</v>
      </c>
      <c r="D1410" s="1">
        <f>IFERROR(__xludf.DUMMYFUNCTION("""COMPUTED_VALUE"""),72.47)</f>
        <v>72.47</v>
      </c>
      <c r="E1410" s="1">
        <f>IFERROR(__xludf.DUMMYFUNCTION("""COMPUTED_VALUE"""),75.04)</f>
        <v>75.04</v>
      </c>
      <c r="F1410" s="1">
        <f>IFERROR(__xludf.DUMMYFUNCTION("""COMPUTED_VALUE"""),646280.0)</f>
        <v>646280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IFERROR(__xludf.DUMMYFUNCTION("""COMPUTED_VALUE"""),75.11)</f>
        <v>75.11</v>
      </c>
      <c r="C1411" s="1">
        <f>IFERROR(__xludf.DUMMYFUNCTION("""COMPUTED_VALUE"""),76.34)</f>
        <v>76.34</v>
      </c>
      <c r="D1411" s="1">
        <f>IFERROR(__xludf.DUMMYFUNCTION("""COMPUTED_VALUE"""),74.6)</f>
        <v>74.6</v>
      </c>
      <c r="E1411" s="1">
        <f>IFERROR(__xludf.DUMMYFUNCTION("""COMPUTED_VALUE"""),74.9)</f>
        <v>74.9</v>
      </c>
      <c r="F1411" s="1">
        <f>IFERROR(__xludf.DUMMYFUNCTION("""COMPUTED_VALUE"""),287376.0)</f>
        <v>287376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IFERROR(__xludf.DUMMYFUNCTION("""COMPUTED_VALUE"""),74.22)</f>
        <v>74.22</v>
      </c>
      <c r="C1412" s="1">
        <f>IFERROR(__xludf.DUMMYFUNCTION("""COMPUTED_VALUE"""),75.56)</f>
        <v>75.56</v>
      </c>
      <c r="D1412" s="1">
        <f>IFERROR(__xludf.DUMMYFUNCTION("""COMPUTED_VALUE"""),73.39)</f>
        <v>73.39</v>
      </c>
      <c r="E1412" s="1">
        <f>IFERROR(__xludf.DUMMYFUNCTION("""COMPUTED_VALUE"""),75.34)</f>
        <v>75.34</v>
      </c>
      <c r="F1412" s="1">
        <f>IFERROR(__xludf.DUMMYFUNCTION("""COMPUTED_VALUE"""),451557.0)</f>
        <v>451557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IFERROR(__xludf.DUMMYFUNCTION("""COMPUTED_VALUE"""),75.06)</f>
        <v>75.06</v>
      </c>
      <c r="C1413" s="1">
        <f>IFERROR(__xludf.DUMMYFUNCTION("""COMPUTED_VALUE"""),76.39)</f>
        <v>76.39</v>
      </c>
      <c r="D1413" s="1">
        <f>IFERROR(__xludf.DUMMYFUNCTION("""COMPUTED_VALUE"""),74.07)</f>
        <v>74.07</v>
      </c>
      <c r="E1413" s="1">
        <f>IFERROR(__xludf.DUMMYFUNCTION("""COMPUTED_VALUE"""),76.12)</f>
        <v>76.12</v>
      </c>
      <c r="F1413" s="1">
        <f>IFERROR(__xludf.DUMMYFUNCTION("""COMPUTED_VALUE"""),529018.0)</f>
        <v>529018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IFERROR(__xludf.DUMMYFUNCTION("""COMPUTED_VALUE"""),76.06)</f>
        <v>76.06</v>
      </c>
      <c r="C1414" s="1">
        <f>IFERROR(__xludf.DUMMYFUNCTION("""COMPUTED_VALUE"""),76.69)</f>
        <v>76.69</v>
      </c>
      <c r="D1414" s="1">
        <f>IFERROR(__xludf.DUMMYFUNCTION("""COMPUTED_VALUE"""),75.41)</f>
        <v>75.41</v>
      </c>
      <c r="E1414" s="1">
        <f>IFERROR(__xludf.DUMMYFUNCTION("""COMPUTED_VALUE"""),75.68)</f>
        <v>75.68</v>
      </c>
      <c r="F1414" s="1">
        <f>IFERROR(__xludf.DUMMYFUNCTION("""COMPUTED_VALUE"""),272197.0)</f>
        <v>272197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IFERROR(__xludf.DUMMYFUNCTION("""COMPUTED_VALUE"""),75.76)</f>
        <v>75.76</v>
      </c>
      <c r="C1415" s="1">
        <f>IFERROR(__xludf.DUMMYFUNCTION("""COMPUTED_VALUE"""),76.26)</f>
        <v>76.26</v>
      </c>
      <c r="D1415" s="1">
        <f>IFERROR(__xludf.DUMMYFUNCTION("""COMPUTED_VALUE"""),74.3)</f>
        <v>74.3</v>
      </c>
      <c r="E1415" s="1">
        <f>IFERROR(__xludf.DUMMYFUNCTION("""COMPUTED_VALUE"""),75.28)</f>
        <v>75.28</v>
      </c>
      <c r="F1415" s="1">
        <f>IFERROR(__xludf.DUMMYFUNCTION("""COMPUTED_VALUE"""),171474.0)</f>
        <v>171474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IFERROR(__xludf.DUMMYFUNCTION("""COMPUTED_VALUE"""),75.0)</f>
        <v>75</v>
      </c>
      <c r="C1416" s="1">
        <f>IFERROR(__xludf.DUMMYFUNCTION("""COMPUTED_VALUE"""),76.35)</f>
        <v>76.35</v>
      </c>
      <c r="D1416" s="1">
        <f>IFERROR(__xludf.DUMMYFUNCTION("""COMPUTED_VALUE"""),74.59)</f>
        <v>74.59</v>
      </c>
      <c r="E1416" s="1">
        <f>IFERROR(__xludf.DUMMYFUNCTION("""COMPUTED_VALUE"""),75.76)</f>
        <v>75.76</v>
      </c>
      <c r="F1416" s="1">
        <f>IFERROR(__xludf.DUMMYFUNCTION("""COMPUTED_VALUE"""),415478.0)</f>
        <v>415478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IFERROR(__xludf.DUMMYFUNCTION("""COMPUTED_VALUE"""),75.79)</f>
        <v>75.79</v>
      </c>
      <c r="C1417" s="1">
        <f>IFERROR(__xludf.DUMMYFUNCTION("""COMPUTED_VALUE"""),76.29)</f>
        <v>76.29</v>
      </c>
      <c r="D1417" s="1">
        <f>IFERROR(__xludf.DUMMYFUNCTION("""COMPUTED_VALUE"""),75.03)</f>
        <v>75.03</v>
      </c>
      <c r="E1417" s="1">
        <f>IFERROR(__xludf.DUMMYFUNCTION("""COMPUTED_VALUE"""),75.14)</f>
        <v>75.14</v>
      </c>
      <c r="F1417" s="1">
        <f>IFERROR(__xludf.DUMMYFUNCTION("""COMPUTED_VALUE"""),216501.0)</f>
        <v>216501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IFERROR(__xludf.DUMMYFUNCTION("""COMPUTED_VALUE"""),74.78)</f>
        <v>74.78</v>
      </c>
      <c r="C1418" s="1">
        <f>IFERROR(__xludf.DUMMYFUNCTION("""COMPUTED_VALUE"""),75.51)</f>
        <v>75.51</v>
      </c>
      <c r="D1418" s="1">
        <f>IFERROR(__xludf.DUMMYFUNCTION("""COMPUTED_VALUE"""),73.85)</f>
        <v>73.85</v>
      </c>
      <c r="E1418" s="1">
        <f>IFERROR(__xludf.DUMMYFUNCTION("""COMPUTED_VALUE"""),74.77)</f>
        <v>74.77</v>
      </c>
      <c r="F1418" s="1">
        <f>IFERROR(__xludf.DUMMYFUNCTION("""COMPUTED_VALUE"""),174634.0)</f>
        <v>174634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IFERROR(__xludf.DUMMYFUNCTION("""COMPUTED_VALUE"""),74.07)</f>
        <v>74.07</v>
      </c>
      <c r="C1419" s="1">
        <f>IFERROR(__xludf.DUMMYFUNCTION("""COMPUTED_VALUE"""),74.94)</f>
        <v>74.94</v>
      </c>
      <c r="D1419" s="1">
        <f>IFERROR(__xludf.DUMMYFUNCTION("""COMPUTED_VALUE"""),71.66)</f>
        <v>71.66</v>
      </c>
      <c r="E1419" s="1">
        <f>IFERROR(__xludf.DUMMYFUNCTION("""COMPUTED_VALUE"""),71.68)</f>
        <v>71.68</v>
      </c>
      <c r="F1419" s="1">
        <f>IFERROR(__xludf.DUMMYFUNCTION("""COMPUTED_VALUE"""),239440.0)</f>
        <v>239440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IFERROR(__xludf.DUMMYFUNCTION("""COMPUTED_VALUE"""),71.22)</f>
        <v>71.22</v>
      </c>
      <c r="C1420" s="1">
        <f>IFERROR(__xludf.DUMMYFUNCTION("""COMPUTED_VALUE"""),71.91)</f>
        <v>71.91</v>
      </c>
      <c r="D1420" s="1">
        <f>IFERROR(__xludf.DUMMYFUNCTION("""COMPUTED_VALUE"""),69.92)</f>
        <v>69.92</v>
      </c>
      <c r="E1420" s="1">
        <f>IFERROR(__xludf.DUMMYFUNCTION("""COMPUTED_VALUE"""),69.99)</f>
        <v>69.99</v>
      </c>
      <c r="F1420" s="1">
        <f>IFERROR(__xludf.DUMMYFUNCTION("""COMPUTED_VALUE"""),502981.0)</f>
        <v>502981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IFERROR(__xludf.DUMMYFUNCTION("""COMPUTED_VALUE"""),65.67)</f>
        <v>65.67</v>
      </c>
      <c r="C1421" s="1">
        <f>IFERROR(__xludf.DUMMYFUNCTION("""COMPUTED_VALUE"""),68.32)</f>
        <v>68.32</v>
      </c>
      <c r="D1421" s="1">
        <f>IFERROR(__xludf.DUMMYFUNCTION("""COMPUTED_VALUE"""),64.16)</f>
        <v>64.16</v>
      </c>
      <c r="E1421" s="1">
        <f>IFERROR(__xludf.DUMMYFUNCTION("""COMPUTED_VALUE"""),65.77)</f>
        <v>65.77</v>
      </c>
      <c r="F1421" s="1">
        <f>IFERROR(__xludf.DUMMYFUNCTION("""COMPUTED_VALUE"""),607791.0)</f>
        <v>607791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IFERROR(__xludf.DUMMYFUNCTION("""COMPUTED_VALUE"""),67.78)</f>
        <v>67.78</v>
      </c>
      <c r="C1422" s="1">
        <f>IFERROR(__xludf.DUMMYFUNCTION("""COMPUTED_VALUE"""),67.78)</f>
        <v>67.78</v>
      </c>
      <c r="D1422" s="1">
        <f>IFERROR(__xludf.DUMMYFUNCTION("""COMPUTED_VALUE"""),64.85)</f>
        <v>64.85</v>
      </c>
      <c r="E1422" s="1">
        <f>IFERROR(__xludf.DUMMYFUNCTION("""COMPUTED_VALUE"""),64.89)</f>
        <v>64.89</v>
      </c>
      <c r="F1422" s="1">
        <f>IFERROR(__xludf.DUMMYFUNCTION("""COMPUTED_VALUE"""),640744.0)</f>
        <v>640744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IFERROR(__xludf.DUMMYFUNCTION("""COMPUTED_VALUE"""),66.15)</f>
        <v>66.15</v>
      </c>
      <c r="C1423" s="1">
        <f>IFERROR(__xludf.DUMMYFUNCTION("""COMPUTED_VALUE"""),69.16)</f>
        <v>69.16</v>
      </c>
      <c r="D1423" s="1">
        <f>IFERROR(__xludf.DUMMYFUNCTION("""COMPUTED_VALUE"""),65.16)</f>
        <v>65.16</v>
      </c>
      <c r="E1423" s="1">
        <f>IFERROR(__xludf.DUMMYFUNCTION("""COMPUTED_VALUE"""),68.39)</f>
        <v>68.39</v>
      </c>
      <c r="F1423" s="1">
        <f>IFERROR(__xludf.DUMMYFUNCTION("""COMPUTED_VALUE"""),732869.0)</f>
        <v>732869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IFERROR(__xludf.DUMMYFUNCTION("""COMPUTED_VALUE"""),69.31)</f>
        <v>69.31</v>
      </c>
      <c r="C1424" s="1">
        <f>IFERROR(__xludf.DUMMYFUNCTION("""COMPUTED_VALUE"""),70.21)</f>
        <v>70.21</v>
      </c>
      <c r="D1424" s="1">
        <f>IFERROR(__xludf.DUMMYFUNCTION("""COMPUTED_VALUE"""),68.57)</f>
        <v>68.57</v>
      </c>
      <c r="E1424" s="1">
        <f>IFERROR(__xludf.DUMMYFUNCTION("""COMPUTED_VALUE"""),70.11)</f>
        <v>70.11</v>
      </c>
      <c r="F1424" s="1">
        <f>IFERROR(__xludf.DUMMYFUNCTION("""COMPUTED_VALUE"""),476399.0)</f>
        <v>476399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IFERROR(__xludf.DUMMYFUNCTION("""COMPUTED_VALUE"""),70.02)</f>
        <v>70.02</v>
      </c>
      <c r="C1425" s="1">
        <f>IFERROR(__xludf.DUMMYFUNCTION("""COMPUTED_VALUE"""),70.5)</f>
        <v>70.5</v>
      </c>
      <c r="D1425" s="1">
        <f>IFERROR(__xludf.DUMMYFUNCTION("""COMPUTED_VALUE"""),68.86)</f>
        <v>68.86</v>
      </c>
      <c r="E1425" s="1">
        <f>IFERROR(__xludf.DUMMYFUNCTION("""COMPUTED_VALUE"""),70.38)</f>
        <v>70.38</v>
      </c>
      <c r="F1425" s="1">
        <f>IFERROR(__xludf.DUMMYFUNCTION("""COMPUTED_VALUE"""),407274.0)</f>
        <v>407274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IFERROR(__xludf.DUMMYFUNCTION("""COMPUTED_VALUE"""),70.37)</f>
        <v>70.37</v>
      </c>
      <c r="C1426" s="1">
        <f>IFERROR(__xludf.DUMMYFUNCTION("""COMPUTED_VALUE"""),70.77)</f>
        <v>70.77</v>
      </c>
      <c r="D1426" s="1">
        <f>IFERROR(__xludf.DUMMYFUNCTION("""COMPUTED_VALUE"""),68.72)</f>
        <v>68.72</v>
      </c>
      <c r="E1426" s="1">
        <f>IFERROR(__xludf.DUMMYFUNCTION("""COMPUTED_VALUE"""),68.89)</f>
        <v>68.89</v>
      </c>
      <c r="F1426" s="1">
        <f>IFERROR(__xludf.DUMMYFUNCTION("""COMPUTED_VALUE"""),277446.0)</f>
        <v>277446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IFERROR(__xludf.DUMMYFUNCTION("""COMPUTED_VALUE"""),67.98)</f>
        <v>67.98</v>
      </c>
      <c r="C1427" s="1">
        <f>IFERROR(__xludf.DUMMYFUNCTION("""COMPUTED_VALUE"""),68.56)</f>
        <v>68.56</v>
      </c>
      <c r="D1427" s="1">
        <f>IFERROR(__xludf.DUMMYFUNCTION("""COMPUTED_VALUE"""),66.31)</f>
        <v>66.31</v>
      </c>
      <c r="E1427" s="1">
        <f>IFERROR(__xludf.DUMMYFUNCTION("""COMPUTED_VALUE"""),66.57)</f>
        <v>66.57</v>
      </c>
      <c r="F1427" s="1">
        <f>IFERROR(__xludf.DUMMYFUNCTION("""COMPUTED_VALUE"""),341170.0)</f>
        <v>341170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IFERROR(__xludf.DUMMYFUNCTION("""COMPUTED_VALUE"""),67.14)</f>
        <v>67.14</v>
      </c>
      <c r="C1428" s="1">
        <f>IFERROR(__xludf.DUMMYFUNCTION("""COMPUTED_VALUE"""),67.99)</f>
        <v>67.99</v>
      </c>
      <c r="D1428" s="1">
        <f>IFERROR(__xludf.DUMMYFUNCTION("""COMPUTED_VALUE"""),66.59)</f>
        <v>66.59</v>
      </c>
      <c r="E1428" s="1">
        <f>IFERROR(__xludf.DUMMYFUNCTION("""COMPUTED_VALUE"""),67.95)</f>
        <v>67.95</v>
      </c>
      <c r="F1428" s="1">
        <f>IFERROR(__xludf.DUMMYFUNCTION("""COMPUTED_VALUE"""),339685.0)</f>
        <v>339685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IFERROR(__xludf.DUMMYFUNCTION("""COMPUTED_VALUE"""),68.22)</f>
        <v>68.22</v>
      </c>
      <c r="C1429" s="1">
        <f>IFERROR(__xludf.DUMMYFUNCTION("""COMPUTED_VALUE"""),68.78)</f>
        <v>68.78</v>
      </c>
      <c r="D1429" s="1">
        <f>IFERROR(__xludf.DUMMYFUNCTION("""COMPUTED_VALUE"""),67.21)</f>
        <v>67.21</v>
      </c>
      <c r="E1429" s="1">
        <f>IFERROR(__xludf.DUMMYFUNCTION("""COMPUTED_VALUE"""),67.59)</f>
        <v>67.59</v>
      </c>
      <c r="F1429" s="1">
        <f>IFERROR(__xludf.DUMMYFUNCTION("""COMPUTED_VALUE"""),231345.0)</f>
        <v>231345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IFERROR(__xludf.DUMMYFUNCTION("""COMPUTED_VALUE"""),66.76)</f>
        <v>66.76</v>
      </c>
      <c r="C1430" s="1">
        <f>IFERROR(__xludf.DUMMYFUNCTION("""COMPUTED_VALUE"""),68.02)</f>
        <v>68.02</v>
      </c>
      <c r="D1430" s="1">
        <f>IFERROR(__xludf.DUMMYFUNCTION("""COMPUTED_VALUE"""),66.58)</f>
        <v>66.58</v>
      </c>
      <c r="E1430" s="1">
        <f>IFERROR(__xludf.DUMMYFUNCTION("""COMPUTED_VALUE"""),67.31)</f>
        <v>67.31</v>
      </c>
      <c r="F1430" s="1">
        <f>IFERROR(__xludf.DUMMYFUNCTION("""COMPUTED_VALUE"""),252962.0)</f>
        <v>252962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IFERROR(__xludf.DUMMYFUNCTION("""COMPUTED_VALUE"""),68.43)</f>
        <v>68.43</v>
      </c>
      <c r="C1431" s="1">
        <f>IFERROR(__xludf.DUMMYFUNCTION("""COMPUTED_VALUE"""),69.75)</f>
        <v>69.75</v>
      </c>
      <c r="D1431" s="1">
        <f>IFERROR(__xludf.DUMMYFUNCTION("""COMPUTED_VALUE"""),67.81)</f>
        <v>67.81</v>
      </c>
      <c r="E1431" s="1">
        <f>IFERROR(__xludf.DUMMYFUNCTION("""COMPUTED_VALUE"""),69.56)</f>
        <v>69.56</v>
      </c>
      <c r="F1431" s="1">
        <f>IFERROR(__xludf.DUMMYFUNCTION("""COMPUTED_VALUE"""),322339.0)</f>
        <v>322339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IFERROR(__xludf.DUMMYFUNCTION("""COMPUTED_VALUE"""),70.03)</f>
        <v>70.03</v>
      </c>
      <c r="C1432" s="1">
        <f>IFERROR(__xludf.DUMMYFUNCTION("""COMPUTED_VALUE"""),70.03)</f>
        <v>70.03</v>
      </c>
      <c r="D1432" s="1">
        <f>IFERROR(__xludf.DUMMYFUNCTION("""COMPUTED_VALUE"""),68.65)</f>
        <v>68.65</v>
      </c>
      <c r="E1432" s="1">
        <f>IFERROR(__xludf.DUMMYFUNCTION("""COMPUTED_VALUE"""),69.11)</f>
        <v>69.11</v>
      </c>
      <c r="F1432" s="1">
        <f>IFERROR(__xludf.DUMMYFUNCTION("""COMPUTED_VALUE"""),293246.0)</f>
        <v>293246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IFERROR(__xludf.DUMMYFUNCTION("""COMPUTED_VALUE"""),69.0)</f>
        <v>69</v>
      </c>
      <c r="C1433" s="1">
        <f>IFERROR(__xludf.DUMMYFUNCTION("""COMPUTED_VALUE"""),70.39)</f>
        <v>70.39</v>
      </c>
      <c r="D1433" s="1">
        <f>IFERROR(__xludf.DUMMYFUNCTION("""COMPUTED_VALUE"""),68.5)</f>
        <v>68.5</v>
      </c>
      <c r="E1433" s="1">
        <f>IFERROR(__xludf.DUMMYFUNCTION("""COMPUTED_VALUE"""),70.07)</f>
        <v>70.07</v>
      </c>
      <c r="F1433" s="1">
        <f>IFERROR(__xludf.DUMMYFUNCTION("""COMPUTED_VALUE"""),245027.0)</f>
        <v>245027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IFERROR(__xludf.DUMMYFUNCTION("""COMPUTED_VALUE"""),69.65)</f>
        <v>69.65</v>
      </c>
      <c r="C1434" s="1">
        <f>IFERROR(__xludf.DUMMYFUNCTION("""COMPUTED_VALUE"""),71.11)</f>
        <v>71.11</v>
      </c>
      <c r="D1434" s="1">
        <f>IFERROR(__xludf.DUMMYFUNCTION("""COMPUTED_VALUE"""),68.85)</f>
        <v>68.85</v>
      </c>
      <c r="E1434" s="1">
        <f>IFERROR(__xludf.DUMMYFUNCTION("""COMPUTED_VALUE"""),70.93)</f>
        <v>70.93</v>
      </c>
      <c r="F1434" s="1">
        <f>IFERROR(__xludf.DUMMYFUNCTION("""COMPUTED_VALUE"""),198102.0)</f>
        <v>198102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IFERROR(__xludf.DUMMYFUNCTION("""COMPUTED_VALUE"""),70.87)</f>
        <v>70.87</v>
      </c>
      <c r="C1435" s="1">
        <f>IFERROR(__xludf.DUMMYFUNCTION("""COMPUTED_VALUE"""),71.15)</f>
        <v>71.15</v>
      </c>
      <c r="D1435" s="1">
        <f>IFERROR(__xludf.DUMMYFUNCTION("""COMPUTED_VALUE"""),69.63)</f>
        <v>69.63</v>
      </c>
      <c r="E1435" s="1">
        <f>IFERROR(__xludf.DUMMYFUNCTION("""COMPUTED_VALUE"""),70.56)</f>
        <v>70.56</v>
      </c>
      <c r="F1435" s="1">
        <f>IFERROR(__xludf.DUMMYFUNCTION("""COMPUTED_VALUE"""),235316.0)</f>
        <v>235316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IFERROR(__xludf.DUMMYFUNCTION("""COMPUTED_VALUE"""),70.93)</f>
        <v>70.93</v>
      </c>
      <c r="C1436" s="1">
        <f>IFERROR(__xludf.DUMMYFUNCTION("""COMPUTED_VALUE"""),71.4)</f>
        <v>71.4</v>
      </c>
      <c r="D1436" s="1">
        <f>IFERROR(__xludf.DUMMYFUNCTION("""COMPUTED_VALUE"""),70.31)</f>
        <v>70.31</v>
      </c>
      <c r="E1436" s="1">
        <f>IFERROR(__xludf.DUMMYFUNCTION("""COMPUTED_VALUE"""),70.98)</f>
        <v>70.98</v>
      </c>
      <c r="F1436" s="1">
        <f>IFERROR(__xludf.DUMMYFUNCTION("""COMPUTED_VALUE"""),303691.0)</f>
        <v>303691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IFERROR(__xludf.DUMMYFUNCTION("""COMPUTED_VALUE"""),71.14)</f>
        <v>71.14</v>
      </c>
      <c r="C1437" s="1">
        <f>IFERROR(__xludf.DUMMYFUNCTION("""COMPUTED_VALUE"""),72.39)</f>
        <v>72.39</v>
      </c>
      <c r="D1437" s="1">
        <f>IFERROR(__xludf.DUMMYFUNCTION("""COMPUTED_VALUE"""),70.18)</f>
        <v>70.18</v>
      </c>
      <c r="E1437" s="1">
        <f>IFERROR(__xludf.DUMMYFUNCTION("""COMPUTED_VALUE"""),72.14)</f>
        <v>72.14</v>
      </c>
      <c r="F1437" s="1">
        <f>IFERROR(__xludf.DUMMYFUNCTION("""COMPUTED_VALUE"""),327066.0)</f>
        <v>327066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IFERROR(__xludf.DUMMYFUNCTION("""COMPUTED_VALUE"""),72.15)</f>
        <v>72.15</v>
      </c>
      <c r="C1438" s="1">
        <f>IFERROR(__xludf.DUMMYFUNCTION("""COMPUTED_VALUE"""),74.39)</f>
        <v>74.39</v>
      </c>
      <c r="D1438" s="1">
        <f>IFERROR(__xludf.DUMMYFUNCTION("""COMPUTED_VALUE"""),71.82)</f>
        <v>71.82</v>
      </c>
      <c r="E1438" s="1">
        <f>IFERROR(__xludf.DUMMYFUNCTION("""COMPUTED_VALUE"""),73.5)</f>
        <v>73.5</v>
      </c>
      <c r="F1438" s="1">
        <f>IFERROR(__xludf.DUMMYFUNCTION("""COMPUTED_VALUE"""),272363.0)</f>
        <v>272363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IFERROR(__xludf.DUMMYFUNCTION("""COMPUTED_VALUE"""),72.67)</f>
        <v>72.67</v>
      </c>
      <c r="C1439" s="1">
        <f>IFERROR(__xludf.DUMMYFUNCTION("""COMPUTED_VALUE"""),73.56)</f>
        <v>73.56</v>
      </c>
      <c r="D1439" s="1">
        <f>IFERROR(__xludf.DUMMYFUNCTION("""COMPUTED_VALUE"""),71.99)</f>
        <v>71.99</v>
      </c>
      <c r="E1439" s="1">
        <f>IFERROR(__xludf.DUMMYFUNCTION("""COMPUTED_VALUE"""),72.1)</f>
        <v>72.1</v>
      </c>
      <c r="F1439" s="1">
        <f>IFERROR(__xludf.DUMMYFUNCTION("""COMPUTED_VALUE"""),514472.0)</f>
        <v>514472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IFERROR(__xludf.DUMMYFUNCTION("""COMPUTED_VALUE"""),72.62)</f>
        <v>72.62</v>
      </c>
      <c r="C1440" s="1">
        <f>IFERROR(__xludf.DUMMYFUNCTION("""COMPUTED_VALUE"""),73.79)</f>
        <v>73.79</v>
      </c>
      <c r="D1440" s="1">
        <f>IFERROR(__xludf.DUMMYFUNCTION("""COMPUTED_VALUE"""),70.18)</f>
        <v>70.18</v>
      </c>
      <c r="E1440" s="1">
        <f>IFERROR(__xludf.DUMMYFUNCTION("""COMPUTED_VALUE"""),70.56)</f>
        <v>70.56</v>
      </c>
      <c r="F1440" s="1">
        <f>IFERROR(__xludf.DUMMYFUNCTION("""COMPUTED_VALUE"""),383365.0)</f>
        <v>383365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IFERROR(__xludf.DUMMYFUNCTION("""COMPUTED_VALUE"""),69.63)</f>
        <v>69.63</v>
      </c>
      <c r="C1441" s="1">
        <f>IFERROR(__xludf.DUMMYFUNCTION("""COMPUTED_VALUE"""),70.28)</f>
        <v>70.28</v>
      </c>
      <c r="D1441" s="1">
        <f>IFERROR(__xludf.DUMMYFUNCTION("""COMPUTED_VALUE"""),68.14)</f>
        <v>68.14</v>
      </c>
      <c r="E1441" s="1">
        <f>IFERROR(__xludf.DUMMYFUNCTION("""COMPUTED_VALUE"""),69.37)</f>
        <v>69.37</v>
      </c>
      <c r="F1441" s="1">
        <f>IFERROR(__xludf.DUMMYFUNCTION("""COMPUTED_VALUE"""),424701.0)</f>
        <v>424701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IFERROR(__xludf.DUMMYFUNCTION("""COMPUTED_VALUE"""),69.38)</f>
        <v>69.38</v>
      </c>
      <c r="C1442" s="1">
        <f>IFERROR(__xludf.DUMMYFUNCTION("""COMPUTED_VALUE"""),70.09)</f>
        <v>70.09</v>
      </c>
      <c r="D1442" s="1">
        <f>IFERROR(__xludf.DUMMYFUNCTION("""COMPUTED_VALUE"""),68.64)</f>
        <v>68.64</v>
      </c>
      <c r="E1442" s="1">
        <f>IFERROR(__xludf.DUMMYFUNCTION("""COMPUTED_VALUE"""),69.27)</f>
        <v>69.27</v>
      </c>
      <c r="F1442" s="1">
        <f>IFERROR(__xludf.DUMMYFUNCTION("""COMPUTED_VALUE"""),306290.0)</f>
        <v>306290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IFERROR(__xludf.DUMMYFUNCTION("""COMPUTED_VALUE"""),68.77)</f>
        <v>68.77</v>
      </c>
      <c r="C1443" s="1">
        <f>IFERROR(__xludf.DUMMYFUNCTION("""COMPUTED_VALUE"""),68.84)</f>
        <v>68.84</v>
      </c>
      <c r="D1443" s="1">
        <f>IFERROR(__xludf.DUMMYFUNCTION("""COMPUTED_VALUE"""),67.66)</f>
        <v>67.66</v>
      </c>
      <c r="E1443" s="1">
        <f>IFERROR(__xludf.DUMMYFUNCTION("""COMPUTED_VALUE"""),68.06)</f>
        <v>68.06</v>
      </c>
      <c r="F1443" s="1">
        <f>IFERROR(__xludf.DUMMYFUNCTION("""COMPUTED_VALUE"""),313500.0)</f>
        <v>313500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IFERROR(__xludf.DUMMYFUNCTION("""COMPUTED_VALUE"""),68.7)</f>
        <v>68.7</v>
      </c>
      <c r="C1444" s="1">
        <f>IFERROR(__xludf.DUMMYFUNCTION("""COMPUTED_VALUE"""),68.7)</f>
        <v>68.7</v>
      </c>
      <c r="D1444" s="1">
        <f>IFERROR(__xludf.DUMMYFUNCTION("""COMPUTED_VALUE"""),63.75)</f>
        <v>63.75</v>
      </c>
      <c r="E1444" s="1">
        <f>IFERROR(__xludf.DUMMYFUNCTION("""COMPUTED_VALUE"""),64.7)</f>
        <v>64.7</v>
      </c>
      <c r="F1444" s="1">
        <f>IFERROR(__xludf.DUMMYFUNCTION("""COMPUTED_VALUE"""),461523.0)</f>
        <v>461523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IFERROR(__xludf.DUMMYFUNCTION("""COMPUTED_VALUE"""),64.25)</f>
        <v>64.25</v>
      </c>
      <c r="C1445" s="1">
        <f>IFERROR(__xludf.DUMMYFUNCTION("""COMPUTED_VALUE"""),64.42)</f>
        <v>64.42</v>
      </c>
      <c r="D1445" s="1">
        <f>IFERROR(__xludf.DUMMYFUNCTION("""COMPUTED_VALUE"""),61.23)</f>
        <v>61.23</v>
      </c>
      <c r="E1445" s="1">
        <f>IFERROR(__xludf.DUMMYFUNCTION("""COMPUTED_VALUE"""),61.59)</f>
        <v>61.59</v>
      </c>
      <c r="F1445" s="1">
        <f>IFERROR(__xludf.DUMMYFUNCTION("""COMPUTED_VALUE"""),671012.0)</f>
        <v>671012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IFERROR(__xludf.DUMMYFUNCTION("""COMPUTED_VALUE"""),61.62)</f>
        <v>61.62</v>
      </c>
      <c r="C1446" s="1">
        <f>IFERROR(__xludf.DUMMYFUNCTION("""COMPUTED_VALUE"""),63.64)</f>
        <v>63.64</v>
      </c>
      <c r="D1446" s="1">
        <f>IFERROR(__xludf.DUMMYFUNCTION("""COMPUTED_VALUE"""),61.25)</f>
        <v>61.25</v>
      </c>
      <c r="E1446" s="1">
        <f>IFERROR(__xludf.DUMMYFUNCTION("""COMPUTED_VALUE"""),62.52)</f>
        <v>62.52</v>
      </c>
      <c r="F1446" s="1">
        <f>IFERROR(__xludf.DUMMYFUNCTION("""COMPUTED_VALUE"""),798045.0)</f>
        <v>798045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IFERROR(__xludf.DUMMYFUNCTION("""COMPUTED_VALUE"""),63.55)</f>
        <v>63.55</v>
      </c>
      <c r="C1447" s="1">
        <f>IFERROR(__xludf.DUMMYFUNCTION("""COMPUTED_VALUE"""),64.48)</f>
        <v>64.48</v>
      </c>
      <c r="D1447" s="1">
        <f>IFERROR(__xludf.DUMMYFUNCTION("""COMPUTED_VALUE"""),62.2)</f>
        <v>62.2</v>
      </c>
      <c r="E1447" s="1">
        <f>IFERROR(__xludf.DUMMYFUNCTION("""COMPUTED_VALUE"""),63.52)</f>
        <v>63.52</v>
      </c>
      <c r="F1447" s="1">
        <f>IFERROR(__xludf.DUMMYFUNCTION("""COMPUTED_VALUE"""),536386.0)</f>
        <v>536386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IFERROR(__xludf.DUMMYFUNCTION("""COMPUTED_VALUE"""),63.49)</f>
        <v>63.49</v>
      </c>
      <c r="C1448" s="1">
        <f>IFERROR(__xludf.DUMMYFUNCTION("""COMPUTED_VALUE"""),63.9)</f>
        <v>63.9</v>
      </c>
      <c r="D1448" s="1">
        <f>IFERROR(__xludf.DUMMYFUNCTION("""COMPUTED_VALUE"""),61.78)</f>
        <v>61.78</v>
      </c>
      <c r="E1448" s="1">
        <f>IFERROR(__xludf.DUMMYFUNCTION("""COMPUTED_VALUE"""),63.09)</f>
        <v>63.09</v>
      </c>
      <c r="F1448" s="1">
        <f>IFERROR(__xludf.DUMMYFUNCTION("""COMPUTED_VALUE"""),370720.0)</f>
        <v>370720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IFERROR(__xludf.DUMMYFUNCTION("""COMPUTED_VALUE"""),62.6)</f>
        <v>62.6</v>
      </c>
      <c r="C1449" s="1">
        <f>IFERROR(__xludf.DUMMYFUNCTION("""COMPUTED_VALUE"""),64.58)</f>
        <v>64.58</v>
      </c>
      <c r="D1449" s="1">
        <f>IFERROR(__xludf.DUMMYFUNCTION("""COMPUTED_VALUE"""),62.02)</f>
        <v>62.02</v>
      </c>
      <c r="E1449" s="1">
        <f>IFERROR(__xludf.DUMMYFUNCTION("""COMPUTED_VALUE"""),64.51)</f>
        <v>64.51</v>
      </c>
      <c r="F1449" s="1">
        <f>IFERROR(__xludf.DUMMYFUNCTION("""COMPUTED_VALUE"""),438669.0)</f>
        <v>438669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IFERROR(__xludf.DUMMYFUNCTION("""COMPUTED_VALUE"""),64.98)</f>
        <v>64.98</v>
      </c>
      <c r="C1450" s="1">
        <f>IFERROR(__xludf.DUMMYFUNCTION("""COMPUTED_VALUE"""),66.53)</f>
        <v>66.53</v>
      </c>
      <c r="D1450" s="1">
        <f>IFERROR(__xludf.DUMMYFUNCTION("""COMPUTED_VALUE"""),63.25)</f>
        <v>63.25</v>
      </c>
      <c r="E1450" s="1">
        <f>IFERROR(__xludf.DUMMYFUNCTION("""COMPUTED_VALUE"""),63.91)</f>
        <v>63.91</v>
      </c>
      <c r="F1450" s="1">
        <f>IFERROR(__xludf.DUMMYFUNCTION("""COMPUTED_VALUE"""),769481.0)</f>
        <v>769481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IFERROR(__xludf.DUMMYFUNCTION("""COMPUTED_VALUE"""),64.26)</f>
        <v>64.26</v>
      </c>
      <c r="C1451" s="1">
        <f>IFERROR(__xludf.DUMMYFUNCTION("""COMPUTED_VALUE"""),64.31)</f>
        <v>64.31</v>
      </c>
      <c r="D1451" s="1">
        <f>IFERROR(__xludf.DUMMYFUNCTION("""COMPUTED_VALUE"""),59.99)</f>
        <v>59.99</v>
      </c>
      <c r="E1451" s="1">
        <f>IFERROR(__xludf.DUMMYFUNCTION("""COMPUTED_VALUE"""),61.75)</f>
        <v>61.75</v>
      </c>
      <c r="F1451" s="1">
        <f>IFERROR(__xludf.DUMMYFUNCTION("""COMPUTED_VALUE"""),585995.0)</f>
        <v>585995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IFERROR(__xludf.DUMMYFUNCTION("""COMPUTED_VALUE"""),62.0)</f>
        <v>62</v>
      </c>
      <c r="C1452" s="1">
        <f>IFERROR(__xludf.DUMMYFUNCTION("""COMPUTED_VALUE"""),63.56)</f>
        <v>63.56</v>
      </c>
      <c r="D1452" s="1">
        <f>IFERROR(__xludf.DUMMYFUNCTION("""COMPUTED_VALUE"""),60.7)</f>
        <v>60.7</v>
      </c>
      <c r="E1452" s="1">
        <f>IFERROR(__xludf.DUMMYFUNCTION("""COMPUTED_VALUE"""),62.74)</f>
        <v>62.74</v>
      </c>
      <c r="F1452" s="1">
        <f>IFERROR(__xludf.DUMMYFUNCTION("""COMPUTED_VALUE"""),700910.0)</f>
        <v>700910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IFERROR(__xludf.DUMMYFUNCTION("""COMPUTED_VALUE"""),62.54)</f>
        <v>62.54</v>
      </c>
      <c r="C1453" s="1">
        <f>IFERROR(__xludf.DUMMYFUNCTION("""COMPUTED_VALUE"""),62.92)</f>
        <v>62.92</v>
      </c>
      <c r="D1453" s="1">
        <f>IFERROR(__xludf.DUMMYFUNCTION("""COMPUTED_VALUE"""),61.24)</f>
        <v>61.24</v>
      </c>
      <c r="E1453" s="1">
        <f>IFERROR(__xludf.DUMMYFUNCTION("""COMPUTED_VALUE"""),62.16)</f>
        <v>62.16</v>
      </c>
      <c r="F1453" s="1">
        <f>IFERROR(__xludf.DUMMYFUNCTION("""COMPUTED_VALUE"""),460967.0)</f>
        <v>460967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IFERROR(__xludf.DUMMYFUNCTION("""COMPUTED_VALUE"""),62.55)</f>
        <v>62.55</v>
      </c>
      <c r="C1454" s="1">
        <f>IFERROR(__xludf.DUMMYFUNCTION("""COMPUTED_VALUE"""),64.71)</f>
        <v>64.71</v>
      </c>
      <c r="D1454" s="1">
        <f>IFERROR(__xludf.DUMMYFUNCTION("""COMPUTED_VALUE"""),61.91)</f>
        <v>61.91</v>
      </c>
      <c r="E1454" s="1">
        <f>IFERROR(__xludf.DUMMYFUNCTION("""COMPUTED_VALUE"""),64.63)</f>
        <v>64.63</v>
      </c>
      <c r="F1454" s="1">
        <f>IFERROR(__xludf.DUMMYFUNCTION("""COMPUTED_VALUE"""),681692.0)</f>
        <v>681692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IFERROR(__xludf.DUMMYFUNCTION("""COMPUTED_VALUE"""),65.59)</f>
        <v>65.59</v>
      </c>
      <c r="C1455" s="1">
        <f>IFERROR(__xludf.DUMMYFUNCTION("""COMPUTED_VALUE"""),66.86)</f>
        <v>66.86</v>
      </c>
      <c r="D1455" s="1">
        <f>IFERROR(__xludf.DUMMYFUNCTION("""COMPUTED_VALUE"""),64.71)</f>
        <v>64.71</v>
      </c>
      <c r="E1455" s="1">
        <f>IFERROR(__xludf.DUMMYFUNCTION("""COMPUTED_VALUE"""),65.97)</f>
        <v>65.97</v>
      </c>
      <c r="F1455" s="1">
        <f>IFERROR(__xludf.DUMMYFUNCTION("""COMPUTED_VALUE"""),540489.0)</f>
        <v>540489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IFERROR(__xludf.DUMMYFUNCTION("""COMPUTED_VALUE"""),65.54)</f>
        <v>65.54</v>
      </c>
      <c r="C1456" s="1">
        <f>IFERROR(__xludf.DUMMYFUNCTION("""COMPUTED_VALUE"""),67.42)</f>
        <v>67.42</v>
      </c>
      <c r="D1456" s="1">
        <f>IFERROR(__xludf.DUMMYFUNCTION("""COMPUTED_VALUE"""),64.88)</f>
        <v>64.88</v>
      </c>
      <c r="E1456" s="1">
        <f>IFERROR(__xludf.DUMMYFUNCTION("""COMPUTED_VALUE"""),65.0)</f>
        <v>65</v>
      </c>
      <c r="F1456" s="1">
        <f>IFERROR(__xludf.DUMMYFUNCTION("""COMPUTED_VALUE"""),429115.0)</f>
        <v>429115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IFERROR(__xludf.DUMMYFUNCTION("""COMPUTED_VALUE"""),65.28)</f>
        <v>65.28</v>
      </c>
      <c r="C1457" s="1">
        <f>IFERROR(__xludf.DUMMYFUNCTION("""COMPUTED_VALUE"""),66.24)</f>
        <v>66.24</v>
      </c>
      <c r="D1457" s="1">
        <f>IFERROR(__xludf.DUMMYFUNCTION("""COMPUTED_VALUE"""),63.71)</f>
        <v>63.71</v>
      </c>
      <c r="E1457" s="1">
        <f>IFERROR(__xludf.DUMMYFUNCTION("""COMPUTED_VALUE"""),63.89)</f>
        <v>63.89</v>
      </c>
      <c r="F1457" s="1">
        <f>IFERROR(__xludf.DUMMYFUNCTION("""COMPUTED_VALUE"""),540250.0)</f>
        <v>540250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IFERROR(__xludf.DUMMYFUNCTION("""COMPUTED_VALUE"""),63.96)</f>
        <v>63.96</v>
      </c>
      <c r="C1458" s="1">
        <f>IFERROR(__xludf.DUMMYFUNCTION("""COMPUTED_VALUE"""),65.75)</f>
        <v>65.75</v>
      </c>
      <c r="D1458" s="1">
        <f>IFERROR(__xludf.DUMMYFUNCTION("""COMPUTED_VALUE"""),63.78)</f>
        <v>63.78</v>
      </c>
      <c r="E1458" s="1">
        <f>IFERROR(__xludf.DUMMYFUNCTION("""COMPUTED_VALUE"""),65.64)</f>
        <v>65.64</v>
      </c>
      <c r="F1458" s="1">
        <f>IFERROR(__xludf.DUMMYFUNCTION("""COMPUTED_VALUE"""),399806.0)</f>
        <v>399806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IFERROR(__xludf.DUMMYFUNCTION("""COMPUTED_VALUE"""),65.92)</f>
        <v>65.92</v>
      </c>
      <c r="C1459" s="1">
        <f>IFERROR(__xludf.DUMMYFUNCTION("""COMPUTED_VALUE"""),66.31)</f>
        <v>66.31</v>
      </c>
      <c r="D1459" s="1">
        <f>IFERROR(__xludf.DUMMYFUNCTION("""COMPUTED_VALUE"""),65.03)</f>
        <v>65.03</v>
      </c>
      <c r="E1459" s="1">
        <f>IFERROR(__xludf.DUMMYFUNCTION("""COMPUTED_VALUE"""),66.04)</f>
        <v>66.04</v>
      </c>
      <c r="F1459" s="1">
        <f>IFERROR(__xludf.DUMMYFUNCTION("""COMPUTED_VALUE"""),899373.0)</f>
        <v>899373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IFERROR(__xludf.DUMMYFUNCTION("""COMPUTED_VALUE"""),65.73)</f>
        <v>65.73</v>
      </c>
      <c r="C1460" s="1">
        <f>IFERROR(__xludf.DUMMYFUNCTION("""COMPUTED_VALUE"""),67.78)</f>
        <v>67.78</v>
      </c>
      <c r="D1460" s="1">
        <f>IFERROR(__xludf.DUMMYFUNCTION("""COMPUTED_VALUE"""),65.72)</f>
        <v>65.72</v>
      </c>
      <c r="E1460" s="1">
        <f>IFERROR(__xludf.DUMMYFUNCTION("""COMPUTED_VALUE"""),67.26)</f>
        <v>67.26</v>
      </c>
      <c r="F1460" s="1">
        <f>IFERROR(__xludf.DUMMYFUNCTION("""COMPUTED_VALUE"""),428781.0)</f>
        <v>428781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IFERROR(__xludf.DUMMYFUNCTION("""COMPUTED_VALUE"""),67.21)</f>
        <v>67.21</v>
      </c>
      <c r="C1461" s="1">
        <f>IFERROR(__xludf.DUMMYFUNCTION("""COMPUTED_VALUE"""),67.21)</f>
        <v>67.21</v>
      </c>
      <c r="D1461" s="1">
        <f>IFERROR(__xludf.DUMMYFUNCTION("""COMPUTED_VALUE"""),65.51)</f>
        <v>65.51</v>
      </c>
      <c r="E1461" s="1">
        <f>IFERROR(__xludf.DUMMYFUNCTION("""COMPUTED_VALUE"""),65.57)</f>
        <v>65.57</v>
      </c>
      <c r="F1461" s="1">
        <f>IFERROR(__xludf.DUMMYFUNCTION("""COMPUTED_VALUE"""),663929.0)</f>
        <v>663929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IFERROR(__xludf.DUMMYFUNCTION("""COMPUTED_VALUE"""),66.43)</f>
        <v>66.43</v>
      </c>
      <c r="C1462" s="1">
        <f>IFERROR(__xludf.DUMMYFUNCTION("""COMPUTED_VALUE"""),67.51)</f>
        <v>67.51</v>
      </c>
      <c r="D1462" s="1">
        <f>IFERROR(__xludf.DUMMYFUNCTION("""COMPUTED_VALUE"""),64.94)</f>
        <v>64.94</v>
      </c>
      <c r="E1462" s="1">
        <f>IFERROR(__xludf.DUMMYFUNCTION("""COMPUTED_VALUE"""),66.28)</f>
        <v>66.28</v>
      </c>
      <c r="F1462" s="1">
        <f>IFERROR(__xludf.DUMMYFUNCTION("""COMPUTED_VALUE"""),501181.0)</f>
        <v>501181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IFERROR(__xludf.DUMMYFUNCTION("""COMPUTED_VALUE"""),66.44)</f>
        <v>66.44</v>
      </c>
      <c r="C1463" s="1">
        <f>IFERROR(__xludf.DUMMYFUNCTION("""COMPUTED_VALUE"""),66.48)</f>
        <v>66.48</v>
      </c>
      <c r="D1463" s="1">
        <f>IFERROR(__xludf.DUMMYFUNCTION("""COMPUTED_VALUE"""),63.68)</f>
        <v>63.68</v>
      </c>
      <c r="E1463" s="1">
        <f>IFERROR(__xludf.DUMMYFUNCTION("""COMPUTED_VALUE"""),64.52)</f>
        <v>64.52</v>
      </c>
      <c r="F1463" s="1">
        <f>IFERROR(__xludf.DUMMYFUNCTION("""COMPUTED_VALUE"""),500972.0)</f>
        <v>500972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IFERROR(__xludf.DUMMYFUNCTION("""COMPUTED_VALUE"""),65.24)</f>
        <v>65.24</v>
      </c>
      <c r="C1464" s="1">
        <f>IFERROR(__xludf.DUMMYFUNCTION("""COMPUTED_VALUE"""),65.93)</f>
        <v>65.93</v>
      </c>
      <c r="D1464" s="1">
        <f>IFERROR(__xludf.DUMMYFUNCTION("""COMPUTED_VALUE"""),64.34)</f>
        <v>64.34</v>
      </c>
      <c r="E1464" s="1">
        <f>IFERROR(__xludf.DUMMYFUNCTION("""COMPUTED_VALUE"""),65.57)</f>
        <v>65.57</v>
      </c>
      <c r="F1464" s="1">
        <f>IFERROR(__xludf.DUMMYFUNCTION("""COMPUTED_VALUE"""),552236.0)</f>
        <v>552236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IFERROR(__xludf.DUMMYFUNCTION("""COMPUTED_VALUE"""),65.59)</f>
        <v>65.59</v>
      </c>
      <c r="C1465" s="1">
        <f>IFERROR(__xludf.DUMMYFUNCTION("""COMPUTED_VALUE"""),67.32)</f>
        <v>67.32</v>
      </c>
      <c r="D1465" s="1">
        <f>IFERROR(__xludf.DUMMYFUNCTION("""COMPUTED_VALUE"""),65.12)</f>
        <v>65.12</v>
      </c>
      <c r="E1465" s="1">
        <f>IFERROR(__xludf.DUMMYFUNCTION("""COMPUTED_VALUE"""),66.7)</f>
        <v>66.7</v>
      </c>
      <c r="F1465" s="1">
        <f>IFERROR(__xludf.DUMMYFUNCTION("""COMPUTED_VALUE"""),589728.0)</f>
        <v>589728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IFERROR(__xludf.DUMMYFUNCTION("""COMPUTED_VALUE"""),66.64)</f>
        <v>66.64</v>
      </c>
      <c r="C1466" s="1">
        <f>IFERROR(__xludf.DUMMYFUNCTION("""COMPUTED_VALUE"""),67.12)</f>
        <v>67.12</v>
      </c>
      <c r="D1466" s="1">
        <f>IFERROR(__xludf.DUMMYFUNCTION("""COMPUTED_VALUE"""),65.49)</f>
        <v>65.49</v>
      </c>
      <c r="E1466" s="1">
        <f>IFERROR(__xludf.DUMMYFUNCTION("""COMPUTED_VALUE"""),66.44)</f>
        <v>66.44</v>
      </c>
      <c r="F1466" s="1">
        <f>IFERROR(__xludf.DUMMYFUNCTION("""COMPUTED_VALUE"""),361326.0)</f>
        <v>361326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IFERROR(__xludf.DUMMYFUNCTION("""COMPUTED_VALUE"""),66.42)</f>
        <v>66.42</v>
      </c>
      <c r="C1467" s="1">
        <f>IFERROR(__xludf.DUMMYFUNCTION("""COMPUTED_VALUE"""),67.52)</f>
        <v>67.52</v>
      </c>
      <c r="D1467" s="1">
        <f>IFERROR(__xludf.DUMMYFUNCTION("""COMPUTED_VALUE"""),64.95)</f>
        <v>64.95</v>
      </c>
      <c r="E1467" s="1">
        <f>IFERROR(__xludf.DUMMYFUNCTION("""COMPUTED_VALUE"""),67.49)</f>
        <v>67.49</v>
      </c>
      <c r="F1467" s="1">
        <f>IFERROR(__xludf.DUMMYFUNCTION("""COMPUTED_VALUE"""),365630.0)</f>
        <v>365630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IFERROR(__xludf.DUMMYFUNCTION("""COMPUTED_VALUE"""),67.17)</f>
        <v>67.17</v>
      </c>
      <c r="C1468" s="1">
        <f>IFERROR(__xludf.DUMMYFUNCTION("""COMPUTED_VALUE"""),68.04)</f>
        <v>68.04</v>
      </c>
      <c r="D1468" s="1">
        <f>IFERROR(__xludf.DUMMYFUNCTION("""COMPUTED_VALUE"""),66.15)</f>
        <v>66.15</v>
      </c>
      <c r="E1468" s="1">
        <f>IFERROR(__xludf.DUMMYFUNCTION("""COMPUTED_VALUE"""),66.32)</f>
        <v>66.32</v>
      </c>
      <c r="F1468" s="1">
        <f>IFERROR(__xludf.DUMMYFUNCTION("""COMPUTED_VALUE"""),395473.0)</f>
        <v>395473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IFERROR(__xludf.DUMMYFUNCTION("""COMPUTED_VALUE"""),66.51)</f>
        <v>66.51</v>
      </c>
      <c r="C1469" s="1">
        <f>IFERROR(__xludf.DUMMYFUNCTION("""COMPUTED_VALUE"""),66.6)</f>
        <v>66.6</v>
      </c>
      <c r="D1469" s="1">
        <f>IFERROR(__xludf.DUMMYFUNCTION("""COMPUTED_VALUE"""),65.19)</f>
        <v>65.19</v>
      </c>
      <c r="E1469" s="1">
        <f>IFERROR(__xludf.DUMMYFUNCTION("""COMPUTED_VALUE"""),65.24)</f>
        <v>65.24</v>
      </c>
      <c r="F1469" s="1">
        <f>IFERROR(__xludf.DUMMYFUNCTION("""COMPUTED_VALUE"""),440894.0)</f>
        <v>440894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IFERROR(__xludf.DUMMYFUNCTION("""COMPUTED_VALUE"""),65.59)</f>
        <v>65.59</v>
      </c>
      <c r="C1470" s="1">
        <f>IFERROR(__xludf.DUMMYFUNCTION("""COMPUTED_VALUE"""),69.55)</f>
        <v>69.55</v>
      </c>
      <c r="D1470" s="1">
        <f>IFERROR(__xludf.DUMMYFUNCTION("""COMPUTED_VALUE"""),65.05)</f>
        <v>65.05</v>
      </c>
      <c r="E1470" s="1">
        <f>IFERROR(__xludf.DUMMYFUNCTION("""COMPUTED_VALUE"""),68.89)</f>
        <v>68.89</v>
      </c>
      <c r="F1470" s="1">
        <f>IFERROR(__xludf.DUMMYFUNCTION("""COMPUTED_VALUE"""),638053.0)</f>
        <v>638053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IFERROR(__xludf.DUMMYFUNCTION("""COMPUTED_VALUE"""),68.57)</f>
        <v>68.57</v>
      </c>
      <c r="C1471" s="1">
        <f>IFERROR(__xludf.DUMMYFUNCTION("""COMPUTED_VALUE"""),69.11)</f>
        <v>69.11</v>
      </c>
      <c r="D1471" s="1">
        <f>IFERROR(__xludf.DUMMYFUNCTION("""COMPUTED_VALUE"""),67.23)</f>
        <v>67.23</v>
      </c>
      <c r="E1471" s="1">
        <f>IFERROR(__xludf.DUMMYFUNCTION("""COMPUTED_VALUE"""),68.52)</f>
        <v>68.52</v>
      </c>
      <c r="F1471" s="1">
        <f>IFERROR(__xludf.DUMMYFUNCTION("""COMPUTED_VALUE"""),484808.0)</f>
        <v>484808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IFERROR(__xludf.DUMMYFUNCTION("""COMPUTED_VALUE"""),70.3)</f>
        <v>70.3</v>
      </c>
      <c r="C1472" s="1">
        <f>IFERROR(__xludf.DUMMYFUNCTION("""COMPUTED_VALUE"""),73.23)</f>
        <v>73.23</v>
      </c>
      <c r="D1472" s="1">
        <f>IFERROR(__xludf.DUMMYFUNCTION("""COMPUTED_VALUE"""),69.99)</f>
        <v>69.99</v>
      </c>
      <c r="E1472" s="1">
        <f>IFERROR(__xludf.DUMMYFUNCTION("""COMPUTED_VALUE"""),71.47)</f>
        <v>71.47</v>
      </c>
      <c r="F1472" s="1">
        <f>IFERROR(__xludf.DUMMYFUNCTION("""COMPUTED_VALUE"""),1516786.0)</f>
        <v>1516786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IFERROR(__xludf.DUMMYFUNCTION("""COMPUTED_VALUE"""),71.63)</f>
        <v>71.63</v>
      </c>
      <c r="C1473" s="1">
        <f>IFERROR(__xludf.DUMMYFUNCTION("""COMPUTED_VALUE"""),73.0)</f>
        <v>73</v>
      </c>
      <c r="D1473" s="1">
        <f>IFERROR(__xludf.DUMMYFUNCTION("""COMPUTED_VALUE"""),70.96)</f>
        <v>70.96</v>
      </c>
      <c r="E1473" s="1">
        <f>IFERROR(__xludf.DUMMYFUNCTION("""COMPUTED_VALUE"""),72.42)</f>
        <v>72.42</v>
      </c>
      <c r="F1473" s="1">
        <f>IFERROR(__xludf.DUMMYFUNCTION("""COMPUTED_VALUE"""),573680.0)</f>
        <v>573680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IFERROR(__xludf.DUMMYFUNCTION("""COMPUTED_VALUE"""),72.42)</f>
        <v>72.42</v>
      </c>
      <c r="C1474" s="1">
        <f>IFERROR(__xludf.DUMMYFUNCTION("""COMPUTED_VALUE"""),74.22)</f>
        <v>74.22</v>
      </c>
      <c r="D1474" s="1">
        <f>IFERROR(__xludf.DUMMYFUNCTION("""COMPUTED_VALUE"""),70.7)</f>
        <v>70.7</v>
      </c>
      <c r="E1474" s="1">
        <f>IFERROR(__xludf.DUMMYFUNCTION("""COMPUTED_VALUE"""),74.01)</f>
        <v>74.01</v>
      </c>
      <c r="F1474" s="1">
        <f>IFERROR(__xludf.DUMMYFUNCTION("""COMPUTED_VALUE"""),612103.0)</f>
        <v>612103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IFERROR(__xludf.DUMMYFUNCTION("""COMPUTED_VALUE"""),73.8)</f>
        <v>73.8</v>
      </c>
      <c r="C1475" s="1">
        <f>IFERROR(__xludf.DUMMYFUNCTION("""COMPUTED_VALUE"""),73.98)</f>
        <v>73.98</v>
      </c>
      <c r="D1475" s="1">
        <f>IFERROR(__xludf.DUMMYFUNCTION("""COMPUTED_VALUE"""),72.13)</f>
        <v>72.13</v>
      </c>
      <c r="E1475" s="1">
        <f>IFERROR(__xludf.DUMMYFUNCTION("""COMPUTED_VALUE"""),73.0)</f>
        <v>73</v>
      </c>
      <c r="F1475" s="1">
        <f>IFERROR(__xludf.DUMMYFUNCTION("""COMPUTED_VALUE"""),473937.0)</f>
        <v>473937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IFERROR(__xludf.DUMMYFUNCTION("""COMPUTED_VALUE"""),72.84)</f>
        <v>72.84</v>
      </c>
      <c r="C1476" s="1">
        <f>IFERROR(__xludf.DUMMYFUNCTION("""COMPUTED_VALUE"""),74.13)</f>
        <v>74.13</v>
      </c>
      <c r="D1476" s="1">
        <f>IFERROR(__xludf.DUMMYFUNCTION("""COMPUTED_VALUE"""),72.8)</f>
        <v>72.8</v>
      </c>
      <c r="E1476" s="1">
        <f>IFERROR(__xludf.DUMMYFUNCTION("""COMPUTED_VALUE"""),74.05)</f>
        <v>74.05</v>
      </c>
      <c r="F1476" s="1">
        <f>IFERROR(__xludf.DUMMYFUNCTION("""COMPUTED_VALUE"""),291734.0)</f>
        <v>291734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IFERROR(__xludf.DUMMYFUNCTION("""COMPUTED_VALUE"""),74.32)</f>
        <v>74.32</v>
      </c>
      <c r="C1477" s="1">
        <f>IFERROR(__xludf.DUMMYFUNCTION("""COMPUTED_VALUE"""),74.32)</f>
        <v>74.32</v>
      </c>
      <c r="D1477" s="1">
        <f>IFERROR(__xludf.DUMMYFUNCTION("""COMPUTED_VALUE"""),72.67)</f>
        <v>72.67</v>
      </c>
      <c r="E1477" s="1">
        <f>IFERROR(__xludf.DUMMYFUNCTION("""COMPUTED_VALUE"""),72.96)</f>
        <v>72.96</v>
      </c>
      <c r="F1477" s="1">
        <f>IFERROR(__xludf.DUMMYFUNCTION("""COMPUTED_VALUE"""),325588.0)</f>
        <v>325588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IFERROR(__xludf.DUMMYFUNCTION("""COMPUTED_VALUE"""),72.7)</f>
        <v>72.7</v>
      </c>
      <c r="C1478" s="1">
        <f>IFERROR(__xludf.DUMMYFUNCTION("""COMPUTED_VALUE"""),72.7)</f>
        <v>72.7</v>
      </c>
      <c r="D1478" s="1">
        <f>IFERROR(__xludf.DUMMYFUNCTION("""COMPUTED_VALUE"""),71.0)</f>
        <v>71</v>
      </c>
      <c r="E1478" s="1">
        <f>IFERROR(__xludf.DUMMYFUNCTION("""COMPUTED_VALUE"""),71.09)</f>
        <v>71.09</v>
      </c>
      <c r="F1478" s="1">
        <f>IFERROR(__xludf.DUMMYFUNCTION("""COMPUTED_VALUE"""),188175.0)</f>
        <v>188175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IFERROR(__xludf.DUMMYFUNCTION("""COMPUTED_VALUE"""),71.08)</f>
        <v>71.08</v>
      </c>
      <c r="C1479" s="1">
        <f>IFERROR(__xludf.DUMMYFUNCTION("""COMPUTED_VALUE"""),72.24)</f>
        <v>72.24</v>
      </c>
      <c r="D1479" s="1">
        <f>IFERROR(__xludf.DUMMYFUNCTION("""COMPUTED_VALUE"""),69.77)</f>
        <v>69.77</v>
      </c>
      <c r="E1479" s="1">
        <f>IFERROR(__xludf.DUMMYFUNCTION("""COMPUTED_VALUE"""),71.02)</f>
        <v>71.02</v>
      </c>
      <c r="F1479" s="1">
        <f>IFERROR(__xludf.DUMMYFUNCTION("""COMPUTED_VALUE"""),219014.0)</f>
        <v>219014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IFERROR(__xludf.DUMMYFUNCTION("""COMPUTED_VALUE"""),70.89)</f>
        <v>70.89</v>
      </c>
      <c r="C1480" s="1">
        <f>IFERROR(__xludf.DUMMYFUNCTION("""COMPUTED_VALUE"""),71.84)</f>
        <v>71.84</v>
      </c>
      <c r="D1480" s="1">
        <f>IFERROR(__xludf.DUMMYFUNCTION("""COMPUTED_VALUE"""),70.11)</f>
        <v>70.11</v>
      </c>
      <c r="E1480" s="1">
        <f>IFERROR(__xludf.DUMMYFUNCTION("""COMPUTED_VALUE"""),71.7)</f>
        <v>71.7</v>
      </c>
      <c r="F1480" s="1">
        <f>IFERROR(__xludf.DUMMYFUNCTION("""COMPUTED_VALUE"""),290016.0)</f>
        <v>290016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IFERROR(__xludf.DUMMYFUNCTION("""COMPUTED_VALUE"""),71.74)</f>
        <v>71.74</v>
      </c>
      <c r="C1481" s="1">
        <f>IFERROR(__xludf.DUMMYFUNCTION("""COMPUTED_VALUE"""),73.51)</f>
        <v>73.51</v>
      </c>
      <c r="D1481" s="1">
        <f>IFERROR(__xludf.DUMMYFUNCTION("""COMPUTED_VALUE"""),70.92)</f>
        <v>70.92</v>
      </c>
      <c r="E1481" s="1">
        <f>IFERROR(__xludf.DUMMYFUNCTION("""COMPUTED_VALUE"""),72.72)</f>
        <v>72.72</v>
      </c>
      <c r="F1481" s="1">
        <f>IFERROR(__xludf.DUMMYFUNCTION("""COMPUTED_VALUE"""),356668.0)</f>
        <v>356668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IFERROR(__xludf.DUMMYFUNCTION("""COMPUTED_VALUE"""),72.94)</f>
        <v>72.94</v>
      </c>
      <c r="C1482" s="1">
        <f>IFERROR(__xludf.DUMMYFUNCTION("""COMPUTED_VALUE"""),74.38)</f>
        <v>74.38</v>
      </c>
      <c r="D1482" s="1">
        <f>IFERROR(__xludf.DUMMYFUNCTION("""COMPUTED_VALUE"""),72.36)</f>
        <v>72.36</v>
      </c>
      <c r="E1482" s="1">
        <f>IFERROR(__xludf.DUMMYFUNCTION("""COMPUTED_VALUE"""),74.15)</f>
        <v>74.15</v>
      </c>
      <c r="F1482" s="1">
        <f>IFERROR(__xludf.DUMMYFUNCTION("""COMPUTED_VALUE"""),376573.0)</f>
        <v>376573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IFERROR(__xludf.DUMMYFUNCTION("""COMPUTED_VALUE"""),74.15)</f>
        <v>74.15</v>
      </c>
      <c r="C1483" s="1">
        <f>IFERROR(__xludf.DUMMYFUNCTION("""COMPUTED_VALUE"""),75.09)</f>
        <v>75.09</v>
      </c>
      <c r="D1483" s="1">
        <f>IFERROR(__xludf.DUMMYFUNCTION("""COMPUTED_VALUE"""),73.83)</f>
        <v>73.83</v>
      </c>
      <c r="E1483" s="1">
        <f>IFERROR(__xludf.DUMMYFUNCTION("""COMPUTED_VALUE"""),74.83)</f>
        <v>74.83</v>
      </c>
      <c r="F1483" s="1">
        <f>IFERROR(__xludf.DUMMYFUNCTION("""COMPUTED_VALUE"""),345374.0)</f>
        <v>345374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IFERROR(__xludf.DUMMYFUNCTION("""COMPUTED_VALUE"""),75.25)</f>
        <v>75.25</v>
      </c>
      <c r="C1484" s="1">
        <f>IFERROR(__xludf.DUMMYFUNCTION("""COMPUTED_VALUE"""),76.07)</f>
        <v>76.07</v>
      </c>
      <c r="D1484" s="1">
        <f>IFERROR(__xludf.DUMMYFUNCTION("""COMPUTED_VALUE"""),74.37)</f>
        <v>74.37</v>
      </c>
      <c r="E1484" s="1">
        <f>IFERROR(__xludf.DUMMYFUNCTION("""COMPUTED_VALUE"""),75.16)</f>
        <v>75.16</v>
      </c>
      <c r="F1484" s="1">
        <f>IFERROR(__xludf.DUMMYFUNCTION("""COMPUTED_VALUE"""),483109.0)</f>
        <v>483109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IFERROR(__xludf.DUMMYFUNCTION("""COMPUTED_VALUE"""),75.25)</f>
        <v>75.25</v>
      </c>
      <c r="C1485" s="1">
        <f>IFERROR(__xludf.DUMMYFUNCTION("""COMPUTED_VALUE"""),76.49)</f>
        <v>76.49</v>
      </c>
      <c r="D1485" s="1">
        <f>IFERROR(__xludf.DUMMYFUNCTION("""COMPUTED_VALUE"""),75.25)</f>
        <v>75.25</v>
      </c>
      <c r="E1485" s="1">
        <f>IFERROR(__xludf.DUMMYFUNCTION("""COMPUTED_VALUE"""),76.34)</f>
        <v>76.34</v>
      </c>
      <c r="F1485" s="1">
        <f>IFERROR(__xludf.DUMMYFUNCTION("""COMPUTED_VALUE"""),406356.0)</f>
        <v>406356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IFERROR(__xludf.DUMMYFUNCTION("""COMPUTED_VALUE"""),75.69)</f>
        <v>75.69</v>
      </c>
      <c r="C1486" s="1">
        <f>IFERROR(__xludf.DUMMYFUNCTION("""COMPUTED_VALUE"""),76.79)</f>
        <v>76.79</v>
      </c>
      <c r="D1486" s="1">
        <f>IFERROR(__xludf.DUMMYFUNCTION("""COMPUTED_VALUE"""),75.27)</f>
        <v>75.27</v>
      </c>
      <c r="E1486" s="1">
        <f>IFERROR(__xludf.DUMMYFUNCTION("""COMPUTED_VALUE"""),76.5)</f>
        <v>76.5</v>
      </c>
      <c r="F1486" s="1">
        <f>IFERROR(__xludf.DUMMYFUNCTION("""COMPUTED_VALUE"""),237668.0)</f>
        <v>237668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IFERROR(__xludf.DUMMYFUNCTION("""COMPUTED_VALUE"""),76.4)</f>
        <v>76.4</v>
      </c>
      <c r="C1487" s="1">
        <f>IFERROR(__xludf.DUMMYFUNCTION("""COMPUTED_VALUE"""),77.48)</f>
        <v>77.48</v>
      </c>
      <c r="D1487" s="1">
        <f>IFERROR(__xludf.DUMMYFUNCTION("""COMPUTED_VALUE"""),76.17)</f>
        <v>76.17</v>
      </c>
      <c r="E1487" s="1">
        <f>IFERROR(__xludf.DUMMYFUNCTION("""COMPUTED_VALUE"""),77.23)</f>
        <v>77.23</v>
      </c>
      <c r="F1487" s="1">
        <f>IFERROR(__xludf.DUMMYFUNCTION("""COMPUTED_VALUE"""),162216.0)</f>
        <v>162216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IFERROR(__xludf.DUMMYFUNCTION("""COMPUTED_VALUE"""),77.19)</f>
        <v>77.19</v>
      </c>
      <c r="C1488" s="1">
        <f>IFERROR(__xludf.DUMMYFUNCTION("""COMPUTED_VALUE"""),78.16)</f>
        <v>78.16</v>
      </c>
      <c r="D1488" s="1">
        <f>IFERROR(__xludf.DUMMYFUNCTION("""COMPUTED_VALUE"""),77.13)</f>
        <v>77.13</v>
      </c>
      <c r="E1488" s="1">
        <f>IFERROR(__xludf.DUMMYFUNCTION("""COMPUTED_VALUE"""),78.04)</f>
        <v>78.04</v>
      </c>
      <c r="F1488" s="1">
        <f>IFERROR(__xludf.DUMMYFUNCTION("""COMPUTED_VALUE"""),161545.0)</f>
        <v>161545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IFERROR(__xludf.DUMMYFUNCTION("""COMPUTED_VALUE"""),78.25)</f>
        <v>78.25</v>
      </c>
      <c r="C1489" s="1">
        <f>IFERROR(__xludf.DUMMYFUNCTION("""COMPUTED_VALUE"""),78.44)</f>
        <v>78.44</v>
      </c>
      <c r="D1489" s="1">
        <f>IFERROR(__xludf.DUMMYFUNCTION("""COMPUTED_VALUE"""),76.49)</f>
        <v>76.49</v>
      </c>
      <c r="E1489" s="1">
        <f>IFERROR(__xludf.DUMMYFUNCTION("""COMPUTED_VALUE"""),76.57)</f>
        <v>76.57</v>
      </c>
      <c r="F1489" s="1">
        <f>IFERROR(__xludf.DUMMYFUNCTION("""COMPUTED_VALUE"""),363646.0)</f>
        <v>363646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IFERROR(__xludf.DUMMYFUNCTION("""COMPUTED_VALUE"""),76.88)</f>
        <v>76.88</v>
      </c>
      <c r="C1490" s="1">
        <f>IFERROR(__xludf.DUMMYFUNCTION("""COMPUTED_VALUE"""),78.33)</f>
        <v>78.33</v>
      </c>
      <c r="D1490" s="1">
        <f>IFERROR(__xludf.DUMMYFUNCTION("""COMPUTED_VALUE"""),76.48)</f>
        <v>76.48</v>
      </c>
      <c r="E1490" s="1">
        <f>IFERROR(__xludf.DUMMYFUNCTION("""COMPUTED_VALUE"""),78.21)</f>
        <v>78.21</v>
      </c>
      <c r="F1490" s="1">
        <f>IFERROR(__xludf.DUMMYFUNCTION("""COMPUTED_VALUE"""),234473.0)</f>
        <v>234473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IFERROR(__xludf.DUMMYFUNCTION("""COMPUTED_VALUE"""),78.14)</f>
        <v>78.14</v>
      </c>
      <c r="C1491" s="1">
        <f>IFERROR(__xludf.DUMMYFUNCTION("""COMPUTED_VALUE"""),78.49)</f>
        <v>78.49</v>
      </c>
      <c r="D1491" s="1">
        <f>IFERROR(__xludf.DUMMYFUNCTION("""COMPUTED_VALUE"""),76.18)</f>
        <v>76.18</v>
      </c>
      <c r="E1491" s="1">
        <f>IFERROR(__xludf.DUMMYFUNCTION("""COMPUTED_VALUE"""),76.45)</f>
        <v>76.45</v>
      </c>
      <c r="F1491" s="1">
        <f>IFERROR(__xludf.DUMMYFUNCTION("""COMPUTED_VALUE"""),323227.0)</f>
        <v>323227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IFERROR(__xludf.DUMMYFUNCTION("""COMPUTED_VALUE"""),76.78)</f>
        <v>76.78</v>
      </c>
      <c r="C1492" s="1">
        <f>IFERROR(__xludf.DUMMYFUNCTION("""COMPUTED_VALUE"""),77.17)</f>
        <v>77.17</v>
      </c>
      <c r="D1492" s="1">
        <f>IFERROR(__xludf.DUMMYFUNCTION("""COMPUTED_VALUE"""),74.52)</f>
        <v>74.52</v>
      </c>
      <c r="E1492" s="1">
        <f>IFERROR(__xludf.DUMMYFUNCTION("""COMPUTED_VALUE"""),74.91)</f>
        <v>74.91</v>
      </c>
      <c r="F1492" s="1">
        <f>IFERROR(__xludf.DUMMYFUNCTION("""COMPUTED_VALUE"""),273892.0)</f>
        <v>273892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IFERROR(__xludf.DUMMYFUNCTION("""COMPUTED_VALUE"""),75.03)</f>
        <v>75.03</v>
      </c>
      <c r="C1493" s="1">
        <f>IFERROR(__xludf.DUMMYFUNCTION("""COMPUTED_VALUE"""),77.55)</f>
        <v>77.55</v>
      </c>
      <c r="D1493" s="1">
        <f>IFERROR(__xludf.DUMMYFUNCTION("""COMPUTED_VALUE"""),75.03)</f>
        <v>75.03</v>
      </c>
      <c r="E1493" s="1">
        <f>IFERROR(__xludf.DUMMYFUNCTION("""COMPUTED_VALUE"""),76.83)</f>
        <v>76.83</v>
      </c>
      <c r="F1493" s="1">
        <f>IFERROR(__xludf.DUMMYFUNCTION("""COMPUTED_VALUE"""),222931.0)</f>
        <v>222931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IFERROR(__xludf.DUMMYFUNCTION("""COMPUTED_VALUE"""),76.57)</f>
        <v>76.57</v>
      </c>
      <c r="C1494" s="1">
        <f>IFERROR(__xludf.DUMMYFUNCTION("""COMPUTED_VALUE"""),77.07)</f>
        <v>77.07</v>
      </c>
      <c r="D1494" s="1">
        <f>IFERROR(__xludf.DUMMYFUNCTION("""COMPUTED_VALUE"""),75.09)</f>
        <v>75.09</v>
      </c>
      <c r="E1494" s="1">
        <f>IFERROR(__xludf.DUMMYFUNCTION("""COMPUTED_VALUE"""),75.56)</f>
        <v>75.56</v>
      </c>
      <c r="F1494" s="1">
        <f>IFERROR(__xludf.DUMMYFUNCTION("""COMPUTED_VALUE"""),269623.0)</f>
        <v>269623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IFERROR(__xludf.DUMMYFUNCTION("""COMPUTED_VALUE"""),75.04)</f>
        <v>75.04</v>
      </c>
      <c r="C1495" s="1">
        <f>IFERROR(__xludf.DUMMYFUNCTION("""COMPUTED_VALUE"""),76.17)</f>
        <v>76.17</v>
      </c>
      <c r="D1495" s="1">
        <f>IFERROR(__xludf.DUMMYFUNCTION("""COMPUTED_VALUE"""),74.5)</f>
        <v>74.5</v>
      </c>
      <c r="E1495" s="1">
        <f>IFERROR(__xludf.DUMMYFUNCTION("""COMPUTED_VALUE"""),75.67)</f>
        <v>75.67</v>
      </c>
      <c r="F1495" s="1">
        <f>IFERROR(__xludf.DUMMYFUNCTION("""COMPUTED_VALUE"""),315835.0)</f>
        <v>315835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IFERROR(__xludf.DUMMYFUNCTION("""COMPUTED_VALUE"""),75.32)</f>
        <v>75.32</v>
      </c>
      <c r="C1496" s="1">
        <f>IFERROR(__xludf.DUMMYFUNCTION("""COMPUTED_VALUE"""),76.01)</f>
        <v>76.01</v>
      </c>
      <c r="D1496" s="1">
        <f>IFERROR(__xludf.DUMMYFUNCTION("""COMPUTED_VALUE"""),74.15)</f>
        <v>74.15</v>
      </c>
      <c r="E1496" s="1">
        <f>IFERROR(__xludf.DUMMYFUNCTION("""COMPUTED_VALUE"""),74.43)</f>
        <v>74.43</v>
      </c>
      <c r="F1496" s="1">
        <f>IFERROR(__xludf.DUMMYFUNCTION("""COMPUTED_VALUE"""),200589.0)</f>
        <v>200589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IFERROR(__xludf.DUMMYFUNCTION("""COMPUTED_VALUE"""),74.66)</f>
        <v>74.66</v>
      </c>
      <c r="C1497" s="1">
        <f>IFERROR(__xludf.DUMMYFUNCTION("""COMPUTED_VALUE"""),76.19)</f>
        <v>76.19</v>
      </c>
      <c r="D1497" s="1">
        <f>IFERROR(__xludf.DUMMYFUNCTION("""COMPUTED_VALUE"""),74.03)</f>
        <v>74.03</v>
      </c>
      <c r="E1497" s="1">
        <f>IFERROR(__xludf.DUMMYFUNCTION("""COMPUTED_VALUE"""),75.56)</f>
        <v>75.56</v>
      </c>
      <c r="F1497" s="1">
        <f>IFERROR(__xludf.DUMMYFUNCTION("""COMPUTED_VALUE"""),342185.0)</f>
        <v>342185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IFERROR(__xludf.DUMMYFUNCTION("""COMPUTED_VALUE"""),75.15)</f>
        <v>75.15</v>
      </c>
      <c r="C1498" s="1">
        <f>IFERROR(__xludf.DUMMYFUNCTION("""COMPUTED_VALUE"""),76.92)</f>
        <v>76.92</v>
      </c>
      <c r="D1498" s="1">
        <f>IFERROR(__xludf.DUMMYFUNCTION("""COMPUTED_VALUE"""),74.92)</f>
        <v>74.92</v>
      </c>
      <c r="E1498" s="1">
        <f>IFERROR(__xludf.DUMMYFUNCTION("""COMPUTED_VALUE"""),76.4)</f>
        <v>76.4</v>
      </c>
      <c r="F1498" s="1">
        <f>IFERROR(__xludf.DUMMYFUNCTION("""COMPUTED_VALUE"""),496210.0)</f>
        <v>496210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IFERROR(__xludf.DUMMYFUNCTION("""COMPUTED_VALUE"""),76.36)</f>
        <v>76.36</v>
      </c>
      <c r="C1499" s="1">
        <f>IFERROR(__xludf.DUMMYFUNCTION("""COMPUTED_VALUE"""),78.11)</f>
        <v>78.11</v>
      </c>
      <c r="D1499" s="1">
        <f>IFERROR(__xludf.DUMMYFUNCTION("""COMPUTED_VALUE"""),75.06)</f>
        <v>75.06</v>
      </c>
      <c r="E1499" s="1">
        <f>IFERROR(__xludf.DUMMYFUNCTION("""COMPUTED_VALUE"""),76.35)</f>
        <v>76.35</v>
      </c>
      <c r="F1499" s="1">
        <f>IFERROR(__xludf.DUMMYFUNCTION("""COMPUTED_VALUE"""),561274.0)</f>
        <v>561274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IFERROR(__xludf.DUMMYFUNCTION("""COMPUTED_VALUE"""),77.25)</f>
        <v>77.25</v>
      </c>
      <c r="C1500" s="1">
        <f>IFERROR(__xludf.DUMMYFUNCTION("""COMPUTED_VALUE"""),78.98)</f>
        <v>78.98</v>
      </c>
      <c r="D1500" s="1">
        <f>IFERROR(__xludf.DUMMYFUNCTION("""COMPUTED_VALUE"""),76.82)</f>
        <v>76.82</v>
      </c>
      <c r="E1500" s="1">
        <f>IFERROR(__xludf.DUMMYFUNCTION("""COMPUTED_VALUE"""),78.6)</f>
        <v>78.6</v>
      </c>
      <c r="F1500" s="1">
        <f>IFERROR(__xludf.DUMMYFUNCTION("""COMPUTED_VALUE"""),542320.0)</f>
        <v>542320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IFERROR(__xludf.DUMMYFUNCTION("""COMPUTED_VALUE"""),79.0)</f>
        <v>79</v>
      </c>
      <c r="C1501" s="1">
        <f>IFERROR(__xludf.DUMMYFUNCTION("""COMPUTED_VALUE"""),79.8)</f>
        <v>79.8</v>
      </c>
      <c r="D1501" s="1">
        <f>IFERROR(__xludf.DUMMYFUNCTION("""COMPUTED_VALUE"""),78.48)</f>
        <v>78.48</v>
      </c>
      <c r="E1501" s="1">
        <f>IFERROR(__xludf.DUMMYFUNCTION("""COMPUTED_VALUE"""),79.55)</f>
        <v>79.55</v>
      </c>
      <c r="F1501" s="1">
        <f>IFERROR(__xludf.DUMMYFUNCTION("""COMPUTED_VALUE"""),507299.0)</f>
        <v>507299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IFERROR(__xludf.DUMMYFUNCTION("""COMPUTED_VALUE"""),79.59)</f>
        <v>79.59</v>
      </c>
      <c r="C1502" s="1">
        <f>IFERROR(__xludf.DUMMYFUNCTION("""COMPUTED_VALUE"""),80.33)</f>
        <v>80.33</v>
      </c>
      <c r="D1502" s="1">
        <f>IFERROR(__xludf.DUMMYFUNCTION("""COMPUTED_VALUE"""),78.97)</f>
        <v>78.97</v>
      </c>
      <c r="E1502" s="1">
        <f>IFERROR(__xludf.DUMMYFUNCTION("""COMPUTED_VALUE"""),79.38)</f>
        <v>79.38</v>
      </c>
      <c r="F1502" s="1">
        <f>IFERROR(__xludf.DUMMYFUNCTION("""COMPUTED_VALUE"""),327930.0)</f>
        <v>327930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IFERROR(__xludf.DUMMYFUNCTION("""COMPUTED_VALUE"""),79.1)</f>
        <v>79.1</v>
      </c>
      <c r="C1503" s="1">
        <f>IFERROR(__xludf.DUMMYFUNCTION("""COMPUTED_VALUE"""),79.41)</f>
        <v>79.41</v>
      </c>
      <c r="D1503" s="1">
        <f>IFERROR(__xludf.DUMMYFUNCTION("""COMPUTED_VALUE"""),77.8)</f>
        <v>77.8</v>
      </c>
      <c r="E1503" s="1">
        <f>IFERROR(__xludf.DUMMYFUNCTION("""COMPUTED_VALUE"""),77.82)</f>
        <v>77.82</v>
      </c>
      <c r="F1503" s="1">
        <f>IFERROR(__xludf.DUMMYFUNCTION("""COMPUTED_VALUE"""),528022.0)</f>
        <v>528022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IFERROR(__xludf.DUMMYFUNCTION("""COMPUTED_VALUE"""),78.62)</f>
        <v>78.62</v>
      </c>
      <c r="C1504" s="1">
        <f>IFERROR(__xludf.DUMMYFUNCTION("""COMPUTED_VALUE"""),78.96)</f>
        <v>78.96</v>
      </c>
      <c r="D1504" s="1">
        <f>IFERROR(__xludf.DUMMYFUNCTION("""COMPUTED_VALUE"""),77.34)</f>
        <v>77.34</v>
      </c>
      <c r="E1504" s="1">
        <f>IFERROR(__xludf.DUMMYFUNCTION("""COMPUTED_VALUE"""),78.65)</f>
        <v>78.65</v>
      </c>
      <c r="F1504" s="1">
        <f>IFERROR(__xludf.DUMMYFUNCTION("""COMPUTED_VALUE"""),584109.0)</f>
        <v>584109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IFERROR(__xludf.DUMMYFUNCTION("""COMPUTED_VALUE"""),79.0)</f>
        <v>79</v>
      </c>
      <c r="C1505" s="1">
        <f>IFERROR(__xludf.DUMMYFUNCTION("""COMPUTED_VALUE"""),79.64)</f>
        <v>79.64</v>
      </c>
      <c r="D1505" s="1">
        <f>IFERROR(__xludf.DUMMYFUNCTION("""COMPUTED_VALUE"""),77.65)</f>
        <v>77.65</v>
      </c>
      <c r="E1505" s="1">
        <f>IFERROR(__xludf.DUMMYFUNCTION("""COMPUTED_VALUE"""),79.36)</f>
        <v>79.36</v>
      </c>
      <c r="F1505" s="1">
        <f>IFERROR(__xludf.DUMMYFUNCTION("""COMPUTED_VALUE"""),219414.0)</f>
        <v>219414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IFERROR(__xludf.DUMMYFUNCTION("""COMPUTED_VALUE"""),79.76)</f>
        <v>79.76</v>
      </c>
      <c r="C1506" s="1">
        <f>IFERROR(__xludf.DUMMYFUNCTION("""COMPUTED_VALUE"""),80.24)</f>
        <v>80.24</v>
      </c>
      <c r="D1506" s="1">
        <f>IFERROR(__xludf.DUMMYFUNCTION("""COMPUTED_VALUE"""),78.88)</f>
        <v>78.88</v>
      </c>
      <c r="E1506" s="1">
        <f>IFERROR(__xludf.DUMMYFUNCTION("""COMPUTED_VALUE"""),79.53)</f>
        <v>79.53</v>
      </c>
      <c r="F1506" s="1">
        <f>IFERROR(__xludf.DUMMYFUNCTION("""COMPUTED_VALUE"""),277195.0)</f>
        <v>277195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IFERROR(__xludf.DUMMYFUNCTION("""COMPUTED_VALUE"""),79.55)</f>
        <v>79.55</v>
      </c>
      <c r="C1507" s="1">
        <f>IFERROR(__xludf.DUMMYFUNCTION("""COMPUTED_VALUE"""),80.44)</f>
        <v>80.44</v>
      </c>
      <c r="D1507" s="1">
        <f>IFERROR(__xludf.DUMMYFUNCTION("""COMPUTED_VALUE"""),78.63)</f>
        <v>78.63</v>
      </c>
      <c r="E1507" s="1">
        <f>IFERROR(__xludf.DUMMYFUNCTION("""COMPUTED_VALUE"""),80.08)</f>
        <v>80.08</v>
      </c>
      <c r="F1507" s="1">
        <f>IFERROR(__xludf.DUMMYFUNCTION("""COMPUTED_VALUE"""),148888.0)</f>
        <v>148888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IFERROR(__xludf.DUMMYFUNCTION("""COMPUTED_VALUE"""),79.87)</f>
        <v>79.87</v>
      </c>
      <c r="C1508" s="1">
        <f>IFERROR(__xludf.DUMMYFUNCTION("""COMPUTED_VALUE"""),79.97)</f>
        <v>79.97</v>
      </c>
      <c r="D1508" s="1">
        <f>IFERROR(__xludf.DUMMYFUNCTION("""COMPUTED_VALUE"""),79.05)</f>
        <v>79.05</v>
      </c>
      <c r="E1508" s="1">
        <f>IFERROR(__xludf.DUMMYFUNCTION("""COMPUTED_VALUE"""),79.7)</f>
        <v>79.7</v>
      </c>
      <c r="F1508" s="1">
        <f>IFERROR(__xludf.DUMMYFUNCTION("""COMPUTED_VALUE"""),508359.0)</f>
        <v>508359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IFERROR(__xludf.DUMMYFUNCTION("""COMPUTED_VALUE"""),80.34)</f>
        <v>80.34</v>
      </c>
      <c r="C1509" s="1">
        <f>IFERROR(__xludf.DUMMYFUNCTION("""COMPUTED_VALUE"""),80.83)</f>
        <v>80.83</v>
      </c>
      <c r="D1509" s="1">
        <f>IFERROR(__xludf.DUMMYFUNCTION("""COMPUTED_VALUE"""),79.82)</f>
        <v>79.82</v>
      </c>
      <c r="E1509" s="1">
        <f>IFERROR(__xludf.DUMMYFUNCTION("""COMPUTED_VALUE"""),80.5)</f>
        <v>80.5</v>
      </c>
      <c r="F1509" s="1">
        <f>IFERROR(__xludf.DUMMYFUNCTION("""COMPUTED_VALUE"""),455356.0)</f>
        <v>455356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IFERROR(__xludf.DUMMYFUNCTION("""COMPUTED_VALUE"""),80.28)</f>
        <v>80.28</v>
      </c>
      <c r="C1510" s="1">
        <f>IFERROR(__xludf.DUMMYFUNCTION("""COMPUTED_VALUE"""),81.61)</f>
        <v>81.61</v>
      </c>
      <c r="D1510" s="1">
        <f>IFERROR(__xludf.DUMMYFUNCTION("""COMPUTED_VALUE"""),80.05)</f>
        <v>80.05</v>
      </c>
      <c r="E1510" s="1">
        <f>IFERROR(__xludf.DUMMYFUNCTION("""COMPUTED_VALUE"""),80.54)</f>
        <v>80.54</v>
      </c>
      <c r="F1510" s="1">
        <f>IFERROR(__xludf.DUMMYFUNCTION("""COMPUTED_VALUE"""),259054.0)</f>
        <v>259054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IFERROR(__xludf.DUMMYFUNCTION("""COMPUTED_VALUE"""),80.21)</f>
        <v>80.21</v>
      </c>
      <c r="C1511" s="1">
        <f>IFERROR(__xludf.DUMMYFUNCTION("""COMPUTED_VALUE"""),81.49)</f>
        <v>81.49</v>
      </c>
      <c r="D1511" s="1">
        <f>IFERROR(__xludf.DUMMYFUNCTION("""COMPUTED_VALUE"""),79.84)</f>
        <v>79.84</v>
      </c>
      <c r="E1511" s="1">
        <f>IFERROR(__xludf.DUMMYFUNCTION("""COMPUTED_VALUE"""),80.39)</f>
        <v>80.39</v>
      </c>
      <c r="F1511" s="1">
        <f>IFERROR(__xludf.DUMMYFUNCTION("""COMPUTED_VALUE"""),282414.0)</f>
        <v>282414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IFERROR(__xludf.DUMMYFUNCTION("""COMPUTED_VALUE"""),79.27)</f>
        <v>79.27</v>
      </c>
      <c r="C1512" s="1">
        <f>IFERROR(__xludf.DUMMYFUNCTION("""COMPUTED_VALUE"""),79.38)</f>
        <v>79.38</v>
      </c>
      <c r="D1512" s="1">
        <f>IFERROR(__xludf.DUMMYFUNCTION("""COMPUTED_VALUE"""),77.25)</f>
        <v>77.25</v>
      </c>
      <c r="E1512" s="1">
        <f>IFERROR(__xludf.DUMMYFUNCTION("""COMPUTED_VALUE"""),78.25)</f>
        <v>78.25</v>
      </c>
      <c r="F1512" s="1">
        <f>IFERROR(__xludf.DUMMYFUNCTION("""COMPUTED_VALUE"""),639894.0)</f>
        <v>639894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IFERROR(__xludf.DUMMYFUNCTION("""COMPUTED_VALUE"""),78.33)</f>
        <v>78.33</v>
      </c>
      <c r="C1513" s="1">
        <f>IFERROR(__xludf.DUMMYFUNCTION("""COMPUTED_VALUE"""),79.48)</f>
        <v>79.48</v>
      </c>
      <c r="D1513" s="1">
        <f>IFERROR(__xludf.DUMMYFUNCTION("""COMPUTED_VALUE"""),77.65)</f>
        <v>77.65</v>
      </c>
      <c r="E1513" s="1">
        <f>IFERROR(__xludf.DUMMYFUNCTION("""COMPUTED_VALUE"""),78.0)</f>
        <v>78</v>
      </c>
      <c r="F1513" s="1">
        <f>IFERROR(__xludf.DUMMYFUNCTION("""COMPUTED_VALUE"""),475525.0)</f>
        <v>475525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IFERROR(__xludf.DUMMYFUNCTION("""COMPUTED_VALUE"""),76.93)</f>
        <v>76.93</v>
      </c>
      <c r="C1514" s="1">
        <f>IFERROR(__xludf.DUMMYFUNCTION("""COMPUTED_VALUE"""),77.53)</f>
        <v>77.53</v>
      </c>
      <c r="D1514" s="1">
        <f>IFERROR(__xludf.DUMMYFUNCTION("""COMPUTED_VALUE"""),75.69)</f>
        <v>75.69</v>
      </c>
      <c r="E1514" s="1">
        <f>IFERROR(__xludf.DUMMYFUNCTION("""COMPUTED_VALUE"""),76.39)</f>
        <v>76.39</v>
      </c>
      <c r="F1514" s="1">
        <f>IFERROR(__xludf.DUMMYFUNCTION("""COMPUTED_VALUE"""),1365917.0)</f>
        <v>1365917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IFERROR(__xludf.DUMMYFUNCTION("""COMPUTED_VALUE"""),78.53)</f>
        <v>78.53</v>
      </c>
      <c r="C1515" s="1">
        <f>IFERROR(__xludf.DUMMYFUNCTION("""COMPUTED_VALUE"""),80.84)</f>
        <v>80.84</v>
      </c>
      <c r="D1515" s="1">
        <f>IFERROR(__xludf.DUMMYFUNCTION("""COMPUTED_VALUE"""),77.31)</f>
        <v>77.31</v>
      </c>
      <c r="E1515" s="1">
        <f>IFERROR(__xludf.DUMMYFUNCTION("""COMPUTED_VALUE"""),78.52)</f>
        <v>78.52</v>
      </c>
      <c r="F1515" s="1">
        <f>IFERROR(__xludf.DUMMYFUNCTION("""COMPUTED_VALUE"""),1228027.0)</f>
        <v>1228027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IFERROR(__xludf.DUMMYFUNCTION("""COMPUTED_VALUE"""),79.85)</f>
        <v>79.85</v>
      </c>
      <c r="C1516" s="1">
        <f>IFERROR(__xludf.DUMMYFUNCTION("""COMPUTED_VALUE"""),80.62)</f>
        <v>80.62</v>
      </c>
      <c r="D1516" s="1">
        <f>IFERROR(__xludf.DUMMYFUNCTION("""COMPUTED_VALUE"""),78.47)</f>
        <v>78.47</v>
      </c>
      <c r="E1516" s="1">
        <f>IFERROR(__xludf.DUMMYFUNCTION("""COMPUTED_VALUE"""),78.95)</f>
        <v>78.95</v>
      </c>
      <c r="F1516" s="1">
        <f>IFERROR(__xludf.DUMMYFUNCTION("""COMPUTED_VALUE"""),843615.0)</f>
        <v>843615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IFERROR(__xludf.DUMMYFUNCTION("""COMPUTED_VALUE"""),79.55)</f>
        <v>79.55</v>
      </c>
      <c r="C1517" s="1">
        <f>IFERROR(__xludf.DUMMYFUNCTION("""COMPUTED_VALUE"""),79.96)</f>
        <v>79.96</v>
      </c>
      <c r="D1517" s="1">
        <f>IFERROR(__xludf.DUMMYFUNCTION("""COMPUTED_VALUE"""),74.6)</f>
        <v>74.6</v>
      </c>
      <c r="E1517" s="1">
        <f>IFERROR(__xludf.DUMMYFUNCTION("""COMPUTED_VALUE"""),75.9)</f>
        <v>75.9</v>
      </c>
      <c r="F1517" s="1">
        <f>IFERROR(__xludf.DUMMYFUNCTION("""COMPUTED_VALUE"""),870213.0)</f>
        <v>870213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IFERROR(__xludf.DUMMYFUNCTION("""COMPUTED_VALUE"""),76.43)</f>
        <v>76.43</v>
      </c>
      <c r="C1518" s="1">
        <f>IFERROR(__xludf.DUMMYFUNCTION("""COMPUTED_VALUE"""),78.14)</f>
        <v>78.14</v>
      </c>
      <c r="D1518" s="1">
        <f>IFERROR(__xludf.DUMMYFUNCTION("""COMPUTED_VALUE"""),75.19)</f>
        <v>75.19</v>
      </c>
      <c r="E1518" s="1">
        <f>IFERROR(__xludf.DUMMYFUNCTION("""COMPUTED_VALUE"""),76.65)</f>
        <v>76.65</v>
      </c>
      <c r="F1518" s="1">
        <f>IFERROR(__xludf.DUMMYFUNCTION("""COMPUTED_VALUE"""),597742.0)</f>
        <v>597742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IFERROR(__xludf.DUMMYFUNCTION("""COMPUTED_VALUE"""),77.11)</f>
        <v>77.11</v>
      </c>
      <c r="C1519" s="1">
        <f>IFERROR(__xludf.DUMMYFUNCTION("""COMPUTED_VALUE"""),77.59)</f>
        <v>77.59</v>
      </c>
      <c r="D1519" s="1">
        <f>IFERROR(__xludf.DUMMYFUNCTION("""COMPUTED_VALUE"""),73.79)</f>
        <v>73.79</v>
      </c>
      <c r="E1519" s="1">
        <f>IFERROR(__xludf.DUMMYFUNCTION("""COMPUTED_VALUE"""),74.34)</f>
        <v>74.34</v>
      </c>
      <c r="F1519" s="1">
        <f>IFERROR(__xludf.DUMMYFUNCTION("""COMPUTED_VALUE"""),629164.0)</f>
        <v>629164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IFERROR(__xludf.DUMMYFUNCTION("""COMPUTED_VALUE"""),74.48)</f>
        <v>74.48</v>
      </c>
      <c r="C1520" s="1">
        <f>IFERROR(__xludf.DUMMYFUNCTION("""COMPUTED_VALUE"""),76.87)</f>
        <v>76.87</v>
      </c>
      <c r="D1520" s="1">
        <f>IFERROR(__xludf.DUMMYFUNCTION("""COMPUTED_VALUE"""),73.38)</f>
        <v>73.38</v>
      </c>
      <c r="E1520" s="1">
        <f>IFERROR(__xludf.DUMMYFUNCTION("""COMPUTED_VALUE"""),75.58)</f>
        <v>75.58</v>
      </c>
      <c r="F1520" s="1">
        <f>IFERROR(__xludf.DUMMYFUNCTION("""COMPUTED_VALUE"""),1052642.0)</f>
        <v>1052642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IFERROR(__xludf.DUMMYFUNCTION("""COMPUTED_VALUE"""),73.7)</f>
        <v>73.7</v>
      </c>
      <c r="C1521" s="1">
        <f>IFERROR(__xludf.DUMMYFUNCTION("""COMPUTED_VALUE"""),74.77)</f>
        <v>74.77</v>
      </c>
      <c r="D1521" s="1">
        <f>IFERROR(__xludf.DUMMYFUNCTION("""COMPUTED_VALUE"""),72.31)</f>
        <v>72.31</v>
      </c>
      <c r="E1521" s="1">
        <f>IFERROR(__xludf.DUMMYFUNCTION("""COMPUTED_VALUE"""),74.53)</f>
        <v>74.53</v>
      </c>
      <c r="F1521" s="1">
        <f>IFERROR(__xludf.DUMMYFUNCTION("""COMPUTED_VALUE"""),1991124.0)</f>
        <v>1991124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IFERROR(__xludf.DUMMYFUNCTION("""COMPUTED_VALUE"""),75.14)</f>
        <v>75.14</v>
      </c>
      <c r="C1522" s="1">
        <f>IFERROR(__xludf.DUMMYFUNCTION("""COMPUTED_VALUE"""),77.01)</f>
        <v>77.01</v>
      </c>
      <c r="D1522" s="1">
        <f>IFERROR(__xludf.DUMMYFUNCTION("""COMPUTED_VALUE"""),74.49)</f>
        <v>74.49</v>
      </c>
      <c r="E1522" s="1">
        <f>IFERROR(__xludf.DUMMYFUNCTION("""COMPUTED_VALUE"""),75.8)</f>
        <v>75.8</v>
      </c>
      <c r="F1522" s="1">
        <f>IFERROR(__xludf.DUMMYFUNCTION("""COMPUTED_VALUE"""),774294.0)</f>
        <v>774294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IFERROR(__xludf.DUMMYFUNCTION("""COMPUTED_VALUE"""),74.67)</f>
        <v>74.67</v>
      </c>
      <c r="C1523" s="1">
        <f>IFERROR(__xludf.DUMMYFUNCTION("""COMPUTED_VALUE"""),75.99)</f>
        <v>75.99</v>
      </c>
      <c r="D1523" s="1">
        <f>IFERROR(__xludf.DUMMYFUNCTION("""COMPUTED_VALUE"""),71.96)</f>
        <v>71.96</v>
      </c>
      <c r="E1523" s="1">
        <f>IFERROR(__xludf.DUMMYFUNCTION("""COMPUTED_VALUE"""),74.9)</f>
        <v>74.9</v>
      </c>
      <c r="F1523" s="1">
        <f>IFERROR(__xludf.DUMMYFUNCTION("""COMPUTED_VALUE"""),631935.0)</f>
        <v>631935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IFERROR(__xludf.DUMMYFUNCTION("""COMPUTED_VALUE"""),75.26)</f>
        <v>75.26</v>
      </c>
      <c r="C1524" s="1">
        <f>IFERROR(__xludf.DUMMYFUNCTION("""COMPUTED_VALUE"""),75.85)</f>
        <v>75.85</v>
      </c>
      <c r="D1524" s="1">
        <f>IFERROR(__xludf.DUMMYFUNCTION("""COMPUTED_VALUE"""),73.3)</f>
        <v>73.3</v>
      </c>
      <c r="E1524" s="1">
        <f>IFERROR(__xludf.DUMMYFUNCTION("""COMPUTED_VALUE"""),73.88)</f>
        <v>73.88</v>
      </c>
      <c r="F1524" s="1">
        <f>IFERROR(__xludf.DUMMYFUNCTION("""COMPUTED_VALUE"""),598760.0)</f>
        <v>598760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IFERROR(__xludf.DUMMYFUNCTION("""COMPUTED_VALUE"""),74.81)</f>
        <v>74.81</v>
      </c>
      <c r="C1525" s="1">
        <f>IFERROR(__xludf.DUMMYFUNCTION("""COMPUTED_VALUE"""),75.59)</f>
        <v>75.59</v>
      </c>
      <c r="D1525" s="1">
        <f>IFERROR(__xludf.DUMMYFUNCTION("""COMPUTED_VALUE"""),73.67)</f>
        <v>73.67</v>
      </c>
      <c r="E1525" s="1">
        <f>IFERROR(__xludf.DUMMYFUNCTION("""COMPUTED_VALUE"""),75.45)</f>
        <v>75.45</v>
      </c>
      <c r="F1525" s="1">
        <f>IFERROR(__xludf.DUMMYFUNCTION("""COMPUTED_VALUE"""),866947.0)</f>
        <v>866947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IFERROR(__xludf.DUMMYFUNCTION("""COMPUTED_VALUE"""),75.34)</f>
        <v>75.34</v>
      </c>
      <c r="C1526" s="1">
        <f>IFERROR(__xludf.DUMMYFUNCTION("""COMPUTED_VALUE"""),77.17)</f>
        <v>77.17</v>
      </c>
      <c r="D1526" s="1">
        <f>IFERROR(__xludf.DUMMYFUNCTION("""COMPUTED_VALUE"""),74.64)</f>
        <v>74.64</v>
      </c>
      <c r="E1526" s="1">
        <f>IFERROR(__xludf.DUMMYFUNCTION("""COMPUTED_VALUE"""),75.74)</f>
        <v>75.74</v>
      </c>
      <c r="F1526" s="1">
        <f>IFERROR(__xludf.DUMMYFUNCTION("""COMPUTED_VALUE"""),585595.0)</f>
        <v>585595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IFERROR(__xludf.DUMMYFUNCTION("""COMPUTED_VALUE"""),75.8)</f>
        <v>75.8</v>
      </c>
      <c r="C1527" s="1">
        <f>IFERROR(__xludf.DUMMYFUNCTION("""COMPUTED_VALUE"""),77.25)</f>
        <v>77.25</v>
      </c>
      <c r="D1527" s="1">
        <f>IFERROR(__xludf.DUMMYFUNCTION("""COMPUTED_VALUE"""),74.73)</f>
        <v>74.73</v>
      </c>
      <c r="E1527" s="1">
        <f>IFERROR(__xludf.DUMMYFUNCTION("""COMPUTED_VALUE"""),77.02)</f>
        <v>77.02</v>
      </c>
      <c r="F1527" s="1">
        <f>IFERROR(__xludf.DUMMYFUNCTION("""COMPUTED_VALUE"""),576809.0)</f>
        <v>576809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IFERROR(__xludf.DUMMYFUNCTION("""COMPUTED_VALUE"""),77.0)</f>
        <v>77</v>
      </c>
      <c r="C1528" s="1">
        <f>IFERROR(__xludf.DUMMYFUNCTION("""COMPUTED_VALUE"""),77.59)</f>
        <v>77.59</v>
      </c>
      <c r="D1528" s="1">
        <f>IFERROR(__xludf.DUMMYFUNCTION("""COMPUTED_VALUE"""),75.02)</f>
        <v>75.02</v>
      </c>
      <c r="E1528" s="1">
        <f>IFERROR(__xludf.DUMMYFUNCTION("""COMPUTED_VALUE"""),75.15)</f>
        <v>75.15</v>
      </c>
      <c r="F1528" s="1">
        <f>IFERROR(__xludf.DUMMYFUNCTION("""COMPUTED_VALUE"""),593724.0)</f>
        <v>593724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IFERROR(__xludf.DUMMYFUNCTION("""COMPUTED_VALUE"""),75.42)</f>
        <v>75.42</v>
      </c>
      <c r="C1529" s="1">
        <f>IFERROR(__xludf.DUMMYFUNCTION("""COMPUTED_VALUE"""),76.34)</f>
        <v>76.34</v>
      </c>
      <c r="D1529" s="1">
        <f>IFERROR(__xludf.DUMMYFUNCTION("""COMPUTED_VALUE"""),71.95)</f>
        <v>71.95</v>
      </c>
      <c r="E1529" s="1">
        <f>IFERROR(__xludf.DUMMYFUNCTION("""COMPUTED_VALUE"""),72.65)</f>
        <v>72.65</v>
      </c>
      <c r="F1529" s="1">
        <f>IFERROR(__xludf.DUMMYFUNCTION("""COMPUTED_VALUE"""),954023.0)</f>
        <v>954023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IFERROR(__xludf.DUMMYFUNCTION("""COMPUTED_VALUE"""),72.77)</f>
        <v>72.77</v>
      </c>
      <c r="C1530" s="1">
        <f>IFERROR(__xludf.DUMMYFUNCTION("""COMPUTED_VALUE"""),74.37)</f>
        <v>74.37</v>
      </c>
      <c r="D1530" s="1">
        <f>IFERROR(__xludf.DUMMYFUNCTION("""COMPUTED_VALUE"""),72.48)</f>
        <v>72.48</v>
      </c>
      <c r="E1530" s="1">
        <f>IFERROR(__xludf.DUMMYFUNCTION("""COMPUTED_VALUE"""),74.23)</f>
        <v>74.23</v>
      </c>
      <c r="F1530" s="1">
        <f>IFERROR(__xludf.DUMMYFUNCTION("""COMPUTED_VALUE"""),600431.0)</f>
        <v>600431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IFERROR(__xludf.DUMMYFUNCTION("""COMPUTED_VALUE"""),73.97)</f>
        <v>73.97</v>
      </c>
      <c r="C1531" s="1">
        <f>IFERROR(__xludf.DUMMYFUNCTION("""COMPUTED_VALUE"""),75.63)</f>
        <v>75.63</v>
      </c>
      <c r="D1531" s="1">
        <f>IFERROR(__xludf.DUMMYFUNCTION("""COMPUTED_VALUE"""),73.06)</f>
        <v>73.06</v>
      </c>
      <c r="E1531" s="1">
        <f>IFERROR(__xludf.DUMMYFUNCTION("""COMPUTED_VALUE"""),74.87)</f>
        <v>74.87</v>
      </c>
      <c r="F1531" s="1">
        <f>IFERROR(__xludf.DUMMYFUNCTION("""COMPUTED_VALUE"""),613127.0)</f>
        <v>613127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IFERROR(__xludf.DUMMYFUNCTION("""COMPUTED_VALUE"""),73.97)</f>
        <v>73.97</v>
      </c>
      <c r="C1532" s="1">
        <f>IFERROR(__xludf.DUMMYFUNCTION("""COMPUTED_VALUE"""),74.62)</f>
        <v>74.62</v>
      </c>
      <c r="D1532" s="1">
        <f>IFERROR(__xludf.DUMMYFUNCTION("""COMPUTED_VALUE"""),72.09)</f>
        <v>72.09</v>
      </c>
      <c r="E1532" s="1">
        <f>IFERROR(__xludf.DUMMYFUNCTION("""COMPUTED_VALUE"""),72.35)</f>
        <v>72.35</v>
      </c>
      <c r="F1532" s="1">
        <f>IFERROR(__xludf.DUMMYFUNCTION("""COMPUTED_VALUE"""),757256.0)</f>
        <v>757256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IFERROR(__xludf.DUMMYFUNCTION("""COMPUTED_VALUE"""),72.65)</f>
        <v>72.65</v>
      </c>
      <c r="C1533" s="1">
        <f>IFERROR(__xludf.DUMMYFUNCTION("""COMPUTED_VALUE"""),73.02)</f>
        <v>73.02</v>
      </c>
      <c r="D1533" s="1">
        <f>IFERROR(__xludf.DUMMYFUNCTION("""COMPUTED_VALUE"""),69.63)</f>
        <v>69.63</v>
      </c>
      <c r="E1533" s="1">
        <f>IFERROR(__xludf.DUMMYFUNCTION("""COMPUTED_VALUE"""),72.18)</f>
        <v>72.18</v>
      </c>
      <c r="F1533" s="1">
        <f>IFERROR(__xludf.DUMMYFUNCTION("""COMPUTED_VALUE"""),662292.0)</f>
        <v>662292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IFERROR(__xludf.DUMMYFUNCTION("""COMPUTED_VALUE"""),71.81)</f>
        <v>71.81</v>
      </c>
      <c r="C1534" s="1">
        <f>IFERROR(__xludf.DUMMYFUNCTION("""COMPUTED_VALUE"""),73.51)</f>
        <v>73.51</v>
      </c>
      <c r="D1534" s="1">
        <f>IFERROR(__xludf.DUMMYFUNCTION("""COMPUTED_VALUE"""),70.8)</f>
        <v>70.8</v>
      </c>
      <c r="E1534" s="1">
        <f>IFERROR(__xludf.DUMMYFUNCTION("""COMPUTED_VALUE"""),71.61)</f>
        <v>71.61</v>
      </c>
      <c r="F1534" s="1">
        <f>IFERROR(__xludf.DUMMYFUNCTION("""COMPUTED_VALUE"""),586948.0)</f>
        <v>586948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IFERROR(__xludf.DUMMYFUNCTION("""COMPUTED_VALUE"""),71.61)</f>
        <v>71.61</v>
      </c>
      <c r="C1535" s="1">
        <f>IFERROR(__xludf.DUMMYFUNCTION("""COMPUTED_VALUE"""),72.26)</f>
        <v>72.26</v>
      </c>
      <c r="D1535" s="1">
        <f>IFERROR(__xludf.DUMMYFUNCTION("""COMPUTED_VALUE"""),69.27)</f>
        <v>69.27</v>
      </c>
      <c r="E1535" s="1">
        <f>IFERROR(__xludf.DUMMYFUNCTION("""COMPUTED_VALUE"""),70.06)</f>
        <v>70.06</v>
      </c>
      <c r="F1535" s="1">
        <f>IFERROR(__xludf.DUMMYFUNCTION("""COMPUTED_VALUE"""),1149875.0)</f>
        <v>1149875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IFERROR(__xludf.DUMMYFUNCTION("""COMPUTED_VALUE"""),69.05)</f>
        <v>69.05</v>
      </c>
      <c r="C1536" s="1">
        <f>IFERROR(__xludf.DUMMYFUNCTION("""COMPUTED_VALUE"""),69.65)</f>
        <v>69.65</v>
      </c>
      <c r="D1536" s="1">
        <f>IFERROR(__xludf.DUMMYFUNCTION("""COMPUTED_VALUE"""),66.04)</f>
        <v>66.04</v>
      </c>
      <c r="E1536" s="1">
        <f>IFERROR(__xludf.DUMMYFUNCTION("""COMPUTED_VALUE"""),67.1)</f>
        <v>67.1</v>
      </c>
      <c r="F1536" s="1">
        <f>IFERROR(__xludf.DUMMYFUNCTION("""COMPUTED_VALUE"""),849385.0)</f>
        <v>849385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IFERROR(__xludf.DUMMYFUNCTION("""COMPUTED_VALUE"""),65.89)</f>
        <v>65.89</v>
      </c>
      <c r="C1537" s="1">
        <f>IFERROR(__xludf.DUMMYFUNCTION("""COMPUTED_VALUE"""),68.69)</f>
        <v>68.69</v>
      </c>
      <c r="D1537" s="1">
        <f>IFERROR(__xludf.DUMMYFUNCTION("""COMPUTED_VALUE"""),65.7)</f>
        <v>65.7</v>
      </c>
      <c r="E1537" s="1">
        <f>IFERROR(__xludf.DUMMYFUNCTION("""COMPUTED_VALUE"""),68.16)</f>
        <v>68.16</v>
      </c>
      <c r="F1537" s="1">
        <f>IFERROR(__xludf.DUMMYFUNCTION("""COMPUTED_VALUE"""),1063669.0)</f>
        <v>1063669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IFERROR(__xludf.DUMMYFUNCTION("""COMPUTED_VALUE"""),69.09)</f>
        <v>69.09</v>
      </c>
      <c r="C1538" s="1">
        <f>IFERROR(__xludf.DUMMYFUNCTION("""COMPUTED_VALUE"""),74.24)</f>
        <v>74.24</v>
      </c>
      <c r="D1538" s="1">
        <f>IFERROR(__xludf.DUMMYFUNCTION("""COMPUTED_VALUE"""),69.09)</f>
        <v>69.09</v>
      </c>
      <c r="E1538" s="1">
        <f>IFERROR(__xludf.DUMMYFUNCTION("""COMPUTED_VALUE"""),72.01)</f>
        <v>72.01</v>
      </c>
      <c r="F1538" s="1">
        <f>IFERROR(__xludf.DUMMYFUNCTION("""COMPUTED_VALUE"""),1181677.0)</f>
        <v>1181677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IFERROR(__xludf.DUMMYFUNCTION("""COMPUTED_VALUE"""),70.79)</f>
        <v>70.79</v>
      </c>
      <c r="C1539" s="1">
        <f>IFERROR(__xludf.DUMMYFUNCTION("""COMPUTED_VALUE"""),72.62)</f>
        <v>72.62</v>
      </c>
      <c r="D1539" s="1">
        <f>IFERROR(__xludf.DUMMYFUNCTION("""COMPUTED_VALUE"""),69.78)</f>
        <v>69.78</v>
      </c>
      <c r="E1539" s="1">
        <f>IFERROR(__xludf.DUMMYFUNCTION("""COMPUTED_VALUE"""),70.81)</f>
        <v>70.81</v>
      </c>
      <c r="F1539" s="1">
        <f>IFERROR(__xludf.DUMMYFUNCTION("""COMPUTED_VALUE"""),901755.0)</f>
        <v>901755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IFERROR(__xludf.DUMMYFUNCTION("""COMPUTED_VALUE"""),71.8)</f>
        <v>71.8</v>
      </c>
      <c r="C1540" s="1">
        <f>IFERROR(__xludf.DUMMYFUNCTION("""COMPUTED_VALUE"""),73.02)</f>
        <v>73.02</v>
      </c>
      <c r="D1540" s="1">
        <f>IFERROR(__xludf.DUMMYFUNCTION("""COMPUTED_VALUE"""),69.76)</f>
        <v>69.76</v>
      </c>
      <c r="E1540" s="1">
        <f>IFERROR(__xludf.DUMMYFUNCTION("""COMPUTED_VALUE"""),72.07)</f>
        <v>72.07</v>
      </c>
      <c r="F1540" s="1">
        <f>IFERROR(__xludf.DUMMYFUNCTION("""COMPUTED_VALUE"""),747600.0)</f>
        <v>747600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IFERROR(__xludf.DUMMYFUNCTION("""COMPUTED_VALUE"""),73.26)</f>
        <v>73.26</v>
      </c>
      <c r="C1541" s="1">
        <f>IFERROR(__xludf.DUMMYFUNCTION("""COMPUTED_VALUE"""),74.64)</f>
        <v>74.64</v>
      </c>
      <c r="D1541" s="1">
        <f>IFERROR(__xludf.DUMMYFUNCTION("""COMPUTED_VALUE"""),72.67)</f>
        <v>72.67</v>
      </c>
      <c r="E1541" s="1">
        <f>IFERROR(__xludf.DUMMYFUNCTION("""COMPUTED_VALUE"""),73.13)</f>
        <v>73.13</v>
      </c>
      <c r="F1541" s="1">
        <f>IFERROR(__xludf.DUMMYFUNCTION("""COMPUTED_VALUE"""),739369.0)</f>
        <v>739369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IFERROR(__xludf.DUMMYFUNCTION("""COMPUTED_VALUE"""),73.43)</f>
        <v>73.43</v>
      </c>
      <c r="C1542" s="1">
        <f>IFERROR(__xludf.DUMMYFUNCTION("""COMPUTED_VALUE"""),73.87)</f>
        <v>73.87</v>
      </c>
      <c r="D1542" s="1">
        <f>IFERROR(__xludf.DUMMYFUNCTION("""COMPUTED_VALUE"""),72.26)</f>
        <v>72.26</v>
      </c>
      <c r="E1542" s="1">
        <f>IFERROR(__xludf.DUMMYFUNCTION("""COMPUTED_VALUE"""),73.3)</f>
        <v>73.3</v>
      </c>
      <c r="F1542" s="1">
        <f>IFERROR(__xludf.DUMMYFUNCTION("""COMPUTED_VALUE"""),550813.0)</f>
        <v>550813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IFERROR(__xludf.DUMMYFUNCTION("""COMPUTED_VALUE"""),73.22)</f>
        <v>73.22</v>
      </c>
      <c r="C1543" s="1">
        <f>IFERROR(__xludf.DUMMYFUNCTION("""COMPUTED_VALUE"""),74.59)</f>
        <v>74.59</v>
      </c>
      <c r="D1543" s="1">
        <f>IFERROR(__xludf.DUMMYFUNCTION("""COMPUTED_VALUE"""),71.99)</f>
        <v>71.99</v>
      </c>
      <c r="E1543" s="1">
        <f>IFERROR(__xludf.DUMMYFUNCTION("""COMPUTED_VALUE"""),72.29)</f>
        <v>72.29</v>
      </c>
      <c r="F1543" s="1">
        <f>IFERROR(__xludf.DUMMYFUNCTION("""COMPUTED_VALUE"""),539142.0)</f>
        <v>539142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IFERROR(__xludf.DUMMYFUNCTION("""COMPUTED_VALUE"""),71.75)</f>
        <v>71.75</v>
      </c>
      <c r="C1544" s="1">
        <f>IFERROR(__xludf.DUMMYFUNCTION("""COMPUTED_VALUE"""),73.62)</f>
        <v>73.62</v>
      </c>
      <c r="D1544" s="1">
        <f>IFERROR(__xludf.DUMMYFUNCTION("""COMPUTED_VALUE"""),70.89)</f>
        <v>70.89</v>
      </c>
      <c r="E1544" s="1">
        <f>IFERROR(__xludf.DUMMYFUNCTION("""COMPUTED_VALUE"""),73.31)</f>
        <v>73.31</v>
      </c>
      <c r="F1544" s="1">
        <f>IFERROR(__xludf.DUMMYFUNCTION("""COMPUTED_VALUE"""),527000.0)</f>
        <v>527000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IFERROR(__xludf.DUMMYFUNCTION("""COMPUTED_VALUE"""),74.54)</f>
        <v>74.54</v>
      </c>
      <c r="C1545" s="1">
        <f>IFERROR(__xludf.DUMMYFUNCTION("""COMPUTED_VALUE"""),74.98)</f>
        <v>74.98</v>
      </c>
      <c r="D1545" s="1">
        <f>IFERROR(__xludf.DUMMYFUNCTION("""COMPUTED_VALUE"""),72.53)</f>
        <v>72.53</v>
      </c>
      <c r="E1545" s="1">
        <f>IFERROR(__xludf.DUMMYFUNCTION("""COMPUTED_VALUE"""),72.97)</f>
        <v>72.97</v>
      </c>
      <c r="F1545" s="1">
        <f>IFERROR(__xludf.DUMMYFUNCTION("""COMPUTED_VALUE"""),456029.0)</f>
        <v>456029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IFERROR(__xludf.DUMMYFUNCTION("""COMPUTED_VALUE"""),72.47)</f>
        <v>72.47</v>
      </c>
      <c r="C1546" s="1">
        <f>IFERROR(__xludf.DUMMYFUNCTION("""COMPUTED_VALUE"""),73.61)</f>
        <v>73.61</v>
      </c>
      <c r="D1546" s="1">
        <f>IFERROR(__xludf.DUMMYFUNCTION("""COMPUTED_VALUE"""),72.4)</f>
        <v>72.4</v>
      </c>
      <c r="E1546" s="1">
        <f>IFERROR(__xludf.DUMMYFUNCTION("""COMPUTED_VALUE"""),72.53)</f>
        <v>72.53</v>
      </c>
      <c r="F1546" s="1">
        <f>IFERROR(__xludf.DUMMYFUNCTION("""COMPUTED_VALUE"""),302981.0)</f>
        <v>302981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IFERROR(__xludf.DUMMYFUNCTION("""COMPUTED_VALUE"""),71.73)</f>
        <v>71.73</v>
      </c>
      <c r="C1547" s="1">
        <f>IFERROR(__xludf.DUMMYFUNCTION("""COMPUTED_VALUE"""),73.1)</f>
        <v>73.1</v>
      </c>
      <c r="D1547" s="1">
        <f>IFERROR(__xludf.DUMMYFUNCTION("""COMPUTED_VALUE"""),69.82)</f>
        <v>69.82</v>
      </c>
      <c r="E1547" s="1">
        <f>IFERROR(__xludf.DUMMYFUNCTION("""COMPUTED_VALUE"""),72.89)</f>
        <v>72.89</v>
      </c>
      <c r="F1547" s="1">
        <f>IFERROR(__xludf.DUMMYFUNCTION("""COMPUTED_VALUE"""),470364.0)</f>
        <v>470364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IFERROR(__xludf.DUMMYFUNCTION("""COMPUTED_VALUE"""),72.96)</f>
        <v>72.96</v>
      </c>
      <c r="C1548" s="1">
        <f>IFERROR(__xludf.DUMMYFUNCTION("""COMPUTED_VALUE"""),73.62)</f>
        <v>73.62</v>
      </c>
      <c r="D1548" s="1">
        <f>IFERROR(__xludf.DUMMYFUNCTION("""COMPUTED_VALUE"""),71.13)</f>
        <v>71.13</v>
      </c>
      <c r="E1548" s="1">
        <f>IFERROR(__xludf.DUMMYFUNCTION("""COMPUTED_VALUE"""),73.08)</f>
        <v>73.08</v>
      </c>
      <c r="F1548" s="1">
        <f>IFERROR(__xludf.DUMMYFUNCTION("""COMPUTED_VALUE"""),381920.0)</f>
        <v>381920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IFERROR(__xludf.DUMMYFUNCTION("""COMPUTED_VALUE"""),73.36)</f>
        <v>73.36</v>
      </c>
      <c r="C1549" s="1">
        <f>IFERROR(__xludf.DUMMYFUNCTION("""COMPUTED_VALUE"""),73.81)</f>
        <v>73.81</v>
      </c>
      <c r="D1549" s="1">
        <f>IFERROR(__xludf.DUMMYFUNCTION("""COMPUTED_VALUE"""),72.97)</f>
        <v>72.97</v>
      </c>
      <c r="E1549" s="1">
        <f>IFERROR(__xludf.DUMMYFUNCTION("""COMPUTED_VALUE"""),73.7)</f>
        <v>73.7</v>
      </c>
      <c r="F1549" s="1">
        <f>IFERROR(__xludf.DUMMYFUNCTION("""COMPUTED_VALUE"""),348440.0)</f>
        <v>348440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IFERROR(__xludf.DUMMYFUNCTION("""COMPUTED_VALUE"""),73.5)</f>
        <v>73.5</v>
      </c>
      <c r="C1550" s="1">
        <f>IFERROR(__xludf.DUMMYFUNCTION("""COMPUTED_VALUE"""),74.34)</f>
        <v>74.34</v>
      </c>
      <c r="D1550" s="1">
        <f>IFERROR(__xludf.DUMMYFUNCTION("""COMPUTED_VALUE"""),72.99)</f>
        <v>72.99</v>
      </c>
      <c r="E1550" s="1">
        <f>IFERROR(__xludf.DUMMYFUNCTION("""COMPUTED_VALUE"""),73.43)</f>
        <v>73.43</v>
      </c>
      <c r="F1550" s="1">
        <f>IFERROR(__xludf.DUMMYFUNCTION("""COMPUTED_VALUE"""),556842.0)</f>
        <v>556842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IFERROR(__xludf.DUMMYFUNCTION("""COMPUTED_VALUE"""),73.77)</f>
        <v>73.77</v>
      </c>
      <c r="C1551" s="1">
        <f>IFERROR(__xludf.DUMMYFUNCTION("""COMPUTED_VALUE"""),74.78)</f>
        <v>74.78</v>
      </c>
      <c r="D1551" s="1">
        <f>IFERROR(__xludf.DUMMYFUNCTION("""COMPUTED_VALUE"""),72.9)</f>
        <v>72.9</v>
      </c>
      <c r="E1551" s="1">
        <f>IFERROR(__xludf.DUMMYFUNCTION("""COMPUTED_VALUE"""),74.71)</f>
        <v>74.71</v>
      </c>
      <c r="F1551" s="1">
        <f>IFERROR(__xludf.DUMMYFUNCTION("""COMPUTED_VALUE"""),344261.0)</f>
        <v>344261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IFERROR(__xludf.DUMMYFUNCTION("""COMPUTED_VALUE"""),74.42)</f>
        <v>74.42</v>
      </c>
      <c r="C1552" s="1">
        <f>IFERROR(__xludf.DUMMYFUNCTION("""COMPUTED_VALUE"""),75.93)</f>
        <v>75.93</v>
      </c>
      <c r="D1552" s="1">
        <f>IFERROR(__xludf.DUMMYFUNCTION("""COMPUTED_VALUE"""),74.36)</f>
        <v>74.36</v>
      </c>
      <c r="E1552" s="1">
        <f>IFERROR(__xludf.DUMMYFUNCTION("""COMPUTED_VALUE"""),75.2)</f>
        <v>75.2</v>
      </c>
      <c r="F1552" s="1">
        <f>IFERROR(__xludf.DUMMYFUNCTION("""COMPUTED_VALUE"""),424896.0)</f>
        <v>424896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IFERROR(__xludf.DUMMYFUNCTION("""COMPUTED_VALUE"""),74.92)</f>
        <v>74.92</v>
      </c>
      <c r="C1553" s="1">
        <f>IFERROR(__xludf.DUMMYFUNCTION("""COMPUTED_VALUE"""),74.92)</f>
        <v>74.92</v>
      </c>
      <c r="D1553" s="1">
        <f>IFERROR(__xludf.DUMMYFUNCTION("""COMPUTED_VALUE"""),73.65)</f>
        <v>73.65</v>
      </c>
      <c r="E1553" s="1">
        <f>IFERROR(__xludf.DUMMYFUNCTION("""COMPUTED_VALUE"""),74.59)</f>
        <v>74.59</v>
      </c>
      <c r="F1553" s="1">
        <f>IFERROR(__xludf.DUMMYFUNCTION("""COMPUTED_VALUE"""),308609.0)</f>
        <v>308609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IFERROR(__xludf.DUMMYFUNCTION("""COMPUTED_VALUE"""),74.66)</f>
        <v>74.66</v>
      </c>
      <c r="C1554" s="1">
        <f>IFERROR(__xludf.DUMMYFUNCTION("""COMPUTED_VALUE"""),74.97)</f>
        <v>74.97</v>
      </c>
      <c r="D1554" s="1">
        <f>IFERROR(__xludf.DUMMYFUNCTION("""COMPUTED_VALUE"""),73.75)</f>
        <v>73.75</v>
      </c>
      <c r="E1554" s="1">
        <f>IFERROR(__xludf.DUMMYFUNCTION("""COMPUTED_VALUE"""),74.44)</f>
        <v>74.44</v>
      </c>
      <c r="F1554" s="1">
        <f>IFERROR(__xludf.DUMMYFUNCTION("""COMPUTED_VALUE"""),552093.0)</f>
        <v>552093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IFERROR(__xludf.DUMMYFUNCTION("""COMPUTED_VALUE"""),74.35)</f>
        <v>74.35</v>
      </c>
      <c r="C1555" s="1">
        <f>IFERROR(__xludf.DUMMYFUNCTION("""COMPUTED_VALUE"""),75.94)</f>
        <v>75.94</v>
      </c>
      <c r="D1555" s="1">
        <f>IFERROR(__xludf.DUMMYFUNCTION("""COMPUTED_VALUE"""),73.92)</f>
        <v>73.92</v>
      </c>
      <c r="E1555" s="1">
        <f>IFERROR(__xludf.DUMMYFUNCTION("""COMPUTED_VALUE"""),75.45)</f>
        <v>75.45</v>
      </c>
      <c r="F1555" s="1">
        <f>IFERROR(__xludf.DUMMYFUNCTION("""COMPUTED_VALUE"""),358462.0)</f>
        <v>358462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IFERROR(__xludf.DUMMYFUNCTION("""COMPUTED_VALUE"""),75.15)</f>
        <v>75.15</v>
      </c>
      <c r="C1556" s="1">
        <f>IFERROR(__xludf.DUMMYFUNCTION("""COMPUTED_VALUE"""),75.63)</f>
        <v>75.63</v>
      </c>
      <c r="D1556" s="1">
        <f>IFERROR(__xludf.DUMMYFUNCTION("""COMPUTED_VALUE"""),74.44)</f>
        <v>74.44</v>
      </c>
      <c r="E1556" s="1">
        <f>IFERROR(__xludf.DUMMYFUNCTION("""COMPUTED_VALUE"""),74.91)</f>
        <v>74.91</v>
      </c>
      <c r="F1556" s="1">
        <f>IFERROR(__xludf.DUMMYFUNCTION("""COMPUTED_VALUE"""),344217.0)</f>
        <v>344217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IFERROR(__xludf.DUMMYFUNCTION("""COMPUTED_VALUE"""),75.08)</f>
        <v>75.08</v>
      </c>
      <c r="C1557" s="1">
        <f>IFERROR(__xludf.DUMMYFUNCTION("""COMPUTED_VALUE"""),75.14)</f>
        <v>75.14</v>
      </c>
      <c r="D1557" s="1">
        <f>IFERROR(__xludf.DUMMYFUNCTION("""COMPUTED_VALUE"""),73.66)</f>
        <v>73.66</v>
      </c>
      <c r="E1557" s="1">
        <f>IFERROR(__xludf.DUMMYFUNCTION("""COMPUTED_VALUE"""),74.08)</f>
        <v>74.08</v>
      </c>
      <c r="F1557" s="1">
        <f>IFERROR(__xludf.DUMMYFUNCTION("""COMPUTED_VALUE"""),317184.0)</f>
        <v>317184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IFERROR(__xludf.DUMMYFUNCTION("""COMPUTED_VALUE"""),74.35)</f>
        <v>74.35</v>
      </c>
      <c r="C1558" s="1">
        <f>IFERROR(__xludf.DUMMYFUNCTION("""COMPUTED_VALUE"""),74.69)</f>
        <v>74.69</v>
      </c>
      <c r="D1558" s="1">
        <f>IFERROR(__xludf.DUMMYFUNCTION("""COMPUTED_VALUE"""),73.03)</f>
        <v>73.03</v>
      </c>
      <c r="E1558" s="1">
        <f>IFERROR(__xludf.DUMMYFUNCTION("""COMPUTED_VALUE"""),73.57)</f>
        <v>73.57</v>
      </c>
      <c r="F1558" s="1">
        <f>IFERROR(__xludf.DUMMYFUNCTION("""COMPUTED_VALUE"""),315157.0)</f>
        <v>315157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IFERROR(__xludf.DUMMYFUNCTION("""COMPUTED_VALUE"""),74.06)</f>
        <v>74.06</v>
      </c>
      <c r="C1559" s="1">
        <f>IFERROR(__xludf.DUMMYFUNCTION("""COMPUTED_VALUE"""),75.14)</f>
        <v>75.14</v>
      </c>
      <c r="D1559" s="1">
        <f>IFERROR(__xludf.DUMMYFUNCTION("""COMPUTED_VALUE"""),73.57)</f>
        <v>73.57</v>
      </c>
      <c r="E1559" s="1">
        <f>IFERROR(__xludf.DUMMYFUNCTION("""COMPUTED_VALUE"""),74.93)</f>
        <v>74.93</v>
      </c>
      <c r="F1559" s="1">
        <f>IFERROR(__xludf.DUMMYFUNCTION("""COMPUTED_VALUE"""),303815.0)</f>
        <v>303815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IFERROR(__xludf.DUMMYFUNCTION("""COMPUTED_VALUE"""),74.53)</f>
        <v>74.53</v>
      </c>
      <c r="C1560" s="1">
        <f>IFERROR(__xludf.DUMMYFUNCTION("""COMPUTED_VALUE"""),74.87)</f>
        <v>74.87</v>
      </c>
      <c r="D1560" s="1">
        <f>IFERROR(__xludf.DUMMYFUNCTION("""COMPUTED_VALUE"""),73.26)</f>
        <v>73.26</v>
      </c>
      <c r="E1560" s="1">
        <f>IFERROR(__xludf.DUMMYFUNCTION("""COMPUTED_VALUE"""),73.89)</f>
        <v>73.89</v>
      </c>
      <c r="F1560" s="1">
        <f>IFERROR(__xludf.DUMMYFUNCTION("""COMPUTED_VALUE"""),325458.0)</f>
        <v>325458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IFERROR(__xludf.DUMMYFUNCTION("""COMPUTED_VALUE"""),73.12)</f>
        <v>73.12</v>
      </c>
      <c r="C1561" s="1">
        <f>IFERROR(__xludf.DUMMYFUNCTION("""COMPUTED_VALUE"""),73.13)</f>
        <v>73.13</v>
      </c>
      <c r="D1561" s="1">
        <f>IFERROR(__xludf.DUMMYFUNCTION("""COMPUTED_VALUE"""),71.01)</f>
        <v>71.01</v>
      </c>
      <c r="E1561" s="1">
        <f>IFERROR(__xludf.DUMMYFUNCTION("""COMPUTED_VALUE"""),71.07)</f>
        <v>71.07</v>
      </c>
      <c r="F1561" s="1">
        <f>IFERROR(__xludf.DUMMYFUNCTION("""COMPUTED_VALUE"""),341217.0)</f>
        <v>341217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IFERROR(__xludf.DUMMYFUNCTION("""COMPUTED_VALUE"""),70.91)</f>
        <v>70.91</v>
      </c>
      <c r="C1562" s="1">
        <f>IFERROR(__xludf.DUMMYFUNCTION("""COMPUTED_VALUE"""),71.65)</f>
        <v>71.65</v>
      </c>
      <c r="D1562" s="1">
        <f>IFERROR(__xludf.DUMMYFUNCTION("""COMPUTED_VALUE"""),69.66)</f>
        <v>69.66</v>
      </c>
      <c r="E1562" s="1">
        <f>IFERROR(__xludf.DUMMYFUNCTION("""COMPUTED_VALUE"""),71.24)</f>
        <v>71.24</v>
      </c>
      <c r="F1562" s="1">
        <f>IFERROR(__xludf.DUMMYFUNCTION("""COMPUTED_VALUE"""),618719.0)</f>
        <v>618719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IFERROR(__xludf.DUMMYFUNCTION("""COMPUTED_VALUE"""),71.25)</f>
        <v>71.25</v>
      </c>
      <c r="C1563" s="1">
        <f>IFERROR(__xludf.DUMMYFUNCTION("""COMPUTED_VALUE"""),71.47)</f>
        <v>71.47</v>
      </c>
      <c r="D1563" s="1">
        <f>IFERROR(__xludf.DUMMYFUNCTION("""COMPUTED_VALUE"""),69.41)</f>
        <v>69.41</v>
      </c>
      <c r="E1563" s="1">
        <f>IFERROR(__xludf.DUMMYFUNCTION("""COMPUTED_VALUE"""),70.67)</f>
        <v>70.67</v>
      </c>
      <c r="F1563" s="1">
        <f>IFERROR(__xludf.DUMMYFUNCTION("""COMPUTED_VALUE"""),106895.0)</f>
        <v>106895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IFERROR(__xludf.DUMMYFUNCTION("""COMPUTED_VALUE"""),70.59)</f>
        <v>70.59</v>
      </c>
      <c r="C1564" s="1">
        <f>IFERROR(__xludf.DUMMYFUNCTION("""COMPUTED_VALUE"""),75.0)</f>
        <v>75</v>
      </c>
      <c r="D1564" s="1">
        <f>IFERROR(__xludf.DUMMYFUNCTION("""COMPUTED_VALUE"""),70.52)</f>
        <v>70.52</v>
      </c>
      <c r="E1564" s="1">
        <f>IFERROR(__xludf.DUMMYFUNCTION("""COMPUTED_VALUE"""),73.89)</f>
        <v>73.89</v>
      </c>
      <c r="F1564" s="1">
        <f>IFERROR(__xludf.DUMMYFUNCTION("""COMPUTED_VALUE"""),1141199.0)</f>
        <v>1141199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IFERROR(__xludf.DUMMYFUNCTION("""COMPUTED_VALUE"""),73.52)</f>
        <v>73.52</v>
      </c>
      <c r="C1565" s="1">
        <f>IFERROR(__xludf.DUMMYFUNCTION("""COMPUTED_VALUE"""),75.14)</f>
        <v>75.14</v>
      </c>
      <c r="D1565" s="1">
        <f>IFERROR(__xludf.DUMMYFUNCTION("""COMPUTED_VALUE"""),73.41)</f>
        <v>73.41</v>
      </c>
      <c r="E1565" s="1">
        <f>IFERROR(__xludf.DUMMYFUNCTION("""COMPUTED_VALUE"""),74.0)</f>
        <v>74</v>
      </c>
      <c r="F1565" s="1">
        <f>IFERROR(__xludf.DUMMYFUNCTION("""COMPUTED_VALUE"""),475473.0)</f>
        <v>475473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IFERROR(__xludf.DUMMYFUNCTION("""COMPUTED_VALUE"""),73.45)</f>
        <v>73.45</v>
      </c>
      <c r="C1566" s="1">
        <f>IFERROR(__xludf.DUMMYFUNCTION("""COMPUTED_VALUE"""),75.08)</f>
        <v>75.08</v>
      </c>
      <c r="D1566" s="1">
        <f>IFERROR(__xludf.DUMMYFUNCTION("""COMPUTED_VALUE"""),72.97)</f>
        <v>72.97</v>
      </c>
      <c r="E1566" s="1">
        <f>IFERROR(__xludf.DUMMYFUNCTION("""COMPUTED_VALUE"""),74.8)</f>
        <v>74.8</v>
      </c>
      <c r="F1566" s="1">
        <f>IFERROR(__xludf.DUMMYFUNCTION("""COMPUTED_VALUE"""),419813.0)</f>
        <v>419813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IFERROR(__xludf.DUMMYFUNCTION("""COMPUTED_VALUE"""),74.78)</f>
        <v>74.78</v>
      </c>
      <c r="C1567" s="1">
        <f>IFERROR(__xludf.DUMMYFUNCTION("""COMPUTED_VALUE"""),75.27)</f>
        <v>75.27</v>
      </c>
      <c r="D1567" s="1">
        <f>IFERROR(__xludf.DUMMYFUNCTION("""COMPUTED_VALUE"""),74.2)</f>
        <v>74.2</v>
      </c>
      <c r="E1567" s="1">
        <f>IFERROR(__xludf.DUMMYFUNCTION("""COMPUTED_VALUE"""),74.21)</f>
        <v>74.21</v>
      </c>
      <c r="F1567" s="1">
        <f>IFERROR(__xludf.DUMMYFUNCTION("""COMPUTED_VALUE"""),434559.0)</f>
        <v>434559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IFERROR(__xludf.DUMMYFUNCTION("""COMPUTED_VALUE"""),73.85)</f>
        <v>73.85</v>
      </c>
      <c r="C1568" s="1">
        <f>IFERROR(__xludf.DUMMYFUNCTION("""COMPUTED_VALUE"""),75.27)</f>
        <v>75.27</v>
      </c>
      <c r="D1568" s="1">
        <f>IFERROR(__xludf.DUMMYFUNCTION("""COMPUTED_VALUE"""),73.39)</f>
        <v>73.39</v>
      </c>
      <c r="E1568" s="1">
        <f>IFERROR(__xludf.DUMMYFUNCTION("""COMPUTED_VALUE"""),74.33)</f>
        <v>74.33</v>
      </c>
      <c r="F1568" s="1">
        <f>IFERROR(__xludf.DUMMYFUNCTION("""COMPUTED_VALUE"""),337135.0)</f>
        <v>337135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IFERROR(__xludf.DUMMYFUNCTION("""COMPUTED_VALUE"""),74.57)</f>
        <v>74.57</v>
      </c>
      <c r="C1569" s="1">
        <f>IFERROR(__xludf.DUMMYFUNCTION("""COMPUTED_VALUE"""),74.66)</f>
        <v>74.66</v>
      </c>
      <c r="D1569" s="1">
        <f>IFERROR(__xludf.DUMMYFUNCTION("""COMPUTED_VALUE"""),73.42)</f>
        <v>73.42</v>
      </c>
      <c r="E1569" s="1">
        <f>IFERROR(__xludf.DUMMYFUNCTION("""COMPUTED_VALUE"""),74.16)</f>
        <v>74.16</v>
      </c>
      <c r="F1569" s="1">
        <f>IFERROR(__xludf.DUMMYFUNCTION("""COMPUTED_VALUE"""),423676.0)</f>
        <v>423676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IFERROR(__xludf.DUMMYFUNCTION("""COMPUTED_VALUE"""),74.14)</f>
        <v>74.14</v>
      </c>
      <c r="C1570" s="1">
        <f>IFERROR(__xludf.DUMMYFUNCTION("""COMPUTED_VALUE"""),76.16)</f>
        <v>76.16</v>
      </c>
      <c r="D1570" s="1">
        <f>IFERROR(__xludf.DUMMYFUNCTION("""COMPUTED_VALUE"""),73.61)</f>
        <v>73.61</v>
      </c>
      <c r="E1570" s="1">
        <f>IFERROR(__xludf.DUMMYFUNCTION("""COMPUTED_VALUE"""),76.12)</f>
        <v>76.12</v>
      </c>
      <c r="F1570" s="1">
        <f>IFERROR(__xludf.DUMMYFUNCTION("""COMPUTED_VALUE"""),365072.0)</f>
        <v>365072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IFERROR(__xludf.DUMMYFUNCTION("""COMPUTED_VALUE"""),76.08)</f>
        <v>76.08</v>
      </c>
      <c r="C1571" s="1">
        <f>IFERROR(__xludf.DUMMYFUNCTION("""COMPUTED_VALUE"""),76.35)</f>
        <v>76.35</v>
      </c>
      <c r="D1571" s="1">
        <f>IFERROR(__xludf.DUMMYFUNCTION("""COMPUTED_VALUE"""),75.06)</f>
        <v>75.06</v>
      </c>
      <c r="E1571" s="1">
        <f>IFERROR(__xludf.DUMMYFUNCTION("""COMPUTED_VALUE"""),75.44)</f>
        <v>75.44</v>
      </c>
      <c r="F1571" s="1">
        <f>IFERROR(__xludf.DUMMYFUNCTION("""COMPUTED_VALUE"""),334185.0)</f>
        <v>334185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IFERROR(__xludf.DUMMYFUNCTION("""COMPUTED_VALUE"""),75.27)</f>
        <v>75.27</v>
      </c>
      <c r="C1572" s="1">
        <f>IFERROR(__xludf.DUMMYFUNCTION("""COMPUTED_VALUE"""),76.7)</f>
        <v>76.7</v>
      </c>
      <c r="D1572" s="1">
        <f>IFERROR(__xludf.DUMMYFUNCTION("""COMPUTED_VALUE"""),74.72)</f>
        <v>74.72</v>
      </c>
      <c r="E1572" s="1">
        <f>IFERROR(__xludf.DUMMYFUNCTION("""COMPUTED_VALUE"""),75.94)</f>
        <v>75.94</v>
      </c>
      <c r="F1572" s="1">
        <f>IFERROR(__xludf.DUMMYFUNCTION("""COMPUTED_VALUE"""),484282.0)</f>
        <v>484282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IFERROR(__xludf.DUMMYFUNCTION("""COMPUTED_VALUE"""),75.4)</f>
        <v>75.4</v>
      </c>
      <c r="C1573" s="1">
        <f>IFERROR(__xludf.DUMMYFUNCTION("""COMPUTED_VALUE"""),77.81)</f>
        <v>77.81</v>
      </c>
      <c r="D1573" s="1">
        <f>IFERROR(__xludf.DUMMYFUNCTION("""COMPUTED_VALUE"""),74.19)</f>
        <v>74.19</v>
      </c>
      <c r="E1573" s="1">
        <f>IFERROR(__xludf.DUMMYFUNCTION("""COMPUTED_VALUE"""),77.56)</f>
        <v>77.56</v>
      </c>
      <c r="F1573" s="1">
        <f>IFERROR(__xludf.DUMMYFUNCTION("""COMPUTED_VALUE"""),449851.0)</f>
        <v>449851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IFERROR(__xludf.DUMMYFUNCTION("""COMPUTED_VALUE"""),77.53)</f>
        <v>77.53</v>
      </c>
      <c r="C1574" s="1">
        <f>IFERROR(__xludf.DUMMYFUNCTION("""COMPUTED_VALUE"""),79.98)</f>
        <v>79.98</v>
      </c>
      <c r="D1574" s="1">
        <f>IFERROR(__xludf.DUMMYFUNCTION("""COMPUTED_VALUE"""),77.21)</f>
        <v>77.21</v>
      </c>
      <c r="E1574" s="1">
        <f>IFERROR(__xludf.DUMMYFUNCTION("""COMPUTED_VALUE"""),79.52)</f>
        <v>79.52</v>
      </c>
      <c r="F1574" s="1">
        <f>IFERROR(__xludf.DUMMYFUNCTION("""COMPUTED_VALUE"""),634669.0)</f>
        <v>634669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IFERROR(__xludf.DUMMYFUNCTION("""COMPUTED_VALUE"""),78.65)</f>
        <v>78.65</v>
      </c>
      <c r="C1575" s="1">
        <f>IFERROR(__xludf.DUMMYFUNCTION("""COMPUTED_VALUE"""),79.92)</f>
        <v>79.92</v>
      </c>
      <c r="D1575" s="1">
        <f>IFERROR(__xludf.DUMMYFUNCTION("""COMPUTED_VALUE"""),78.35)</f>
        <v>78.35</v>
      </c>
      <c r="E1575" s="1">
        <f>IFERROR(__xludf.DUMMYFUNCTION("""COMPUTED_VALUE"""),79.22)</f>
        <v>79.22</v>
      </c>
      <c r="F1575" s="1">
        <f>IFERROR(__xludf.DUMMYFUNCTION("""COMPUTED_VALUE"""),747312.0)</f>
        <v>747312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IFERROR(__xludf.DUMMYFUNCTION("""COMPUTED_VALUE"""),79.38)</f>
        <v>79.38</v>
      </c>
      <c r="C1576" s="1">
        <f>IFERROR(__xludf.DUMMYFUNCTION("""COMPUTED_VALUE"""),82.4)</f>
        <v>82.4</v>
      </c>
      <c r="D1576" s="1">
        <f>IFERROR(__xludf.DUMMYFUNCTION("""COMPUTED_VALUE"""),79.38)</f>
        <v>79.38</v>
      </c>
      <c r="E1576" s="1">
        <f>IFERROR(__xludf.DUMMYFUNCTION("""COMPUTED_VALUE"""),82.23)</f>
        <v>82.23</v>
      </c>
      <c r="F1576" s="1">
        <f>IFERROR(__xludf.DUMMYFUNCTION("""COMPUTED_VALUE"""),688211.0)</f>
        <v>688211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IFERROR(__xludf.DUMMYFUNCTION("""COMPUTED_VALUE"""),81.86)</f>
        <v>81.86</v>
      </c>
      <c r="C1577" s="1">
        <f>IFERROR(__xludf.DUMMYFUNCTION("""COMPUTED_VALUE"""),82.0)</f>
        <v>82</v>
      </c>
      <c r="D1577" s="1">
        <f>IFERROR(__xludf.DUMMYFUNCTION("""COMPUTED_VALUE"""),80.46)</f>
        <v>80.46</v>
      </c>
      <c r="E1577" s="1">
        <f>IFERROR(__xludf.DUMMYFUNCTION("""COMPUTED_VALUE"""),81.45)</f>
        <v>81.45</v>
      </c>
      <c r="F1577" s="1">
        <f>IFERROR(__xludf.DUMMYFUNCTION("""COMPUTED_VALUE"""),420032.0)</f>
        <v>420032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IFERROR(__xludf.DUMMYFUNCTION("""COMPUTED_VALUE"""),82.12)</f>
        <v>82.12</v>
      </c>
      <c r="C1578" s="1">
        <f>IFERROR(__xludf.DUMMYFUNCTION("""COMPUTED_VALUE"""),82.24)</f>
        <v>82.24</v>
      </c>
      <c r="D1578" s="1">
        <f>IFERROR(__xludf.DUMMYFUNCTION("""COMPUTED_VALUE"""),80.94)</f>
        <v>80.94</v>
      </c>
      <c r="E1578" s="1">
        <f>IFERROR(__xludf.DUMMYFUNCTION("""COMPUTED_VALUE"""),81.9)</f>
        <v>81.9</v>
      </c>
      <c r="F1578" s="1">
        <f>IFERROR(__xludf.DUMMYFUNCTION("""COMPUTED_VALUE"""),801582.0)</f>
        <v>801582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IFERROR(__xludf.DUMMYFUNCTION("""COMPUTED_VALUE"""),82.25)</f>
        <v>82.25</v>
      </c>
      <c r="C1579" s="1">
        <f>IFERROR(__xludf.DUMMYFUNCTION("""COMPUTED_VALUE"""),82.25)</f>
        <v>82.25</v>
      </c>
      <c r="D1579" s="1">
        <f>IFERROR(__xludf.DUMMYFUNCTION("""COMPUTED_VALUE"""),79.54)</f>
        <v>79.54</v>
      </c>
      <c r="E1579" s="1">
        <f>IFERROR(__xludf.DUMMYFUNCTION("""COMPUTED_VALUE"""),79.98)</f>
        <v>79.98</v>
      </c>
      <c r="F1579" s="1">
        <f>IFERROR(__xludf.DUMMYFUNCTION("""COMPUTED_VALUE"""),443242.0)</f>
        <v>443242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IFERROR(__xludf.DUMMYFUNCTION("""COMPUTED_VALUE"""),79.85)</f>
        <v>79.85</v>
      </c>
      <c r="C1580" s="1">
        <f>IFERROR(__xludf.DUMMYFUNCTION("""COMPUTED_VALUE"""),80.09)</f>
        <v>80.09</v>
      </c>
      <c r="D1580" s="1">
        <f>IFERROR(__xludf.DUMMYFUNCTION("""COMPUTED_VALUE"""),78.99)</f>
        <v>78.99</v>
      </c>
      <c r="E1580" s="1">
        <f>IFERROR(__xludf.DUMMYFUNCTION("""COMPUTED_VALUE"""),79.55)</f>
        <v>79.55</v>
      </c>
      <c r="F1580" s="1">
        <f>IFERROR(__xludf.DUMMYFUNCTION("""COMPUTED_VALUE"""),518081.0)</f>
        <v>518081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IFERROR(__xludf.DUMMYFUNCTION("""COMPUTED_VALUE"""),79.99)</f>
        <v>79.99</v>
      </c>
      <c r="C1581" s="1">
        <f>IFERROR(__xludf.DUMMYFUNCTION("""COMPUTED_VALUE"""),80.74)</f>
        <v>80.74</v>
      </c>
      <c r="D1581" s="1">
        <f>IFERROR(__xludf.DUMMYFUNCTION("""COMPUTED_VALUE"""),79.5)</f>
        <v>79.5</v>
      </c>
      <c r="E1581" s="1">
        <f>IFERROR(__xludf.DUMMYFUNCTION("""COMPUTED_VALUE"""),80.72)</f>
        <v>80.72</v>
      </c>
      <c r="F1581" s="1">
        <f>IFERROR(__xludf.DUMMYFUNCTION("""COMPUTED_VALUE"""),600760.0)</f>
        <v>600760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IFERROR(__xludf.DUMMYFUNCTION("""COMPUTED_VALUE"""),80.59)</f>
        <v>80.59</v>
      </c>
      <c r="C1582" s="1">
        <f>IFERROR(__xludf.DUMMYFUNCTION("""COMPUTED_VALUE"""),81.0)</f>
        <v>81</v>
      </c>
      <c r="D1582" s="1">
        <f>IFERROR(__xludf.DUMMYFUNCTION("""COMPUTED_VALUE"""),79.97)</f>
        <v>79.97</v>
      </c>
      <c r="E1582" s="1">
        <f>IFERROR(__xludf.DUMMYFUNCTION("""COMPUTED_VALUE"""),80.54)</f>
        <v>80.54</v>
      </c>
      <c r="F1582" s="1">
        <f>IFERROR(__xludf.DUMMYFUNCTION("""COMPUTED_VALUE"""),370859.0)</f>
        <v>370859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IFERROR(__xludf.DUMMYFUNCTION("""COMPUTED_VALUE"""),80.6)</f>
        <v>80.6</v>
      </c>
      <c r="C1583" s="1">
        <f>IFERROR(__xludf.DUMMYFUNCTION("""COMPUTED_VALUE"""),80.87)</f>
        <v>80.87</v>
      </c>
      <c r="D1583" s="1">
        <f>IFERROR(__xludf.DUMMYFUNCTION("""COMPUTED_VALUE"""),80.01)</f>
        <v>80.01</v>
      </c>
      <c r="E1583" s="1">
        <f>IFERROR(__xludf.DUMMYFUNCTION("""COMPUTED_VALUE"""),80.47)</f>
        <v>80.47</v>
      </c>
      <c r="F1583" s="1">
        <f>IFERROR(__xludf.DUMMYFUNCTION("""COMPUTED_VALUE"""),599023.0)</f>
        <v>599023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IFERROR(__xludf.DUMMYFUNCTION("""COMPUTED_VALUE"""),80.31)</f>
        <v>80.31</v>
      </c>
      <c r="C1584" s="1">
        <f>IFERROR(__xludf.DUMMYFUNCTION("""COMPUTED_VALUE"""),82.38)</f>
        <v>82.38</v>
      </c>
      <c r="D1584" s="1">
        <f>IFERROR(__xludf.DUMMYFUNCTION("""COMPUTED_VALUE"""),80.27)</f>
        <v>80.27</v>
      </c>
      <c r="E1584" s="1">
        <f>IFERROR(__xludf.DUMMYFUNCTION("""COMPUTED_VALUE"""),81.53)</f>
        <v>81.53</v>
      </c>
      <c r="F1584" s="1">
        <f>IFERROR(__xludf.DUMMYFUNCTION("""COMPUTED_VALUE"""),955938.0)</f>
        <v>955938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IFERROR(__xludf.DUMMYFUNCTION("""COMPUTED_VALUE"""),81.57)</f>
        <v>81.57</v>
      </c>
      <c r="C1585" s="1">
        <f>IFERROR(__xludf.DUMMYFUNCTION("""COMPUTED_VALUE"""),81.8)</f>
        <v>81.8</v>
      </c>
      <c r="D1585" s="1">
        <f>IFERROR(__xludf.DUMMYFUNCTION("""COMPUTED_VALUE"""),79.2)</f>
        <v>79.2</v>
      </c>
      <c r="E1585" s="1">
        <f>IFERROR(__xludf.DUMMYFUNCTION("""COMPUTED_VALUE"""),79.35)</f>
        <v>79.35</v>
      </c>
      <c r="F1585" s="1">
        <f>IFERROR(__xludf.DUMMYFUNCTION("""COMPUTED_VALUE"""),488753.0)</f>
        <v>488753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IFERROR(__xludf.DUMMYFUNCTION("""COMPUTED_VALUE"""),79.38)</f>
        <v>79.38</v>
      </c>
      <c r="C1586" s="1">
        <f>IFERROR(__xludf.DUMMYFUNCTION("""COMPUTED_VALUE"""),80.69)</f>
        <v>80.69</v>
      </c>
      <c r="D1586" s="1">
        <f>IFERROR(__xludf.DUMMYFUNCTION("""COMPUTED_VALUE"""),78.83)</f>
        <v>78.83</v>
      </c>
      <c r="E1586" s="1">
        <f>IFERROR(__xludf.DUMMYFUNCTION("""COMPUTED_VALUE"""),80.25)</f>
        <v>80.25</v>
      </c>
      <c r="F1586" s="1">
        <f>IFERROR(__xludf.DUMMYFUNCTION("""COMPUTED_VALUE"""),363767.0)</f>
        <v>363767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IFERROR(__xludf.DUMMYFUNCTION("""COMPUTED_VALUE"""),80.41)</f>
        <v>80.41</v>
      </c>
      <c r="C1587" s="1">
        <f>IFERROR(__xludf.DUMMYFUNCTION("""COMPUTED_VALUE"""),81.1)</f>
        <v>81.1</v>
      </c>
      <c r="D1587" s="1">
        <f>IFERROR(__xludf.DUMMYFUNCTION("""COMPUTED_VALUE"""),80.07)</f>
        <v>80.07</v>
      </c>
      <c r="E1587" s="1">
        <f>IFERROR(__xludf.DUMMYFUNCTION("""COMPUTED_VALUE"""),80.82)</f>
        <v>80.82</v>
      </c>
      <c r="F1587" s="1">
        <f>IFERROR(__xludf.DUMMYFUNCTION("""COMPUTED_VALUE"""),187118.0)</f>
        <v>187118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IFERROR(__xludf.DUMMYFUNCTION("""COMPUTED_VALUE"""),80.88)</f>
        <v>80.88</v>
      </c>
      <c r="C1588" s="1">
        <f>IFERROR(__xludf.DUMMYFUNCTION("""COMPUTED_VALUE"""),81.33)</f>
        <v>81.33</v>
      </c>
      <c r="D1588" s="1">
        <f>IFERROR(__xludf.DUMMYFUNCTION("""COMPUTED_VALUE"""),80.15)</f>
        <v>80.15</v>
      </c>
      <c r="E1588" s="1">
        <f>IFERROR(__xludf.DUMMYFUNCTION("""COMPUTED_VALUE"""),80.99)</f>
        <v>80.99</v>
      </c>
      <c r="F1588" s="1">
        <f>IFERROR(__xludf.DUMMYFUNCTION("""COMPUTED_VALUE"""),208425.0)</f>
        <v>208425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IFERROR(__xludf.DUMMYFUNCTION("""COMPUTED_VALUE"""),81.14)</f>
        <v>81.14</v>
      </c>
      <c r="C1589" s="1">
        <f>IFERROR(__xludf.DUMMYFUNCTION("""COMPUTED_VALUE"""),82.33)</f>
        <v>82.33</v>
      </c>
      <c r="D1589" s="1">
        <f>IFERROR(__xludf.DUMMYFUNCTION("""COMPUTED_VALUE"""),80.42)</f>
        <v>80.42</v>
      </c>
      <c r="E1589" s="1">
        <f>IFERROR(__xludf.DUMMYFUNCTION("""COMPUTED_VALUE"""),81.67)</f>
        <v>81.67</v>
      </c>
      <c r="F1589" s="1">
        <f>IFERROR(__xludf.DUMMYFUNCTION("""COMPUTED_VALUE"""),388155.0)</f>
        <v>388155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IFERROR(__xludf.DUMMYFUNCTION("""COMPUTED_VALUE"""),81.95)</f>
        <v>81.95</v>
      </c>
      <c r="C1590" s="1">
        <f>IFERROR(__xludf.DUMMYFUNCTION("""COMPUTED_VALUE"""),82.35)</f>
        <v>82.35</v>
      </c>
      <c r="D1590" s="1">
        <f>IFERROR(__xludf.DUMMYFUNCTION("""COMPUTED_VALUE"""),80.47)</f>
        <v>80.47</v>
      </c>
      <c r="E1590" s="1">
        <f>IFERROR(__xludf.DUMMYFUNCTION("""COMPUTED_VALUE"""),81.5)</f>
        <v>81.5</v>
      </c>
      <c r="F1590" s="1">
        <f>IFERROR(__xludf.DUMMYFUNCTION("""COMPUTED_VALUE"""),319759.0)</f>
        <v>319759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IFERROR(__xludf.DUMMYFUNCTION("""COMPUTED_VALUE"""),81.36)</f>
        <v>81.36</v>
      </c>
      <c r="C1591" s="1">
        <f>IFERROR(__xludf.DUMMYFUNCTION("""COMPUTED_VALUE"""),81.81)</f>
        <v>81.81</v>
      </c>
      <c r="D1591" s="1">
        <f>IFERROR(__xludf.DUMMYFUNCTION("""COMPUTED_VALUE"""),80.65)</f>
        <v>80.65</v>
      </c>
      <c r="E1591" s="1">
        <f>IFERROR(__xludf.DUMMYFUNCTION("""COMPUTED_VALUE"""),81.53)</f>
        <v>81.53</v>
      </c>
      <c r="F1591" s="1">
        <f>IFERROR(__xludf.DUMMYFUNCTION("""COMPUTED_VALUE"""),272225.0)</f>
        <v>272225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IFERROR(__xludf.DUMMYFUNCTION("""COMPUTED_VALUE"""),81.11)</f>
        <v>81.11</v>
      </c>
      <c r="C1592" s="1">
        <f>IFERROR(__xludf.DUMMYFUNCTION("""COMPUTED_VALUE"""),81.59)</f>
        <v>81.59</v>
      </c>
      <c r="D1592" s="1">
        <f>IFERROR(__xludf.DUMMYFUNCTION("""COMPUTED_VALUE"""),79.92)</f>
        <v>79.92</v>
      </c>
      <c r="E1592" s="1">
        <f>IFERROR(__xludf.DUMMYFUNCTION("""COMPUTED_VALUE"""),80.03)</f>
        <v>80.03</v>
      </c>
      <c r="F1592" s="1">
        <f>IFERROR(__xludf.DUMMYFUNCTION("""COMPUTED_VALUE"""),369548.0)</f>
        <v>369548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IFERROR(__xludf.DUMMYFUNCTION("""COMPUTED_VALUE"""),79.43)</f>
        <v>79.43</v>
      </c>
      <c r="C1593" s="1">
        <f>IFERROR(__xludf.DUMMYFUNCTION("""COMPUTED_VALUE"""),79.87)</f>
        <v>79.87</v>
      </c>
      <c r="D1593" s="1">
        <f>IFERROR(__xludf.DUMMYFUNCTION("""COMPUTED_VALUE"""),78.38)</f>
        <v>78.38</v>
      </c>
      <c r="E1593" s="1">
        <f>IFERROR(__xludf.DUMMYFUNCTION("""COMPUTED_VALUE"""),79.27)</f>
        <v>79.27</v>
      </c>
      <c r="F1593" s="1">
        <f>IFERROR(__xludf.DUMMYFUNCTION("""COMPUTED_VALUE"""),330777.0)</f>
        <v>330777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IFERROR(__xludf.DUMMYFUNCTION("""COMPUTED_VALUE"""),79.64)</f>
        <v>79.64</v>
      </c>
      <c r="C1594" s="1">
        <f>IFERROR(__xludf.DUMMYFUNCTION("""COMPUTED_VALUE"""),80.06)</f>
        <v>80.06</v>
      </c>
      <c r="D1594" s="1">
        <f>IFERROR(__xludf.DUMMYFUNCTION("""COMPUTED_VALUE"""),78.68)</f>
        <v>78.68</v>
      </c>
      <c r="E1594" s="1">
        <f>IFERROR(__xludf.DUMMYFUNCTION("""COMPUTED_VALUE"""),79.4)</f>
        <v>79.4</v>
      </c>
      <c r="F1594" s="1">
        <f>IFERROR(__xludf.DUMMYFUNCTION("""COMPUTED_VALUE"""),611009.0)</f>
        <v>611009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IFERROR(__xludf.DUMMYFUNCTION("""COMPUTED_VALUE"""),79.3)</f>
        <v>79.3</v>
      </c>
      <c r="C1595" s="1">
        <f>IFERROR(__xludf.DUMMYFUNCTION("""COMPUTED_VALUE"""),79.81)</f>
        <v>79.81</v>
      </c>
      <c r="D1595" s="1">
        <f>IFERROR(__xludf.DUMMYFUNCTION("""COMPUTED_VALUE"""),76.54)</f>
        <v>76.54</v>
      </c>
      <c r="E1595" s="1">
        <f>IFERROR(__xludf.DUMMYFUNCTION("""COMPUTED_VALUE"""),78.8)</f>
        <v>78.8</v>
      </c>
      <c r="F1595" s="1">
        <f>IFERROR(__xludf.DUMMYFUNCTION("""COMPUTED_VALUE"""),967170.0)</f>
        <v>967170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IFERROR(__xludf.DUMMYFUNCTION("""COMPUTED_VALUE"""),78.8)</f>
        <v>78.8</v>
      </c>
      <c r="C1596" s="1">
        <f>IFERROR(__xludf.DUMMYFUNCTION("""COMPUTED_VALUE"""),80.79)</f>
        <v>80.79</v>
      </c>
      <c r="D1596" s="1">
        <f>IFERROR(__xludf.DUMMYFUNCTION("""COMPUTED_VALUE"""),77.05)</f>
        <v>77.05</v>
      </c>
      <c r="E1596" s="1">
        <f>IFERROR(__xludf.DUMMYFUNCTION("""COMPUTED_VALUE"""),79.01)</f>
        <v>79.01</v>
      </c>
      <c r="F1596" s="1">
        <f>IFERROR(__xludf.DUMMYFUNCTION("""COMPUTED_VALUE"""),931651.0)</f>
        <v>931651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IFERROR(__xludf.DUMMYFUNCTION("""COMPUTED_VALUE"""),79.32)</f>
        <v>79.32</v>
      </c>
      <c r="C1597" s="1">
        <f>IFERROR(__xludf.DUMMYFUNCTION("""COMPUTED_VALUE"""),80.98)</f>
        <v>80.98</v>
      </c>
      <c r="D1597" s="1">
        <f>IFERROR(__xludf.DUMMYFUNCTION("""COMPUTED_VALUE"""),78.81)</f>
        <v>78.81</v>
      </c>
      <c r="E1597" s="1">
        <f>IFERROR(__xludf.DUMMYFUNCTION("""COMPUTED_VALUE"""),80.75)</f>
        <v>80.75</v>
      </c>
      <c r="F1597" s="1">
        <f>IFERROR(__xludf.DUMMYFUNCTION("""COMPUTED_VALUE"""),481564.0)</f>
        <v>481564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IFERROR(__xludf.DUMMYFUNCTION("""COMPUTED_VALUE"""),80.28)</f>
        <v>80.28</v>
      </c>
      <c r="C1598" s="1">
        <f>IFERROR(__xludf.DUMMYFUNCTION("""COMPUTED_VALUE"""),81.22)</f>
        <v>81.22</v>
      </c>
      <c r="D1598" s="1">
        <f>IFERROR(__xludf.DUMMYFUNCTION("""COMPUTED_VALUE"""),79.96)</f>
        <v>79.96</v>
      </c>
      <c r="E1598" s="1">
        <f>IFERROR(__xludf.DUMMYFUNCTION("""COMPUTED_VALUE"""),80.89)</f>
        <v>80.89</v>
      </c>
      <c r="F1598" s="1">
        <f>IFERROR(__xludf.DUMMYFUNCTION("""COMPUTED_VALUE"""),463904.0)</f>
        <v>463904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IFERROR(__xludf.DUMMYFUNCTION("""COMPUTED_VALUE"""),81.17)</f>
        <v>81.17</v>
      </c>
      <c r="C1599" s="1">
        <f>IFERROR(__xludf.DUMMYFUNCTION("""COMPUTED_VALUE"""),83.28)</f>
        <v>83.28</v>
      </c>
      <c r="D1599" s="1">
        <f>IFERROR(__xludf.DUMMYFUNCTION("""COMPUTED_VALUE"""),80.69)</f>
        <v>80.69</v>
      </c>
      <c r="E1599" s="1">
        <f>IFERROR(__xludf.DUMMYFUNCTION("""COMPUTED_VALUE"""),83.01)</f>
        <v>83.01</v>
      </c>
      <c r="F1599" s="1">
        <f>IFERROR(__xludf.DUMMYFUNCTION("""COMPUTED_VALUE"""),698148.0)</f>
        <v>698148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IFERROR(__xludf.DUMMYFUNCTION("""COMPUTED_VALUE"""),83.24)</f>
        <v>83.24</v>
      </c>
      <c r="C1600" s="1">
        <f>IFERROR(__xludf.DUMMYFUNCTION("""COMPUTED_VALUE"""),84.07)</f>
        <v>84.07</v>
      </c>
      <c r="D1600" s="1">
        <f>IFERROR(__xludf.DUMMYFUNCTION("""COMPUTED_VALUE"""),82.63)</f>
        <v>82.63</v>
      </c>
      <c r="E1600" s="1">
        <f>IFERROR(__xludf.DUMMYFUNCTION("""COMPUTED_VALUE"""),84.01)</f>
        <v>84.01</v>
      </c>
      <c r="F1600" s="1">
        <f>IFERROR(__xludf.DUMMYFUNCTION("""COMPUTED_VALUE"""),559999.0)</f>
        <v>559999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IFERROR(__xludf.DUMMYFUNCTION("""COMPUTED_VALUE"""),84.62)</f>
        <v>84.62</v>
      </c>
      <c r="C1601" s="1">
        <f>IFERROR(__xludf.DUMMYFUNCTION("""COMPUTED_VALUE"""),84.79)</f>
        <v>84.79</v>
      </c>
      <c r="D1601" s="1">
        <f>IFERROR(__xludf.DUMMYFUNCTION("""COMPUTED_VALUE"""),81.92)</f>
        <v>81.92</v>
      </c>
      <c r="E1601" s="1">
        <f>IFERROR(__xludf.DUMMYFUNCTION("""COMPUTED_VALUE"""),82.01)</f>
        <v>82.01</v>
      </c>
      <c r="F1601" s="1">
        <f>IFERROR(__xludf.DUMMYFUNCTION("""COMPUTED_VALUE"""),490136.0)</f>
        <v>490136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IFERROR(__xludf.DUMMYFUNCTION("""COMPUTED_VALUE"""),82.01)</f>
        <v>82.01</v>
      </c>
      <c r="C1602" s="1">
        <f>IFERROR(__xludf.DUMMYFUNCTION("""COMPUTED_VALUE"""),82.59)</f>
        <v>82.59</v>
      </c>
      <c r="D1602" s="1">
        <f>IFERROR(__xludf.DUMMYFUNCTION("""COMPUTED_VALUE"""),80.81)</f>
        <v>80.81</v>
      </c>
      <c r="E1602" s="1">
        <f>IFERROR(__xludf.DUMMYFUNCTION("""COMPUTED_VALUE"""),81.42)</f>
        <v>81.42</v>
      </c>
      <c r="F1602" s="1">
        <f>IFERROR(__xludf.DUMMYFUNCTION("""COMPUTED_VALUE"""),515725.0)</f>
        <v>515725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IFERROR(__xludf.DUMMYFUNCTION("""COMPUTED_VALUE"""),81.33)</f>
        <v>81.33</v>
      </c>
      <c r="C1603" s="1">
        <f>IFERROR(__xludf.DUMMYFUNCTION("""COMPUTED_VALUE"""),83.11)</f>
        <v>83.11</v>
      </c>
      <c r="D1603" s="1">
        <f>IFERROR(__xludf.DUMMYFUNCTION("""COMPUTED_VALUE"""),81.33)</f>
        <v>81.33</v>
      </c>
      <c r="E1603" s="1">
        <f>IFERROR(__xludf.DUMMYFUNCTION("""COMPUTED_VALUE"""),82.81)</f>
        <v>82.81</v>
      </c>
      <c r="F1603" s="1">
        <f>IFERROR(__xludf.DUMMYFUNCTION("""COMPUTED_VALUE"""),344837.0)</f>
        <v>344837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IFERROR(__xludf.DUMMYFUNCTION("""COMPUTED_VALUE"""),83.04)</f>
        <v>83.04</v>
      </c>
      <c r="C1604" s="1">
        <f>IFERROR(__xludf.DUMMYFUNCTION("""COMPUTED_VALUE"""),84.43)</f>
        <v>84.43</v>
      </c>
      <c r="D1604" s="1">
        <f>IFERROR(__xludf.DUMMYFUNCTION("""COMPUTED_VALUE"""),82.48)</f>
        <v>82.48</v>
      </c>
      <c r="E1604" s="1">
        <f>IFERROR(__xludf.DUMMYFUNCTION("""COMPUTED_VALUE"""),83.96)</f>
        <v>83.96</v>
      </c>
      <c r="F1604" s="1">
        <f>IFERROR(__xludf.DUMMYFUNCTION("""COMPUTED_VALUE"""),301215.0)</f>
        <v>301215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IFERROR(__xludf.DUMMYFUNCTION("""COMPUTED_VALUE"""),83.96)</f>
        <v>83.96</v>
      </c>
      <c r="C1605" s="1">
        <f>IFERROR(__xludf.DUMMYFUNCTION("""COMPUTED_VALUE"""),84.18)</f>
        <v>84.18</v>
      </c>
      <c r="D1605" s="1">
        <f>IFERROR(__xludf.DUMMYFUNCTION("""COMPUTED_VALUE"""),83.05)</f>
        <v>83.05</v>
      </c>
      <c r="E1605" s="1">
        <f>IFERROR(__xludf.DUMMYFUNCTION("""COMPUTED_VALUE"""),83.73)</f>
        <v>83.73</v>
      </c>
      <c r="F1605" s="1">
        <f>IFERROR(__xludf.DUMMYFUNCTION("""COMPUTED_VALUE"""),433738.0)</f>
        <v>433738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IFERROR(__xludf.DUMMYFUNCTION("""COMPUTED_VALUE"""),83.61)</f>
        <v>83.61</v>
      </c>
      <c r="C1606" s="1">
        <f>IFERROR(__xludf.DUMMYFUNCTION("""COMPUTED_VALUE"""),84.51)</f>
        <v>84.51</v>
      </c>
      <c r="D1606" s="1">
        <f>IFERROR(__xludf.DUMMYFUNCTION("""COMPUTED_VALUE"""),82.9)</f>
        <v>82.9</v>
      </c>
      <c r="E1606" s="1">
        <f>IFERROR(__xludf.DUMMYFUNCTION("""COMPUTED_VALUE"""),83.92)</f>
        <v>83.92</v>
      </c>
      <c r="F1606" s="1">
        <f>IFERROR(__xludf.DUMMYFUNCTION("""COMPUTED_VALUE"""),337021.0)</f>
        <v>337021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IFERROR(__xludf.DUMMYFUNCTION("""COMPUTED_VALUE"""),83.62)</f>
        <v>83.62</v>
      </c>
      <c r="C1607" s="1">
        <f>IFERROR(__xludf.DUMMYFUNCTION("""COMPUTED_VALUE"""),84.35)</f>
        <v>84.35</v>
      </c>
      <c r="D1607" s="1">
        <f>IFERROR(__xludf.DUMMYFUNCTION("""COMPUTED_VALUE"""),82.81)</f>
        <v>82.81</v>
      </c>
      <c r="E1607" s="1">
        <f>IFERROR(__xludf.DUMMYFUNCTION("""COMPUTED_VALUE"""),83.69)</f>
        <v>83.69</v>
      </c>
      <c r="F1607" s="1">
        <f>IFERROR(__xludf.DUMMYFUNCTION("""COMPUTED_VALUE"""),222736.0)</f>
        <v>222736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IFERROR(__xludf.DUMMYFUNCTION("""COMPUTED_VALUE"""),84.18)</f>
        <v>84.18</v>
      </c>
      <c r="C1608" s="1">
        <f>IFERROR(__xludf.DUMMYFUNCTION("""COMPUTED_VALUE"""),84.88)</f>
        <v>84.88</v>
      </c>
      <c r="D1608" s="1">
        <f>IFERROR(__xludf.DUMMYFUNCTION("""COMPUTED_VALUE"""),83.72)</f>
        <v>83.72</v>
      </c>
      <c r="E1608" s="1">
        <f>IFERROR(__xludf.DUMMYFUNCTION("""COMPUTED_VALUE"""),84.59)</f>
        <v>84.59</v>
      </c>
      <c r="F1608" s="1">
        <f>IFERROR(__xludf.DUMMYFUNCTION("""COMPUTED_VALUE"""),464415.0)</f>
        <v>464415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IFERROR(__xludf.DUMMYFUNCTION("""COMPUTED_VALUE"""),84.6)</f>
        <v>84.6</v>
      </c>
      <c r="C1609" s="1">
        <f>IFERROR(__xludf.DUMMYFUNCTION("""COMPUTED_VALUE"""),85.62)</f>
        <v>85.62</v>
      </c>
      <c r="D1609" s="1">
        <f>IFERROR(__xludf.DUMMYFUNCTION("""COMPUTED_VALUE"""),84.35)</f>
        <v>84.35</v>
      </c>
      <c r="E1609" s="1">
        <f>IFERROR(__xludf.DUMMYFUNCTION("""COMPUTED_VALUE"""),84.49)</f>
        <v>84.49</v>
      </c>
      <c r="F1609" s="1">
        <f>IFERROR(__xludf.DUMMYFUNCTION("""COMPUTED_VALUE"""),260322.0)</f>
        <v>260322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IFERROR(__xludf.DUMMYFUNCTION("""COMPUTED_VALUE"""),85.0)</f>
        <v>85</v>
      </c>
      <c r="C1610" s="1">
        <f>IFERROR(__xludf.DUMMYFUNCTION("""COMPUTED_VALUE"""),85.65)</f>
        <v>85.65</v>
      </c>
      <c r="D1610" s="1">
        <f>IFERROR(__xludf.DUMMYFUNCTION("""COMPUTED_VALUE"""),84.6)</f>
        <v>84.6</v>
      </c>
      <c r="E1610" s="1">
        <f>IFERROR(__xludf.DUMMYFUNCTION("""COMPUTED_VALUE"""),85.41)</f>
        <v>85.41</v>
      </c>
      <c r="F1610" s="1">
        <f>IFERROR(__xludf.DUMMYFUNCTION("""COMPUTED_VALUE"""),430173.0)</f>
        <v>430173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IFERROR(__xludf.DUMMYFUNCTION("""COMPUTED_VALUE"""),85.48)</f>
        <v>85.48</v>
      </c>
      <c r="C1611" s="1">
        <f>IFERROR(__xludf.DUMMYFUNCTION("""COMPUTED_VALUE"""),85.9)</f>
        <v>85.9</v>
      </c>
      <c r="D1611" s="1">
        <f>IFERROR(__xludf.DUMMYFUNCTION("""COMPUTED_VALUE"""),84.98)</f>
        <v>84.98</v>
      </c>
      <c r="E1611" s="1">
        <f>IFERROR(__xludf.DUMMYFUNCTION("""COMPUTED_VALUE"""),85.37)</f>
        <v>85.37</v>
      </c>
      <c r="F1611" s="1">
        <f>IFERROR(__xludf.DUMMYFUNCTION("""COMPUTED_VALUE"""),225394.0)</f>
        <v>225394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IFERROR(__xludf.DUMMYFUNCTION("""COMPUTED_VALUE"""),85.35)</f>
        <v>85.35</v>
      </c>
      <c r="C1612" s="1">
        <f>IFERROR(__xludf.DUMMYFUNCTION("""COMPUTED_VALUE"""),85.88)</f>
        <v>85.88</v>
      </c>
      <c r="D1612" s="1">
        <f>IFERROR(__xludf.DUMMYFUNCTION("""COMPUTED_VALUE"""),84.52)</f>
        <v>84.52</v>
      </c>
      <c r="E1612" s="1">
        <f>IFERROR(__xludf.DUMMYFUNCTION("""COMPUTED_VALUE"""),85.52)</f>
        <v>85.52</v>
      </c>
      <c r="F1612" s="1">
        <f>IFERROR(__xludf.DUMMYFUNCTION("""COMPUTED_VALUE"""),344808.0)</f>
        <v>344808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IFERROR(__xludf.DUMMYFUNCTION("""COMPUTED_VALUE"""),85.69)</f>
        <v>85.69</v>
      </c>
      <c r="C1613" s="1">
        <f>IFERROR(__xludf.DUMMYFUNCTION("""COMPUTED_VALUE"""),86.45)</f>
        <v>86.45</v>
      </c>
      <c r="D1613" s="1">
        <f>IFERROR(__xludf.DUMMYFUNCTION("""COMPUTED_VALUE"""),85.21)</f>
        <v>85.21</v>
      </c>
      <c r="E1613" s="1">
        <f>IFERROR(__xludf.DUMMYFUNCTION("""COMPUTED_VALUE"""),86.04)</f>
        <v>86.04</v>
      </c>
      <c r="F1613" s="1">
        <f>IFERROR(__xludf.DUMMYFUNCTION("""COMPUTED_VALUE"""),378777.0)</f>
        <v>378777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IFERROR(__xludf.DUMMYFUNCTION("""COMPUTED_VALUE"""),86.24)</f>
        <v>86.24</v>
      </c>
      <c r="C1614" s="1">
        <f>IFERROR(__xludf.DUMMYFUNCTION("""COMPUTED_VALUE"""),86.54)</f>
        <v>86.54</v>
      </c>
      <c r="D1614" s="1">
        <f>IFERROR(__xludf.DUMMYFUNCTION("""COMPUTED_VALUE"""),85.3)</f>
        <v>85.3</v>
      </c>
      <c r="E1614" s="1">
        <f>IFERROR(__xludf.DUMMYFUNCTION("""COMPUTED_VALUE"""),85.93)</f>
        <v>85.93</v>
      </c>
      <c r="F1614" s="1">
        <f>IFERROR(__xludf.DUMMYFUNCTION("""COMPUTED_VALUE"""),298945.0)</f>
        <v>298945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IFERROR(__xludf.DUMMYFUNCTION("""COMPUTED_VALUE"""),85.79)</f>
        <v>85.79</v>
      </c>
      <c r="C1615" s="1">
        <f>IFERROR(__xludf.DUMMYFUNCTION("""COMPUTED_VALUE"""),86.55)</f>
        <v>86.55</v>
      </c>
      <c r="D1615" s="1">
        <f>IFERROR(__xludf.DUMMYFUNCTION("""COMPUTED_VALUE"""),85.16)</f>
        <v>85.16</v>
      </c>
      <c r="E1615" s="1">
        <f>IFERROR(__xludf.DUMMYFUNCTION("""COMPUTED_VALUE"""),86.5)</f>
        <v>86.5</v>
      </c>
      <c r="F1615" s="1">
        <f>IFERROR(__xludf.DUMMYFUNCTION("""COMPUTED_VALUE"""),294684.0)</f>
        <v>294684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IFERROR(__xludf.DUMMYFUNCTION("""COMPUTED_VALUE"""),87.95)</f>
        <v>87.95</v>
      </c>
      <c r="C1616" s="1">
        <f>IFERROR(__xludf.DUMMYFUNCTION("""COMPUTED_VALUE"""),87.95)</f>
        <v>87.95</v>
      </c>
      <c r="D1616" s="1">
        <f>IFERROR(__xludf.DUMMYFUNCTION("""COMPUTED_VALUE"""),86.23)</f>
        <v>86.23</v>
      </c>
      <c r="E1616" s="1">
        <f>IFERROR(__xludf.DUMMYFUNCTION("""COMPUTED_VALUE"""),87.45)</f>
        <v>87.45</v>
      </c>
      <c r="F1616" s="1">
        <f>IFERROR(__xludf.DUMMYFUNCTION("""COMPUTED_VALUE"""),424753.0)</f>
        <v>424753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IFERROR(__xludf.DUMMYFUNCTION("""COMPUTED_VALUE"""),87.12)</f>
        <v>87.12</v>
      </c>
      <c r="C1617" s="1">
        <f>IFERROR(__xludf.DUMMYFUNCTION("""COMPUTED_VALUE"""),87.2)</f>
        <v>87.2</v>
      </c>
      <c r="D1617" s="1">
        <f>IFERROR(__xludf.DUMMYFUNCTION("""COMPUTED_VALUE"""),85.5)</f>
        <v>85.5</v>
      </c>
      <c r="E1617" s="1">
        <f>IFERROR(__xludf.DUMMYFUNCTION("""COMPUTED_VALUE"""),85.85)</f>
        <v>85.85</v>
      </c>
      <c r="F1617" s="1">
        <f>IFERROR(__xludf.DUMMYFUNCTION("""COMPUTED_VALUE"""),357651.0)</f>
        <v>357651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IFERROR(__xludf.DUMMYFUNCTION("""COMPUTED_VALUE"""),85.79)</f>
        <v>85.79</v>
      </c>
      <c r="C1618" s="1">
        <f>IFERROR(__xludf.DUMMYFUNCTION("""COMPUTED_VALUE"""),86.49)</f>
        <v>86.49</v>
      </c>
      <c r="D1618" s="1">
        <f>IFERROR(__xludf.DUMMYFUNCTION("""COMPUTED_VALUE"""),84.93)</f>
        <v>84.93</v>
      </c>
      <c r="E1618" s="1">
        <f>IFERROR(__xludf.DUMMYFUNCTION("""COMPUTED_VALUE"""),86.12)</f>
        <v>86.12</v>
      </c>
      <c r="F1618" s="1">
        <f>IFERROR(__xludf.DUMMYFUNCTION("""COMPUTED_VALUE"""),279041.0)</f>
        <v>279041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IFERROR(__xludf.DUMMYFUNCTION("""COMPUTED_VALUE"""),86.09)</f>
        <v>86.09</v>
      </c>
      <c r="C1619" s="1">
        <f>IFERROR(__xludf.DUMMYFUNCTION("""COMPUTED_VALUE"""),86.48)</f>
        <v>86.48</v>
      </c>
      <c r="D1619" s="1">
        <f>IFERROR(__xludf.DUMMYFUNCTION("""COMPUTED_VALUE"""),85.04)</f>
        <v>85.04</v>
      </c>
      <c r="E1619" s="1">
        <f>IFERROR(__xludf.DUMMYFUNCTION("""COMPUTED_VALUE"""),85.6)</f>
        <v>85.6</v>
      </c>
      <c r="F1619" s="1">
        <f>IFERROR(__xludf.DUMMYFUNCTION("""COMPUTED_VALUE"""),219560.0)</f>
        <v>219560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IFERROR(__xludf.DUMMYFUNCTION("""COMPUTED_VALUE"""),85.48)</f>
        <v>85.48</v>
      </c>
      <c r="C1620" s="1">
        <f>IFERROR(__xludf.DUMMYFUNCTION("""COMPUTED_VALUE"""),85.99)</f>
        <v>85.99</v>
      </c>
      <c r="D1620" s="1">
        <f>IFERROR(__xludf.DUMMYFUNCTION("""COMPUTED_VALUE"""),84.75)</f>
        <v>84.75</v>
      </c>
      <c r="E1620" s="1">
        <f>IFERROR(__xludf.DUMMYFUNCTION("""COMPUTED_VALUE"""),85.72)</f>
        <v>85.72</v>
      </c>
      <c r="F1620" s="1">
        <f>IFERROR(__xludf.DUMMYFUNCTION("""COMPUTED_VALUE"""),209860.0)</f>
        <v>209860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IFERROR(__xludf.DUMMYFUNCTION("""COMPUTED_VALUE"""),85.44)</f>
        <v>85.44</v>
      </c>
      <c r="C1621" s="1">
        <f>IFERROR(__xludf.DUMMYFUNCTION("""COMPUTED_VALUE"""),86.61)</f>
        <v>86.61</v>
      </c>
      <c r="D1621" s="1">
        <f>IFERROR(__xludf.DUMMYFUNCTION("""COMPUTED_VALUE"""),85.44)</f>
        <v>85.44</v>
      </c>
      <c r="E1621" s="1">
        <f>IFERROR(__xludf.DUMMYFUNCTION("""COMPUTED_VALUE"""),86.03)</f>
        <v>86.03</v>
      </c>
      <c r="F1621" s="1">
        <f>IFERROR(__xludf.DUMMYFUNCTION("""COMPUTED_VALUE"""),392133.0)</f>
        <v>392133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IFERROR(__xludf.DUMMYFUNCTION("""COMPUTED_VALUE"""),86.41)</f>
        <v>86.41</v>
      </c>
      <c r="C1622" s="1">
        <f>IFERROR(__xludf.DUMMYFUNCTION("""COMPUTED_VALUE"""),86.41)</f>
        <v>86.41</v>
      </c>
      <c r="D1622" s="1">
        <f>IFERROR(__xludf.DUMMYFUNCTION("""COMPUTED_VALUE"""),83.9)</f>
        <v>83.9</v>
      </c>
      <c r="E1622" s="1">
        <f>IFERROR(__xludf.DUMMYFUNCTION("""COMPUTED_VALUE"""),84.73)</f>
        <v>84.73</v>
      </c>
      <c r="F1622" s="1">
        <f>IFERROR(__xludf.DUMMYFUNCTION("""COMPUTED_VALUE"""),290109.0)</f>
        <v>290109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IFERROR(__xludf.DUMMYFUNCTION("""COMPUTED_VALUE"""),84.18)</f>
        <v>84.18</v>
      </c>
      <c r="C1623" s="1">
        <f>IFERROR(__xludf.DUMMYFUNCTION("""COMPUTED_VALUE"""),85.32)</f>
        <v>85.32</v>
      </c>
      <c r="D1623" s="1">
        <f>IFERROR(__xludf.DUMMYFUNCTION("""COMPUTED_VALUE"""),84.01)</f>
        <v>84.01</v>
      </c>
      <c r="E1623" s="1">
        <f>IFERROR(__xludf.DUMMYFUNCTION("""COMPUTED_VALUE"""),84.32)</f>
        <v>84.32</v>
      </c>
      <c r="F1623" s="1">
        <f>IFERROR(__xludf.DUMMYFUNCTION("""COMPUTED_VALUE"""),451407.0)</f>
        <v>451407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IFERROR(__xludf.DUMMYFUNCTION("""COMPUTED_VALUE"""),83.87)</f>
        <v>83.87</v>
      </c>
      <c r="C1624" s="1">
        <f>IFERROR(__xludf.DUMMYFUNCTION("""COMPUTED_VALUE"""),84.25)</f>
        <v>84.25</v>
      </c>
      <c r="D1624" s="1">
        <f>IFERROR(__xludf.DUMMYFUNCTION("""COMPUTED_VALUE"""),82.82)</f>
        <v>82.82</v>
      </c>
      <c r="E1624" s="1">
        <f>IFERROR(__xludf.DUMMYFUNCTION("""COMPUTED_VALUE"""),84.13)</f>
        <v>84.13</v>
      </c>
      <c r="F1624" s="1">
        <f>IFERROR(__xludf.DUMMYFUNCTION("""COMPUTED_VALUE"""),266748.0)</f>
        <v>266748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IFERROR(__xludf.DUMMYFUNCTION("""COMPUTED_VALUE"""),84.72)</f>
        <v>84.72</v>
      </c>
      <c r="C1625" s="1">
        <f>IFERROR(__xludf.DUMMYFUNCTION("""COMPUTED_VALUE"""),84.72)</f>
        <v>84.72</v>
      </c>
      <c r="D1625" s="1">
        <f>IFERROR(__xludf.DUMMYFUNCTION("""COMPUTED_VALUE"""),83.5)</f>
        <v>83.5</v>
      </c>
      <c r="E1625" s="1">
        <f>IFERROR(__xludf.DUMMYFUNCTION("""COMPUTED_VALUE"""),83.82)</f>
        <v>83.82</v>
      </c>
      <c r="F1625" s="1">
        <f>IFERROR(__xludf.DUMMYFUNCTION("""COMPUTED_VALUE"""),262150.0)</f>
        <v>262150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IFERROR(__xludf.DUMMYFUNCTION("""COMPUTED_VALUE"""),83.51)</f>
        <v>83.51</v>
      </c>
      <c r="C1626" s="1">
        <f>IFERROR(__xludf.DUMMYFUNCTION("""COMPUTED_VALUE"""),83.99)</f>
        <v>83.99</v>
      </c>
      <c r="D1626" s="1">
        <f>IFERROR(__xludf.DUMMYFUNCTION("""COMPUTED_VALUE"""),82.45)</f>
        <v>82.45</v>
      </c>
      <c r="E1626" s="1">
        <f>IFERROR(__xludf.DUMMYFUNCTION("""COMPUTED_VALUE"""),83.12)</f>
        <v>83.12</v>
      </c>
      <c r="F1626" s="1">
        <f>IFERROR(__xludf.DUMMYFUNCTION("""COMPUTED_VALUE"""),290312.0)</f>
        <v>290312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IFERROR(__xludf.DUMMYFUNCTION("""COMPUTED_VALUE"""),83.13)</f>
        <v>83.13</v>
      </c>
      <c r="C1627" s="1">
        <f>IFERROR(__xludf.DUMMYFUNCTION("""COMPUTED_VALUE"""),83.32)</f>
        <v>83.32</v>
      </c>
      <c r="D1627" s="1">
        <f>IFERROR(__xludf.DUMMYFUNCTION("""COMPUTED_VALUE"""),81.8)</f>
        <v>81.8</v>
      </c>
      <c r="E1627" s="1">
        <f>IFERROR(__xludf.DUMMYFUNCTION("""COMPUTED_VALUE"""),82.09)</f>
        <v>82.09</v>
      </c>
      <c r="F1627" s="1">
        <f>IFERROR(__xludf.DUMMYFUNCTION("""COMPUTED_VALUE"""),535819.0)</f>
        <v>535819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IFERROR(__xludf.DUMMYFUNCTION("""COMPUTED_VALUE"""),82.76)</f>
        <v>82.76</v>
      </c>
      <c r="C1628" s="1">
        <f>IFERROR(__xludf.DUMMYFUNCTION("""COMPUTED_VALUE"""),83.62)</f>
        <v>83.62</v>
      </c>
      <c r="D1628" s="1">
        <f>IFERROR(__xludf.DUMMYFUNCTION("""COMPUTED_VALUE"""),82.68)</f>
        <v>82.68</v>
      </c>
      <c r="E1628" s="1">
        <f>IFERROR(__xludf.DUMMYFUNCTION("""COMPUTED_VALUE"""),82.89)</f>
        <v>82.89</v>
      </c>
      <c r="F1628" s="1">
        <f>IFERROR(__xludf.DUMMYFUNCTION("""COMPUTED_VALUE"""),216941.0)</f>
        <v>216941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IFERROR(__xludf.DUMMYFUNCTION("""COMPUTED_VALUE"""),82.82)</f>
        <v>82.82</v>
      </c>
      <c r="C1629" s="1">
        <f>IFERROR(__xludf.DUMMYFUNCTION("""COMPUTED_VALUE"""),83.65)</f>
        <v>83.65</v>
      </c>
      <c r="D1629" s="1">
        <f>IFERROR(__xludf.DUMMYFUNCTION("""COMPUTED_VALUE"""),82.27)</f>
        <v>82.27</v>
      </c>
      <c r="E1629" s="1">
        <f>IFERROR(__xludf.DUMMYFUNCTION("""COMPUTED_VALUE"""),82.74)</f>
        <v>82.74</v>
      </c>
      <c r="F1629" s="1">
        <f>IFERROR(__xludf.DUMMYFUNCTION("""COMPUTED_VALUE"""),342840.0)</f>
        <v>342840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IFERROR(__xludf.DUMMYFUNCTION("""COMPUTED_VALUE"""),82.51)</f>
        <v>82.51</v>
      </c>
      <c r="C1630" s="1">
        <f>IFERROR(__xludf.DUMMYFUNCTION("""COMPUTED_VALUE"""),84.61)</f>
        <v>84.61</v>
      </c>
      <c r="D1630" s="1">
        <f>IFERROR(__xludf.DUMMYFUNCTION("""COMPUTED_VALUE"""),82.45)</f>
        <v>82.45</v>
      </c>
      <c r="E1630" s="1">
        <f>IFERROR(__xludf.DUMMYFUNCTION("""COMPUTED_VALUE"""),83.32)</f>
        <v>83.32</v>
      </c>
      <c r="F1630" s="1">
        <f>IFERROR(__xludf.DUMMYFUNCTION("""COMPUTED_VALUE"""),332059.0)</f>
        <v>332059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IFERROR(__xludf.DUMMYFUNCTION("""COMPUTED_VALUE"""),84.01)</f>
        <v>84.01</v>
      </c>
      <c r="C1631" s="1">
        <f>IFERROR(__xludf.DUMMYFUNCTION("""COMPUTED_VALUE"""),84.5)</f>
        <v>84.5</v>
      </c>
      <c r="D1631" s="1">
        <f>IFERROR(__xludf.DUMMYFUNCTION("""COMPUTED_VALUE"""),83.41)</f>
        <v>83.41</v>
      </c>
      <c r="E1631" s="1">
        <f>IFERROR(__xludf.DUMMYFUNCTION("""COMPUTED_VALUE"""),84.18)</f>
        <v>84.18</v>
      </c>
      <c r="F1631" s="1">
        <f>IFERROR(__xludf.DUMMYFUNCTION("""COMPUTED_VALUE"""),291724.0)</f>
        <v>291724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IFERROR(__xludf.DUMMYFUNCTION("""COMPUTED_VALUE"""),81.55)</f>
        <v>81.55</v>
      </c>
      <c r="C1632" s="1">
        <f>IFERROR(__xludf.DUMMYFUNCTION("""COMPUTED_VALUE"""),82.07)</f>
        <v>82.07</v>
      </c>
      <c r="D1632" s="1">
        <f>IFERROR(__xludf.DUMMYFUNCTION("""COMPUTED_VALUE"""),80.14)</f>
        <v>80.14</v>
      </c>
      <c r="E1632" s="1">
        <f>IFERROR(__xludf.DUMMYFUNCTION("""COMPUTED_VALUE"""),80.35)</f>
        <v>80.35</v>
      </c>
      <c r="F1632" s="1">
        <f>IFERROR(__xludf.DUMMYFUNCTION("""COMPUTED_VALUE"""),406219.0)</f>
        <v>406219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IFERROR(__xludf.DUMMYFUNCTION("""COMPUTED_VALUE"""),80.09)</f>
        <v>80.09</v>
      </c>
      <c r="C1633" s="1">
        <f>IFERROR(__xludf.DUMMYFUNCTION("""COMPUTED_VALUE"""),80.11)</f>
        <v>80.11</v>
      </c>
      <c r="D1633" s="1">
        <f>IFERROR(__xludf.DUMMYFUNCTION("""COMPUTED_VALUE"""),75.54)</f>
        <v>75.54</v>
      </c>
      <c r="E1633" s="1">
        <f>IFERROR(__xludf.DUMMYFUNCTION("""COMPUTED_VALUE"""),75.95)</f>
        <v>75.95</v>
      </c>
      <c r="F1633" s="1">
        <f>IFERROR(__xludf.DUMMYFUNCTION("""COMPUTED_VALUE"""),1161541.0)</f>
        <v>1161541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IFERROR(__xludf.DUMMYFUNCTION("""COMPUTED_VALUE"""),76.9)</f>
        <v>76.9</v>
      </c>
      <c r="C1634" s="1">
        <f>IFERROR(__xludf.DUMMYFUNCTION("""COMPUTED_VALUE"""),78.99)</f>
        <v>78.99</v>
      </c>
      <c r="D1634" s="1">
        <f>IFERROR(__xludf.DUMMYFUNCTION("""COMPUTED_VALUE"""),76.5)</f>
        <v>76.5</v>
      </c>
      <c r="E1634" s="1">
        <f>IFERROR(__xludf.DUMMYFUNCTION("""COMPUTED_VALUE"""),78.74)</f>
        <v>78.74</v>
      </c>
      <c r="F1634" s="1">
        <f>IFERROR(__xludf.DUMMYFUNCTION("""COMPUTED_VALUE"""),411733.0)</f>
        <v>411733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IFERROR(__xludf.DUMMYFUNCTION("""COMPUTED_VALUE"""),79.58)</f>
        <v>79.58</v>
      </c>
      <c r="C1635" s="1">
        <f>IFERROR(__xludf.DUMMYFUNCTION("""COMPUTED_VALUE"""),80.62)</f>
        <v>80.62</v>
      </c>
      <c r="D1635" s="1">
        <f>IFERROR(__xludf.DUMMYFUNCTION("""COMPUTED_VALUE"""),79.11)</f>
        <v>79.11</v>
      </c>
      <c r="E1635" s="1">
        <f>IFERROR(__xludf.DUMMYFUNCTION("""COMPUTED_VALUE"""),80.6)</f>
        <v>80.6</v>
      </c>
      <c r="F1635" s="1">
        <f>IFERROR(__xludf.DUMMYFUNCTION("""COMPUTED_VALUE"""),380957.0)</f>
        <v>380957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IFERROR(__xludf.DUMMYFUNCTION("""COMPUTED_VALUE"""),80.55)</f>
        <v>80.55</v>
      </c>
      <c r="C1636" s="1">
        <f>IFERROR(__xludf.DUMMYFUNCTION("""COMPUTED_VALUE"""),82.48)</f>
        <v>82.48</v>
      </c>
      <c r="D1636" s="1">
        <f>IFERROR(__xludf.DUMMYFUNCTION("""COMPUTED_VALUE"""),80.3)</f>
        <v>80.3</v>
      </c>
      <c r="E1636" s="1">
        <f>IFERROR(__xludf.DUMMYFUNCTION("""COMPUTED_VALUE"""),82.44)</f>
        <v>82.44</v>
      </c>
      <c r="F1636" s="1">
        <f>IFERROR(__xludf.DUMMYFUNCTION("""COMPUTED_VALUE"""),513621.0)</f>
        <v>513621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IFERROR(__xludf.DUMMYFUNCTION("""COMPUTED_VALUE"""),82.59)</f>
        <v>82.59</v>
      </c>
      <c r="C1637" s="1">
        <f>IFERROR(__xludf.DUMMYFUNCTION("""COMPUTED_VALUE"""),83.88)</f>
        <v>83.88</v>
      </c>
      <c r="D1637" s="1">
        <f>IFERROR(__xludf.DUMMYFUNCTION("""COMPUTED_VALUE"""),82.12)</f>
        <v>82.12</v>
      </c>
      <c r="E1637" s="1">
        <f>IFERROR(__xludf.DUMMYFUNCTION("""COMPUTED_VALUE"""),83.3)</f>
        <v>83.3</v>
      </c>
      <c r="F1637" s="1">
        <f>IFERROR(__xludf.DUMMYFUNCTION("""COMPUTED_VALUE"""),302063.0)</f>
        <v>302063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IFERROR(__xludf.DUMMYFUNCTION("""COMPUTED_VALUE"""),82.93)</f>
        <v>82.93</v>
      </c>
      <c r="C1638" s="1">
        <f>IFERROR(__xludf.DUMMYFUNCTION("""COMPUTED_VALUE"""),83.27)</f>
        <v>83.27</v>
      </c>
      <c r="D1638" s="1">
        <f>IFERROR(__xludf.DUMMYFUNCTION("""COMPUTED_VALUE"""),81.82)</f>
        <v>81.82</v>
      </c>
      <c r="E1638" s="1">
        <f>IFERROR(__xludf.DUMMYFUNCTION("""COMPUTED_VALUE"""),82.83)</f>
        <v>82.83</v>
      </c>
      <c r="F1638" s="1">
        <f>IFERROR(__xludf.DUMMYFUNCTION("""COMPUTED_VALUE"""),278466.0)</f>
        <v>278466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IFERROR(__xludf.DUMMYFUNCTION("""COMPUTED_VALUE"""),82.44)</f>
        <v>82.44</v>
      </c>
      <c r="C1639" s="1">
        <f>IFERROR(__xludf.DUMMYFUNCTION("""COMPUTED_VALUE"""),83.49)</f>
        <v>83.49</v>
      </c>
      <c r="D1639" s="1">
        <f>IFERROR(__xludf.DUMMYFUNCTION("""COMPUTED_VALUE"""),82.19)</f>
        <v>82.19</v>
      </c>
      <c r="E1639" s="1">
        <f>IFERROR(__xludf.DUMMYFUNCTION("""COMPUTED_VALUE"""),83.46)</f>
        <v>83.46</v>
      </c>
      <c r="F1639" s="1">
        <f>IFERROR(__xludf.DUMMYFUNCTION("""COMPUTED_VALUE"""),375264.0)</f>
        <v>375264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IFERROR(__xludf.DUMMYFUNCTION("""COMPUTED_VALUE"""),83.68)</f>
        <v>83.68</v>
      </c>
      <c r="C1640" s="1">
        <f>IFERROR(__xludf.DUMMYFUNCTION("""COMPUTED_VALUE"""),84.77)</f>
        <v>84.77</v>
      </c>
      <c r="D1640" s="1">
        <f>IFERROR(__xludf.DUMMYFUNCTION("""COMPUTED_VALUE"""),83.63)</f>
        <v>83.63</v>
      </c>
      <c r="E1640" s="1">
        <f>IFERROR(__xludf.DUMMYFUNCTION("""COMPUTED_VALUE"""),84.5)</f>
        <v>84.5</v>
      </c>
      <c r="F1640" s="1">
        <f>IFERROR(__xludf.DUMMYFUNCTION("""COMPUTED_VALUE"""),224495.0)</f>
        <v>224495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IFERROR(__xludf.DUMMYFUNCTION("""COMPUTED_VALUE"""),84.95)</f>
        <v>84.95</v>
      </c>
      <c r="C1641" s="1">
        <f>IFERROR(__xludf.DUMMYFUNCTION("""COMPUTED_VALUE"""),85.84)</f>
        <v>85.84</v>
      </c>
      <c r="D1641" s="1">
        <f>IFERROR(__xludf.DUMMYFUNCTION("""COMPUTED_VALUE"""),84.38)</f>
        <v>84.38</v>
      </c>
      <c r="E1641" s="1">
        <f>IFERROR(__xludf.DUMMYFUNCTION("""COMPUTED_VALUE"""),85.52)</f>
        <v>85.52</v>
      </c>
      <c r="F1641" s="1">
        <f>IFERROR(__xludf.DUMMYFUNCTION("""COMPUTED_VALUE"""),192812.0)</f>
        <v>192812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IFERROR(__xludf.DUMMYFUNCTION("""COMPUTED_VALUE"""),85.59)</f>
        <v>85.59</v>
      </c>
      <c r="C1642" s="1">
        <f>IFERROR(__xludf.DUMMYFUNCTION("""COMPUTED_VALUE"""),86.03)</f>
        <v>86.03</v>
      </c>
      <c r="D1642" s="1">
        <f>IFERROR(__xludf.DUMMYFUNCTION("""COMPUTED_VALUE"""),85.34)</f>
        <v>85.34</v>
      </c>
      <c r="E1642" s="1">
        <f>IFERROR(__xludf.DUMMYFUNCTION("""COMPUTED_VALUE"""),85.55)</f>
        <v>85.55</v>
      </c>
      <c r="F1642" s="1">
        <f>IFERROR(__xludf.DUMMYFUNCTION("""COMPUTED_VALUE"""),177414.0)</f>
        <v>177414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IFERROR(__xludf.DUMMYFUNCTION("""COMPUTED_VALUE"""),86.2)</f>
        <v>86.2</v>
      </c>
      <c r="C1643" s="1">
        <f>IFERROR(__xludf.DUMMYFUNCTION("""COMPUTED_VALUE"""),86.98)</f>
        <v>86.98</v>
      </c>
      <c r="D1643" s="1">
        <f>IFERROR(__xludf.DUMMYFUNCTION("""COMPUTED_VALUE"""),85.87)</f>
        <v>85.87</v>
      </c>
      <c r="E1643" s="1">
        <f>IFERROR(__xludf.DUMMYFUNCTION("""COMPUTED_VALUE"""),85.97)</f>
        <v>85.97</v>
      </c>
      <c r="F1643" s="1">
        <f>IFERROR(__xludf.DUMMYFUNCTION("""COMPUTED_VALUE"""),286581.0)</f>
        <v>286581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IFERROR(__xludf.DUMMYFUNCTION("""COMPUTED_VALUE"""),86.39)</f>
        <v>86.39</v>
      </c>
      <c r="C1644" s="1">
        <f>IFERROR(__xludf.DUMMYFUNCTION("""COMPUTED_VALUE"""),86.39)</f>
        <v>86.39</v>
      </c>
      <c r="D1644" s="1">
        <f>IFERROR(__xludf.DUMMYFUNCTION("""COMPUTED_VALUE"""),84.93)</f>
        <v>84.93</v>
      </c>
      <c r="E1644" s="1">
        <f>IFERROR(__xludf.DUMMYFUNCTION("""COMPUTED_VALUE"""),84.96)</f>
        <v>84.96</v>
      </c>
      <c r="F1644" s="1">
        <f>IFERROR(__xludf.DUMMYFUNCTION("""COMPUTED_VALUE"""),465193.0)</f>
        <v>465193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IFERROR(__xludf.DUMMYFUNCTION("""COMPUTED_VALUE"""),85.4)</f>
        <v>85.4</v>
      </c>
      <c r="C1645" s="1">
        <f>IFERROR(__xludf.DUMMYFUNCTION("""COMPUTED_VALUE"""),86.16)</f>
        <v>86.16</v>
      </c>
      <c r="D1645" s="1">
        <f>IFERROR(__xludf.DUMMYFUNCTION("""COMPUTED_VALUE"""),85.05)</f>
        <v>85.05</v>
      </c>
      <c r="E1645" s="1">
        <f>IFERROR(__xludf.DUMMYFUNCTION("""COMPUTED_VALUE"""),86.05)</f>
        <v>86.05</v>
      </c>
      <c r="F1645" s="1">
        <f>IFERROR(__xludf.DUMMYFUNCTION("""COMPUTED_VALUE"""),195546.0)</f>
        <v>195546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IFERROR(__xludf.DUMMYFUNCTION("""COMPUTED_VALUE"""),86.16)</f>
        <v>86.16</v>
      </c>
      <c r="C1646" s="1">
        <f>IFERROR(__xludf.DUMMYFUNCTION("""COMPUTED_VALUE"""),86.48)</f>
        <v>86.48</v>
      </c>
      <c r="D1646" s="1">
        <f>IFERROR(__xludf.DUMMYFUNCTION("""COMPUTED_VALUE"""),85.55)</f>
        <v>85.55</v>
      </c>
      <c r="E1646" s="1">
        <f>IFERROR(__xludf.DUMMYFUNCTION("""COMPUTED_VALUE"""),85.62)</f>
        <v>85.62</v>
      </c>
      <c r="F1646" s="1">
        <f>IFERROR(__xludf.DUMMYFUNCTION("""COMPUTED_VALUE"""),220554.0)</f>
        <v>220554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IFERROR(__xludf.DUMMYFUNCTION("""COMPUTED_VALUE"""),85.53)</f>
        <v>85.53</v>
      </c>
      <c r="C1647" s="1">
        <f>IFERROR(__xludf.DUMMYFUNCTION("""COMPUTED_VALUE"""),85.63)</f>
        <v>85.63</v>
      </c>
      <c r="D1647" s="1">
        <f>IFERROR(__xludf.DUMMYFUNCTION("""COMPUTED_VALUE"""),84.9)</f>
        <v>84.9</v>
      </c>
      <c r="E1647" s="1">
        <f>IFERROR(__xludf.DUMMYFUNCTION("""COMPUTED_VALUE"""),85.15)</f>
        <v>85.15</v>
      </c>
      <c r="F1647" s="1">
        <f>IFERROR(__xludf.DUMMYFUNCTION("""COMPUTED_VALUE"""),172087.0)</f>
        <v>172087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IFERROR(__xludf.DUMMYFUNCTION("""COMPUTED_VALUE"""),85.03)</f>
        <v>85.03</v>
      </c>
      <c r="C1648" s="1">
        <f>IFERROR(__xludf.DUMMYFUNCTION("""COMPUTED_VALUE"""),85.48)</f>
        <v>85.48</v>
      </c>
      <c r="D1648" s="1">
        <f>IFERROR(__xludf.DUMMYFUNCTION("""COMPUTED_VALUE"""),84.21)</f>
        <v>84.21</v>
      </c>
      <c r="E1648" s="1">
        <f>IFERROR(__xludf.DUMMYFUNCTION("""COMPUTED_VALUE"""),84.57)</f>
        <v>84.57</v>
      </c>
      <c r="F1648" s="1">
        <f>IFERROR(__xludf.DUMMYFUNCTION("""COMPUTED_VALUE"""),317631.0)</f>
        <v>317631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IFERROR(__xludf.DUMMYFUNCTION("""COMPUTED_VALUE"""),84.68)</f>
        <v>84.68</v>
      </c>
      <c r="C1649" s="1">
        <f>IFERROR(__xludf.DUMMYFUNCTION("""COMPUTED_VALUE"""),86.53)</f>
        <v>86.53</v>
      </c>
      <c r="D1649" s="1">
        <f>IFERROR(__xludf.DUMMYFUNCTION("""COMPUTED_VALUE"""),84.68)</f>
        <v>84.68</v>
      </c>
      <c r="E1649" s="1">
        <f>IFERROR(__xludf.DUMMYFUNCTION("""COMPUTED_VALUE"""),86.18)</f>
        <v>86.18</v>
      </c>
      <c r="F1649" s="1">
        <f>IFERROR(__xludf.DUMMYFUNCTION("""COMPUTED_VALUE"""),261257.0)</f>
        <v>261257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IFERROR(__xludf.DUMMYFUNCTION("""COMPUTED_VALUE"""),86.25)</f>
        <v>86.25</v>
      </c>
      <c r="C1650" s="1">
        <f>IFERROR(__xludf.DUMMYFUNCTION("""COMPUTED_VALUE"""),86.56)</f>
        <v>86.56</v>
      </c>
      <c r="D1650" s="1">
        <f>IFERROR(__xludf.DUMMYFUNCTION("""COMPUTED_VALUE"""),85.52)</f>
        <v>85.52</v>
      </c>
      <c r="E1650" s="1">
        <f>IFERROR(__xludf.DUMMYFUNCTION("""COMPUTED_VALUE"""),86.01)</f>
        <v>86.01</v>
      </c>
      <c r="F1650" s="1">
        <f>IFERROR(__xludf.DUMMYFUNCTION("""COMPUTED_VALUE"""),298909.0)</f>
        <v>298909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IFERROR(__xludf.DUMMYFUNCTION("""COMPUTED_VALUE"""),86.3)</f>
        <v>86.3</v>
      </c>
      <c r="C1651" s="1">
        <f>IFERROR(__xludf.DUMMYFUNCTION("""COMPUTED_VALUE"""),87.24)</f>
        <v>87.24</v>
      </c>
      <c r="D1651" s="1">
        <f>IFERROR(__xludf.DUMMYFUNCTION("""COMPUTED_VALUE"""),85.68)</f>
        <v>85.68</v>
      </c>
      <c r="E1651" s="1">
        <f>IFERROR(__xludf.DUMMYFUNCTION("""COMPUTED_VALUE"""),86.78)</f>
        <v>86.78</v>
      </c>
      <c r="F1651" s="1">
        <f>IFERROR(__xludf.DUMMYFUNCTION("""COMPUTED_VALUE"""),299425.0)</f>
        <v>299425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IFERROR(__xludf.DUMMYFUNCTION("""COMPUTED_VALUE"""),86.85)</f>
        <v>86.85</v>
      </c>
      <c r="C1652" s="1">
        <f>IFERROR(__xludf.DUMMYFUNCTION("""COMPUTED_VALUE"""),87.2)</f>
        <v>87.2</v>
      </c>
      <c r="D1652" s="1">
        <f>IFERROR(__xludf.DUMMYFUNCTION("""COMPUTED_VALUE"""),85.92)</f>
        <v>85.92</v>
      </c>
      <c r="E1652" s="1">
        <f>IFERROR(__xludf.DUMMYFUNCTION("""COMPUTED_VALUE"""),86.35)</f>
        <v>86.35</v>
      </c>
      <c r="F1652" s="1">
        <f>IFERROR(__xludf.DUMMYFUNCTION("""COMPUTED_VALUE"""),296532.0)</f>
        <v>296532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IFERROR(__xludf.DUMMYFUNCTION("""COMPUTED_VALUE"""),86.16)</f>
        <v>86.16</v>
      </c>
      <c r="C1653" s="1">
        <f>IFERROR(__xludf.DUMMYFUNCTION("""COMPUTED_VALUE"""),87.98)</f>
        <v>87.98</v>
      </c>
      <c r="D1653" s="1">
        <f>IFERROR(__xludf.DUMMYFUNCTION("""COMPUTED_VALUE"""),86.07)</f>
        <v>86.07</v>
      </c>
      <c r="E1653" s="1">
        <f>IFERROR(__xludf.DUMMYFUNCTION("""COMPUTED_VALUE"""),87.79)</f>
        <v>87.79</v>
      </c>
      <c r="F1653" s="1">
        <f>IFERROR(__xludf.DUMMYFUNCTION("""COMPUTED_VALUE"""),443672.0)</f>
        <v>443672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IFERROR(__xludf.DUMMYFUNCTION("""COMPUTED_VALUE"""),87.88)</f>
        <v>87.88</v>
      </c>
      <c r="C1654" s="1">
        <f>IFERROR(__xludf.DUMMYFUNCTION("""COMPUTED_VALUE"""),87.88)</f>
        <v>87.88</v>
      </c>
      <c r="D1654" s="1">
        <f>IFERROR(__xludf.DUMMYFUNCTION("""COMPUTED_VALUE"""),86.46)</f>
        <v>86.46</v>
      </c>
      <c r="E1654" s="1">
        <f>IFERROR(__xludf.DUMMYFUNCTION("""COMPUTED_VALUE"""),87.02)</f>
        <v>87.02</v>
      </c>
      <c r="F1654" s="1">
        <f>IFERROR(__xludf.DUMMYFUNCTION("""COMPUTED_VALUE"""),264895.0)</f>
        <v>264895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IFERROR(__xludf.DUMMYFUNCTION("""COMPUTED_VALUE"""),86.96)</f>
        <v>86.96</v>
      </c>
      <c r="C1655" s="1">
        <f>IFERROR(__xludf.DUMMYFUNCTION("""COMPUTED_VALUE"""),87.71)</f>
        <v>87.71</v>
      </c>
      <c r="D1655" s="1">
        <f>IFERROR(__xludf.DUMMYFUNCTION("""COMPUTED_VALUE"""),86.42)</f>
        <v>86.42</v>
      </c>
      <c r="E1655" s="1">
        <f>IFERROR(__xludf.DUMMYFUNCTION("""COMPUTED_VALUE"""),87.5)</f>
        <v>87.5</v>
      </c>
      <c r="F1655" s="1">
        <f>IFERROR(__xludf.DUMMYFUNCTION("""COMPUTED_VALUE"""),265444.0)</f>
        <v>265444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IFERROR(__xludf.DUMMYFUNCTION("""COMPUTED_VALUE"""),87.55)</f>
        <v>87.55</v>
      </c>
      <c r="C1656" s="1">
        <f>IFERROR(__xludf.DUMMYFUNCTION("""COMPUTED_VALUE"""),88.56)</f>
        <v>88.56</v>
      </c>
      <c r="D1656" s="1">
        <f>IFERROR(__xludf.DUMMYFUNCTION("""COMPUTED_VALUE"""),87.19)</f>
        <v>87.19</v>
      </c>
      <c r="E1656" s="1">
        <f>IFERROR(__xludf.DUMMYFUNCTION("""COMPUTED_VALUE"""),87.93)</f>
        <v>87.93</v>
      </c>
      <c r="F1656" s="1">
        <f>IFERROR(__xludf.DUMMYFUNCTION("""COMPUTED_VALUE"""),262588.0)</f>
        <v>262588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IFERROR(__xludf.DUMMYFUNCTION("""COMPUTED_VALUE"""),87.9)</f>
        <v>87.9</v>
      </c>
      <c r="C1657" s="1">
        <f>IFERROR(__xludf.DUMMYFUNCTION("""COMPUTED_VALUE"""),89.08)</f>
        <v>89.08</v>
      </c>
      <c r="D1657" s="1">
        <f>IFERROR(__xludf.DUMMYFUNCTION("""COMPUTED_VALUE"""),87.67)</f>
        <v>87.67</v>
      </c>
      <c r="E1657" s="1">
        <f>IFERROR(__xludf.DUMMYFUNCTION("""COMPUTED_VALUE"""),88.44)</f>
        <v>88.44</v>
      </c>
      <c r="F1657" s="1">
        <f>IFERROR(__xludf.DUMMYFUNCTION("""COMPUTED_VALUE"""),319948.0)</f>
        <v>319948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IFERROR(__xludf.DUMMYFUNCTION("""COMPUTED_VALUE"""),88.25)</f>
        <v>88.25</v>
      </c>
      <c r="C1658" s="1">
        <f>IFERROR(__xludf.DUMMYFUNCTION("""COMPUTED_VALUE"""),88.56)</f>
        <v>88.56</v>
      </c>
      <c r="D1658" s="1">
        <f>IFERROR(__xludf.DUMMYFUNCTION("""COMPUTED_VALUE"""),86.15)</f>
        <v>86.15</v>
      </c>
      <c r="E1658" s="1">
        <f>IFERROR(__xludf.DUMMYFUNCTION("""COMPUTED_VALUE"""),87.04)</f>
        <v>87.04</v>
      </c>
      <c r="F1658" s="1">
        <f>IFERROR(__xludf.DUMMYFUNCTION("""COMPUTED_VALUE"""),566875.0)</f>
        <v>566875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IFERROR(__xludf.DUMMYFUNCTION("""COMPUTED_VALUE"""),89.04)</f>
        <v>89.04</v>
      </c>
      <c r="C1659" s="1">
        <f>IFERROR(__xludf.DUMMYFUNCTION("""COMPUTED_VALUE"""),89.18)</f>
        <v>89.18</v>
      </c>
      <c r="D1659" s="1">
        <f>IFERROR(__xludf.DUMMYFUNCTION("""COMPUTED_VALUE"""),85.76)</f>
        <v>85.76</v>
      </c>
      <c r="E1659" s="1">
        <f>IFERROR(__xludf.DUMMYFUNCTION("""COMPUTED_VALUE"""),85.96)</f>
        <v>85.96</v>
      </c>
      <c r="F1659" s="1">
        <f>IFERROR(__xludf.DUMMYFUNCTION("""COMPUTED_VALUE"""),940074.0)</f>
        <v>940074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IFERROR(__xludf.DUMMYFUNCTION("""COMPUTED_VALUE"""),86.54)</f>
        <v>86.54</v>
      </c>
      <c r="C1660" s="1">
        <f>IFERROR(__xludf.DUMMYFUNCTION("""COMPUTED_VALUE"""),88.09)</f>
        <v>88.09</v>
      </c>
      <c r="D1660" s="1">
        <f>IFERROR(__xludf.DUMMYFUNCTION("""COMPUTED_VALUE"""),85.7)</f>
        <v>85.7</v>
      </c>
      <c r="E1660" s="1">
        <f>IFERROR(__xludf.DUMMYFUNCTION("""COMPUTED_VALUE"""),87.02)</f>
        <v>87.02</v>
      </c>
      <c r="F1660" s="1">
        <f>IFERROR(__xludf.DUMMYFUNCTION("""COMPUTED_VALUE"""),512622.0)</f>
        <v>512622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IFERROR(__xludf.DUMMYFUNCTION("""COMPUTED_VALUE"""),87.27)</f>
        <v>87.27</v>
      </c>
      <c r="C1661" s="1">
        <f>IFERROR(__xludf.DUMMYFUNCTION("""COMPUTED_VALUE"""),87.39)</f>
        <v>87.39</v>
      </c>
      <c r="D1661" s="1">
        <f>IFERROR(__xludf.DUMMYFUNCTION("""COMPUTED_VALUE"""),85.53)</f>
        <v>85.53</v>
      </c>
      <c r="E1661" s="1">
        <f>IFERROR(__xludf.DUMMYFUNCTION("""COMPUTED_VALUE"""),85.72)</f>
        <v>85.72</v>
      </c>
      <c r="F1661" s="1">
        <f>IFERROR(__xludf.DUMMYFUNCTION("""COMPUTED_VALUE"""),446976.0)</f>
        <v>446976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IFERROR(__xludf.DUMMYFUNCTION("""COMPUTED_VALUE"""),85.78)</f>
        <v>85.78</v>
      </c>
      <c r="C1662" s="1">
        <f>IFERROR(__xludf.DUMMYFUNCTION("""COMPUTED_VALUE"""),86.68)</f>
        <v>86.68</v>
      </c>
      <c r="D1662" s="1">
        <f>IFERROR(__xludf.DUMMYFUNCTION("""COMPUTED_VALUE"""),84.09)</f>
        <v>84.09</v>
      </c>
      <c r="E1662" s="1">
        <f>IFERROR(__xludf.DUMMYFUNCTION("""COMPUTED_VALUE"""),84.33)</f>
        <v>84.33</v>
      </c>
      <c r="F1662" s="1">
        <f>IFERROR(__xludf.DUMMYFUNCTION("""COMPUTED_VALUE"""),370969.0)</f>
        <v>370969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IFERROR(__xludf.DUMMYFUNCTION("""COMPUTED_VALUE"""),84.36)</f>
        <v>84.36</v>
      </c>
      <c r="C1663" s="1">
        <f>IFERROR(__xludf.DUMMYFUNCTION("""COMPUTED_VALUE"""),84.49)</f>
        <v>84.49</v>
      </c>
      <c r="D1663" s="1">
        <f>IFERROR(__xludf.DUMMYFUNCTION("""COMPUTED_VALUE"""),83.83)</f>
        <v>83.83</v>
      </c>
      <c r="E1663" s="1">
        <f>IFERROR(__xludf.DUMMYFUNCTION("""COMPUTED_VALUE"""),84.15)</f>
        <v>84.15</v>
      </c>
      <c r="F1663" s="1">
        <f>IFERROR(__xludf.DUMMYFUNCTION("""COMPUTED_VALUE"""),256497.0)</f>
        <v>256497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IFERROR(__xludf.DUMMYFUNCTION("""COMPUTED_VALUE"""),84.01)</f>
        <v>84.01</v>
      </c>
      <c r="C1664" s="1">
        <f>IFERROR(__xludf.DUMMYFUNCTION("""COMPUTED_VALUE"""),84.21)</f>
        <v>84.21</v>
      </c>
      <c r="D1664" s="1">
        <f>IFERROR(__xludf.DUMMYFUNCTION("""COMPUTED_VALUE"""),82.89)</f>
        <v>82.89</v>
      </c>
      <c r="E1664" s="1">
        <f>IFERROR(__xludf.DUMMYFUNCTION("""COMPUTED_VALUE"""),83.13)</f>
        <v>83.13</v>
      </c>
      <c r="F1664" s="1">
        <f>IFERROR(__xludf.DUMMYFUNCTION("""COMPUTED_VALUE"""),263586.0)</f>
        <v>263586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IFERROR(__xludf.DUMMYFUNCTION("""COMPUTED_VALUE"""),83.26)</f>
        <v>83.26</v>
      </c>
      <c r="C1665" s="1">
        <f>IFERROR(__xludf.DUMMYFUNCTION("""COMPUTED_VALUE"""),83.58)</f>
        <v>83.58</v>
      </c>
      <c r="D1665" s="1">
        <f>IFERROR(__xludf.DUMMYFUNCTION("""COMPUTED_VALUE"""),82.45)</f>
        <v>82.45</v>
      </c>
      <c r="E1665" s="1">
        <f>IFERROR(__xludf.DUMMYFUNCTION("""COMPUTED_VALUE"""),83.27)</f>
        <v>83.27</v>
      </c>
      <c r="F1665" s="1">
        <f>IFERROR(__xludf.DUMMYFUNCTION("""COMPUTED_VALUE"""),327036.0)</f>
        <v>327036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IFERROR(__xludf.DUMMYFUNCTION("""COMPUTED_VALUE"""),82.97)</f>
        <v>82.97</v>
      </c>
      <c r="C1666" s="1">
        <f>IFERROR(__xludf.DUMMYFUNCTION("""COMPUTED_VALUE"""),83.6)</f>
        <v>83.6</v>
      </c>
      <c r="D1666" s="1">
        <f>IFERROR(__xludf.DUMMYFUNCTION("""COMPUTED_VALUE"""),82.71)</f>
        <v>82.71</v>
      </c>
      <c r="E1666" s="1">
        <f>IFERROR(__xludf.DUMMYFUNCTION("""COMPUTED_VALUE"""),82.92)</f>
        <v>82.92</v>
      </c>
      <c r="F1666" s="1">
        <f>IFERROR(__xludf.DUMMYFUNCTION("""COMPUTED_VALUE"""),259641.0)</f>
        <v>259641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IFERROR(__xludf.DUMMYFUNCTION("""COMPUTED_VALUE"""),82.95)</f>
        <v>82.95</v>
      </c>
      <c r="C1667" s="1">
        <f>IFERROR(__xludf.DUMMYFUNCTION("""COMPUTED_VALUE"""),83.68)</f>
        <v>83.68</v>
      </c>
      <c r="D1667" s="1">
        <f>IFERROR(__xludf.DUMMYFUNCTION("""COMPUTED_VALUE"""),82.95)</f>
        <v>82.95</v>
      </c>
      <c r="E1667" s="1">
        <f>IFERROR(__xludf.DUMMYFUNCTION("""COMPUTED_VALUE"""),83.29)</f>
        <v>83.29</v>
      </c>
      <c r="F1667" s="1">
        <f>IFERROR(__xludf.DUMMYFUNCTION("""COMPUTED_VALUE"""),202897.0)</f>
        <v>202897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IFERROR(__xludf.DUMMYFUNCTION("""COMPUTED_VALUE"""),83.09)</f>
        <v>83.09</v>
      </c>
      <c r="C1668" s="1">
        <f>IFERROR(__xludf.DUMMYFUNCTION("""COMPUTED_VALUE"""),83.81)</f>
        <v>83.81</v>
      </c>
      <c r="D1668" s="1">
        <f>IFERROR(__xludf.DUMMYFUNCTION("""COMPUTED_VALUE"""),82.89)</f>
        <v>82.89</v>
      </c>
      <c r="E1668" s="1">
        <f>IFERROR(__xludf.DUMMYFUNCTION("""COMPUTED_VALUE"""),83.35)</f>
        <v>83.35</v>
      </c>
      <c r="F1668" s="1">
        <f>IFERROR(__xludf.DUMMYFUNCTION("""COMPUTED_VALUE"""),528692.0)</f>
        <v>528692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IFERROR(__xludf.DUMMYFUNCTION("""COMPUTED_VALUE"""),83.35)</f>
        <v>83.35</v>
      </c>
      <c r="C1669" s="1">
        <f>IFERROR(__xludf.DUMMYFUNCTION("""COMPUTED_VALUE"""),83.57)</f>
        <v>83.57</v>
      </c>
      <c r="D1669" s="1">
        <f>IFERROR(__xludf.DUMMYFUNCTION("""COMPUTED_VALUE"""),82.79)</f>
        <v>82.79</v>
      </c>
      <c r="E1669" s="1">
        <f>IFERROR(__xludf.DUMMYFUNCTION("""COMPUTED_VALUE"""),82.92)</f>
        <v>82.92</v>
      </c>
      <c r="F1669" s="1">
        <f>IFERROR(__xludf.DUMMYFUNCTION("""COMPUTED_VALUE"""),265577.0)</f>
        <v>265577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IFERROR(__xludf.DUMMYFUNCTION("""COMPUTED_VALUE"""),82.75)</f>
        <v>82.75</v>
      </c>
      <c r="C1670" s="1">
        <f>IFERROR(__xludf.DUMMYFUNCTION("""COMPUTED_VALUE"""),83.79)</f>
        <v>83.79</v>
      </c>
      <c r="D1670" s="1">
        <f>IFERROR(__xludf.DUMMYFUNCTION("""COMPUTED_VALUE"""),82.56)</f>
        <v>82.56</v>
      </c>
      <c r="E1670" s="1">
        <f>IFERROR(__xludf.DUMMYFUNCTION("""COMPUTED_VALUE"""),83.36)</f>
        <v>83.36</v>
      </c>
      <c r="F1670" s="1">
        <f>IFERROR(__xludf.DUMMYFUNCTION("""COMPUTED_VALUE"""),298062.0)</f>
        <v>298062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IFERROR(__xludf.DUMMYFUNCTION("""COMPUTED_VALUE"""),83.24)</f>
        <v>83.24</v>
      </c>
      <c r="C1671" s="1">
        <f>IFERROR(__xludf.DUMMYFUNCTION("""COMPUTED_VALUE"""),83.39)</f>
        <v>83.39</v>
      </c>
      <c r="D1671" s="1">
        <f>IFERROR(__xludf.DUMMYFUNCTION("""COMPUTED_VALUE"""),82.38)</f>
        <v>82.38</v>
      </c>
      <c r="E1671" s="1">
        <f>IFERROR(__xludf.DUMMYFUNCTION("""COMPUTED_VALUE"""),82.66)</f>
        <v>82.66</v>
      </c>
      <c r="F1671" s="1">
        <f>IFERROR(__xludf.DUMMYFUNCTION("""COMPUTED_VALUE"""),199704.0)</f>
        <v>199704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IFERROR(__xludf.DUMMYFUNCTION("""COMPUTED_VALUE"""),82.59)</f>
        <v>82.59</v>
      </c>
      <c r="C1672" s="1">
        <f>IFERROR(__xludf.DUMMYFUNCTION("""COMPUTED_VALUE"""),83.98)</f>
        <v>83.98</v>
      </c>
      <c r="D1672" s="1">
        <f>IFERROR(__xludf.DUMMYFUNCTION("""COMPUTED_VALUE"""),82.59)</f>
        <v>82.59</v>
      </c>
      <c r="E1672" s="1">
        <f>IFERROR(__xludf.DUMMYFUNCTION("""COMPUTED_VALUE"""),83.59)</f>
        <v>83.59</v>
      </c>
      <c r="F1672" s="1">
        <f>IFERROR(__xludf.DUMMYFUNCTION("""COMPUTED_VALUE"""),218241.0)</f>
        <v>218241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IFERROR(__xludf.DUMMYFUNCTION("""COMPUTED_VALUE"""),83.84)</f>
        <v>83.84</v>
      </c>
      <c r="C1673" s="1">
        <f>IFERROR(__xludf.DUMMYFUNCTION("""COMPUTED_VALUE"""),84.59)</f>
        <v>84.59</v>
      </c>
      <c r="D1673" s="1">
        <f>IFERROR(__xludf.DUMMYFUNCTION("""COMPUTED_VALUE"""),83.34)</f>
        <v>83.34</v>
      </c>
      <c r="E1673" s="1">
        <f>IFERROR(__xludf.DUMMYFUNCTION("""COMPUTED_VALUE"""),83.55)</f>
        <v>83.55</v>
      </c>
      <c r="F1673" s="1">
        <f>IFERROR(__xludf.DUMMYFUNCTION("""COMPUTED_VALUE"""),348690.0)</f>
        <v>348690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IFERROR(__xludf.DUMMYFUNCTION("""COMPUTED_VALUE"""),83.61)</f>
        <v>83.61</v>
      </c>
      <c r="C1674" s="1">
        <f>IFERROR(__xludf.DUMMYFUNCTION("""COMPUTED_VALUE"""),84.56)</f>
        <v>84.56</v>
      </c>
      <c r="D1674" s="1">
        <f>IFERROR(__xludf.DUMMYFUNCTION("""COMPUTED_VALUE"""),81.76)</f>
        <v>81.76</v>
      </c>
      <c r="E1674" s="1">
        <f>IFERROR(__xludf.DUMMYFUNCTION("""COMPUTED_VALUE"""),81.92)</f>
        <v>81.92</v>
      </c>
      <c r="F1674" s="1">
        <f>IFERROR(__xludf.DUMMYFUNCTION("""COMPUTED_VALUE"""),364471.0)</f>
        <v>364471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IFERROR(__xludf.DUMMYFUNCTION("""COMPUTED_VALUE"""),82.16)</f>
        <v>82.16</v>
      </c>
      <c r="C1675" s="1">
        <f>IFERROR(__xludf.DUMMYFUNCTION("""COMPUTED_VALUE"""),83.02)</f>
        <v>83.02</v>
      </c>
      <c r="D1675" s="1">
        <f>IFERROR(__xludf.DUMMYFUNCTION("""COMPUTED_VALUE"""),81.48)</f>
        <v>81.48</v>
      </c>
      <c r="E1675" s="1">
        <f>IFERROR(__xludf.DUMMYFUNCTION("""COMPUTED_VALUE"""),82.32)</f>
        <v>82.32</v>
      </c>
      <c r="F1675" s="1">
        <f>IFERROR(__xludf.DUMMYFUNCTION("""COMPUTED_VALUE"""),322922.0)</f>
        <v>322922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IFERROR(__xludf.DUMMYFUNCTION("""COMPUTED_VALUE"""),82.38)</f>
        <v>82.38</v>
      </c>
      <c r="C1676" s="1">
        <f>IFERROR(__xludf.DUMMYFUNCTION("""COMPUTED_VALUE"""),83.5)</f>
        <v>83.5</v>
      </c>
      <c r="D1676" s="1">
        <f>IFERROR(__xludf.DUMMYFUNCTION("""COMPUTED_VALUE"""),82.3)</f>
        <v>82.3</v>
      </c>
      <c r="E1676" s="1">
        <f>IFERROR(__xludf.DUMMYFUNCTION("""COMPUTED_VALUE"""),83.11)</f>
        <v>83.11</v>
      </c>
      <c r="F1676" s="1">
        <f>IFERROR(__xludf.DUMMYFUNCTION("""COMPUTED_VALUE"""),378086.0)</f>
        <v>378086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IFERROR(__xludf.DUMMYFUNCTION("""COMPUTED_VALUE"""),83.2)</f>
        <v>83.2</v>
      </c>
      <c r="C1677" s="1">
        <f>IFERROR(__xludf.DUMMYFUNCTION("""COMPUTED_VALUE"""),84.24)</f>
        <v>84.24</v>
      </c>
      <c r="D1677" s="1">
        <f>IFERROR(__xludf.DUMMYFUNCTION("""COMPUTED_VALUE"""),82.99)</f>
        <v>82.99</v>
      </c>
      <c r="E1677" s="1">
        <f>IFERROR(__xludf.DUMMYFUNCTION("""COMPUTED_VALUE"""),84.02)</f>
        <v>84.02</v>
      </c>
      <c r="F1677" s="1">
        <f>IFERROR(__xludf.DUMMYFUNCTION("""COMPUTED_VALUE"""),233637.0)</f>
        <v>233637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IFERROR(__xludf.DUMMYFUNCTION("""COMPUTED_VALUE"""),84.18)</f>
        <v>84.18</v>
      </c>
      <c r="C1678" s="1">
        <f>IFERROR(__xludf.DUMMYFUNCTION("""COMPUTED_VALUE"""),84.46)</f>
        <v>84.46</v>
      </c>
      <c r="D1678" s="1">
        <f>IFERROR(__xludf.DUMMYFUNCTION("""COMPUTED_VALUE"""),83.86)</f>
        <v>83.86</v>
      </c>
      <c r="E1678" s="1">
        <f>IFERROR(__xludf.DUMMYFUNCTION("""COMPUTED_VALUE"""),84.26)</f>
        <v>84.26</v>
      </c>
      <c r="F1678" s="1">
        <f>IFERROR(__xludf.DUMMYFUNCTION("""COMPUTED_VALUE"""),260541.0)</f>
        <v>260541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IFERROR(__xludf.DUMMYFUNCTION("""COMPUTED_VALUE"""),84.07)</f>
        <v>84.07</v>
      </c>
      <c r="C1679" s="1">
        <f>IFERROR(__xludf.DUMMYFUNCTION("""COMPUTED_VALUE"""),84.07)</f>
        <v>84.07</v>
      </c>
      <c r="D1679" s="1">
        <f>IFERROR(__xludf.DUMMYFUNCTION("""COMPUTED_VALUE"""),82.79)</f>
        <v>82.79</v>
      </c>
      <c r="E1679" s="1">
        <f>IFERROR(__xludf.DUMMYFUNCTION("""COMPUTED_VALUE"""),83.21)</f>
        <v>83.21</v>
      </c>
      <c r="F1679" s="1">
        <f>IFERROR(__xludf.DUMMYFUNCTION("""COMPUTED_VALUE"""),269586.0)</f>
        <v>269586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IFERROR(__xludf.DUMMYFUNCTION("""COMPUTED_VALUE"""),83.3)</f>
        <v>83.3</v>
      </c>
      <c r="C1680" s="1">
        <f>IFERROR(__xludf.DUMMYFUNCTION("""COMPUTED_VALUE"""),83.88)</f>
        <v>83.88</v>
      </c>
      <c r="D1680" s="1">
        <f>IFERROR(__xludf.DUMMYFUNCTION("""COMPUTED_VALUE"""),82.88)</f>
        <v>82.88</v>
      </c>
      <c r="E1680" s="1">
        <f>IFERROR(__xludf.DUMMYFUNCTION("""COMPUTED_VALUE"""),83.6)</f>
        <v>83.6</v>
      </c>
      <c r="F1680" s="1">
        <f>IFERROR(__xludf.DUMMYFUNCTION("""COMPUTED_VALUE"""),189679.0)</f>
        <v>189679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IFERROR(__xludf.DUMMYFUNCTION("""COMPUTED_VALUE"""),83.97)</f>
        <v>83.97</v>
      </c>
      <c r="C1681" s="1">
        <f>IFERROR(__xludf.DUMMYFUNCTION("""COMPUTED_VALUE"""),84.7)</f>
        <v>84.7</v>
      </c>
      <c r="D1681" s="1">
        <f>IFERROR(__xludf.DUMMYFUNCTION("""COMPUTED_VALUE"""),83.62)</f>
        <v>83.62</v>
      </c>
      <c r="E1681" s="1">
        <f>IFERROR(__xludf.DUMMYFUNCTION("""COMPUTED_VALUE"""),84.42)</f>
        <v>84.42</v>
      </c>
      <c r="F1681" s="1">
        <f>IFERROR(__xludf.DUMMYFUNCTION("""COMPUTED_VALUE"""),315441.0)</f>
        <v>315441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IFERROR(__xludf.DUMMYFUNCTION("""COMPUTED_VALUE"""),83.14)</f>
        <v>83.14</v>
      </c>
      <c r="C1682" s="1">
        <f>IFERROR(__xludf.DUMMYFUNCTION("""COMPUTED_VALUE"""),83.66)</f>
        <v>83.66</v>
      </c>
      <c r="D1682" s="1">
        <f>IFERROR(__xludf.DUMMYFUNCTION("""COMPUTED_VALUE"""),80.28)</f>
        <v>80.28</v>
      </c>
      <c r="E1682" s="1">
        <f>IFERROR(__xludf.DUMMYFUNCTION("""COMPUTED_VALUE"""),80.98)</f>
        <v>80.98</v>
      </c>
      <c r="F1682" s="1">
        <f>IFERROR(__xludf.DUMMYFUNCTION("""COMPUTED_VALUE"""),917783.0)</f>
        <v>917783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IFERROR(__xludf.DUMMYFUNCTION("""COMPUTED_VALUE"""),81.15)</f>
        <v>81.15</v>
      </c>
      <c r="C1683" s="1">
        <f>IFERROR(__xludf.DUMMYFUNCTION("""COMPUTED_VALUE"""),82.54)</f>
        <v>82.54</v>
      </c>
      <c r="D1683" s="1">
        <f>IFERROR(__xludf.DUMMYFUNCTION("""COMPUTED_VALUE"""),80.8)</f>
        <v>80.8</v>
      </c>
      <c r="E1683" s="1">
        <f>IFERROR(__xludf.DUMMYFUNCTION("""COMPUTED_VALUE"""),82.08)</f>
        <v>82.08</v>
      </c>
      <c r="F1683" s="1">
        <f>IFERROR(__xludf.DUMMYFUNCTION("""COMPUTED_VALUE"""),769498.0)</f>
        <v>769498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IFERROR(__xludf.DUMMYFUNCTION("""COMPUTED_VALUE"""),82.19)</f>
        <v>82.19</v>
      </c>
      <c r="C1684" s="1">
        <f>IFERROR(__xludf.DUMMYFUNCTION("""COMPUTED_VALUE"""),82.19)</f>
        <v>82.19</v>
      </c>
      <c r="D1684" s="1">
        <f>IFERROR(__xludf.DUMMYFUNCTION("""COMPUTED_VALUE"""),81.35)</f>
        <v>81.35</v>
      </c>
      <c r="E1684" s="1">
        <f>IFERROR(__xludf.DUMMYFUNCTION("""COMPUTED_VALUE"""),81.55)</f>
        <v>81.55</v>
      </c>
      <c r="F1684" s="1">
        <f>IFERROR(__xludf.DUMMYFUNCTION("""COMPUTED_VALUE"""),450907.0)</f>
        <v>450907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IFERROR(__xludf.DUMMYFUNCTION("""COMPUTED_VALUE"""),80.81)</f>
        <v>80.81</v>
      </c>
      <c r="C1685" s="1">
        <f>IFERROR(__xludf.DUMMYFUNCTION("""COMPUTED_VALUE"""),80.98)</f>
        <v>80.98</v>
      </c>
      <c r="D1685" s="1">
        <f>IFERROR(__xludf.DUMMYFUNCTION("""COMPUTED_VALUE"""),78.74)</f>
        <v>78.74</v>
      </c>
      <c r="E1685" s="1">
        <f>IFERROR(__xludf.DUMMYFUNCTION("""COMPUTED_VALUE"""),78.76)</f>
        <v>78.76</v>
      </c>
      <c r="F1685" s="1">
        <f>IFERROR(__xludf.DUMMYFUNCTION("""COMPUTED_VALUE"""),421867.0)</f>
        <v>421867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IFERROR(__xludf.DUMMYFUNCTION("""COMPUTED_VALUE"""),78.15)</f>
        <v>78.15</v>
      </c>
      <c r="C1686" s="1">
        <f>IFERROR(__xludf.DUMMYFUNCTION("""COMPUTED_VALUE"""),80.56)</f>
        <v>80.56</v>
      </c>
      <c r="D1686" s="1">
        <f>IFERROR(__xludf.DUMMYFUNCTION("""COMPUTED_VALUE"""),78.15)</f>
        <v>78.15</v>
      </c>
      <c r="E1686" s="1">
        <f>IFERROR(__xludf.DUMMYFUNCTION("""COMPUTED_VALUE"""),80.18)</f>
        <v>80.18</v>
      </c>
      <c r="F1686" s="1">
        <f>IFERROR(__xludf.DUMMYFUNCTION("""COMPUTED_VALUE"""),539901.0)</f>
        <v>539901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IFERROR(__xludf.DUMMYFUNCTION("""COMPUTED_VALUE"""),79.85)</f>
        <v>79.85</v>
      </c>
      <c r="C1687" s="1">
        <f>IFERROR(__xludf.DUMMYFUNCTION("""COMPUTED_VALUE"""),80.12)</f>
        <v>80.12</v>
      </c>
      <c r="D1687" s="1">
        <f>IFERROR(__xludf.DUMMYFUNCTION("""COMPUTED_VALUE"""),78.46)</f>
        <v>78.46</v>
      </c>
      <c r="E1687" s="1">
        <f>IFERROR(__xludf.DUMMYFUNCTION("""COMPUTED_VALUE"""),79.62)</f>
        <v>79.62</v>
      </c>
      <c r="F1687" s="1">
        <f>IFERROR(__xludf.DUMMYFUNCTION("""COMPUTED_VALUE"""),365140.0)</f>
        <v>365140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IFERROR(__xludf.DUMMYFUNCTION("""COMPUTED_VALUE"""),79.97)</f>
        <v>79.97</v>
      </c>
      <c r="C1688" s="1">
        <f>IFERROR(__xludf.DUMMYFUNCTION("""COMPUTED_VALUE"""),80.77)</f>
        <v>80.77</v>
      </c>
      <c r="D1688" s="1">
        <f>IFERROR(__xludf.DUMMYFUNCTION("""COMPUTED_VALUE"""),79.53)</f>
        <v>79.53</v>
      </c>
      <c r="E1688" s="1">
        <f>IFERROR(__xludf.DUMMYFUNCTION("""COMPUTED_VALUE"""),80.56)</f>
        <v>80.56</v>
      </c>
      <c r="F1688" s="1">
        <f>IFERROR(__xludf.DUMMYFUNCTION("""COMPUTED_VALUE"""),466989.0)</f>
        <v>466989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IFERROR(__xludf.DUMMYFUNCTION("""COMPUTED_VALUE"""),80.52)</f>
        <v>80.52</v>
      </c>
      <c r="C1689" s="1">
        <f>IFERROR(__xludf.DUMMYFUNCTION("""COMPUTED_VALUE"""),81.53)</f>
        <v>81.53</v>
      </c>
      <c r="D1689" s="1">
        <f>IFERROR(__xludf.DUMMYFUNCTION("""COMPUTED_VALUE"""),79.93)</f>
        <v>79.93</v>
      </c>
      <c r="E1689" s="1">
        <f>IFERROR(__xludf.DUMMYFUNCTION("""COMPUTED_VALUE"""),81.24)</f>
        <v>81.24</v>
      </c>
      <c r="F1689" s="1">
        <f>IFERROR(__xludf.DUMMYFUNCTION("""COMPUTED_VALUE"""),231813.0)</f>
        <v>231813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IFERROR(__xludf.DUMMYFUNCTION("""COMPUTED_VALUE"""),80.85)</f>
        <v>80.85</v>
      </c>
      <c r="C1690" s="1">
        <f>IFERROR(__xludf.DUMMYFUNCTION("""COMPUTED_VALUE"""),81.33)</f>
        <v>81.33</v>
      </c>
      <c r="D1690" s="1">
        <f>IFERROR(__xludf.DUMMYFUNCTION("""COMPUTED_VALUE"""),80.78)</f>
        <v>80.78</v>
      </c>
      <c r="E1690" s="1">
        <f>IFERROR(__xludf.DUMMYFUNCTION("""COMPUTED_VALUE"""),81.02)</f>
        <v>81.02</v>
      </c>
      <c r="F1690" s="1">
        <f>IFERROR(__xludf.DUMMYFUNCTION("""COMPUTED_VALUE"""),392887.0)</f>
        <v>392887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IFERROR(__xludf.DUMMYFUNCTION("""COMPUTED_VALUE"""),81.18)</f>
        <v>81.18</v>
      </c>
      <c r="C1691" s="1">
        <f>IFERROR(__xludf.DUMMYFUNCTION("""COMPUTED_VALUE"""),81.41)</f>
        <v>81.41</v>
      </c>
      <c r="D1691" s="1">
        <f>IFERROR(__xludf.DUMMYFUNCTION("""COMPUTED_VALUE"""),80.42)</f>
        <v>80.42</v>
      </c>
      <c r="E1691" s="1">
        <f>IFERROR(__xludf.DUMMYFUNCTION("""COMPUTED_VALUE"""),80.47)</f>
        <v>80.47</v>
      </c>
      <c r="F1691" s="1">
        <f>IFERROR(__xludf.DUMMYFUNCTION("""COMPUTED_VALUE"""),272005.0)</f>
        <v>272005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IFERROR(__xludf.DUMMYFUNCTION("""COMPUTED_VALUE"""),80.97)</f>
        <v>80.97</v>
      </c>
      <c r="C1692" s="1">
        <f>IFERROR(__xludf.DUMMYFUNCTION("""COMPUTED_VALUE"""),81.0)</f>
        <v>81</v>
      </c>
      <c r="D1692" s="1">
        <f>IFERROR(__xludf.DUMMYFUNCTION("""COMPUTED_VALUE"""),80.25)</f>
        <v>80.25</v>
      </c>
      <c r="E1692" s="1">
        <f>IFERROR(__xludf.DUMMYFUNCTION("""COMPUTED_VALUE"""),80.51)</f>
        <v>80.51</v>
      </c>
      <c r="F1692" s="1">
        <f>IFERROR(__xludf.DUMMYFUNCTION("""COMPUTED_VALUE"""),280691.0)</f>
        <v>280691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IFERROR(__xludf.DUMMYFUNCTION("""COMPUTED_VALUE"""),80.82)</f>
        <v>80.82</v>
      </c>
      <c r="C1693" s="1">
        <f>IFERROR(__xludf.DUMMYFUNCTION("""COMPUTED_VALUE"""),81.86)</f>
        <v>81.86</v>
      </c>
      <c r="D1693" s="1">
        <f>IFERROR(__xludf.DUMMYFUNCTION("""COMPUTED_VALUE"""),80.54)</f>
        <v>80.54</v>
      </c>
      <c r="E1693" s="1">
        <f>IFERROR(__xludf.DUMMYFUNCTION("""COMPUTED_VALUE"""),81.72)</f>
        <v>81.72</v>
      </c>
      <c r="F1693" s="1">
        <f>IFERROR(__xludf.DUMMYFUNCTION("""COMPUTED_VALUE"""),331741.0)</f>
        <v>331741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IFERROR(__xludf.DUMMYFUNCTION("""COMPUTED_VALUE"""),82.19)</f>
        <v>82.19</v>
      </c>
      <c r="C1694" s="1">
        <f>IFERROR(__xludf.DUMMYFUNCTION("""COMPUTED_VALUE"""),83.33)</f>
        <v>83.33</v>
      </c>
      <c r="D1694" s="1">
        <f>IFERROR(__xludf.DUMMYFUNCTION("""COMPUTED_VALUE"""),81.94)</f>
        <v>81.94</v>
      </c>
      <c r="E1694" s="1">
        <f>IFERROR(__xludf.DUMMYFUNCTION("""COMPUTED_VALUE"""),82.96)</f>
        <v>82.96</v>
      </c>
      <c r="F1694" s="1">
        <f>IFERROR(__xludf.DUMMYFUNCTION("""COMPUTED_VALUE"""),370375.0)</f>
        <v>370375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IFERROR(__xludf.DUMMYFUNCTION("""COMPUTED_VALUE"""),82.66)</f>
        <v>82.66</v>
      </c>
      <c r="C1695" s="1">
        <f>IFERROR(__xludf.DUMMYFUNCTION("""COMPUTED_VALUE"""),83.05)</f>
        <v>83.05</v>
      </c>
      <c r="D1695" s="1">
        <f>IFERROR(__xludf.DUMMYFUNCTION("""COMPUTED_VALUE"""),81.78)</f>
        <v>81.78</v>
      </c>
      <c r="E1695" s="1">
        <f>IFERROR(__xludf.DUMMYFUNCTION("""COMPUTED_VALUE"""),82.76)</f>
        <v>82.76</v>
      </c>
      <c r="F1695" s="1">
        <f>IFERROR(__xludf.DUMMYFUNCTION("""COMPUTED_VALUE"""),277427.0)</f>
        <v>277427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IFERROR(__xludf.DUMMYFUNCTION("""COMPUTED_VALUE"""),82.3)</f>
        <v>82.3</v>
      </c>
      <c r="C1696" s="1">
        <f>IFERROR(__xludf.DUMMYFUNCTION("""COMPUTED_VALUE"""),83.09)</f>
        <v>83.09</v>
      </c>
      <c r="D1696" s="1">
        <f>IFERROR(__xludf.DUMMYFUNCTION("""COMPUTED_VALUE"""),82.02)</f>
        <v>82.02</v>
      </c>
      <c r="E1696" s="1">
        <f>IFERROR(__xludf.DUMMYFUNCTION("""COMPUTED_VALUE"""),82.5)</f>
        <v>82.5</v>
      </c>
      <c r="F1696" s="1">
        <f>IFERROR(__xludf.DUMMYFUNCTION("""COMPUTED_VALUE"""),251592.0)</f>
        <v>251592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IFERROR(__xludf.DUMMYFUNCTION("""COMPUTED_VALUE"""),82.62)</f>
        <v>82.62</v>
      </c>
      <c r="C1697" s="1">
        <f>IFERROR(__xludf.DUMMYFUNCTION("""COMPUTED_VALUE"""),84.0)</f>
        <v>84</v>
      </c>
      <c r="D1697" s="1">
        <f>IFERROR(__xludf.DUMMYFUNCTION("""COMPUTED_VALUE"""),82.27)</f>
        <v>82.27</v>
      </c>
      <c r="E1697" s="1">
        <f>IFERROR(__xludf.DUMMYFUNCTION("""COMPUTED_VALUE"""),83.94)</f>
        <v>83.94</v>
      </c>
      <c r="F1697" s="1">
        <f>IFERROR(__xludf.DUMMYFUNCTION("""COMPUTED_VALUE"""),237921.0)</f>
        <v>237921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IFERROR(__xludf.DUMMYFUNCTION("""COMPUTED_VALUE"""),84.0)</f>
        <v>84</v>
      </c>
      <c r="C1698" s="1">
        <f>IFERROR(__xludf.DUMMYFUNCTION("""COMPUTED_VALUE"""),84.0)</f>
        <v>84</v>
      </c>
      <c r="D1698" s="1">
        <f>IFERROR(__xludf.DUMMYFUNCTION("""COMPUTED_VALUE"""),82.88)</f>
        <v>82.88</v>
      </c>
      <c r="E1698" s="1">
        <f>IFERROR(__xludf.DUMMYFUNCTION("""COMPUTED_VALUE"""),83.55)</f>
        <v>83.55</v>
      </c>
      <c r="F1698" s="1">
        <f>IFERROR(__xludf.DUMMYFUNCTION("""COMPUTED_VALUE"""),237205.0)</f>
        <v>237205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IFERROR(__xludf.DUMMYFUNCTION("""COMPUTED_VALUE"""),83.68)</f>
        <v>83.68</v>
      </c>
      <c r="C1699" s="1">
        <f>IFERROR(__xludf.DUMMYFUNCTION("""COMPUTED_VALUE"""),83.68)</f>
        <v>83.68</v>
      </c>
      <c r="D1699" s="1">
        <f>IFERROR(__xludf.DUMMYFUNCTION("""COMPUTED_VALUE"""),81.72)</f>
        <v>81.72</v>
      </c>
      <c r="E1699" s="1">
        <f>IFERROR(__xludf.DUMMYFUNCTION("""COMPUTED_VALUE"""),82.54)</f>
        <v>82.54</v>
      </c>
      <c r="F1699" s="1">
        <f>IFERROR(__xludf.DUMMYFUNCTION("""COMPUTED_VALUE"""),258204.0)</f>
        <v>258204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IFERROR(__xludf.DUMMYFUNCTION("""COMPUTED_VALUE"""),83.1)</f>
        <v>83.1</v>
      </c>
      <c r="C1700" s="1">
        <f>IFERROR(__xludf.DUMMYFUNCTION("""COMPUTED_VALUE"""),83.74)</f>
        <v>83.74</v>
      </c>
      <c r="D1700" s="1">
        <f>IFERROR(__xludf.DUMMYFUNCTION("""COMPUTED_VALUE"""),82.11)</f>
        <v>82.11</v>
      </c>
      <c r="E1700" s="1">
        <f>IFERROR(__xludf.DUMMYFUNCTION("""COMPUTED_VALUE"""),83.34)</f>
        <v>83.34</v>
      </c>
      <c r="F1700" s="1">
        <f>IFERROR(__xludf.DUMMYFUNCTION("""COMPUTED_VALUE"""),325611.0)</f>
        <v>325611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IFERROR(__xludf.DUMMYFUNCTION("""COMPUTED_VALUE"""),82.94)</f>
        <v>82.94</v>
      </c>
      <c r="C1701" s="1">
        <f>IFERROR(__xludf.DUMMYFUNCTION("""COMPUTED_VALUE"""),83.7)</f>
        <v>83.7</v>
      </c>
      <c r="D1701" s="1">
        <f>IFERROR(__xludf.DUMMYFUNCTION("""COMPUTED_VALUE"""),82.36)</f>
        <v>82.36</v>
      </c>
      <c r="E1701" s="1">
        <f>IFERROR(__xludf.DUMMYFUNCTION("""COMPUTED_VALUE"""),83.68)</f>
        <v>83.68</v>
      </c>
      <c r="F1701" s="1">
        <f>IFERROR(__xludf.DUMMYFUNCTION("""COMPUTED_VALUE"""),243437.0)</f>
        <v>243437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IFERROR(__xludf.DUMMYFUNCTION("""COMPUTED_VALUE"""),83.79)</f>
        <v>83.79</v>
      </c>
      <c r="C1702" s="1">
        <f>IFERROR(__xludf.DUMMYFUNCTION("""COMPUTED_VALUE"""),84.53)</f>
        <v>84.53</v>
      </c>
      <c r="D1702" s="1">
        <f>IFERROR(__xludf.DUMMYFUNCTION("""COMPUTED_VALUE"""),82.9)</f>
        <v>82.9</v>
      </c>
      <c r="E1702" s="1">
        <f>IFERROR(__xludf.DUMMYFUNCTION("""COMPUTED_VALUE"""),83.07)</f>
        <v>83.07</v>
      </c>
      <c r="F1702" s="1">
        <f>IFERROR(__xludf.DUMMYFUNCTION("""COMPUTED_VALUE"""),268589.0)</f>
        <v>268589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IFERROR(__xludf.DUMMYFUNCTION("""COMPUTED_VALUE"""),83.26)</f>
        <v>83.26</v>
      </c>
      <c r="C1703" s="1">
        <f>IFERROR(__xludf.DUMMYFUNCTION("""COMPUTED_VALUE"""),84.33)</f>
        <v>84.33</v>
      </c>
      <c r="D1703" s="1">
        <f>IFERROR(__xludf.DUMMYFUNCTION("""COMPUTED_VALUE"""),82.94)</f>
        <v>82.94</v>
      </c>
      <c r="E1703" s="1">
        <f>IFERROR(__xludf.DUMMYFUNCTION("""COMPUTED_VALUE"""),82.97)</f>
        <v>82.97</v>
      </c>
      <c r="F1703" s="1">
        <f>IFERROR(__xludf.DUMMYFUNCTION("""COMPUTED_VALUE"""),285188.0)</f>
        <v>285188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IFERROR(__xludf.DUMMYFUNCTION("""COMPUTED_VALUE"""),82.95)</f>
        <v>82.95</v>
      </c>
      <c r="C1704" s="1">
        <f>IFERROR(__xludf.DUMMYFUNCTION("""COMPUTED_VALUE"""),83.32)</f>
        <v>83.32</v>
      </c>
      <c r="D1704" s="1">
        <f>IFERROR(__xludf.DUMMYFUNCTION("""COMPUTED_VALUE"""),82.16)</f>
        <v>82.16</v>
      </c>
      <c r="E1704" s="1">
        <f>IFERROR(__xludf.DUMMYFUNCTION("""COMPUTED_VALUE"""),83.3)</f>
        <v>83.3</v>
      </c>
      <c r="F1704" s="1">
        <f>IFERROR(__xludf.DUMMYFUNCTION("""COMPUTED_VALUE"""),248402.0)</f>
        <v>248402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IFERROR(__xludf.DUMMYFUNCTION("""COMPUTED_VALUE"""),83.36)</f>
        <v>83.36</v>
      </c>
      <c r="C1705" s="1">
        <f>IFERROR(__xludf.DUMMYFUNCTION("""COMPUTED_VALUE"""),83.36)</f>
        <v>83.36</v>
      </c>
      <c r="D1705" s="1">
        <f>IFERROR(__xludf.DUMMYFUNCTION("""COMPUTED_VALUE"""),81.79)</f>
        <v>81.79</v>
      </c>
      <c r="E1705" s="1">
        <f>IFERROR(__xludf.DUMMYFUNCTION("""COMPUTED_VALUE"""),83.04)</f>
        <v>83.04</v>
      </c>
      <c r="F1705" s="1">
        <f>IFERROR(__xludf.DUMMYFUNCTION("""COMPUTED_VALUE"""),288586.0)</f>
        <v>288586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IFERROR(__xludf.DUMMYFUNCTION("""COMPUTED_VALUE"""),83.23)</f>
        <v>83.23</v>
      </c>
      <c r="C1706" s="1">
        <f>IFERROR(__xludf.DUMMYFUNCTION("""COMPUTED_VALUE"""),84.26)</f>
        <v>84.26</v>
      </c>
      <c r="D1706" s="1">
        <f>IFERROR(__xludf.DUMMYFUNCTION("""COMPUTED_VALUE"""),83.23)</f>
        <v>83.23</v>
      </c>
      <c r="E1706" s="1">
        <f>IFERROR(__xludf.DUMMYFUNCTION("""COMPUTED_VALUE"""),83.48)</f>
        <v>83.48</v>
      </c>
      <c r="F1706" s="1">
        <f>IFERROR(__xludf.DUMMYFUNCTION("""COMPUTED_VALUE"""),162684.0)</f>
        <v>162684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IFERROR(__xludf.DUMMYFUNCTION("""COMPUTED_VALUE"""),82.94)</f>
        <v>82.94</v>
      </c>
      <c r="C1707" s="1">
        <f>IFERROR(__xludf.DUMMYFUNCTION("""COMPUTED_VALUE"""),82.96)</f>
        <v>82.96</v>
      </c>
      <c r="D1707" s="1">
        <f>IFERROR(__xludf.DUMMYFUNCTION("""COMPUTED_VALUE"""),81.08)</f>
        <v>81.08</v>
      </c>
      <c r="E1707" s="1">
        <f>IFERROR(__xludf.DUMMYFUNCTION("""COMPUTED_VALUE"""),81.62)</f>
        <v>81.62</v>
      </c>
      <c r="F1707" s="1">
        <f>IFERROR(__xludf.DUMMYFUNCTION("""COMPUTED_VALUE"""),237753.0)</f>
        <v>237753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IFERROR(__xludf.DUMMYFUNCTION("""COMPUTED_VALUE"""),81.73)</f>
        <v>81.73</v>
      </c>
      <c r="C1708" s="1">
        <f>IFERROR(__xludf.DUMMYFUNCTION("""COMPUTED_VALUE"""),81.85)</f>
        <v>81.85</v>
      </c>
      <c r="D1708" s="1">
        <f>IFERROR(__xludf.DUMMYFUNCTION("""COMPUTED_VALUE"""),80.35)</f>
        <v>80.35</v>
      </c>
      <c r="E1708" s="1">
        <f>IFERROR(__xludf.DUMMYFUNCTION("""COMPUTED_VALUE"""),80.69)</f>
        <v>80.69</v>
      </c>
      <c r="F1708" s="1">
        <f>IFERROR(__xludf.DUMMYFUNCTION("""COMPUTED_VALUE"""),354825.0)</f>
        <v>354825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IFERROR(__xludf.DUMMYFUNCTION("""COMPUTED_VALUE"""),80.17)</f>
        <v>80.17</v>
      </c>
      <c r="C1709" s="1">
        <f>IFERROR(__xludf.DUMMYFUNCTION("""COMPUTED_VALUE"""),81.22)</f>
        <v>81.22</v>
      </c>
      <c r="D1709" s="1">
        <f>IFERROR(__xludf.DUMMYFUNCTION("""COMPUTED_VALUE"""),79.92)</f>
        <v>79.92</v>
      </c>
      <c r="E1709" s="1">
        <f>IFERROR(__xludf.DUMMYFUNCTION("""COMPUTED_VALUE"""),80.91)</f>
        <v>80.91</v>
      </c>
      <c r="F1709" s="1">
        <f>IFERROR(__xludf.DUMMYFUNCTION("""COMPUTED_VALUE"""),197474.0)</f>
        <v>197474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IFERROR(__xludf.DUMMYFUNCTION("""COMPUTED_VALUE"""),81.18)</f>
        <v>81.18</v>
      </c>
      <c r="C1710" s="1">
        <f>IFERROR(__xludf.DUMMYFUNCTION("""COMPUTED_VALUE"""),81.56)</f>
        <v>81.56</v>
      </c>
      <c r="D1710" s="1">
        <f>IFERROR(__xludf.DUMMYFUNCTION("""COMPUTED_VALUE"""),80.43)</f>
        <v>80.43</v>
      </c>
      <c r="E1710" s="1">
        <f>IFERROR(__xludf.DUMMYFUNCTION("""COMPUTED_VALUE"""),80.55)</f>
        <v>80.55</v>
      </c>
      <c r="F1710" s="1">
        <f>IFERROR(__xludf.DUMMYFUNCTION("""COMPUTED_VALUE"""),213545.0)</f>
        <v>213545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IFERROR(__xludf.DUMMYFUNCTION("""COMPUTED_VALUE"""),80.45)</f>
        <v>80.45</v>
      </c>
      <c r="C1711" s="1">
        <f>IFERROR(__xludf.DUMMYFUNCTION("""COMPUTED_VALUE"""),80.92)</f>
        <v>80.92</v>
      </c>
      <c r="D1711" s="1">
        <f>IFERROR(__xludf.DUMMYFUNCTION("""COMPUTED_VALUE"""),79.97)</f>
        <v>79.97</v>
      </c>
      <c r="E1711" s="1">
        <f>IFERROR(__xludf.DUMMYFUNCTION("""COMPUTED_VALUE"""),80.05)</f>
        <v>80.05</v>
      </c>
      <c r="F1711" s="1">
        <f>IFERROR(__xludf.DUMMYFUNCTION("""COMPUTED_VALUE"""),228221.0)</f>
        <v>228221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IFERROR(__xludf.DUMMYFUNCTION("""COMPUTED_VALUE"""),80.92)</f>
        <v>80.92</v>
      </c>
      <c r="C1712" s="1">
        <f>IFERROR(__xludf.DUMMYFUNCTION("""COMPUTED_VALUE"""),81.61)</f>
        <v>81.61</v>
      </c>
      <c r="D1712" s="1">
        <f>IFERROR(__xludf.DUMMYFUNCTION("""COMPUTED_VALUE"""),80.81)</f>
        <v>80.81</v>
      </c>
      <c r="E1712" s="1">
        <f>IFERROR(__xludf.DUMMYFUNCTION("""COMPUTED_VALUE"""),81.08)</f>
        <v>81.08</v>
      </c>
      <c r="F1712" s="1">
        <f>IFERROR(__xludf.DUMMYFUNCTION("""COMPUTED_VALUE"""),200984.0)</f>
        <v>200984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IFERROR(__xludf.DUMMYFUNCTION("""COMPUTED_VALUE"""),81.28)</f>
        <v>81.28</v>
      </c>
      <c r="C1713" s="1">
        <f>IFERROR(__xludf.DUMMYFUNCTION("""COMPUTED_VALUE"""),81.28)</f>
        <v>81.28</v>
      </c>
      <c r="D1713" s="1">
        <f>IFERROR(__xludf.DUMMYFUNCTION("""COMPUTED_VALUE"""),80.37)</f>
        <v>80.37</v>
      </c>
      <c r="E1713" s="1">
        <f>IFERROR(__xludf.DUMMYFUNCTION("""COMPUTED_VALUE"""),80.58)</f>
        <v>80.58</v>
      </c>
      <c r="F1713" s="1">
        <f>IFERROR(__xludf.DUMMYFUNCTION("""COMPUTED_VALUE"""),223883.0)</f>
        <v>223883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IFERROR(__xludf.DUMMYFUNCTION("""COMPUTED_VALUE"""),80.32)</f>
        <v>80.32</v>
      </c>
      <c r="C1714" s="1">
        <f>IFERROR(__xludf.DUMMYFUNCTION("""COMPUTED_VALUE"""),83.47)</f>
        <v>83.47</v>
      </c>
      <c r="D1714" s="1">
        <f>IFERROR(__xludf.DUMMYFUNCTION("""COMPUTED_VALUE"""),80.25)</f>
        <v>80.25</v>
      </c>
      <c r="E1714" s="1">
        <f>IFERROR(__xludf.DUMMYFUNCTION("""COMPUTED_VALUE"""),83.0)</f>
        <v>83</v>
      </c>
      <c r="F1714" s="1">
        <f>IFERROR(__xludf.DUMMYFUNCTION("""COMPUTED_VALUE"""),434225.0)</f>
        <v>434225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IFERROR(__xludf.DUMMYFUNCTION("""COMPUTED_VALUE"""),82.52)</f>
        <v>82.52</v>
      </c>
      <c r="C1715" s="1">
        <f>IFERROR(__xludf.DUMMYFUNCTION("""COMPUTED_VALUE"""),82.56)</f>
        <v>82.56</v>
      </c>
      <c r="D1715" s="1">
        <f>IFERROR(__xludf.DUMMYFUNCTION("""COMPUTED_VALUE"""),81.8)</f>
        <v>81.8</v>
      </c>
      <c r="E1715" s="1">
        <f>IFERROR(__xludf.DUMMYFUNCTION("""COMPUTED_VALUE"""),82.13)</f>
        <v>82.13</v>
      </c>
      <c r="F1715" s="1">
        <f>IFERROR(__xludf.DUMMYFUNCTION("""COMPUTED_VALUE"""),218734.0)</f>
        <v>218734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IFERROR(__xludf.DUMMYFUNCTION("""COMPUTED_VALUE"""),82.59)</f>
        <v>82.59</v>
      </c>
      <c r="C1716" s="1">
        <f>IFERROR(__xludf.DUMMYFUNCTION("""COMPUTED_VALUE"""),83.47)</f>
        <v>83.47</v>
      </c>
      <c r="D1716" s="1">
        <f>IFERROR(__xludf.DUMMYFUNCTION("""COMPUTED_VALUE"""),82.59)</f>
        <v>82.59</v>
      </c>
      <c r="E1716" s="1">
        <f>IFERROR(__xludf.DUMMYFUNCTION("""COMPUTED_VALUE"""),82.82)</f>
        <v>82.82</v>
      </c>
      <c r="F1716" s="1">
        <f>IFERROR(__xludf.DUMMYFUNCTION("""COMPUTED_VALUE"""),218316.0)</f>
        <v>218316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IFERROR(__xludf.DUMMYFUNCTION("""COMPUTED_VALUE"""),82.53)</f>
        <v>82.53</v>
      </c>
      <c r="C1717" s="1">
        <f>IFERROR(__xludf.DUMMYFUNCTION("""COMPUTED_VALUE"""),82.53)</f>
        <v>82.53</v>
      </c>
      <c r="D1717" s="1">
        <f>IFERROR(__xludf.DUMMYFUNCTION("""COMPUTED_VALUE"""),79.55)</f>
        <v>79.55</v>
      </c>
      <c r="E1717" s="1">
        <f>IFERROR(__xludf.DUMMYFUNCTION("""COMPUTED_VALUE"""),79.88)</f>
        <v>79.88</v>
      </c>
      <c r="F1717" s="1">
        <f>IFERROR(__xludf.DUMMYFUNCTION("""COMPUTED_VALUE"""),403551.0)</f>
        <v>403551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IFERROR(__xludf.DUMMYFUNCTION("""COMPUTED_VALUE"""),79.44)</f>
        <v>79.44</v>
      </c>
      <c r="C1718" s="1">
        <f>IFERROR(__xludf.DUMMYFUNCTION("""COMPUTED_VALUE"""),79.44)</f>
        <v>79.44</v>
      </c>
      <c r="D1718" s="1">
        <f>IFERROR(__xludf.DUMMYFUNCTION("""COMPUTED_VALUE"""),77.62)</f>
        <v>77.62</v>
      </c>
      <c r="E1718" s="1">
        <f>IFERROR(__xludf.DUMMYFUNCTION("""COMPUTED_VALUE"""),77.99)</f>
        <v>77.99</v>
      </c>
      <c r="F1718" s="1">
        <f>IFERROR(__xludf.DUMMYFUNCTION("""COMPUTED_VALUE"""),634578.0)</f>
        <v>634578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IFERROR(__xludf.DUMMYFUNCTION("""COMPUTED_VALUE"""),78.44)</f>
        <v>78.44</v>
      </c>
      <c r="C1719" s="1">
        <f>IFERROR(__xludf.DUMMYFUNCTION("""COMPUTED_VALUE"""),78.44)</f>
        <v>78.44</v>
      </c>
      <c r="D1719" s="1">
        <f>IFERROR(__xludf.DUMMYFUNCTION("""COMPUTED_VALUE"""),76.44)</f>
        <v>76.44</v>
      </c>
      <c r="E1719" s="1">
        <f>IFERROR(__xludf.DUMMYFUNCTION("""COMPUTED_VALUE"""),76.48)</f>
        <v>76.48</v>
      </c>
      <c r="F1719" s="1">
        <f>IFERROR(__xludf.DUMMYFUNCTION("""COMPUTED_VALUE"""),446892.0)</f>
        <v>446892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IFERROR(__xludf.DUMMYFUNCTION("""COMPUTED_VALUE"""),76.22)</f>
        <v>76.22</v>
      </c>
      <c r="C1720" s="1">
        <f>IFERROR(__xludf.DUMMYFUNCTION("""COMPUTED_VALUE"""),76.67)</f>
        <v>76.67</v>
      </c>
      <c r="D1720" s="1">
        <f>IFERROR(__xludf.DUMMYFUNCTION("""COMPUTED_VALUE"""),75.63)</f>
        <v>75.63</v>
      </c>
      <c r="E1720" s="1">
        <f>IFERROR(__xludf.DUMMYFUNCTION("""COMPUTED_VALUE"""),76.0)</f>
        <v>76</v>
      </c>
      <c r="F1720" s="1">
        <f>IFERROR(__xludf.DUMMYFUNCTION("""COMPUTED_VALUE"""),306962.0)</f>
        <v>306962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IFERROR(__xludf.DUMMYFUNCTION("""COMPUTED_VALUE"""),76.07)</f>
        <v>76.07</v>
      </c>
      <c r="C1721" s="1">
        <f>IFERROR(__xludf.DUMMYFUNCTION("""COMPUTED_VALUE"""),76.42)</f>
        <v>76.42</v>
      </c>
      <c r="D1721" s="1">
        <f>IFERROR(__xludf.DUMMYFUNCTION("""COMPUTED_VALUE"""),75.63)</f>
        <v>75.63</v>
      </c>
      <c r="E1721" s="1">
        <f>IFERROR(__xludf.DUMMYFUNCTION("""COMPUTED_VALUE"""),75.88)</f>
        <v>75.88</v>
      </c>
      <c r="F1721" s="1">
        <f>IFERROR(__xludf.DUMMYFUNCTION("""COMPUTED_VALUE"""),578545.0)</f>
        <v>578545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IFERROR(__xludf.DUMMYFUNCTION("""COMPUTED_VALUE"""),75.94)</f>
        <v>75.94</v>
      </c>
      <c r="C1722" s="1">
        <f>IFERROR(__xludf.DUMMYFUNCTION("""COMPUTED_VALUE"""),76.83)</f>
        <v>76.83</v>
      </c>
      <c r="D1722" s="1">
        <f>IFERROR(__xludf.DUMMYFUNCTION("""COMPUTED_VALUE"""),74.01)</f>
        <v>74.01</v>
      </c>
      <c r="E1722" s="1">
        <f>IFERROR(__xludf.DUMMYFUNCTION("""COMPUTED_VALUE"""),74.08)</f>
        <v>74.08</v>
      </c>
      <c r="F1722" s="1">
        <f>IFERROR(__xludf.DUMMYFUNCTION("""COMPUTED_VALUE"""),1240361.0)</f>
        <v>1240361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IFERROR(__xludf.DUMMYFUNCTION("""COMPUTED_VALUE"""),73.4)</f>
        <v>73.4</v>
      </c>
      <c r="C1723" s="1">
        <f>IFERROR(__xludf.DUMMYFUNCTION("""COMPUTED_VALUE"""),73.57)</f>
        <v>73.57</v>
      </c>
      <c r="D1723" s="1">
        <f>IFERROR(__xludf.DUMMYFUNCTION("""COMPUTED_VALUE"""),69.69)</f>
        <v>69.69</v>
      </c>
      <c r="E1723" s="1">
        <f>IFERROR(__xludf.DUMMYFUNCTION("""COMPUTED_VALUE"""),70.12)</f>
        <v>70.12</v>
      </c>
      <c r="F1723" s="1">
        <f>IFERROR(__xludf.DUMMYFUNCTION("""COMPUTED_VALUE"""),1523123.0)</f>
        <v>1523123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IFERROR(__xludf.DUMMYFUNCTION("""COMPUTED_VALUE"""),69.79)</f>
        <v>69.79</v>
      </c>
      <c r="C1724" s="1">
        <f>IFERROR(__xludf.DUMMYFUNCTION("""COMPUTED_VALUE"""),70.52)</f>
        <v>70.52</v>
      </c>
      <c r="D1724" s="1">
        <f>IFERROR(__xludf.DUMMYFUNCTION("""COMPUTED_VALUE"""),67.2)</f>
        <v>67.2</v>
      </c>
      <c r="E1724" s="1">
        <f>IFERROR(__xludf.DUMMYFUNCTION("""COMPUTED_VALUE"""),67.4)</f>
        <v>67.4</v>
      </c>
      <c r="F1724" s="1">
        <f>IFERROR(__xludf.DUMMYFUNCTION("""COMPUTED_VALUE"""),1008123.0)</f>
        <v>1008123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IFERROR(__xludf.DUMMYFUNCTION("""COMPUTED_VALUE"""),67.37)</f>
        <v>67.37</v>
      </c>
      <c r="C1725" s="1">
        <f>IFERROR(__xludf.DUMMYFUNCTION("""COMPUTED_VALUE"""),69.43)</f>
        <v>69.43</v>
      </c>
      <c r="D1725" s="1">
        <f>IFERROR(__xludf.DUMMYFUNCTION("""COMPUTED_VALUE"""),67.36)</f>
        <v>67.36</v>
      </c>
      <c r="E1725" s="1">
        <f>IFERROR(__xludf.DUMMYFUNCTION("""COMPUTED_VALUE"""),68.19)</f>
        <v>68.19</v>
      </c>
      <c r="F1725" s="1">
        <f>IFERROR(__xludf.DUMMYFUNCTION("""COMPUTED_VALUE"""),1230534.0)</f>
        <v>1230534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IFERROR(__xludf.DUMMYFUNCTION("""COMPUTED_VALUE"""),69.34)</f>
        <v>69.34</v>
      </c>
      <c r="C1726" s="1">
        <f>IFERROR(__xludf.DUMMYFUNCTION("""COMPUTED_VALUE"""),70.47)</f>
        <v>70.47</v>
      </c>
      <c r="D1726" s="1">
        <f>IFERROR(__xludf.DUMMYFUNCTION("""COMPUTED_VALUE"""),68.84)</f>
        <v>68.84</v>
      </c>
      <c r="E1726" s="1">
        <f>IFERROR(__xludf.DUMMYFUNCTION("""COMPUTED_VALUE"""),70.29)</f>
        <v>70.29</v>
      </c>
      <c r="F1726" s="1">
        <f>IFERROR(__xludf.DUMMYFUNCTION("""COMPUTED_VALUE"""),936617.0)</f>
        <v>936617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IFERROR(__xludf.DUMMYFUNCTION("""COMPUTED_VALUE"""),69.92)</f>
        <v>69.92</v>
      </c>
      <c r="C1727" s="1">
        <f>IFERROR(__xludf.DUMMYFUNCTION("""COMPUTED_VALUE"""),72.55)</f>
        <v>72.55</v>
      </c>
      <c r="D1727" s="1">
        <f>IFERROR(__xludf.DUMMYFUNCTION("""COMPUTED_VALUE"""),68.71)</f>
        <v>68.71</v>
      </c>
      <c r="E1727" s="1">
        <f>IFERROR(__xludf.DUMMYFUNCTION("""COMPUTED_VALUE"""),72.1)</f>
        <v>72.1</v>
      </c>
      <c r="F1727" s="1">
        <f>IFERROR(__xludf.DUMMYFUNCTION("""COMPUTED_VALUE"""),817522.0)</f>
        <v>817522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IFERROR(__xludf.DUMMYFUNCTION("""COMPUTED_VALUE"""),70.55)</f>
        <v>70.55</v>
      </c>
      <c r="C1728" s="1">
        <f>IFERROR(__xludf.DUMMYFUNCTION("""COMPUTED_VALUE"""),75.68)</f>
        <v>75.68</v>
      </c>
      <c r="D1728" s="1">
        <f>IFERROR(__xludf.DUMMYFUNCTION("""COMPUTED_VALUE"""),70.55)</f>
        <v>70.55</v>
      </c>
      <c r="E1728" s="1">
        <f>IFERROR(__xludf.DUMMYFUNCTION("""COMPUTED_VALUE"""),75.35)</f>
        <v>75.35</v>
      </c>
      <c r="F1728" s="1">
        <f>IFERROR(__xludf.DUMMYFUNCTION("""COMPUTED_VALUE"""),1253731.0)</f>
        <v>1253731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IFERROR(__xludf.DUMMYFUNCTION("""COMPUTED_VALUE"""),76.23)</f>
        <v>76.23</v>
      </c>
      <c r="C1729" s="1">
        <f>IFERROR(__xludf.DUMMYFUNCTION("""COMPUTED_VALUE"""),77.26)</f>
        <v>77.26</v>
      </c>
      <c r="D1729" s="1">
        <f>IFERROR(__xludf.DUMMYFUNCTION("""COMPUTED_VALUE"""),75.21)</f>
        <v>75.21</v>
      </c>
      <c r="E1729" s="1">
        <f>IFERROR(__xludf.DUMMYFUNCTION("""COMPUTED_VALUE"""),75.37)</f>
        <v>75.37</v>
      </c>
      <c r="F1729" s="1">
        <f>IFERROR(__xludf.DUMMYFUNCTION("""COMPUTED_VALUE"""),805141.0)</f>
        <v>805141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IFERROR(__xludf.DUMMYFUNCTION("""COMPUTED_VALUE"""),74.82)</f>
        <v>74.82</v>
      </c>
      <c r="C1730" s="1">
        <f>IFERROR(__xludf.DUMMYFUNCTION("""COMPUTED_VALUE"""),75.24)</f>
        <v>75.24</v>
      </c>
      <c r="D1730" s="1">
        <f>IFERROR(__xludf.DUMMYFUNCTION("""COMPUTED_VALUE"""),73.86)</f>
        <v>73.86</v>
      </c>
      <c r="E1730" s="1">
        <f>IFERROR(__xludf.DUMMYFUNCTION("""COMPUTED_VALUE"""),74.63)</f>
        <v>74.63</v>
      </c>
      <c r="F1730" s="1">
        <f>IFERROR(__xludf.DUMMYFUNCTION("""COMPUTED_VALUE"""),800238.0)</f>
        <v>800238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IFERROR(__xludf.DUMMYFUNCTION("""COMPUTED_VALUE"""),75.06)</f>
        <v>75.06</v>
      </c>
      <c r="C1731" s="1">
        <f>IFERROR(__xludf.DUMMYFUNCTION("""COMPUTED_VALUE"""),75.6)</f>
        <v>75.6</v>
      </c>
      <c r="D1731" s="1">
        <f>IFERROR(__xludf.DUMMYFUNCTION("""COMPUTED_VALUE"""),74.3)</f>
        <v>74.3</v>
      </c>
      <c r="E1731" s="1">
        <f>IFERROR(__xludf.DUMMYFUNCTION("""COMPUTED_VALUE"""),75.06)</f>
        <v>75.06</v>
      </c>
      <c r="F1731" s="1">
        <f>IFERROR(__xludf.DUMMYFUNCTION("""COMPUTED_VALUE"""),439553.0)</f>
        <v>439553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IFERROR(__xludf.DUMMYFUNCTION("""COMPUTED_VALUE"""),75.0)</f>
        <v>75</v>
      </c>
      <c r="C1732" s="1">
        <f>IFERROR(__xludf.DUMMYFUNCTION("""COMPUTED_VALUE"""),75.08)</f>
        <v>75.08</v>
      </c>
      <c r="D1732" s="1">
        <f>IFERROR(__xludf.DUMMYFUNCTION("""COMPUTED_VALUE"""),73.31)</f>
        <v>73.31</v>
      </c>
      <c r="E1732" s="1">
        <f>IFERROR(__xludf.DUMMYFUNCTION("""COMPUTED_VALUE"""),73.98)</f>
        <v>73.98</v>
      </c>
      <c r="F1732" s="1">
        <f>IFERROR(__xludf.DUMMYFUNCTION("""COMPUTED_VALUE"""),777832.0)</f>
        <v>777832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IFERROR(__xludf.DUMMYFUNCTION("""COMPUTED_VALUE"""),73.7)</f>
        <v>73.7</v>
      </c>
      <c r="C1733" s="1">
        <f>IFERROR(__xludf.DUMMYFUNCTION("""COMPUTED_VALUE"""),73.98)</f>
        <v>73.98</v>
      </c>
      <c r="D1733" s="1">
        <f>IFERROR(__xludf.DUMMYFUNCTION("""COMPUTED_VALUE"""),72.0)</f>
        <v>72</v>
      </c>
      <c r="E1733" s="1">
        <f>IFERROR(__xludf.DUMMYFUNCTION("""COMPUTED_VALUE"""),72.29)</f>
        <v>72.29</v>
      </c>
      <c r="F1733" s="1">
        <f>IFERROR(__xludf.DUMMYFUNCTION("""COMPUTED_VALUE"""),607858.0)</f>
        <v>607858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IFERROR(__xludf.DUMMYFUNCTION("""COMPUTED_VALUE"""),71.77)</f>
        <v>71.77</v>
      </c>
      <c r="C1734" s="1">
        <f>IFERROR(__xludf.DUMMYFUNCTION("""COMPUTED_VALUE"""),73.81)</f>
        <v>73.81</v>
      </c>
      <c r="D1734" s="1">
        <f>IFERROR(__xludf.DUMMYFUNCTION("""COMPUTED_VALUE"""),71.73)</f>
        <v>71.73</v>
      </c>
      <c r="E1734" s="1">
        <f>IFERROR(__xludf.DUMMYFUNCTION("""COMPUTED_VALUE"""),73.71)</f>
        <v>73.71</v>
      </c>
      <c r="F1734" s="1">
        <f>IFERROR(__xludf.DUMMYFUNCTION("""COMPUTED_VALUE"""),538283.0)</f>
        <v>538283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IFERROR(__xludf.DUMMYFUNCTION("""COMPUTED_VALUE"""),73.72)</f>
        <v>73.72</v>
      </c>
      <c r="C1735" s="1">
        <f>IFERROR(__xludf.DUMMYFUNCTION("""COMPUTED_VALUE"""),73.87)</f>
        <v>73.87</v>
      </c>
      <c r="D1735" s="1">
        <f>IFERROR(__xludf.DUMMYFUNCTION("""COMPUTED_VALUE"""),73.26)</f>
        <v>73.26</v>
      </c>
      <c r="E1735" s="1">
        <f>IFERROR(__xludf.DUMMYFUNCTION("""COMPUTED_VALUE"""),73.5)</f>
        <v>73.5</v>
      </c>
      <c r="F1735" s="1">
        <f>IFERROR(__xludf.DUMMYFUNCTION("""COMPUTED_VALUE"""),500013.0)</f>
        <v>500013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IFERROR(__xludf.DUMMYFUNCTION("""COMPUTED_VALUE"""),73.5)</f>
        <v>73.5</v>
      </c>
      <c r="C1736" s="1">
        <f>IFERROR(__xludf.DUMMYFUNCTION("""COMPUTED_VALUE"""),73.55)</f>
        <v>73.55</v>
      </c>
      <c r="D1736" s="1">
        <f>IFERROR(__xludf.DUMMYFUNCTION("""COMPUTED_VALUE"""),72.11)</f>
        <v>72.11</v>
      </c>
      <c r="E1736" s="1">
        <f>IFERROR(__xludf.DUMMYFUNCTION("""COMPUTED_VALUE"""),72.44)</f>
        <v>72.44</v>
      </c>
      <c r="F1736" s="1">
        <f>IFERROR(__xludf.DUMMYFUNCTION("""COMPUTED_VALUE"""),644721.0)</f>
        <v>644721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IFERROR(__xludf.DUMMYFUNCTION("""COMPUTED_VALUE"""),72.53)</f>
        <v>72.53</v>
      </c>
      <c r="C1737" s="1">
        <f>IFERROR(__xludf.DUMMYFUNCTION("""COMPUTED_VALUE"""),72.69)</f>
        <v>72.69</v>
      </c>
      <c r="D1737" s="1">
        <f>IFERROR(__xludf.DUMMYFUNCTION("""COMPUTED_VALUE"""),71.7)</f>
        <v>71.7</v>
      </c>
      <c r="E1737" s="1">
        <f>IFERROR(__xludf.DUMMYFUNCTION("""COMPUTED_VALUE"""),72.44)</f>
        <v>72.44</v>
      </c>
      <c r="F1737" s="1">
        <f>IFERROR(__xludf.DUMMYFUNCTION("""COMPUTED_VALUE"""),378590.0)</f>
        <v>378590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IFERROR(__xludf.DUMMYFUNCTION("""COMPUTED_VALUE"""),71.84)</f>
        <v>71.84</v>
      </c>
      <c r="C1738" s="1">
        <f>IFERROR(__xludf.DUMMYFUNCTION("""COMPUTED_VALUE"""),72.74)</f>
        <v>72.74</v>
      </c>
      <c r="D1738" s="1">
        <f>IFERROR(__xludf.DUMMYFUNCTION("""COMPUTED_VALUE"""),71.56)</f>
        <v>71.56</v>
      </c>
      <c r="E1738" s="1">
        <f>IFERROR(__xludf.DUMMYFUNCTION("""COMPUTED_VALUE"""),72.63)</f>
        <v>72.63</v>
      </c>
      <c r="F1738" s="1">
        <f>IFERROR(__xludf.DUMMYFUNCTION("""COMPUTED_VALUE"""),302426.0)</f>
        <v>302426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IFERROR(__xludf.DUMMYFUNCTION("""COMPUTED_VALUE"""),72.69)</f>
        <v>72.69</v>
      </c>
      <c r="C1739" s="1">
        <f>IFERROR(__xludf.DUMMYFUNCTION("""COMPUTED_VALUE"""),73.01)</f>
        <v>73.01</v>
      </c>
      <c r="D1739" s="1">
        <f>IFERROR(__xludf.DUMMYFUNCTION("""COMPUTED_VALUE"""),72.2)</f>
        <v>72.2</v>
      </c>
      <c r="E1739" s="1">
        <f>IFERROR(__xludf.DUMMYFUNCTION("""COMPUTED_VALUE"""),72.22)</f>
        <v>72.22</v>
      </c>
      <c r="F1739" s="1">
        <f>IFERROR(__xludf.DUMMYFUNCTION("""COMPUTED_VALUE"""),171553.0)</f>
        <v>171553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IFERROR(__xludf.DUMMYFUNCTION("""COMPUTED_VALUE"""),72.13)</f>
        <v>72.13</v>
      </c>
      <c r="C1740" s="1">
        <f>IFERROR(__xludf.DUMMYFUNCTION("""COMPUTED_VALUE"""),72.22)</f>
        <v>72.22</v>
      </c>
      <c r="D1740" s="1">
        <f>IFERROR(__xludf.DUMMYFUNCTION("""COMPUTED_VALUE"""),71.22)</f>
        <v>71.22</v>
      </c>
      <c r="E1740" s="1">
        <f>IFERROR(__xludf.DUMMYFUNCTION("""COMPUTED_VALUE"""),71.56)</f>
        <v>71.56</v>
      </c>
      <c r="F1740" s="1">
        <f>IFERROR(__xludf.DUMMYFUNCTION("""COMPUTED_VALUE"""),464396.0)</f>
        <v>464396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IFERROR(__xludf.DUMMYFUNCTION("""COMPUTED_VALUE"""),71.49)</f>
        <v>71.49</v>
      </c>
      <c r="C1741" s="1">
        <f>IFERROR(__xludf.DUMMYFUNCTION("""COMPUTED_VALUE"""),71.86)</f>
        <v>71.86</v>
      </c>
      <c r="D1741" s="1">
        <f>IFERROR(__xludf.DUMMYFUNCTION("""COMPUTED_VALUE"""),71.27)</f>
        <v>71.27</v>
      </c>
      <c r="E1741" s="1">
        <f>IFERROR(__xludf.DUMMYFUNCTION("""COMPUTED_VALUE"""),71.56)</f>
        <v>71.56</v>
      </c>
      <c r="F1741" s="1">
        <f>IFERROR(__xludf.DUMMYFUNCTION("""COMPUTED_VALUE"""),295068.0)</f>
        <v>295068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IFERROR(__xludf.DUMMYFUNCTION("""COMPUTED_VALUE"""),73.22)</f>
        <v>73.22</v>
      </c>
      <c r="C1742" s="1">
        <f>IFERROR(__xludf.DUMMYFUNCTION("""COMPUTED_VALUE"""),73.68)</f>
        <v>73.68</v>
      </c>
      <c r="D1742" s="1">
        <f>IFERROR(__xludf.DUMMYFUNCTION("""COMPUTED_VALUE"""),70.98)</f>
        <v>70.98</v>
      </c>
      <c r="E1742" s="1">
        <f>IFERROR(__xludf.DUMMYFUNCTION("""COMPUTED_VALUE"""),71.1)</f>
        <v>71.1</v>
      </c>
      <c r="F1742" s="1">
        <f>IFERROR(__xludf.DUMMYFUNCTION("""COMPUTED_VALUE"""),977127.0)</f>
        <v>977127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IFERROR(__xludf.DUMMYFUNCTION("""COMPUTED_VALUE"""),71.36)</f>
        <v>71.36</v>
      </c>
      <c r="C1743" s="1">
        <f>IFERROR(__xludf.DUMMYFUNCTION("""COMPUTED_VALUE"""),71.53)</f>
        <v>71.53</v>
      </c>
      <c r="D1743" s="1">
        <f>IFERROR(__xludf.DUMMYFUNCTION("""COMPUTED_VALUE"""),69.74)</f>
        <v>69.74</v>
      </c>
      <c r="E1743" s="1">
        <f>IFERROR(__xludf.DUMMYFUNCTION("""COMPUTED_VALUE"""),70.02)</f>
        <v>70.02</v>
      </c>
      <c r="F1743" s="1">
        <f>IFERROR(__xludf.DUMMYFUNCTION("""COMPUTED_VALUE"""),439073.0)</f>
        <v>439073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IFERROR(__xludf.DUMMYFUNCTION("""COMPUTED_VALUE"""),69.79)</f>
        <v>69.79</v>
      </c>
      <c r="C1744" s="1">
        <f>IFERROR(__xludf.DUMMYFUNCTION("""COMPUTED_VALUE"""),72.61)</f>
        <v>72.61</v>
      </c>
      <c r="D1744" s="1">
        <f>IFERROR(__xludf.DUMMYFUNCTION("""COMPUTED_VALUE"""),69.51)</f>
        <v>69.51</v>
      </c>
      <c r="E1744" s="1">
        <f>IFERROR(__xludf.DUMMYFUNCTION("""COMPUTED_VALUE"""),71.87)</f>
        <v>71.87</v>
      </c>
      <c r="F1744" s="1">
        <f>IFERROR(__xludf.DUMMYFUNCTION("""COMPUTED_VALUE"""),815100.0)</f>
        <v>815100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IFERROR(__xludf.DUMMYFUNCTION("""COMPUTED_VALUE"""),72.55)</f>
        <v>72.55</v>
      </c>
      <c r="C1745" s="1">
        <f>IFERROR(__xludf.DUMMYFUNCTION("""COMPUTED_VALUE"""),72.93)</f>
        <v>72.93</v>
      </c>
      <c r="D1745" s="1">
        <f>IFERROR(__xludf.DUMMYFUNCTION("""COMPUTED_VALUE"""),71.56)</f>
        <v>71.56</v>
      </c>
      <c r="E1745" s="1">
        <f>IFERROR(__xludf.DUMMYFUNCTION("""COMPUTED_VALUE"""),72.14)</f>
        <v>72.14</v>
      </c>
      <c r="F1745" s="1">
        <f>IFERROR(__xludf.DUMMYFUNCTION("""COMPUTED_VALUE"""),379605.0)</f>
        <v>379605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IFERROR(__xludf.DUMMYFUNCTION("""COMPUTED_VALUE"""),72.27)</f>
        <v>72.27</v>
      </c>
      <c r="C1746" s="1">
        <f>IFERROR(__xludf.DUMMYFUNCTION("""COMPUTED_VALUE"""),74.3)</f>
        <v>74.3</v>
      </c>
      <c r="D1746" s="1">
        <f>IFERROR(__xludf.DUMMYFUNCTION("""COMPUTED_VALUE"""),71.48)</f>
        <v>71.48</v>
      </c>
      <c r="E1746" s="1">
        <f>IFERROR(__xludf.DUMMYFUNCTION("""COMPUTED_VALUE"""),74.01)</f>
        <v>74.01</v>
      </c>
      <c r="F1746" s="1">
        <f>IFERROR(__xludf.DUMMYFUNCTION("""COMPUTED_VALUE"""),543269.0)</f>
        <v>543269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IFERROR(__xludf.DUMMYFUNCTION("""COMPUTED_VALUE"""),73.67)</f>
        <v>73.67</v>
      </c>
      <c r="C1747" s="1">
        <f>IFERROR(__xludf.DUMMYFUNCTION("""COMPUTED_VALUE"""),73.67)</f>
        <v>73.67</v>
      </c>
      <c r="D1747" s="1">
        <f>IFERROR(__xludf.DUMMYFUNCTION("""COMPUTED_VALUE"""),72.06)</f>
        <v>72.06</v>
      </c>
      <c r="E1747" s="1">
        <f>IFERROR(__xludf.DUMMYFUNCTION("""COMPUTED_VALUE"""),72.45)</f>
        <v>72.45</v>
      </c>
      <c r="F1747" s="1">
        <f>IFERROR(__xludf.DUMMYFUNCTION("""COMPUTED_VALUE"""),410209.0)</f>
        <v>410209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IFERROR(__xludf.DUMMYFUNCTION("""COMPUTED_VALUE"""),72.46)</f>
        <v>72.46</v>
      </c>
      <c r="C1748" s="1">
        <f>IFERROR(__xludf.DUMMYFUNCTION("""COMPUTED_VALUE"""),73.61)</f>
        <v>73.61</v>
      </c>
      <c r="D1748" s="1">
        <f>IFERROR(__xludf.DUMMYFUNCTION("""COMPUTED_VALUE"""),72.07)</f>
        <v>72.07</v>
      </c>
      <c r="E1748" s="1">
        <f>IFERROR(__xludf.DUMMYFUNCTION("""COMPUTED_VALUE"""),73.52)</f>
        <v>73.52</v>
      </c>
      <c r="F1748" s="1">
        <f>IFERROR(__xludf.DUMMYFUNCTION("""COMPUTED_VALUE"""),401888.0)</f>
        <v>401888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IFERROR(__xludf.DUMMYFUNCTION("""COMPUTED_VALUE"""),73.82)</f>
        <v>73.82</v>
      </c>
      <c r="C1749" s="1">
        <f>IFERROR(__xludf.DUMMYFUNCTION("""COMPUTED_VALUE"""),75.14)</f>
        <v>75.14</v>
      </c>
      <c r="D1749" s="1">
        <f>IFERROR(__xludf.DUMMYFUNCTION("""COMPUTED_VALUE"""),73.6)</f>
        <v>73.6</v>
      </c>
      <c r="E1749" s="1">
        <f>IFERROR(__xludf.DUMMYFUNCTION("""COMPUTED_VALUE"""),74.15)</f>
        <v>74.15</v>
      </c>
      <c r="F1749" s="1">
        <f>IFERROR(__xludf.DUMMYFUNCTION("""COMPUTED_VALUE"""),445094.0)</f>
        <v>445094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IFERROR(__xludf.DUMMYFUNCTION("""COMPUTED_VALUE"""),73.7)</f>
        <v>73.7</v>
      </c>
      <c r="C1750" s="1">
        <f>IFERROR(__xludf.DUMMYFUNCTION("""COMPUTED_VALUE"""),75.29)</f>
        <v>75.29</v>
      </c>
      <c r="D1750" s="1">
        <f>IFERROR(__xludf.DUMMYFUNCTION("""COMPUTED_VALUE"""),73.13)</f>
        <v>73.13</v>
      </c>
      <c r="E1750" s="1">
        <f>IFERROR(__xludf.DUMMYFUNCTION("""COMPUTED_VALUE"""),75.06)</f>
        <v>75.06</v>
      </c>
      <c r="F1750" s="1">
        <f>IFERROR(__xludf.DUMMYFUNCTION("""COMPUTED_VALUE"""),490281.0)</f>
        <v>490281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IFERROR(__xludf.DUMMYFUNCTION("""COMPUTED_VALUE"""),75.52)</f>
        <v>75.52</v>
      </c>
      <c r="C1751" s="1">
        <f>IFERROR(__xludf.DUMMYFUNCTION("""COMPUTED_VALUE"""),75.59)</f>
        <v>75.59</v>
      </c>
      <c r="D1751" s="1">
        <f>IFERROR(__xludf.DUMMYFUNCTION("""COMPUTED_VALUE"""),74.62)</f>
        <v>74.62</v>
      </c>
      <c r="E1751" s="1">
        <f>IFERROR(__xludf.DUMMYFUNCTION("""COMPUTED_VALUE"""),75.44)</f>
        <v>75.44</v>
      </c>
      <c r="F1751" s="1">
        <f>IFERROR(__xludf.DUMMYFUNCTION("""COMPUTED_VALUE"""),409124.0)</f>
        <v>409124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IFERROR(__xludf.DUMMYFUNCTION("""COMPUTED_VALUE"""),75.6)</f>
        <v>75.6</v>
      </c>
      <c r="C1752" s="1">
        <f>IFERROR(__xludf.DUMMYFUNCTION("""COMPUTED_VALUE"""),77.1)</f>
        <v>77.1</v>
      </c>
      <c r="D1752" s="1">
        <f>IFERROR(__xludf.DUMMYFUNCTION("""COMPUTED_VALUE"""),75.08)</f>
        <v>75.08</v>
      </c>
      <c r="E1752" s="1">
        <f>IFERROR(__xludf.DUMMYFUNCTION("""COMPUTED_VALUE"""),75.64)</f>
        <v>75.64</v>
      </c>
      <c r="F1752" s="1">
        <f>IFERROR(__xludf.DUMMYFUNCTION("""COMPUTED_VALUE"""),567835.0)</f>
        <v>567835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IFERROR(__xludf.DUMMYFUNCTION("""COMPUTED_VALUE"""),75.66)</f>
        <v>75.66</v>
      </c>
      <c r="C1753" s="1">
        <f>IFERROR(__xludf.DUMMYFUNCTION("""COMPUTED_VALUE"""),76.67)</f>
        <v>76.67</v>
      </c>
      <c r="D1753" s="1">
        <f>IFERROR(__xludf.DUMMYFUNCTION("""COMPUTED_VALUE"""),75.51)</f>
        <v>75.51</v>
      </c>
      <c r="E1753" s="1">
        <f>IFERROR(__xludf.DUMMYFUNCTION("""COMPUTED_VALUE"""),76.5)</f>
        <v>76.5</v>
      </c>
      <c r="F1753" s="1">
        <f>IFERROR(__xludf.DUMMYFUNCTION("""COMPUTED_VALUE"""),302625.0)</f>
        <v>302625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IFERROR(__xludf.DUMMYFUNCTION("""COMPUTED_VALUE"""),76.9)</f>
        <v>76.9</v>
      </c>
      <c r="C1754" s="1">
        <f>IFERROR(__xludf.DUMMYFUNCTION("""COMPUTED_VALUE"""),77.3)</f>
        <v>77.3</v>
      </c>
      <c r="D1754" s="1">
        <f>IFERROR(__xludf.DUMMYFUNCTION("""COMPUTED_VALUE"""),75.52)</f>
        <v>75.52</v>
      </c>
      <c r="E1754" s="1">
        <f>IFERROR(__xludf.DUMMYFUNCTION("""COMPUTED_VALUE"""),75.74)</f>
        <v>75.74</v>
      </c>
      <c r="F1754" s="1">
        <f>IFERROR(__xludf.DUMMYFUNCTION("""COMPUTED_VALUE"""),948132.0)</f>
        <v>948132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IFERROR(__xludf.DUMMYFUNCTION("""COMPUTED_VALUE"""),75.5)</f>
        <v>75.5</v>
      </c>
      <c r="C1755" s="1">
        <f>IFERROR(__xludf.DUMMYFUNCTION("""COMPUTED_VALUE"""),76.33)</f>
        <v>76.33</v>
      </c>
      <c r="D1755" s="1">
        <f>IFERROR(__xludf.DUMMYFUNCTION("""COMPUTED_VALUE"""),74.49)</f>
        <v>74.49</v>
      </c>
      <c r="E1755" s="1">
        <f>IFERROR(__xludf.DUMMYFUNCTION("""COMPUTED_VALUE"""),74.96)</f>
        <v>74.96</v>
      </c>
      <c r="F1755" s="1">
        <f>IFERROR(__xludf.DUMMYFUNCTION("""COMPUTED_VALUE"""),475748.0)</f>
        <v>475748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IFERROR(__xludf.DUMMYFUNCTION("""COMPUTED_VALUE"""),75.36)</f>
        <v>75.36</v>
      </c>
      <c r="C1756" s="1">
        <f>IFERROR(__xludf.DUMMYFUNCTION("""COMPUTED_VALUE"""),76.05)</f>
        <v>76.05</v>
      </c>
      <c r="D1756" s="1">
        <f>IFERROR(__xludf.DUMMYFUNCTION("""COMPUTED_VALUE"""),75.1)</f>
        <v>75.1</v>
      </c>
      <c r="E1756" s="1">
        <f>IFERROR(__xludf.DUMMYFUNCTION("""COMPUTED_VALUE"""),75.49)</f>
        <v>75.49</v>
      </c>
      <c r="F1756" s="1">
        <f>IFERROR(__xludf.DUMMYFUNCTION("""COMPUTED_VALUE"""),379792.0)</f>
        <v>379792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IFERROR(__xludf.DUMMYFUNCTION("""COMPUTED_VALUE"""),75.66)</f>
        <v>75.66</v>
      </c>
      <c r="C1757" s="1">
        <f>IFERROR(__xludf.DUMMYFUNCTION("""COMPUTED_VALUE"""),75.66)</f>
        <v>75.66</v>
      </c>
      <c r="D1757" s="1">
        <f>IFERROR(__xludf.DUMMYFUNCTION("""COMPUTED_VALUE"""),74.46)</f>
        <v>74.46</v>
      </c>
      <c r="E1757" s="1">
        <f>IFERROR(__xludf.DUMMYFUNCTION("""COMPUTED_VALUE"""),74.6)</f>
        <v>74.6</v>
      </c>
      <c r="F1757" s="1">
        <f>IFERROR(__xludf.DUMMYFUNCTION("""COMPUTED_VALUE"""),387086.0)</f>
        <v>387086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IFERROR(__xludf.DUMMYFUNCTION("""COMPUTED_VALUE"""),74.77)</f>
        <v>74.77</v>
      </c>
      <c r="C1758" s="1">
        <f>IFERROR(__xludf.DUMMYFUNCTION("""COMPUTED_VALUE"""),75.01)</f>
        <v>75.01</v>
      </c>
      <c r="D1758" s="1">
        <f>IFERROR(__xludf.DUMMYFUNCTION("""COMPUTED_VALUE"""),73.81)</f>
        <v>73.81</v>
      </c>
      <c r="E1758" s="1">
        <f>IFERROR(__xludf.DUMMYFUNCTION("""COMPUTED_VALUE"""),74.38)</f>
        <v>74.38</v>
      </c>
      <c r="F1758" s="1">
        <f>IFERROR(__xludf.DUMMYFUNCTION("""COMPUTED_VALUE"""),327107.0)</f>
        <v>327107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IFERROR(__xludf.DUMMYFUNCTION("""COMPUTED_VALUE"""),74.49)</f>
        <v>74.49</v>
      </c>
      <c r="C1759" s="1">
        <f>IFERROR(__xludf.DUMMYFUNCTION("""COMPUTED_VALUE"""),75.9)</f>
        <v>75.9</v>
      </c>
      <c r="D1759" s="1">
        <f>IFERROR(__xludf.DUMMYFUNCTION("""COMPUTED_VALUE"""),74.46)</f>
        <v>74.46</v>
      </c>
      <c r="E1759" s="1">
        <f>IFERROR(__xludf.DUMMYFUNCTION("""COMPUTED_VALUE"""),75.7)</f>
        <v>75.7</v>
      </c>
      <c r="F1759" s="1">
        <f>IFERROR(__xludf.DUMMYFUNCTION("""COMPUTED_VALUE"""),222218.0)</f>
        <v>222218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IFERROR(__xludf.DUMMYFUNCTION("""COMPUTED_VALUE"""),75.71)</f>
        <v>75.71</v>
      </c>
      <c r="C1760" s="1">
        <f>IFERROR(__xludf.DUMMYFUNCTION("""COMPUTED_VALUE"""),76.35)</f>
        <v>76.35</v>
      </c>
      <c r="D1760" s="1">
        <f>IFERROR(__xludf.DUMMYFUNCTION("""COMPUTED_VALUE"""),75.42)</f>
        <v>75.42</v>
      </c>
      <c r="E1760" s="1">
        <f>IFERROR(__xludf.DUMMYFUNCTION("""COMPUTED_VALUE"""),76.04)</f>
        <v>76.04</v>
      </c>
      <c r="F1760" s="1">
        <f>IFERROR(__xludf.DUMMYFUNCTION("""COMPUTED_VALUE"""),179293.0)</f>
        <v>179293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IFERROR(__xludf.DUMMYFUNCTION("""COMPUTED_VALUE"""),76.15)</f>
        <v>76.15</v>
      </c>
      <c r="C1761" s="1">
        <f>IFERROR(__xludf.DUMMYFUNCTION("""COMPUTED_VALUE"""),76.22)</f>
        <v>76.22</v>
      </c>
      <c r="D1761" s="1">
        <f>IFERROR(__xludf.DUMMYFUNCTION("""COMPUTED_VALUE"""),75.27)</f>
        <v>75.27</v>
      </c>
      <c r="E1761" s="1">
        <f>IFERROR(__xludf.DUMMYFUNCTION("""COMPUTED_VALUE"""),75.6)</f>
        <v>75.6</v>
      </c>
      <c r="F1761" s="1">
        <f>IFERROR(__xludf.DUMMYFUNCTION("""COMPUTED_VALUE"""),198692.0)</f>
        <v>198692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IFERROR(__xludf.DUMMYFUNCTION("""COMPUTED_VALUE"""),75.74)</f>
        <v>75.74</v>
      </c>
      <c r="C1762" s="1">
        <f>IFERROR(__xludf.DUMMYFUNCTION("""COMPUTED_VALUE"""),76.11)</f>
        <v>76.11</v>
      </c>
      <c r="D1762" s="1">
        <f>IFERROR(__xludf.DUMMYFUNCTION("""COMPUTED_VALUE"""),75.55)</f>
        <v>75.55</v>
      </c>
      <c r="E1762" s="1">
        <f>IFERROR(__xludf.DUMMYFUNCTION("""COMPUTED_VALUE"""),76.08)</f>
        <v>76.08</v>
      </c>
      <c r="F1762" s="1">
        <f>IFERROR(__xludf.DUMMYFUNCTION("""COMPUTED_VALUE"""),176495.0)</f>
        <v>176495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IFERROR(__xludf.DUMMYFUNCTION("""COMPUTED_VALUE"""),76.04)</f>
        <v>76.04</v>
      </c>
      <c r="C1763" s="1">
        <f>IFERROR(__xludf.DUMMYFUNCTION("""COMPUTED_VALUE"""),76.63)</f>
        <v>76.63</v>
      </c>
      <c r="D1763" s="1">
        <f>IFERROR(__xludf.DUMMYFUNCTION("""COMPUTED_VALUE"""),75.66)</f>
        <v>75.66</v>
      </c>
      <c r="E1763" s="1">
        <f>IFERROR(__xludf.DUMMYFUNCTION("""COMPUTED_VALUE"""),76.19)</f>
        <v>76.19</v>
      </c>
      <c r="F1763" s="1">
        <f>IFERROR(__xludf.DUMMYFUNCTION("""COMPUTED_VALUE"""),351524.0)</f>
        <v>351524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IFERROR(__xludf.DUMMYFUNCTION("""COMPUTED_VALUE"""),76.7)</f>
        <v>76.7</v>
      </c>
      <c r="C1764" s="1">
        <f>IFERROR(__xludf.DUMMYFUNCTION("""COMPUTED_VALUE"""),76.78)</f>
        <v>76.78</v>
      </c>
      <c r="D1764" s="1">
        <f>IFERROR(__xludf.DUMMYFUNCTION("""COMPUTED_VALUE"""),75.25)</f>
        <v>75.25</v>
      </c>
      <c r="E1764" s="1">
        <f>IFERROR(__xludf.DUMMYFUNCTION("""COMPUTED_VALUE"""),76.53)</f>
        <v>76.53</v>
      </c>
      <c r="F1764" s="1">
        <f>IFERROR(__xludf.DUMMYFUNCTION("""COMPUTED_VALUE"""),402106.0)</f>
        <v>402106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IFERROR(__xludf.DUMMYFUNCTION("""COMPUTED_VALUE"""),77.34)</f>
        <v>77.34</v>
      </c>
      <c r="C1765" s="1">
        <f>IFERROR(__xludf.DUMMYFUNCTION("""COMPUTED_VALUE"""),79.67)</f>
        <v>79.67</v>
      </c>
      <c r="D1765" s="1">
        <f>IFERROR(__xludf.DUMMYFUNCTION("""COMPUTED_VALUE"""),77.31)</f>
        <v>77.31</v>
      </c>
      <c r="E1765" s="1">
        <f>IFERROR(__xludf.DUMMYFUNCTION("""COMPUTED_VALUE"""),79.32)</f>
        <v>79.32</v>
      </c>
      <c r="F1765" s="1">
        <f>IFERROR(__xludf.DUMMYFUNCTION("""COMPUTED_VALUE"""),752848.0)</f>
        <v>752848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IFERROR(__xludf.DUMMYFUNCTION("""COMPUTED_VALUE"""),79.32)</f>
        <v>79.32</v>
      </c>
      <c r="C1766" s="1">
        <f>IFERROR(__xludf.DUMMYFUNCTION("""COMPUTED_VALUE"""),81.0)</f>
        <v>81</v>
      </c>
      <c r="D1766" s="1">
        <f>IFERROR(__xludf.DUMMYFUNCTION("""COMPUTED_VALUE"""),78.62)</f>
        <v>78.62</v>
      </c>
      <c r="E1766" s="1">
        <f>IFERROR(__xludf.DUMMYFUNCTION("""COMPUTED_VALUE"""),80.56)</f>
        <v>80.56</v>
      </c>
      <c r="F1766" s="1">
        <f>IFERROR(__xludf.DUMMYFUNCTION("""COMPUTED_VALUE"""),883551.0)</f>
        <v>883551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IFERROR(__xludf.DUMMYFUNCTION("""COMPUTED_VALUE"""),80.28)</f>
        <v>80.28</v>
      </c>
      <c r="C1767" s="1">
        <f>IFERROR(__xludf.DUMMYFUNCTION("""COMPUTED_VALUE"""),81.02)</f>
        <v>81.02</v>
      </c>
      <c r="D1767" s="1">
        <f>IFERROR(__xludf.DUMMYFUNCTION("""COMPUTED_VALUE"""),80.17)</f>
        <v>80.17</v>
      </c>
      <c r="E1767" s="1">
        <f>IFERROR(__xludf.DUMMYFUNCTION("""COMPUTED_VALUE"""),80.83)</f>
        <v>80.83</v>
      </c>
      <c r="F1767" s="1">
        <f>IFERROR(__xludf.DUMMYFUNCTION("""COMPUTED_VALUE"""),443814.0)</f>
        <v>443814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IFERROR(__xludf.DUMMYFUNCTION("""COMPUTED_VALUE"""),81.03)</f>
        <v>81.03</v>
      </c>
      <c r="C1768" s="1">
        <f>IFERROR(__xludf.DUMMYFUNCTION("""COMPUTED_VALUE"""),81.34)</f>
        <v>81.34</v>
      </c>
      <c r="D1768" s="1">
        <f>IFERROR(__xludf.DUMMYFUNCTION("""COMPUTED_VALUE"""),80.21)</f>
        <v>80.21</v>
      </c>
      <c r="E1768" s="1">
        <f>IFERROR(__xludf.DUMMYFUNCTION("""COMPUTED_VALUE"""),80.6)</f>
        <v>80.6</v>
      </c>
      <c r="F1768" s="1">
        <f>IFERROR(__xludf.DUMMYFUNCTION("""COMPUTED_VALUE"""),362883.0)</f>
        <v>362883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IFERROR(__xludf.DUMMYFUNCTION("""COMPUTED_VALUE"""),81.0)</f>
        <v>81</v>
      </c>
      <c r="C1769" s="1">
        <f>IFERROR(__xludf.DUMMYFUNCTION("""COMPUTED_VALUE"""),82.89)</f>
        <v>82.89</v>
      </c>
      <c r="D1769" s="1">
        <f>IFERROR(__xludf.DUMMYFUNCTION("""COMPUTED_VALUE"""),81.0)</f>
        <v>81</v>
      </c>
      <c r="E1769" s="1">
        <f>IFERROR(__xludf.DUMMYFUNCTION("""COMPUTED_VALUE"""),81.3)</f>
        <v>81.3</v>
      </c>
      <c r="F1769" s="1">
        <f>IFERROR(__xludf.DUMMYFUNCTION("""COMPUTED_VALUE"""),357222.0)</f>
        <v>357222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IFERROR(__xludf.DUMMYFUNCTION("""COMPUTED_VALUE"""),81.15)</f>
        <v>81.15</v>
      </c>
      <c r="C1770" s="1">
        <f>IFERROR(__xludf.DUMMYFUNCTION("""COMPUTED_VALUE"""),81.15)</f>
        <v>81.15</v>
      </c>
      <c r="D1770" s="1">
        <f>IFERROR(__xludf.DUMMYFUNCTION("""COMPUTED_VALUE"""),79.44)</f>
        <v>79.44</v>
      </c>
      <c r="E1770" s="1">
        <f>IFERROR(__xludf.DUMMYFUNCTION("""COMPUTED_VALUE"""),80.0)</f>
        <v>80</v>
      </c>
      <c r="F1770" s="1">
        <f>IFERROR(__xludf.DUMMYFUNCTION("""COMPUTED_VALUE"""),421233.0)</f>
        <v>421233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IFERROR(__xludf.DUMMYFUNCTION("""COMPUTED_VALUE"""),79.74)</f>
        <v>79.74</v>
      </c>
      <c r="C1771" s="1">
        <f>IFERROR(__xludf.DUMMYFUNCTION("""COMPUTED_VALUE"""),80.75)</f>
        <v>80.75</v>
      </c>
      <c r="D1771" s="1">
        <f>IFERROR(__xludf.DUMMYFUNCTION("""COMPUTED_VALUE"""),78.84)</f>
        <v>78.84</v>
      </c>
      <c r="E1771" s="1">
        <f>IFERROR(__xludf.DUMMYFUNCTION("""COMPUTED_VALUE"""),80.74)</f>
        <v>80.74</v>
      </c>
      <c r="F1771" s="1">
        <f>IFERROR(__xludf.DUMMYFUNCTION("""COMPUTED_VALUE"""),490611.0)</f>
        <v>490611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IFERROR(__xludf.DUMMYFUNCTION("""COMPUTED_VALUE"""),80.93)</f>
        <v>80.93</v>
      </c>
      <c r="C1772" s="1">
        <f>IFERROR(__xludf.DUMMYFUNCTION("""COMPUTED_VALUE"""),81.46)</f>
        <v>81.46</v>
      </c>
      <c r="D1772" s="1">
        <f>IFERROR(__xludf.DUMMYFUNCTION("""COMPUTED_VALUE"""),80.3)</f>
        <v>80.3</v>
      </c>
      <c r="E1772" s="1">
        <f>IFERROR(__xludf.DUMMYFUNCTION("""COMPUTED_VALUE"""),80.54)</f>
        <v>80.54</v>
      </c>
      <c r="F1772" s="1">
        <f>IFERROR(__xludf.DUMMYFUNCTION("""COMPUTED_VALUE"""),288957.0)</f>
        <v>288957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IFERROR(__xludf.DUMMYFUNCTION("""COMPUTED_VALUE"""),79.95)</f>
        <v>79.95</v>
      </c>
      <c r="C1773" s="1">
        <f>IFERROR(__xludf.DUMMYFUNCTION("""COMPUTED_VALUE"""),80.07)</f>
        <v>80.07</v>
      </c>
      <c r="D1773" s="1">
        <f>IFERROR(__xludf.DUMMYFUNCTION("""COMPUTED_VALUE"""),78.6)</f>
        <v>78.6</v>
      </c>
      <c r="E1773" s="1">
        <f>IFERROR(__xludf.DUMMYFUNCTION("""COMPUTED_VALUE"""),79.79)</f>
        <v>79.79</v>
      </c>
      <c r="F1773" s="1">
        <f>IFERROR(__xludf.DUMMYFUNCTION("""COMPUTED_VALUE"""),514228.0)</f>
        <v>514228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IFERROR(__xludf.DUMMYFUNCTION("""COMPUTED_VALUE"""),80.05)</f>
        <v>80.05</v>
      </c>
      <c r="C1774" s="1">
        <f>IFERROR(__xludf.DUMMYFUNCTION("""COMPUTED_VALUE"""),80.42)</f>
        <v>80.42</v>
      </c>
      <c r="D1774" s="1">
        <f>IFERROR(__xludf.DUMMYFUNCTION("""COMPUTED_VALUE"""),79.08)</f>
        <v>79.08</v>
      </c>
      <c r="E1774" s="1">
        <f>IFERROR(__xludf.DUMMYFUNCTION("""COMPUTED_VALUE"""),80.02)</f>
        <v>80.02</v>
      </c>
      <c r="F1774" s="1">
        <f>IFERROR(__xludf.DUMMYFUNCTION("""COMPUTED_VALUE"""),425672.0)</f>
        <v>425672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IFERROR(__xludf.DUMMYFUNCTION("""COMPUTED_VALUE"""),79.85)</f>
        <v>79.85</v>
      </c>
      <c r="C1775" s="1">
        <f>IFERROR(__xludf.DUMMYFUNCTION("""COMPUTED_VALUE"""),80.19)</f>
        <v>80.19</v>
      </c>
      <c r="D1775" s="1">
        <f>IFERROR(__xludf.DUMMYFUNCTION("""COMPUTED_VALUE"""),78.51)</f>
        <v>78.51</v>
      </c>
      <c r="E1775" s="1">
        <f>IFERROR(__xludf.DUMMYFUNCTION("""COMPUTED_VALUE"""),80.07)</f>
        <v>80.07</v>
      </c>
      <c r="F1775" s="1">
        <f>IFERROR(__xludf.DUMMYFUNCTION("""COMPUTED_VALUE"""),382245.0)</f>
        <v>382245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IFERROR(__xludf.DUMMYFUNCTION("""COMPUTED_VALUE"""),79.89)</f>
        <v>79.89</v>
      </c>
      <c r="C1776" s="1">
        <f>IFERROR(__xludf.DUMMYFUNCTION("""COMPUTED_VALUE"""),80.2)</f>
        <v>80.2</v>
      </c>
      <c r="D1776" s="1">
        <f>IFERROR(__xludf.DUMMYFUNCTION("""COMPUTED_VALUE"""),79.25)</f>
        <v>79.25</v>
      </c>
      <c r="E1776" s="1">
        <f>IFERROR(__xludf.DUMMYFUNCTION("""COMPUTED_VALUE"""),79.86)</f>
        <v>79.86</v>
      </c>
      <c r="F1776" s="1">
        <f>IFERROR(__xludf.DUMMYFUNCTION("""COMPUTED_VALUE"""),440478.0)</f>
        <v>440478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IFERROR(__xludf.DUMMYFUNCTION("""COMPUTED_VALUE"""),79.63)</f>
        <v>79.63</v>
      </c>
      <c r="C1777" s="1">
        <f>IFERROR(__xludf.DUMMYFUNCTION("""COMPUTED_VALUE"""),80.1)</f>
        <v>80.1</v>
      </c>
      <c r="D1777" s="1">
        <f>IFERROR(__xludf.DUMMYFUNCTION("""COMPUTED_VALUE"""),78.98)</f>
        <v>78.98</v>
      </c>
      <c r="E1777" s="1">
        <f>IFERROR(__xludf.DUMMYFUNCTION("""COMPUTED_VALUE"""),79.42)</f>
        <v>79.42</v>
      </c>
      <c r="F1777" s="1">
        <f>IFERROR(__xludf.DUMMYFUNCTION("""COMPUTED_VALUE"""),460668.0)</f>
        <v>460668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IFERROR(__xludf.DUMMYFUNCTION("""COMPUTED_VALUE"""),79.65)</f>
        <v>79.65</v>
      </c>
      <c r="C1778" s="1">
        <f>IFERROR(__xludf.DUMMYFUNCTION("""COMPUTED_VALUE"""),79.65)</f>
        <v>79.65</v>
      </c>
      <c r="D1778" s="1">
        <f>IFERROR(__xludf.DUMMYFUNCTION("""COMPUTED_VALUE"""),78.25)</f>
        <v>78.25</v>
      </c>
      <c r="E1778" s="1">
        <f>IFERROR(__xludf.DUMMYFUNCTION("""COMPUTED_VALUE"""),79.28)</f>
        <v>79.28</v>
      </c>
      <c r="F1778" s="1">
        <f>IFERROR(__xludf.DUMMYFUNCTION("""COMPUTED_VALUE"""),219025.0)</f>
        <v>219025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IFERROR(__xludf.DUMMYFUNCTION("""COMPUTED_VALUE"""),79.74)</f>
        <v>79.74</v>
      </c>
      <c r="C1779" s="1">
        <f>IFERROR(__xludf.DUMMYFUNCTION("""COMPUTED_VALUE"""),79.95)</f>
        <v>79.95</v>
      </c>
      <c r="D1779" s="1">
        <f>IFERROR(__xludf.DUMMYFUNCTION("""COMPUTED_VALUE"""),79.14)</f>
        <v>79.14</v>
      </c>
      <c r="E1779" s="1">
        <f>IFERROR(__xludf.DUMMYFUNCTION("""COMPUTED_VALUE"""),79.86)</f>
        <v>79.86</v>
      </c>
      <c r="F1779" s="1">
        <f>IFERROR(__xludf.DUMMYFUNCTION("""COMPUTED_VALUE"""),1011915.0)</f>
        <v>1011915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IFERROR(__xludf.DUMMYFUNCTION("""COMPUTED_VALUE"""),79.87)</f>
        <v>79.87</v>
      </c>
      <c r="C1780" s="1">
        <f>IFERROR(__xludf.DUMMYFUNCTION("""COMPUTED_VALUE"""),79.94)</f>
        <v>79.94</v>
      </c>
      <c r="D1780" s="1">
        <f>IFERROR(__xludf.DUMMYFUNCTION("""COMPUTED_VALUE"""),78.82)</f>
        <v>78.82</v>
      </c>
      <c r="E1780" s="1">
        <f>IFERROR(__xludf.DUMMYFUNCTION("""COMPUTED_VALUE"""),78.84)</f>
        <v>78.84</v>
      </c>
      <c r="F1780" s="1">
        <f>IFERROR(__xludf.DUMMYFUNCTION("""COMPUTED_VALUE"""),326832.0)</f>
        <v>326832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IFERROR(__xludf.DUMMYFUNCTION("""COMPUTED_VALUE"""),78.77)</f>
        <v>78.77</v>
      </c>
      <c r="C1781" s="1">
        <f>IFERROR(__xludf.DUMMYFUNCTION("""COMPUTED_VALUE"""),79.33)</f>
        <v>79.33</v>
      </c>
      <c r="D1781" s="1">
        <f>IFERROR(__xludf.DUMMYFUNCTION("""COMPUTED_VALUE"""),78.7)</f>
        <v>78.7</v>
      </c>
      <c r="E1781" s="1">
        <f>IFERROR(__xludf.DUMMYFUNCTION("""COMPUTED_VALUE"""),79.05)</f>
        <v>79.05</v>
      </c>
      <c r="F1781" s="1">
        <f>IFERROR(__xludf.DUMMYFUNCTION("""COMPUTED_VALUE"""),400900.0)</f>
        <v>400900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IFERROR(__xludf.DUMMYFUNCTION("""COMPUTED_VALUE"""),78.0)</f>
        <v>78</v>
      </c>
      <c r="C1782" s="1">
        <f>IFERROR(__xludf.DUMMYFUNCTION("""COMPUTED_VALUE"""),78.98)</f>
        <v>78.98</v>
      </c>
      <c r="D1782" s="1">
        <f>IFERROR(__xludf.DUMMYFUNCTION("""COMPUTED_VALUE"""),77.61)</f>
        <v>77.61</v>
      </c>
      <c r="E1782" s="1">
        <f>IFERROR(__xludf.DUMMYFUNCTION("""COMPUTED_VALUE"""),78.38)</f>
        <v>78.38</v>
      </c>
      <c r="F1782" s="1">
        <f>IFERROR(__xludf.DUMMYFUNCTION("""COMPUTED_VALUE"""),292349.0)</f>
        <v>292349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IFERROR(__xludf.DUMMYFUNCTION("""COMPUTED_VALUE"""),77.93)</f>
        <v>77.93</v>
      </c>
      <c r="C1783" s="1">
        <f>IFERROR(__xludf.DUMMYFUNCTION("""COMPUTED_VALUE"""),80.99)</f>
        <v>80.99</v>
      </c>
      <c r="D1783" s="1">
        <f>IFERROR(__xludf.DUMMYFUNCTION("""COMPUTED_VALUE"""),77.66)</f>
        <v>77.66</v>
      </c>
      <c r="E1783" s="1">
        <f>IFERROR(__xludf.DUMMYFUNCTION("""COMPUTED_VALUE"""),80.8)</f>
        <v>80.8</v>
      </c>
      <c r="F1783" s="1">
        <f>IFERROR(__xludf.DUMMYFUNCTION("""COMPUTED_VALUE"""),287596.0)</f>
        <v>287596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IFERROR(__xludf.DUMMYFUNCTION("""COMPUTED_VALUE"""),80.78)</f>
        <v>80.78</v>
      </c>
      <c r="C1784" s="1">
        <f>IFERROR(__xludf.DUMMYFUNCTION("""COMPUTED_VALUE"""),82.03)</f>
        <v>82.03</v>
      </c>
      <c r="D1784" s="1">
        <f>IFERROR(__xludf.DUMMYFUNCTION("""COMPUTED_VALUE"""),80.21)</f>
        <v>80.21</v>
      </c>
      <c r="E1784" s="1">
        <f>IFERROR(__xludf.DUMMYFUNCTION("""COMPUTED_VALUE"""),81.92)</f>
        <v>81.92</v>
      </c>
      <c r="F1784" s="1">
        <f>IFERROR(__xludf.DUMMYFUNCTION("""COMPUTED_VALUE"""),420095.0)</f>
        <v>420095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IFERROR(__xludf.DUMMYFUNCTION("""COMPUTED_VALUE"""),81.31)</f>
        <v>81.31</v>
      </c>
      <c r="C1785" s="1">
        <f>IFERROR(__xludf.DUMMYFUNCTION("""COMPUTED_VALUE"""),82.0)</f>
        <v>82</v>
      </c>
      <c r="D1785" s="1">
        <f>IFERROR(__xludf.DUMMYFUNCTION("""COMPUTED_VALUE"""),80.74)</f>
        <v>80.74</v>
      </c>
      <c r="E1785" s="1">
        <f>IFERROR(__xludf.DUMMYFUNCTION("""COMPUTED_VALUE"""),81.86)</f>
        <v>81.86</v>
      </c>
      <c r="F1785" s="1">
        <f>IFERROR(__xludf.DUMMYFUNCTION("""COMPUTED_VALUE"""),288450.0)</f>
        <v>288450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IFERROR(__xludf.DUMMYFUNCTION("""COMPUTED_VALUE"""),82.05)</f>
        <v>82.05</v>
      </c>
      <c r="C1786" s="1">
        <f>IFERROR(__xludf.DUMMYFUNCTION("""COMPUTED_VALUE"""),82.67)</f>
        <v>82.67</v>
      </c>
      <c r="D1786" s="1">
        <f>IFERROR(__xludf.DUMMYFUNCTION("""COMPUTED_VALUE"""),81.33)</f>
        <v>81.33</v>
      </c>
      <c r="E1786" s="1">
        <f>IFERROR(__xludf.DUMMYFUNCTION("""COMPUTED_VALUE"""),82.43)</f>
        <v>82.43</v>
      </c>
      <c r="F1786" s="1">
        <f>IFERROR(__xludf.DUMMYFUNCTION("""COMPUTED_VALUE"""),228658.0)</f>
        <v>228658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IFERROR(__xludf.DUMMYFUNCTION("""COMPUTED_VALUE"""),82.2)</f>
        <v>82.2</v>
      </c>
      <c r="C1787" s="1">
        <f>IFERROR(__xludf.DUMMYFUNCTION("""COMPUTED_VALUE"""),82.47)</f>
        <v>82.47</v>
      </c>
      <c r="D1787" s="1">
        <f>IFERROR(__xludf.DUMMYFUNCTION("""COMPUTED_VALUE"""),81.36)</f>
        <v>81.36</v>
      </c>
      <c r="E1787" s="1">
        <f>IFERROR(__xludf.DUMMYFUNCTION("""COMPUTED_VALUE"""),81.99)</f>
        <v>81.99</v>
      </c>
      <c r="F1787" s="1">
        <f>IFERROR(__xludf.DUMMYFUNCTION("""COMPUTED_VALUE"""),171340.0)</f>
        <v>171340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IFERROR(__xludf.DUMMYFUNCTION("""COMPUTED_VALUE"""),82.39)</f>
        <v>82.39</v>
      </c>
      <c r="C1788" s="1">
        <f>IFERROR(__xludf.DUMMYFUNCTION("""COMPUTED_VALUE"""),82.61)</f>
        <v>82.61</v>
      </c>
      <c r="D1788" s="1">
        <f>IFERROR(__xludf.DUMMYFUNCTION("""COMPUTED_VALUE"""),81.46)</f>
        <v>81.46</v>
      </c>
      <c r="E1788" s="1">
        <f>IFERROR(__xludf.DUMMYFUNCTION("""COMPUTED_VALUE"""),82.58)</f>
        <v>82.58</v>
      </c>
      <c r="F1788" s="1">
        <f>IFERROR(__xludf.DUMMYFUNCTION("""COMPUTED_VALUE"""),289566.0)</f>
        <v>289566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IFERROR(__xludf.DUMMYFUNCTION("""COMPUTED_VALUE"""),82.3)</f>
        <v>82.3</v>
      </c>
      <c r="C1789" s="1">
        <f>IFERROR(__xludf.DUMMYFUNCTION("""COMPUTED_VALUE"""),82.95)</f>
        <v>82.95</v>
      </c>
      <c r="D1789" s="1">
        <f>IFERROR(__xludf.DUMMYFUNCTION("""COMPUTED_VALUE"""),81.56)</f>
        <v>81.56</v>
      </c>
      <c r="E1789" s="1">
        <f>IFERROR(__xludf.DUMMYFUNCTION("""COMPUTED_VALUE"""),82.49)</f>
        <v>82.49</v>
      </c>
      <c r="F1789" s="1">
        <f>IFERROR(__xludf.DUMMYFUNCTION("""COMPUTED_VALUE"""),368017.0)</f>
        <v>368017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IFERROR(__xludf.DUMMYFUNCTION("""COMPUTED_VALUE"""),82.69)</f>
        <v>82.69</v>
      </c>
      <c r="C1790" s="1">
        <f>IFERROR(__xludf.DUMMYFUNCTION("""COMPUTED_VALUE"""),83.71)</f>
        <v>83.71</v>
      </c>
      <c r="D1790" s="1">
        <f>IFERROR(__xludf.DUMMYFUNCTION("""COMPUTED_VALUE"""),82.39)</f>
        <v>82.39</v>
      </c>
      <c r="E1790" s="1">
        <f>IFERROR(__xludf.DUMMYFUNCTION("""COMPUTED_VALUE"""),83.6)</f>
        <v>83.6</v>
      </c>
      <c r="F1790" s="1">
        <f>IFERROR(__xludf.DUMMYFUNCTION("""COMPUTED_VALUE"""),339528.0)</f>
        <v>339528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IFERROR(__xludf.DUMMYFUNCTION("""COMPUTED_VALUE"""),84.0)</f>
        <v>84</v>
      </c>
      <c r="C1791" s="1">
        <f>IFERROR(__xludf.DUMMYFUNCTION("""COMPUTED_VALUE"""),84.0)</f>
        <v>84</v>
      </c>
      <c r="D1791" s="1">
        <f>IFERROR(__xludf.DUMMYFUNCTION("""COMPUTED_VALUE"""),82.92)</f>
        <v>82.92</v>
      </c>
      <c r="E1791" s="1">
        <f>IFERROR(__xludf.DUMMYFUNCTION("""COMPUTED_VALUE"""),83.34)</f>
        <v>83.34</v>
      </c>
      <c r="F1791" s="1">
        <f>IFERROR(__xludf.DUMMYFUNCTION("""COMPUTED_VALUE"""),403231.0)</f>
        <v>403231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IFERROR(__xludf.DUMMYFUNCTION("""COMPUTED_VALUE"""),83.33)</f>
        <v>83.33</v>
      </c>
      <c r="C1792" s="1">
        <f>IFERROR(__xludf.DUMMYFUNCTION("""COMPUTED_VALUE"""),83.79)</f>
        <v>83.79</v>
      </c>
      <c r="D1792" s="1">
        <f>IFERROR(__xludf.DUMMYFUNCTION("""COMPUTED_VALUE"""),81.81)</f>
        <v>81.81</v>
      </c>
      <c r="E1792" s="1">
        <f>IFERROR(__xludf.DUMMYFUNCTION("""COMPUTED_VALUE"""),82.47)</f>
        <v>82.47</v>
      </c>
      <c r="F1792" s="1">
        <f>IFERROR(__xludf.DUMMYFUNCTION("""COMPUTED_VALUE"""),772685.0)</f>
        <v>772685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IFERROR(__xludf.DUMMYFUNCTION("""COMPUTED_VALUE"""),86.49)</f>
        <v>86.49</v>
      </c>
      <c r="C1793" s="1">
        <f>IFERROR(__xludf.DUMMYFUNCTION("""COMPUTED_VALUE"""),89.59)</f>
        <v>89.59</v>
      </c>
      <c r="D1793" s="1">
        <f>IFERROR(__xludf.DUMMYFUNCTION("""COMPUTED_VALUE"""),85.0)</f>
        <v>85</v>
      </c>
      <c r="E1793" s="1">
        <f>IFERROR(__xludf.DUMMYFUNCTION("""COMPUTED_VALUE"""),88.95)</f>
        <v>88.95</v>
      </c>
      <c r="F1793" s="1">
        <f>IFERROR(__xludf.DUMMYFUNCTION("""COMPUTED_VALUE"""),1207159.0)</f>
        <v>1207159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IFERROR(__xludf.DUMMYFUNCTION("""COMPUTED_VALUE"""),88.99)</f>
        <v>88.99</v>
      </c>
      <c r="C1794" s="1">
        <f>IFERROR(__xludf.DUMMYFUNCTION("""COMPUTED_VALUE"""),89.44)</f>
        <v>89.44</v>
      </c>
      <c r="D1794" s="1">
        <f>IFERROR(__xludf.DUMMYFUNCTION("""COMPUTED_VALUE"""),87.74)</f>
        <v>87.74</v>
      </c>
      <c r="E1794" s="1">
        <f>IFERROR(__xludf.DUMMYFUNCTION("""COMPUTED_VALUE"""),88.72)</f>
        <v>88.72</v>
      </c>
      <c r="F1794" s="1">
        <f>IFERROR(__xludf.DUMMYFUNCTION("""COMPUTED_VALUE"""),625852.0)</f>
        <v>625852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IFERROR(__xludf.DUMMYFUNCTION("""COMPUTED_VALUE"""),88.32)</f>
        <v>88.32</v>
      </c>
      <c r="C1795" s="1">
        <f>IFERROR(__xludf.DUMMYFUNCTION("""COMPUTED_VALUE"""),88.6)</f>
        <v>88.6</v>
      </c>
      <c r="D1795" s="1">
        <f>IFERROR(__xludf.DUMMYFUNCTION("""COMPUTED_VALUE"""),87.43)</f>
        <v>87.43</v>
      </c>
      <c r="E1795" s="1">
        <f>IFERROR(__xludf.DUMMYFUNCTION("""COMPUTED_VALUE"""),88.41)</f>
        <v>88.41</v>
      </c>
      <c r="F1795" s="1">
        <f>IFERROR(__xludf.DUMMYFUNCTION("""COMPUTED_VALUE"""),471786.0)</f>
        <v>471786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IFERROR(__xludf.DUMMYFUNCTION("""COMPUTED_VALUE"""),88.25)</f>
        <v>88.25</v>
      </c>
      <c r="C1796" s="1">
        <f>IFERROR(__xludf.DUMMYFUNCTION("""COMPUTED_VALUE"""),89.12)</f>
        <v>89.12</v>
      </c>
      <c r="D1796" s="1">
        <f>IFERROR(__xludf.DUMMYFUNCTION("""COMPUTED_VALUE"""),87.82)</f>
        <v>87.82</v>
      </c>
      <c r="E1796" s="1">
        <f>IFERROR(__xludf.DUMMYFUNCTION("""COMPUTED_VALUE"""),88.5)</f>
        <v>88.5</v>
      </c>
      <c r="F1796" s="1">
        <f>IFERROR(__xludf.DUMMYFUNCTION("""COMPUTED_VALUE"""),273627.0)</f>
        <v>273627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IFERROR(__xludf.DUMMYFUNCTION("""COMPUTED_VALUE"""),88.6)</f>
        <v>88.6</v>
      </c>
      <c r="C1797" s="1">
        <f>IFERROR(__xludf.DUMMYFUNCTION("""COMPUTED_VALUE"""),89.0)</f>
        <v>89</v>
      </c>
      <c r="D1797" s="1">
        <f>IFERROR(__xludf.DUMMYFUNCTION("""COMPUTED_VALUE"""),87.93)</f>
        <v>87.93</v>
      </c>
      <c r="E1797" s="1">
        <f>IFERROR(__xludf.DUMMYFUNCTION("""COMPUTED_VALUE"""),88.4)</f>
        <v>88.4</v>
      </c>
      <c r="F1797" s="1">
        <f>IFERROR(__xludf.DUMMYFUNCTION("""COMPUTED_VALUE"""),267568.0)</f>
        <v>267568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IFERROR(__xludf.DUMMYFUNCTION("""COMPUTED_VALUE"""),88.06)</f>
        <v>88.06</v>
      </c>
      <c r="C1798" s="1">
        <f>IFERROR(__xludf.DUMMYFUNCTION("""COMPUTED_VALUE"""),88.51)</f>
        <v>88.51</v>
      </c>
      <c r="D1798" s="1">
        <f>IFERROR(__xludf.DUMMYFUNCTION("""COMPUTED_VALUE"""),87.43)</f>
        <v>87.43</v>
      </c>
      <c r="E1798" s="1">
        <f>IFERROR(__xludf.DUMMYFUNCTION("""COMPUTED_VALUE"""),87.93)</f>
        <v>87.93</v>
      </c>
      <c r="F1798" s="1">
        <f>IFERROR(__xludf.DUMMYFUNCTION("""COMPUTED_VALUE"""),285888.0)</f>
        <v>285888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IFERROR(__xludf.DUMMYFUNCTION("""COMPUTED_VALUE"""),88.49)</f>
        <v>88.49</v>
      </c>
      <c r="C1799" s="1">
        <f>IFERROR(__xludf.DUMMYFUNCTION("""COMPUTED_VALUE"""),88.63)</f>
        <v>88.63</v>
      </c>
      <c r="D1799" s="1">
        <f>IFERROR(__xludf.DUMMYFUNCTION("""COMPUTED_VALUE"""),87.35)</f>
        <v>87.35</v>
      </c>
      <c r="E1799" s="1">
        <f>IFERROR(__xludf.DUMMYFUNCTION("""COMPUTED_VALUE"""),87.81)</f>
        <v>87.81</v>
      </c>
      <c r="F1799" s="1">
        <f>IFERROR(__xludf.DUMMYFUNCTION("""COMPUTED_VALUE"""),288087.0)</f>
        <v>288087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IFERROR(__xludf.DUMMYFUNCTION("""COMPUTED_VALUE"""),87.65)</f>
        <v>87.65</v>
      </c>
      <c r="C1800" s="1">
        <f>IFERROR(__xludf.DUMMYFUNCTION("""COMPUTED_VALUE"""),88.07)</f>
        <v>88.07</v>
      </c>
      <c r="D1800" s="1">
        <f>IFERROR(__xludf.DUMMYFUNCTION("""COMPUTED_VALUE"""),87.06)</f>
        <v>87.06</v>
      </c>
      <c r="E1800" s="1">
        <f>IFERROR(__xludf.DUMMYFUNCTION("""COMPUTED_VALUE"""),88.05)</f>
        <v>88.05</v>
      </c>
      <c r="F1800" s="1">
        <f>IFERROR(__xludf.DUMMYFUNCTION("""COMPUTED_VALUE"""),292732.0)</f>
        <v>292732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IFERROR(__xludf.DUMMYFUNCTION("""COMPUTED_VALUE"""),87.81)</f>
        <v>87.81</v>
      </c>
      <c r="C1801" s="1">
        <f>IFERROR(__xludf.DUMMYFUNCTION("""COMPUTED_VALUE"""),89.73)</f>
        <v>89.73</v>
      </c>
      <c r="D1801" s="1">
        <f>IFERROR(__xludf.DUMMYFUNCTION("""COMPUTED_VALUE"""),87.81)</f>
        <v>87.81</v>
      </c>
      <c r="E1801" s="1">
        <f>IFERROR(__xludf.DUMMYFUNCTION("""COMPUTED_VALUE"""),89.54)</f>
        <v>89.54</v>
      </c>
      <c r="F1801" s="1">
        <f>IFERROR(__xludf.DUMMYFUNCTION("""COMPUTED_VALUE"""),460503.0)</f>
        <v>460503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IFERROR(__xludf.DUMMYFUNCTION("""COMPUTED_VALUE"""),88.62)</f>
        <v>88.62</v>
      </c>
      <c r="C1802" s="1">
        <f>IFERROR(__xludf.DUMMYFUNCTION("""COMPUTED_VALUE"""),89.26)</f>
        <v>89.26</v>
      </c>
      <c r="D1802" s="1">
        <f>IFERROR(__xludf.DUMMYFUNCTION("""COMPUTED_VALUE"""),86.83)</f>
        <v>86.83</v>
      </c>
      <c r="E1802" s="1">
        <f>IFERROR(__xludf.DUMMYFUNCTION("""COMPUTED_VALUE"""),86.97)</f>
        <v>86.97</v>
      </c>
      <c r="F1802" s="1">
        <f>IFERROR(__xludf.DUMMYFUNCTION("""COMPUTED_VALUE"""),671827.0)</f>
        <v>671827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IFERROR(__xludf.DUMMYFUNCTION("""COMPUTED_VALUE"""),87.64)</f>
        <v>87.64</v>
      </c>
      <c r="C1803" s="1">
        <f>IFERROR(__xludf.DUMMYFUNCTION("""COMPUTED_VALUE"""),88.97)</f>
        <v>88.97</v>
      </c>
      <c r="D1803" s="1">
        <f>IFERROR(__xludf.DUMMYFUNCTION("""COMPUTED_VALUE"""),87.24)</f>
        <v>87.24</v>
      </c>
      <c r="E1803" s="1">
        <f>IFERROR(__xludf.DUMMYFUNCTION("""COMPUTED_VALUE"""),87.48)</f>
        <v>87.48</v>
      </c>
      <c r="F1803" s="1">
        <f>IFERROR(__xludf.DUMMYFUNCTION("""COMPUTED_VALUE"""),378634.0)</f>
        <v>378634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IFERROR(__xludf.DUMMYFUNCTION("""COMPUTED_VALUE"""),87.3)</f>
        <v>87.3</v>
      </c>
      <c r="C1804" s="1">
        <f>IFERROR(__xludf.DUMMYFUNCTION("""COMPUTED_VALUE"""),87.98)</f>
        <v>87.98</v>
      </c>
      <c r="D1804" s="1">
        <f>IFERROR(__xludf.DUMMYFUNCTION("""COMPUTED_VALUE"""),86.94)</f>
        <v>86.94</v>
      </c>
      <c r="E1804" s="1">
        <f>IFERROR(__xludf.DUMMYFUNCTION("""COMPUTED_VALUE"""),87.59)</f>
        <v>87.59</v>
      </c>
      <c r="F1804" s="1">
        <f>IFERROR(__xludf.DUMMYFUNCTION("""COMPUTED_VALUE"""),362988.0)</f>
        <v>362988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IFERROR(__xludf.DUMMYFUNCTION("""COMPUTED_VALUE"""),87.52)</f>
        <v>87.52</v>
      </c>
      <c r="C1805" s="1">
        <f>IFERROR(__xludf.DUMMYFUNCTION("""COMPUTED_VALUE"""),88.46)</f>
        <v>88.46</v>
      </c>
      <c r="D1805" s="1">
        <f>IFERROR(__xludf.DUMMYFUNCTION("""COMPUTED_VALUE"""),86.96)</f>
        <v>86.96</v>
      </c>
      <c r="E1805" s="1">
        <f>IFERROR(__xludf.DUMMYFUNCTION("""COMPUTED_VALUE"""),88.04)</f>
        <v>88.04</v>
      </c>
      <c r="F1805" s="1">
        <f>IFERROR(__xludf.DUMMYFUNCTION("""COMPUTED_VALUE"""),350083.0)</f>
        <v>350083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IFERROR(__xludf.DUMMYFUNCTION("""COMPUTED_VALUE"""),87.55)</f>
        <v>87.55</v>
      </c>
      <c r="C1806" s="1">
        <f>IFERROR(__xludf.DUMMYFUNCTION("""COMPUTED_VALUE"""),88.62)</f>
        <v>88.62</v>
      </c>
      <c r="D1806" s="1">
        <f>IFERROR(__xludf.DUMMYFUNCTION("""COMPUTED_VALUE"""),87.17)</f>
        <v>87.17</v>
      </c>
      <c r="E1806" s="1">
        <f>IFERROR(__xludf.DUMMYFUNCTION("""COMPUTED_VALUE"""),87.5)</f>
        <v>87.5</v>
      </c>
      <c r="F1806" s="1">
        <f>IFERROR(__xludf.DUMMYFUNCTION("""COMPUTED_VALUE"""),349444.0)</f>
        <v>349444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IFERROR(__xludf.DUMMYFUNCTION("""COMPUTED_VALUE"""),86.72)</f>
        <v>86.72</v>
      </c>
      <c r="C1807" s="1">
        <f>IFERROR(__xludf.DUMMYFUNCTION("""COMPUTED_VALUE"""),88.28)</f>
        <v>88.28</v>
      </c>
      <c r="D1807" s="1">
        <f>IFERROR(__xludf.DUMMYFUNCTION("""COMPUTED_VALUE"""),86.72)</f>
        <v>86.72</v>
      </c>
      <c r="E1807" s="1">
        <f>IFERROR(__xludf.DUMMYFUNCTION("""COMPUTED_VALUE"""),88.12)</f>
        <v>88.12</v>
      </c>
      <c r="F1807" s="1">
        <f>IFERROR(__xludf.DUMMYFUNCTION("""COMPUTED_VALUE"""),545429.0)</f>
        <v>545429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IFERROR(__xludf.DUMMYFUNCTION("""COMPUTED_VALUE"""),87.12)</f>
        <v>87.12</v>
      </c>
      <c r="C1808" s="1">
        <f>IFERROR(__xludf.DUMMYFUNCTION("""COMPUTED_VALUE"""),89.4)</f>
        <v>89.4</v>
      </c>
      <c r="D1808" s="1">
        <f>IFERROR(__xludf.DUMMYFUNCTION("""COMPUTED_VALUE"""),86.25)</f>
        <v>86.25</v>
      </c>
      <c r="E1808" s="1">
        <f>IFERROR(__xludf.DUMMYFUNCTION("""COMPUTED_VALUE"""),88.88)</f>
        <v>88.88</v>
      </c>
      <c r="F1808" s="1">
        <f>IFERROR(__xludf.DUMMYFUNCTION("""COMPUTED_VALUE"""),410678.0)</f>
        <v>410678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IFERROR(__xludf.DUMMYFUNCTION("""COMPUTED_VALUE"""),88.49)</f>
        <v>88.49</v>
      </c>
      <c r="C1809" s="1">
        <f>IFERROR(__xludf.DUMMYFUNCTION("""COMPUTED_VALUE"""),89.64)</f>
        <v>89.64</v>
      </c>
      <c r="D1809" s="1">
        <f>IFERROR(__xludf.DUMMYFUNCTION("""COMPUTED_VALUE"""),88.49)</f>
        <v>88.49</v>
      </c>
      <c r="E1809" s="1">
        <f>IFERROR(__xludf.DUMMYFUNCTION("""COMPUTED_VALUE"""),89.01)</f>
        <v>89.01</v>
      </c>
      <c r="F1809" s="1">
        <f>IFERROR(__xludf.DUMMYFUNCTION("""COMPUTED_VALUE"""),388178.0)</f>
        <v>388178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IFERROR(__xludf.DUMMYFUNCTION("""COMPUTED_VALUE"""),89.51)</f>
        <v>89.51</v>
      </c>
      <c r="C1810" s="1">
        <f>IFERROR(__xludf.DUMMYFUNCTION("""COMPUTED_VALUE"""),89.99)</f>
        <v>89.99</v>
      </c>
      <c r="D1810" s="1">
        <f>IFERROR(__xludf.DUMMYFUNCTION("""COMPUTED_VALUE"""),88.84)</f>
        <v>88.84</v>
      </c>
      <c r="E1810" s="1">
        <f>IFERROR(__xludf.DUMMYFUNCTION("""COMPUTED_VALUE"""),89.54)</f>
        <v>89.54</v>
      </c>
      <c r="F1810" s="1">
        <f>IFERROR(__xludf.DUMMYFUNCTION("""COMPUTED_VALUE"""),557047.0)</f>
        <v>557047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IFERROR(__xludf.DUMMYFUNCTION("""COMPUTED_VALUE"""),89.54)</f>
        <v>89.54</v>
      </c>
      <c r="C1811" s="1">
        <f>IFERROR(__xludf.DUMMYFUNCTION("""COMPUTED_VALUE"""),89.93)</f>
        <v>89.93</v>
      </c>
      <c r="D1811" s="1">
        <f>IFERROR(__xludf.DUMMYFUNCTION("""COMPUTED_VALUE"""),88.68)</f>
        <v>88.68</v>
      </c>
      <c r="E1811" s="1">
        <f>IFERROR(__xludf.DUMMYFUNCTION("""COMPUTED_VALUE"""),89.16)</f>
        <v>89.16</v>
      </c>
      <c r="F1811" s="1">
        <f>IFERROR(__xludf.DUMMYFUNCTION("""COMPUTED_VALUE"""),223169.0)</f>
        <v>223169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IFERROR(__xludf.DUMMYFUNCTION("""COMPUTED_VALUE"""),89.11)</f>
        <v>89.11</v>
      </c>
      <c r="C1812" s="1">
        <f>IFERROR(__xludf.DUMMYFUNCTION("""COMPUTED_VALUE"""),89.91)</f>
        <v>89.91</v>
      </c>
      <c r="D1812" s="1">
        <f>IFERROR(__xludf.DUMMYFUNCTION("""COMPUTED_VALUE"""),88.53)</f>
        <v>88.53</v>
      </c>
      <c r="E1812" s="1">
        <f>IFERROR(__xludf.DUMMYFUNCTION("""COMPUTED_VALUE"""),89.5)</f>
        <v>89.5</v>
      </c>
      <c r="F1812" s="1">
        <f>IFERROR(__xludf.DUMMYFUNCTION("""COMPUTED_VALUE"""),345187.0)</f>
        <v>345187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IFERROR(__xludf.DUMMYFUNCTION("""COMPUTED_VALUE"""),89.76)</f>
        <v>89.76</v>
      </c>
      <c r="C1813" s="1">
        <f>IFERROR(__xludf.DUMMYFUNCTION("""COMPUTED_VALUE"""),91.57)</f>
        <v>91.57</v>
      </c>
      <c r="D1813" s="1">
        <f>IFERROR(__xludf.DUMMYFUNCTION("""COMPUTED_VALUE"""),89.75)</f>
        <v>89.75</v>
      </c>
      <c r="E1813" s="1">
        <f>IFERROR(__xludf.DUMMYFUNCTION("""COMPUTED_VALUE"""),91.4)</f>
        <v>91.4</v>
      </c>
      <c r="F1813" s="1">
        <f>IFERROR(__xludf.DUMMYFUNCTION("""COMPUTED_VALUE"""),618321.0)</f>
        <v>618321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IFERROR(__xludf.DUMMYFUNCTION("""COMPUTED_VALUE"""),90.89)</f>
        <v>90.89</v>
      </c>
      <c r="C1814" s="1">
        <f>IFERROR(__xludf.DUMMYFUNCTION("""COMPUTED_VALUE"""),91.25)</f>
        <v>91.25</v>
      </c>
      <c r="D1814" s="1">
        <f>IFERROR(__xludf.DUMMYFUNCTION("""COMPUTED_VALUE"""),88.76)</f>
        <v>88.76</v>
      </c>
      <c r="E1814" s="1">
        <f>IFERROR(__xludf.DUMMYFUNCTION("""COMPUTED_VALUE"""),89.39)</f>
        <v>89.39</v>
      </c>
      <c r="F1814" s="1">
        <f>IFERROR(__xludf.DUMMYFUNCTION("""COMPUTED_VALUE"""),687310.0)</f>
        <v>687310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IFERROR(__xludf.DUMMYFUNCTION("""COMPUTED_VALUE"""),89.18)</f>
        <v>89.18</v>
      </c>
      <c r="C1815" s="1">
        <f>IFERROR(__xludf.DUMMYFUNCTION("""COMPUTED_VALUE"""),90.27)</f>
        <v>90.27</v>
      </c>
      <c r="D1815" s="1">
        <f>IFERROR(__xludf.DUMMYFUNCTION("""COMPUTED_VALUE"""),88.82)</f>
        <v>88.82</v>
      </c>
      <c r="E1815" s="1">
        <f>IFERROR(__xludf.DUMMYFUNCTION("""COMPUTED_VALUE"""),90.0)</f>
        <v>90</v>
      </c>
      <c r="F1815" s="1">
        <f>IFERROR(__xludf.DUMMYFUNCTION("""COMPUTED_VALUE"""),541690.0)</f>
        <v>541690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IFERROR(__xludf.DUMMYFUNCTION("""COMPUTED_VALUE"""),90.0)</f>
        <v>90</v>
      </c>
      <c r="C1816" s="1">
        <f>IFERROR(__xludf.DUMMYFUNCTION("""COMPUTED_VALUE"""),90.15)</f>
        <v>90.15</v>
      </c>
      <c r="D1816" s="1">
        <f>IFERROR(__xludf.DUMMYFUNCTION("""COMPUTED_VALUE"""),88.93)</f>
        <v>88.93</v>
      </c>
      <c r="E1816" s="1">
        <f>IFERROR(__xludf.DUMMYFUNCTION("""COMPUTED_VALUE"""),89.19)</f>
        <v>89.19</v>
      </c>
      <c r="F1816" s="1">
        <f>IFERROR(__xludf.DUMMYFUNCTION("""COMPUTED_VALUE"""),245309.0)</f>
        <v>245309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IFERROR(__xludf.DUMMYFUNCTION("""COMPUTED_VALUE"""),89.35)</f>
        <v>89.35</v>
      </c>
      <c r="C1817" s="1">
        <f>IFERROR(__xludf.DUMMYFUNCTION("""COMPUTED_VALUE"""),89.77)</f>
        <v>89.77</v>
      </c>
      <c r="D1817" s="1">
        <f>IFERROR(__xludf.DUMMYFUNCTION("""COMPUTED_VALUE"""),87.89)</f>
        <v>87.89</v>
      </c>
      <c r="E1817" s="1">
        <f>IFERROR(__xludf.DUMMYFUNCTION("""COMPUTED_VALUE"""),88.12)</f>
        <v>88.12</v>
      </c>
      <c r="F1817" s="1">
        <f>IFERROR(__xludf.DUMMYFUNCTION("""COMPUTED_VALUE"""),588473.0)</f>
        <v>588473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IFERROR(__xludf.DUMMYFUNCTION("""COMPUTED_VALUE"""),88.25)</f>
        <v>88.25</v>
      </c>
      <c r="C1818" s="1">
        <f>IFERROR(__xludf.DUMMYFUNCTION("""COMPUTED_VALUE"""),89.03)</f>
        <v>89.03</v>
      </c>
      <c r="D1818" s="1">
        <f>IFERROR(__xludf.DUMMYFUNCTION("""COMPUTED_VALUE"""),87.68)</f>
        <v>87.68</v>
      </c>
      <c r="E1818" s="1">
        <f>IFERROR(__xludf.DUMMYFUNCTION("""COMPUTED_VALUE"""),88.45)</f>
        <v>88.45</v>
      </c>
      <c r="F1818" s="1">
        <f>IFERROR(__xludf.DUMMYFUNCTION("""COMPUTED_VALUE"""),218692.0)</f>
        <v>218692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IFERROR(__xludf.DUMMYFUNCTION("""COMPUTED_VALUE"""),88.42)</f>
        <v>88.42</v>
      </c>
      <c r="C1819" s="1">
        <f>IFERROR(__xludf.DUMMYFUNCTION("""COMPUTED_VALUE"""),88.81)</f>
        <v>88.81</v>
      </c>
      <c r="D1819" s="1">
        <f>IFERROR(__xludf.DUMMYFUNCTION("""COMPUTED_VALUE"""),87.75)</f>
        <v>87.75</v>
      </c>
      <c r="E1819" s="1">
        <f>IFERROR(__xludf.DUMMYFUNCTION("""COMPUTED_VALUE"""),87.81)</f>
        <v>87.81</v>
      </c>
      <c r="F1819" s="1">
        <f>IFERROR(__xludf.DUMMYFUNCTION("""COMPUTED_VALUE"""),176529.0)</f>
        <v>176529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IFERROR(__xludf.DUMMYFUNCTION("""COMPUTED_VALUE"""),87.97)</f>
        <v>87.97</v>
      </c>
      <c r="C1820" s="1">
        <f>IFERROR(__xludf.DUMMYFUNCTION("""COMPUTED_VALUE"""),88.98)</f>
        <v>88.98</v>
      </c>
      <c r="D1820" s="1">
        <f>IFERROR(__xludf.DUMMYFUNCTION("""COMPUTED_VALUE"""),87.76)</f>
        <v>87.76</v>
      </c>
      <c r="E1820" s="1">
        <f>IFERROR(__xludf.DUMMYFUNCTION("""COMPUTED_VALUE"""),88.11)</f>
        <v>88.11</v>
      </c>
      <c r="F1820" s="1">
        <f>IFERROR(__xludf.DUMMYFUNCTION("""COMPUTED_VALUE"""),243865.0)</f>
        <v>243865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IFERROR(__xludf.DUMMYFUNCTION("""COMPUTED_VALUE"""),87.72)</f>
        <v>87.72</v>
      </c>
      <c r="C1821" s="1">
        <f>IFERROR(__xludf.DUMMYFUNCTION("""COMPUTED_VALUE"""),88.68)</f>
        <v>88.68</v>
      </c>
      <c r="D1821" s="1">
        <f>IFERROR(__xludf.DUMMYFUNCTION("""COMPUTED_VALUE"""),87.56)</f>
        <v>87.56</v>
      </c>
      <c r="E1821" s="1">
        <f>IFERROR(__xludf.DUMMYFUNCTION("""COMPUTED_VALUE"""),88.45)</f>
        <v>88.45</v>
      </c>
      <c r="F1821" s="1">
        <f>IFERROR(__xludf.DUMMYFUNCTION("""COMPUTED_VALUE"""),259837.0)</f>
        <v>259837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IFERROR(__xludf.DUMMYFUNCTION("""COMPUTED_VALUE"""),88.81)</f>
        <v>88.81</v>
      </c>
      <c r="C1822" s="1">
        <f>IFERROR(__xludf.DUMMYFUNCTION("""COMPUTED_VALUE"""),89.54)</f>
        <v>89.54</v>
      </c>
      <c r="D1822" s="1">
        <f>IFERROR(__xludf.DUMMYFUNCTION("""COMPUTED_VALUE"""),88.3)</f>
        <v>88.3</v>
      </c>
      <c r="E1822" s="1">
        <f>IFERROR(__xludf.DUMMYFUNCTION("""COMPUTED_VALUE"""),89.36)</f>
        <v>89.36</v>
      </c>
      <c r="F1822" s="1">
        <f>IFERROR(__xludf.DUMMYFUNCTION("""COMPUTED_VALUE"""),533103.0)</f>
        <v>533103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IFERROR(__xludf.DUMMYFUNCTION("""COMPUTED_VALUE"""),89.3)</f>
        <v>89.3</v>
      </c>
      <c r="C1823" s="1">
        <f>IFERROR(__xludf.DUMMYFUNCTION("""COMPUTED_VALUE"""),89.75)</f>
        <v>89.75</v>
      </c>
      <c r="D1823" s="1">
        <f>IFERROR(__xludf.DUMMYFUNCTION("""COMPUTED_VALUE"""),88.56)</f>
        <v>88.56</v>
      </c>
      <c r="E1823" s="1">
        <f>IFERROR(__xludf.DUMMYFUNCTION("""COMPUTED_VALUE"""),89.43)</f>
        <v>89.43</v>
      </c>
      <c r="F1823" s="1">
        <f>IFERROR(__xludf.DUMMYFUNCTION("""COMPUTED_VALUE"""),244668.0)</f>
        <v>244668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IFERROR(__xludf.DUMMYFUNCTION("""COMPUTED_VALUE"""),89.36)</f>
        <v>89.36</v>
      </c>
      <c r="C1824" s="1">
        <f>IFERROR(__xludf.DUMMYFUNCTION("""COMPUTED_VALUE"""),89.97)</f>
        <v>89.97</v>
      </c>
      <c r="D1824" s="1">
        <f>IFERROR(__xludf.DUMMYFUNCTION("""COMPUTED_VALUE"""),89.09)</f>
        <v>89.09</v>
      </c>
      <c r="E1824" s="1">
        <f>IFERROR(__xludf.DUMMYFUNCTION("""COMPUTED_VALUE"""),89.62)</f>
        <v>89.62</v>
      </c>
      <c r="F1824" s="1">
        <f>IFERROR(__xludf.DUMMYFUNCTION("""COMPUTED_VALUE"""),254397.0)</f>
        <v>254397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IFERROR(__xludf.DUMMYFUNCTION("""COMPUTED_VALUE"""),89.53)</f>
        <v>89.53</v>
      </c>
      <c r="C1825" s="1">
        <f>IFERROR(__xludf.DUMMYFUNCTION("""COMPUTED_VALUE"""),90.51)</f>
        <v>90.51</v>
      </c>
      <c r="D1825" s="1">
        <f>IFERROR(__xludf.DUMMYFUNCTION("""COMPUTED_VALUE"""),89.27)</f>
        <v>89.27</v>
      </c>
      <c r="E1825" s="1">
        <f>IFERROR(__xludf.DUMMYFUNCTION("""COMPUTED_VALUE"""),89.95)</f>
        <v>89.95</v>
      </c>
      <c r="F1825" s="1">
        <f>IFERROR(__xludf.DUMMYFUNCTION("""COMPUTED_VALUE"""),286949.0)</f>
        <v>286949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IFERROR(__xludf.DUMMYFUNCTION("""COMPUTED_VALUE"""),89.81)</f>
        <v>89.81</v>
      </c>
      <c r="C1826" s="1">
        <f>IFERROR(__xludf.DUMMYFUNCTION("""COMPUTED_VALUE"""),90.59)</f>
        <v>90.59</v>
      </c>
      <c r="D1826" s="1">
        <f>IFERROR(__xludf.DUMMYFUNCTION("""COMPUTED_VALUE"""),89.33)</f>
        <v>89.33</v>
      </c>
      <c r="E1826" s="1">
        <f>IFERROR(__xludf.DUMMYFUNCTION("""COMPUTED_VALUE"""),89.47)</f>
        <v>89.47</v>
      </c>
      <c r="F1826" s="1">
        <f>IFERROR(__xludf.DUMMYFUNCTION("""COMPUTED_VALUE"""),278966.0)</f>
        <v>278966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IFERROR(__xludf.DUMMYFUNCTION("""COMPUTED_VALUE"""),89.31)</f>
        <v>89.31</v>
      </c>
      <c r="C1827" s="1">
        <f>IFERROR(__xludf.DUMMYFUNCTION("""COMPUTED_VALUE"""),89.6)</f>
        <v>89.6</v>
      </c>
      <c r="D1827" s="1">
        <f>IFERROR(__xludf.DUMMYFUNCTION("""COMPUTED_VALUE"""),88.04)</f>
        <v>88.04</v>
      </c>
      <c r="E1827" s="1">
        <f>IFERROR(__xludf.DUMMYFUNCTION("""COMPUTED_VALUE"""),88.1)</f>
        <v>88.1</v>
      </c>
      <c r="F1827" s="1">
        <f>IFERROR(__xludf.DUMMYFUNCTION("""COMPUTED_VALUE"""),346626.0)</f>
        <v>346626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IFERROR(__xludf.DUMMYFUNCTION("""COMPUTED_VALUE"""),88.54)</f>
        <v>88.54</v>
      </c>
      <c r="C1828" s="1">
        <f>IFERROR(__xludf.DUMMYFUNCTION("""COMPUTED_VALUE"""),89.19)</f>
        <v>89.19</v>
      </c>
      <c r="D1828" s="1">
        <f>IFERROR(__xludf.DUMMYFUNCTION("""COMPUTED_VALUE"""),87.43)</f>
        <v>87.43</v>
      </c>
      <c r="E1828" s="1">
        <f>IFERROR(__xludf.DUMMYFUNCTION("""COMPUTED_VALUE"""),87.52)</f>
        <v>87.52</v>
      </c>
      <c r="F1828" s="1">
        <f>IFERROR(__xludf.DUMMYFUNCTION("""COMPUTED_VALUE"""),460347.0)</f>
        <v>460347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IFERROR(__xludf.DUMMYFUNCTION("""COMPUTED_VALUE"""),87.61)</f>
        <v>87.61</v>
      </c>
      <c r="C1829" s="1">
        <f>IFERROR(__xludf.DUMMYFUNCTION("""COMPUTED_VALUE"""),87.78)</f>
        <v>87.78</v>
      </c>
      <c r="D1829" s="1">
        <f>IFERROR(__xludf.DUMMYFUNCTION("""COMPUTED_VALUE"""),86.8)</f>
        <v>86.8</v>
      </c>
      <c r="E1829" s="1">
        <f>IFERROR(__xludf.DUMMYFUNCTION("""COMPUTED_VALUE"""),87.75)</f>
        <v>87.75</v>
      </c>
      <c r="F1829" s="1">
        <f>IFERROR(__xludf.DUMMYFUNCTION("""COMPUTED_VALUE"""),254761.0)</f>
        <v>254761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IFERROR(__xludf.DUMMYFUNCTION("""COMPUTED_VALUE"""),87.37)</f>
        <v>87.37</v>
      </c>
      <c r="C1830" s="1">
        <f>IFERROR(__xludf.DUMMYFUNCTION("""COMPUTED_VALUE"""),87.85)</f>
        <v>87.85</v>
      </c>
      <c r="D1830" s="1">
        <f>IFERROR(__xludf.DUMMYFUNCTION("""COMPUTED_VALUE"""),86.44)</f>
        <v>86.44</v>
      </c>
      <c r="E1830" s="1">
        <f>IFERROR(__xludf.DUMMYFUNCTION("""COMPUTED_VALUE"""),87.49)</f>
        <v>87.49</v>
      </c>
      <c r="F1830" s="1">
        <f>IFERROR(__xludf.DUMMYFUNCTION("""COMPUTED_VALUE"""),315812.0)</f>
        <v>315812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IFERROR(__xludf.DUMMYFUNCTION("""COMPUTED_VALUE"""),87.56)</f>
        <v>87.56</v>
      </c>
      <c r="C1831" s="1">
        <f>IFERROR(__xludf.DUMMYFUNCTION("""COMPUTED_VALUE"""),88.01)</f>
        <v>88.01</v>
      </c>
      <c r="D1831" s="1">
        <f>IFERROR(__xludf.DUMMYFUNCTION("""COMPUTED_VALUE"""),86.95)</f>
        <v>86.95</v>
      </c>
      <c r="E1831" s="1">
        <f>IFERROR(__xludf.DUMMYFUNCTION("""COMPUTED_VALUE"""),87.12)</f>
        <v>87.12</v>
      </c>
      <c r="F1831" s="1">
        <f>IFERROR(__xludf.DUMMYFUNCTION("""COMPUTED_VALUE"""),229336.0)</f>
        <v>229336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IFERROR(__xludf.DUMMYFUNCTION("""COMPUTED_VALUE"""),87.03)</f>
        <v>87.03</v>
      </c>
      <c r="C1832" s="1">
        <f>IFERROR(__xludf.DUMMYFUNCTION("""COMPUTED_VALUE"""),87.67)</f>
        <v>87.67</v>
      </c>
      <c r="D1832" s="1">
        <f>IFERROR(__xludf.DUMMYFUNCTION("""COMPUTED_VALUE"""),86.66)</f>
        <v>86.66</v>
      </c>
      <c r="E1832" s="1">
        <f>IFERROR(__xludf.DUMMYFUNCTION("""COMPUTED_VALUE"""),87.59)</f>
        <v>87.59</v>
      </c>
      <c r="F1832" s="1">
        <f>IFERROR(__xludf.DUMMYFUNCTION("""COMPUTED_VALUE"""),188775.0)</f>
        <v>188775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IFERROR(__xludf.DUMMYFUNCTION("""COMPUTED_VALUE"""),87.41)</f>
        <v>87.41</v>
      </c>
      <c r="C1833" s="1">
        <f>IFERROR(__xludf.DUMMYFUNCTION("""COMPUTED_VALUE"""),87.94)</f>
        <v>87.94</v>
      </c>
      <c r="D1833" s="1">
        <f>IFERROR(__xludf.DUMMYFUNCTION("""COMPUTED_VALUE"""),86.65)</f>
        <v>86.65</v>
      </c>
      <c r="E1833" s="1">
        <f>IFERROR(__xludf.DUMMYFUNCTION("""COMPUTED_VALUE"""),87.09)</f>
        <v>87.09</v>
      </c>
      <c r="F1833" s="1">
        <f>IFERROR(__xludf.DUMMYFUNCTION("""COMPUTED_VALUE"""),149427.0)</f>
        <v>149427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IFERROR(__xludf.DUMMYFUNCTION("""COMPUTED_VALUE"""),87.25)</f>
        <v>87.25</v>
      </c>
      <c r="C1834" s="1">
        <f>IFERROR(__xludf.DUMMYFUNCTION("""COMPUTED_VALUE"""),87.99)</f>
        <v>87.99</v>
      </c>
      <c r="D1834" s="1">
        <f>IFERROR(__xludf.DUMMYFUNCTION("""COMPUTED_VALUE"""),86.6)</f>
        <v>86.6</v>
      </c>
      <c r="E1834" s="1">
        <f>IFERROR(__xludf.DUMMYFUNCTION("""COMPUTED_VALUE"""),87.38)</f>
        <v>87.38</v>
      </c>
      <c r="F1834" s="1">
        <f>IFERROR(__xludf.DUMMYFUNCTION("""COMPUTED_VALUE"""),232198.0)</f>
        <v>232198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IFERROR(__xludf.DUMMYFUNCTION("""COMPUTED_VALUE"""),87.61)</f>
        <v>87.61</v>
      </c>
      <c r="C1835" s="1">
        <f>IFERROR(__xludf.DUMMYFUNCTION("""COMPUTED_VALUE"""),88.22)</f>
        <v>88.22</v>
      </c>
      <c r="D1835" s="1">
        <f>IFERROR(__xludf.DUMMYFUNCTION("""COMPUTED_VALUE"""),87.34)</f>
        <v>87.34</v>
      </c>
      <c r="E1835" s="1">
        <f>IFERROR(__xludf.DUMMYFUNCTION("""COMPUTED_VALUE"""),87.98)</f>
        <v>87.98</v>
      </c>
      <c r="F1835" s="1">
        <f>IFERROR(__xludf.DUMMYFUNCTION("""COMPUTED_VALUE"""),192689.0)</f>
        <v>192689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IFERROR(__xludf.DUMMYFUNCTION("""COMPUTED_VALUE"""),87.52)</f>
        <v>87.52</v>
      </c>
      <c r="C1836" s="1">
        <f>IFERROR(__xludf.DUMMYFUNCTION("""COMPUTED_VALUE"""),87.99)</f>
        <v>87.99</v>
      </c>
      <c r="D1836" s="1">
        <f>IFERROR(__xludf.DUMMYFUNCTION("""COMPUTED_VALUE"""),87.0)</f>
        <v>87</v>
      </c>
      <c r="E1836" s="1">
        <f>IFERROR(__xludf.DUMMYFUNCTION("""COMPUTED_VALUE"""),87.69)</f>
        <v>87.69</v>
      </c>
      <c r="F1836" s="1">
        <f>IFERROR(__xludf.DUMMYFUNCTION("""COMPUTED_VALUE"""),182155.0)</f>
        <v>182155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IFERROR(__xludf.DUMMYFUNCTION("""COMPUTED_VALUE"""),87.87)</f>
        <v>87.87</v>
      </c>
      <c r="C1837" s="1">
        <f>IFERROR(__xludf.DUMMYFUNCTION("""COMPUTED_VALUE"""),89.36)</f>
        <v>89.36</v>
      </c>
      <c r="D1837" s="1">
        <f>IFERROR(__xludf.DUMMYFUNCTION("""COMPUTED_VALUE"""),87.65)</f>
        <v>87.65</v>
      </c>
      <c r="E1837" s="1">
        <f>IFERROR(__xludf.DUMMYFUNCTION("""COMPUTED_VALUE"""),88.5)</f>
        <v>88.5</v>
      </c>
      <c r="F1837" s="1">
        <f>IFERROR(__xludf.DUMMYFUNCTION("""COMPUTED_VALUE"""),314740.0)</f>
        <v>314740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IFERROR(__xludf.DUMMYFUNCTION("""COMPUTED_VALUE"""),88.85)</f>
        <v>88.85</v>
      </c>
      <c r="C1838" s="1">
        <f>IFERROR(__xludf.DUMMYFUNCTION("""COMPUTED_VALUE"""),89.82)</f>
        <v>89.82</v>
      </c>
      <c r="D1838" s="1">
        <f>IFERROR(__xludf.DUMMYFUNCTION("""COMPUTED_VALUE"""),88.15)</f>
        <v>88.15</v>
      </c>
      <c r="E1838" s="1">
        <f>IFERROR(__xludf.DUMMYFUNCTION("""COMPUTED_VALUE"""),89.34)</f>
        <v>89.34</v>
      </c>
      <c r="F1838" s="1">
        <f>IFERROR(__xludf.DUMMYFUNCTION("""COMPUTED_VALUE"""),180874.0)</f>
        <v>180874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IFERROR(__xludf.DUMMYFUNCTION("""COMPUTED_VALUE"""),89.26)</f>
        <v>89.26</v>
      </c>
      <c r="C1839" s="1">
        <f>IFERROR(__xludf.DUMMYFUNCTION("""COMPUTED_VALUE"""),89.33)</f>
        <v>89.33</v>
      </c>
      <c r="D1839" s="1">
        <f>IFERROR(__xludf.DUMMYFUNCTION("""COMPUTED_VALUE"""),88.11)</f>
        <v>88.11</v>
      </c>
      <c r="E1839" s="1">
        <f>IFERROR(__xludf.DUMMYFUNCTION("""COMPUTED_VALUE"""),88.83)</f>
        <v>88.83</v>
      </c>
      <c r="F1839" s="1">
        <f>IFERROR(__xludf.DUMMYFUNCTION("""COMPUTED_VALUE"""),851417.0)</f>
        <v>851417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IFERROR(__xludf.DUMMYFUNCTION("""COMPUTED_VALUE"""),89.81)</f>
        <v>89.81</v>
      </c>
      <c r="C1840" s="1">
        <f>IFERROR(__xludf.DUMMYFUNCTION("""COMPUTED_VALUE"""),89.83)</f>
        <v>89.83</v>
      </c>
      <c r="D1840" s="1">
        <f>IFERROR(__xludf.DUMMYFUNCTION("""COMPUTED_VALUE"""),88.98)</f>
        <v>88.98</v>
      </c>
      <c r="E1840" s="1">
        <f>IFERROR(__xludf.DUMMYFUNCTION("""COMPUTED_VALUE"""),89.01)</f>
        <v>89.01</v>
      </c>
      <c r="F1840" s="1">
        <f>IFERROR(__xludf.DUMMYFUNCTION("""COMPUTED_VALUE"""),293952.0)</f>
        <v>293952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IFERROR(__xludf.DUMMYFUNCTION("""COMPUTED_VALUE"""),89.11)</f>
        <v>89.11</v>
      </c>
      <c r="C1841" s="1">
        <f>IFERROR(__xludf.DUMMYFUNCTION("""COMPUTED_VALUE"""),89.52)</f>
        <v>89.52</v>
      </c>
      <c r="D1841" s="1">
        <f>IFERROR(__xludf.DUMMYFUNCTION("""COMPUTED_VALUE"""),86.66)</f>
        <v>86.66</v>
      </c>
      <c r="E1841" s="1">
        <f>IFERROR(__xludf.DUMMYFUNCTION("""COMPUTED_VALUE"""),88.37)</f>
        <v>88.37</v>
      </c>
      <c r="F1841" s="1">
        <f>IFERROR(__xludf.DUMMYFUNCTION("""COMPUTED_VALUE"""),536183.0)</f>
        <v>536183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IFERROR(__xludf.DUMMYFUNCTION("""COMPUTED_VALUE"""),88.72)</f>
        <v>88.72</v>
      </c>
      <c r="C1842" s="1">
        <f>IFERROR(__xludf.DUMMYFUNCTION("""COMPUTED_VALUE"""),89.7)</f>
        <v>89.7</v>
      </c>
      <c r="D1842" s="1">
        <f>IFERROR(__xludf.DUMMYFUNCTION("""COMPUTED_VALUE"""),88.26)</f>
        <v>88.26</v>
      </c>
      <c r="E1842" s="1">
        <f>IFERROR(__xludf.DUMMYFUNCTION("""COMPUTED_VALUE"""),88.31)</f>
        <v>88.31</v>
      </c>
      <c r="F1842" s="1">
        <f>IFERROR(__xludf.DUMMYFUNCTION("""COMPUTED_VALUE"""),407909.0)</f>
        <v>407909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IFERROR(__xludf.DUMMYFUNCTION("""COMPUTED_VALUE"""),88.61)</f>
        <v>88.61</v>
      </c>
      <c r="C1843" s="1">
        <f>IFERROR(__xludf.DUMMYFUNCTION("""COMPUTED_VALUE"""),90.14)</f>
        <v>90.14</v>
      </c>
      <c r="D1843" s="1">
        <f>IFERROR(__xludf.DUMMYFUNCTION("""COMPUTED_VALUE"""),88.37)</f>
        <v>88.37</v>
      </c>
      <c r="E1843" s="1">
        <f>IFERROR(__xludf.DUMMYFUNCTION("""COMPUTED_VALUE"""),89.62)</f>
        <v>89.62</v>
      </c>
      <c r="F1843" s="1">
        <f>IFERROR(__xludf.DUMMYFUNCTION("""COMPUTED_VALUE"""),295591.0)</f>
        <v>295591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IFERROR(__xludf.DUMMYFUNCTION("""COMPUTED_VALUE"""),89.45)</f>
        <v>89.45</v>
      </c>
      <c r="C1844" s="1">
        <f>IFERROR(__xludf.DUMMYFUNCTION("""COMPUTED_VALUE"""),89.77)</f>
        <v>89.77</v>
      </c>
      <c r="D1844" s="1">
        <f>IFERROR(__xludf.DUMMYFUNCTION("""COMPUTED_VALUE"""),89.03)</f>
        <v>89.03</v>
      </c>
      <c r="E1844" s="1">
        <f>IFERROR(__xludf.DUMMYFUNCTION("""COMPUTED_VALUE"""),89.7)</f>
        <v>89.7</v>
      </c>
      <c r="F1844" s="1">
        <f>IFERROR(__xludf.DUMMYFUNCTION("""COMPUTED_VALUE"""),263123.0)</f>
        <v>263123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IFERROR(__xludf.DUMMYFUNCTION("""COMPUTED_VALUE"""),89.99)</f>
        <v>89.99</v>
      </c>
      <c r="C1845" s="1">
        <f>IFERROR(__xludf.DUMMYFUNCTION("""COMPUTED_VALUE"""),90.83)</f>
        <v>90.83</v>
      </c>
      <c r="D1845" s="1">
        <f>IFERROR(__xludf.DUMMYFUNCTION("""COMPUTED_VALUE"""),89.24)</f>
        <v>89.24</v>
      </c>
      <c r="E1845" s="1">
        <f>IFERROR(__xludf.DUMMYFUNCTION("""COMPUTED_VALUE"""),90.43)</f>
        <v>90.43</v>
      </c>
      <c r="F1845" s="1">
        <f>IFERROR(__xludf.DUMMYFUNCTION("""COMPUTED_VALUE"""),750533.0)</f>
        <v>750533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IFERROR(__xludf.DUMMYFUNCTION("""COMPUTED_VALUE"""),90.26)</f>
        <v>90.26</v>
      </c>
      <c r="C1846" s="1">
        <f>IFERROR(__xludf.DUMMYFUNCTION("""COMPUTED_VALUE"""),90.86)</f>
        <v>90.86</v>
      </c>
      <c r="D1846" s="1">
        <f>IFERROR(__xludf.DUMMYFUNCTION("""COMPUTED_VALUE"""),89.61)</f>
        <v>89.61</v>
      </c>
      <c r="E1846" s="1">
        <f>IFERROR(__xludf.DUMMYFUNCTION("""COMPUTED_VALUE"""),90.36)</f>
        <v>90.36</v>
      </c>
      <c r="F1846" s="1">
        <f>IFERROR(__xludf.DUMMYFUNCTION("""COMPUTED_VALUE"""),384903.0)</f>
        <v>384903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IFERROR(__xludf.DUMMYFUNCTION("""COMPUTED_VALUE"""),90.38)</f>
        <v>90.38</v>
      </c>
      <c r="C1847" s="1">
        <f>IFERROR(__xludf.DUMMYFUNCTION("""COMPUTED_VALUE"""),90.95)</f>
        <v>90.95</v>
      </c>
      <c r="D1847" s="1">
        <f>IFERROR(__xludf.DUMMYFUNCTION("""COMPUTED_VALUE"""),89.19)</f>
        <v>89.19</v>
      </c>
      <c r="E1847" s="1">
        <f>IFERROR(__xludf.DUMMYFUNCTION("""COMPUTED_VALUE"""),90.03)</f>
        <v>90.03</v>
      </c>
      <c r="F1847" s="1">
        <f>IFERROR(__xludf.DUMMYFUNCTION("""COMPUTED_VALUE"""),238890.0)</f>
        <v>238890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IFERROR(__xludf.DUMMYFUNCTION("""COMPUTED_VALUE"""),90.47)</f>
        <v>90.47</v>
      </c>
      <c r="C1848" s="1">
        <f>IFERROR(__xludf.DUMMYFUNCTION("""COMPUTED_VALUE"""),90.98)</f>
        <v>90.98</v>
      </c>
      <c r="D1848" s="1">
        <f>IFERROR(__xludf.DUMMYFUNCTION("""COMPUTED_VALUE"""),89.83)</f>
        <v>89.83</v>
      </c>
      <c r="E1848" s="1">
        <f>IFERROR(__xludf.DUMMYFUNCTION("""COMPUTED_VALUE"""),90.49)</f>
        <v>90.49</v>
      </c>
      <c r="F1848" s="1">
        <f>IFERROR(__xludf.DUMMYFUNCTION("""COMPUTED_VALUE"""),310440.0)</f>
        <v>310440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IFERROR(__xludf.DUMMYFUNCTION("""COMPUTED_VALUE"""),90.69)</f>
        <v>90.69</v>
      </c>
      <c r="C1849" s="1">
        <f>IFERROR(__xludf.DUMMYFUNCTION("""COMPUTED_VALUE"""),90.8)</f>
        <v>90.8</v>
      </c>
      <c r="D1849" s="1">
        <f>IFERROR(__xludf.DUMMYFUNCTION("""COMPUTED_VALUE"""),90.11)</f>
        <v>90.11</v>
      </c>
      <c r="E1849" s="1">
        <f>IFERROR(__xludf.DUMMYFUNCTION("""COMPUTED_VALUE"""),90.59)</f>
        <v>90.59</v>
      </c>
      <c r="F1849" s="1">
        <f>IFERROR(__xludf.DUMMYFUNCTION("""COMPUTED_VALUE"""),261755.0)</f>
        <v>261755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IFERROR(__xludf.DUMMYFUNCTION("""COMPUTED_VALUE"""),90.34)</f>
        <v>90.34</v>
      </c>
      <c r="C1850" s="1">
        <f>IFERROR(__xludf.DUMMYFUNCTION("""COMPUTED_VALUE"""),91.88)</f>
        <v>91.88</v>
      </c>
      <c r="D1850" s="1">
        <f>IFERROR(__xludf.DUMMYFUNCTION("""COMPUTED_VALUE"""),89.74)</f>
        <v>89.74</v>
      </c>
      <c r="E1850" s="1">
        <f>IFERROR(__xludf.DUMMYFUNCTION("""COMPUTED_VALUE"""),91.52)</f>
        <v>91.52</v>
      </c>
      <c r="F1850" s="1">
        <f>IFERROR(__xludf.DUMMYFUNCTION("""COMPUTED_VALUE"""),559524.0)</f>
        <v>559524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IFERROR(__xludf.DUMMYFUNCTION("""COMPUTED_VALUE"""),91.68)</f>
        <v>91.68</v>
      </c>
      <c r="C1851" s="1">
        <f>IFERROR(__xludf.DUMMYFUNCTION("""COMPUTED_VALUE"""),92.61)</f>
        <v>92.61</v>
      </c>
      <c r="D1851" s="1">
        <f>IFERROR(__xludf.DUMMYFUNCTION("""COMPUTED_VALUE"""),91.08)</f>
        <v>91.08</v>
      </c>
      <c r="E1851" s="1">
        <f>IFERROR(__xludf.DUMMYFUNCTION("""COMPUTED_VALUE"""),91.7)</f>
        <v>91.7</v>
      </c>
      <c r="F1851" s="1">
        <f>IFERROR(__xludf.DUMMYFUNCTION("""COMPUTED_VALUE"""),728439.0)</f>
        <v>728439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IFERROR(__xludf.DUMMYFUNCTION("""COMPUTED_VALUE"""),87.28)</f>
        <v>87.28</v>
      </c>
      <c r="C1852" s="1">
        <f>IFERROR(__xludf.DUMMYFUNCTION("""COMPUTED_VALUE"""),90.51)</f>
        <v>90.51</v>
      </c>
      <c r="D1852" s="1">
        <f>IFERROR(__xludf.DUMMYFUNCTION("""COMPUTED_VALUE"""),86.97)</f>
        <v>86.97</v>
      </c>
      <c r="E1852" s="1">
        <f>IFERROR(__xludf.DUMMYFUNCTION("""COMPUTED_VALUE"""),90.22)</f>
        <v>90.22</v>
      </c>
      <c r="F1852" s="1">
        <f>IFERROR(__xludf.DUMMYFUNCTION("""COMPUTED_VALUE"""),1038205.0)</f>
        <v>1038205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IFERROR(__xludf.DUMMYFUNCTION("""COMPUTED_VALUE"""),89.99)</f>
        <v>89.99</v>
      </c>
      <c r="C1853" s="1">
        <f>IFERROR(__xludf.DUMMYFUNCTION("""COMPUTED_VALUE"""),90.02)</f>
        <v>90.02</v>
      </c>
      <c r="D1853" s="1">
        <f>IFERROR(__xludf.DUMMYFUNCTION("""COMPUTED_VALUE"""),87.44)</f>
        <v>87.44</v>
      </c>
      <c r="E1853" s="1">
        <f>IFERROR(__xludf.DUMMYFUNCTION("""COMPUTED_VALUE"""),88.23)</f>
        <v>88.23</v>
      </c>
      <c r="F1853" s="1">
        <f>IFERROR(__xludf.DUMMYFUNCTION("""COMPUTED_VALUE"""),811962.0)</f>
        <v>811962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IFERROR(__xludf.DUMMYFUNCTION("""COMPUTED_VALUE"""),88.43)</f>
        <v>88.43</v>
      </c>
      <c r="C1854" s="1">
        <f>IFERROR(__xludf.DUMMYFUNCTION("""COMPUTED_VALUE"""),88.91)</f>
        <v>88.91</v>
      </c>
      <c r="D1854" s="1">
        <f>IFERROR(__xludf.DUMMYFUNCTION("""COMPUTED_VALUE"""),87.72)</f>
        <v>87.72</v>
      </c>
      <c r="E1854" s="1">
        <f>IFERROR(__xludf.DUMMYFUNCTION("""COMPUTED_VALUE"""),88.28)</f>
        <v>88.28</v>
      </c>
      <c r="F1854" s="1">
        <f>IFERROR(__xludf.DUMMYFUNCTION("""COMPUTED_VALUE"""),565456.0)</f>
        <v>565456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IFERROR(__xludf.DUMMYFUNCTION("""COMPUTED_VALUE"""),88.19)</f>
        <v>88.19</v>
      </c>
      <c r="C1855" s="1">
        <f>IFERROR(__xludf.DUMMYFUNCTION("""COMPUTED_VALUE"""),89.93)</f>
        <v>89.93</v>
      </c>
      <c r="D1855" s="1">
        <f>IFERROR(__xludf.DUMMYFUNCTION("""COMPUTED_VALUE"""),88.14)</f>
        <v>88.14</v>
      </c>
      <c r="E1855" s="1">
        <f>IFERROR(__xludf.DUMMYFUNCTION("""COMPUTED_VALUE"""),89.63)</f>
        <v>89.63</v>
      </c>
      <c r="F1855" s="1">
        <f>IFERROR(__xludf.DUMMYFUNCTION("""COMPUTED_VALUE"""),364001.0)</f>
        <v>364001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IFERROR(__xludf.DUMMYFUNCTION("""COMPUTED_VALUE"""),89.93)</f>
        <v>89.93</v>
      </c>
      <c r="C1856" s="1">
        <f>IFERROR(__xludf.DUMMYFUNCTION("""COMPUTED_VALUE"""),90.32)</f>
        <v>90.32</v>
      </c>
      <c r="D1856" s="1">
        <f>IFERROR(__xludf.DUMMYFUNCTION("""COMPUTED_VALUE"""),89.36)</f>
        <v>89.36</v>
      </c>
      <c r="E1856" s="1">
        <f>IFERROR(__xludf.DUMMYFUNCTION("""COMPUTED_VALUE"""),90.19)</f>
        <v>90.19</v>
      </c>
      <c r="F1856" s="1">
        <f>IFERROR(__xludf.DUMMYFUNCTION("""COMPUTED_VALUE"""),333250.0)</f>
        <v>333250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IFERROR(__xludf.DUMMYFUNCTION("""COMPUTED_VALUE"""),89.47)</f>
        <v>89.47</v>
      </c>
      <c r="C1857" s="1">
        <f>IFERROR(__xludf.DUMMYFUNCTION("""COMPUTED_VALUE"""),89.66)</f>
        <v>89.66</v>
      </c>
      <c r="D1857" s="1">
        <f>IFERROR(__xludf.DUMMYFUNCTION("""COMPUTED_VALUE"""),88.38)</f>
        <v>88.38</v>
      </c>
      <c r="E1857" s="1">
        <f>IFERROR(__xludf.DUMMYFUNCTION("""COMPUTED_VALUE"""),88.48)</f>
        <v>88.48</v>
      </c>
      <c r="F1857" s="1">
        <f>IFERROR(__xludf.DUMMYFUNCTION("""COMPUTED_VALUE"""),303810.0)</f>
        <v>303810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IFERROR(__xludf.DUMMYFUNCTION("""COMPUTED_VALUE"""),88.61)</f>
        <v>88.61</v>
      </c>
      <c r="C1858" s="1">
        <f>IFERROR(__xludf.DUMMYFUNCTION("""COMPUTED_VALUE"""),89.58)</f>
        <v>89.58</v>
      </c>
      <c r="D1858" s="1">
        <f>IFERROR(__xludf.DUMMYFUNCTION("""COMPUTED_VALUE"""),87.92)</f>
        <v>87.92</v>
      </c>
      <c r="E1858" s="1">
        <f>IFERROR(__xludf.DUMMYFUNCTION("""COMPUTED_VALUE"""),89.4)</f>
        <v>89.4</v>
      </c>
      <c r="F1858" s="1">
        <f>IFERROR(__xludf.DUMMYFUNCTION("""COMPUTED_VALUE"""),309450.0)</f>
        <v>309450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IFERROR(__xludf.DUMMYFUNCTION("""COMPUTED_VALUE"""),89.56)</f>
        <v>89.56</v>
      </c>
      <c r="C1859" s="1">
        <f>IFERROR(__xludf.DUMMYFUNCTION("""COMPUTED_VALUE"""),90.05)</f>
        <v>90.05</v>
      </c>
      <c r="D1859" s="1">
        <f>IFERROR(__xludf.DUMMYFUNCTION("""COMPUTED_VALUE"""),88.86)</f>
        <v>88.86</v>
      </c>
      <c r="E1859" s="1">
        <f>IFERROR(__xludf.DUMMYFUNCTION("""COMPUTED_VALUE"""),89.6)</f>
        <v>89.6</v>
      </c>
      <c r="F1859" s="1">
        <f>IFERROR(__xludf.DUMMYFUNCTION("""COMPUTED_VALUE"""),218973.0)</f>
        <v>218973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IFERROR(__xludf.DUMMYFUNCTION("""COMPUTED_VALUE"""),89.61)</f>
        <v>89.61</v>
      </c>
      <c r="C1860" s="1">
        <f>IFERROR(__xludf.DUMMYFUNCTION("""COMPUTED_VALUE"""),90.97)</f>
        <v>90.97</v>
      </c>
      <c r="D1860" s="1">
        <f>IFERROR(__xludf.DUMMYFUNCTION("""COMPUTED_VALUE"""),89.37)</f>
        <v>89.37</v>
      </c>
      <c r="E1860" s="1">
        <f>IFERROR(__xludf.DUMMYFUNCTION("""COMPUTED_VALUE"""),90.39)</f>
        <v>90.39</v>
      </c>
      <c r="F1860" s="1">
        <f>IFERROR(__xludf.DUMMYFUNCTION("""COMPUTED_VALUE"""),497746.0)</f>
        <v>497746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IFERROR(__xludf.DUMMYFUNCTION("""COMPUTED_VALUE"""),90.87)</f>
        <v>90.87</v>
      </c>
      <c r="C1861" s="1">
        <f>IFERROR(__xludf.DUMMYFUNCTION("""COMPUTED_VALUE"""),90.96)</f>
        <v>90.96</v>
      </c>
      <c r="D1861" s="1">
        <f>IFERROR(__xludf.DUMMYFUNCTION("""COMPUTED_VALUE"""),90.21)</f>
        <v>90.21</v>
      </c>
      <c r="E1861" s="1">
        <f>IFERROR(__xludf.DUMMYFUNCTION("""COMPUTED_VALUE"""),90.62)</f>
        <v>90.62</v>
      </c>
      <c r="F1861" s="1">
        <f>IFERROR(__xludf.DUMMYFUNCTION("""COMPUTED_VALUE"""),184361.0)</f>
        <v>184361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IFERROR(__xludf.DUMMYFUNCTION("""COMPUTED_VALUE"""),90.6)</f>
        <v>90.6</v>
      </c>
      <c r="C1862" s="1">
        <f>IFERROR(__xludf.DUMMYFUNCTION("""COMPUTED_VALUE"""),92.04)</f>
        <v>92.04</v>
      </c>
      <c r="D1862" s="1">
        <f>IFERROR(__xludf.DUMMYFUNCTION("""COMPUTED_VALUE"""),90.29)</f>
        <v>90.29</v>
      </c>
      <c r="E1862" s="1">
        <f>IFERROR(__xludf.DUMMYFUNCTION("""COMPUTED_VALUE"""),91.7)</f>
        <v>91.7</v>
      </c>
      <c r="F1862" s="1">
        <f>IFERROR(__xludf.DUMMYFUNCTION("""COMPUTED_VALUE"""),254720.0)</f>
        <v>254720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IFERROR(__xludf.DUMMYFUNCTION("""COMPUTED_VALUE"""),91.72)</f>
        <v>91.72</v>
      </c>
      <c r="C1863" s="1">
        <f>IFERROR(__xludf.DUMMYFUNCTION("""COMPUTED_VALUE"""),92.91)</f>
        <v>92.91</v>
      </c>
      <c r="D1863" s="1">
        <f>IFERROR(__xludf.DUMMYFUNCTION("""COMPUTED_VALUE"""),91.33)</f>
        <v>91.33</v>
      </c>
      <c r="E1863" s="1">
        <f>IFERROR(__xludf.DUMMYFUNCTION("""COMPUTED_VALUE"""),92.26)</f>
        <v>92.26</v>
      </c>
      <c r="F1863" s="1">
        <f>IFERROR(__xludf.DUMMYFUNCTION("""COMPUTED_VALUE"""),215586.0)</f>
        <v>215586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IFERROR(__xludf.DUMMYFUNCTION("""COMPUTED_VALUE"""),92.22)</f>
        <v>92.22</v>
      </c>
      <c r="C1864" s="1">
        <f>IFERROR(__xludf.DUMMYFUNCTION("""COMPUTED_VALUE"""),93.08)</f>
        <v>93.08</v>
      </c>
      <c r="D1864" s="1">
        <f>IFERROR(__xludf.DUMMYFUNCTION("""COMPUTED_VALUE"""),92.18)</f>
        <v>92.18</v>
      </c>
      <c r="E1864" s="1">
        <f>IFERROR(__xludf.DUMMYFUNCTION("""COMPUTED_VALUE"""),92.6)</f>
        <v>92.6</v>
      </c>
      <c r="F1864" s="1">
        <f>IFERROR(__xludf.DUMMYFUNCTION("""COMPUTED_VALUE"""),195100.0)</f>
        <v>195100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IFERROR(__xludf.DUMMYFUNCTION("""COMPUTED_VALUE"""),92.65)</f>
        <v>92.65</v>
      </c>
      <c r="C1865" s="1">
        <f>IFERROR(__xludf.DUMMYFUNCTION("""COMPUTED_VALUE"""),92.96)</f>
        <v>92.96</v>
      </c>
      <c r="D1865" s="1">
        <f>IFERROR(__xludf.DUMMYFUNCTION("""COMPUTED_VALUE"""),91.57)</f>
        <v>91.57</v>
      </c>
      <c r="E1865" s="1">
        <f>IFERROR(__xludf.DUMMYFUNCTION("""COMPUTED_VALUE"""),91.79)</f>
        <v>91.79</v>
      </c>
      <c r="F1865" s="1">
        <f>IFERROR(__xludf.DUMMYFUNCTION("""COMPUTED_VALUE"""),303466.0)</f>
        <v>303466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IFERROR(__xludf.DUMMYFUNCTION("""COMPUTED_VALUE"""),91.98)</f>
        <v>91.98</v>
      </c>
      <c r="C1866" s="1">
        <f>IFERROR(__xludf.DUMMYFUNCTION("""COMPUTED_VALUE"""),92.38)</f>
        <v>92.38</v>
      </c>
      <c r="D1866" s="1">
        <f>IFERROR(__xludf.DUMMYFUNCTION("""COMPUTED_VALUE"""),91.47)</f>
        <v>91.47</v>
      </c>
      <c r="E1866" s="1">
        <f>IFERROR(__xludf.DUMMYFUNCTION("""COMPUTED_VALUE"""),92.05)</f>
        <v>92.05</v>
      </c>
      <c r="F1866" s="1">
        <f>IFERROR(__xludf.DUMMYFUNCTION("""COMPUTED_VALUE"""),216443.0)</f>
        <v>216443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IFERROR(__xludf.DUMMYFUNCTION("""COMPUTED_VALUE"""),92.53)</f>
        <v>92.53</v>
      </c>
      <c r="C1867" s="1">
        <f>IFERROR(__xludf.DUMMYFUNCTION("""COMPUTED_VALUE"""),93.66)</f>
        <v>93.66</v>
      </c>
      <c r="D1867" s="1">
        <f>IFERROR(__xludf.DUMMYFUNCTION("""COMPUTED_VALUE"""),92.28)</f>
        <v>92.28</v>
      </c>
      <c r="E1867" s="1">
        <f>IFERROR(__xludf.DUMMYFUNCTION("""COMPUTED_VALUE"""),93.45)</f>
        <v>93.45</v>
      </c>
      <c r="F1867" s="1">
        <f>IFERROR(__xludf.DUMMYFUNCTION("""COMPUTED_VALUE"""),266045.0)</f>
        <v>266045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IFERROR(__xludf.DUMMYFUNCTION("""COMPUTED_VALUE"""),93.75)</f>
        <v>93.75</v>
      </c>
      <c r="C1868" s="1">
        <f>IFERROR(__xludf.DUMMYFUNCTION("""COMPUTED_VALUE"""),94.07)</f>
        <v>94.07</v>
      </c>
      <c r="D1868" s="1">
        <f>IFERROR(__xludf.DUMMYFUNCTION("""COMPUTED_VALUE"""),93.29)</f>
        <v>93.29</v>
      </c>
      <c r="E1868" s="1">
        <f>IFERROR(__xludf.DUMMYFUNCTION("""COMPUTED_VALUE"""),93.72)</f>
        <v>93.72</v>
      </c>
      <c r="F1868" s="1">
        <f>IFERROR(__xludf.DUMMYFUNCTION("""COMPUTED_VALUE"""),195598.0)</f>
        <v>195598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IFERROR(__xludf.DUMMYFUNCTION("""COMPUTED_VALUE"""),93.63)</f>
        <v>93.63</v>
      </c>
      <c r="C1869" s="1">
        <f>IFERROR(__xludf.DUMMYFUNCTION("""COMPUTED_VALUE"""),94.0)</f>
        <v>94</v>
      </c>
      <c r="D1869" s="1">
        <f>IFERROR(__xludf.DUMMYFUNCTION("""COMPUTED_VALUE"""),93.0)</f>
        <v>93</v>
      </c>
      <c r="E1869" s="1">
        <f>IFERROR(__xludf.DUMMYFUNCTION("""COMPUTED_VALUE"""),93.61)</f>
        <v>93.61</v>
      </c>
      <c r="F1869" s="1">
        <f>IFERROR(__xludf.DUMMYFUNCTION("""COMPUTED_VALUE"""),170993.0)</f>
        <v>170993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IFERROR(__xludf.DUMMYFUNCTION("""COMPUTED_VALUE"""),93.59)</f>
        <v>93.59</v>
      </c>
      <c r="C1870" s="1">
        <f>IFERROR(__xludf.DUMMYFUNCTION("""COMPUTED_VALUE"""),93.65)</f>
        <v>93.65</v>
      </c>
      <c r="D1870" s="1">
        <f>IFERROR(__xludf.DUMMYFUNCTION("""COMPUTED_VALUE"""),92.55)</f>
        <v>92.55</v>
      </c>
      <c r="E1870" s="1">
        <f>IFERROR(__xludf.DUMMYFUNCTION("""COMPUTED_VALUE"""),93.07)</f>
        <v>93.07</v>
      </c>
      <c r="F1870" s="1">
        <f>IFERROR(__xludf.DUMMYFUNCTION("""COMPUTED_VALUE"""),254634.0)</f>
        <v>254634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IFERROR(__xludf.DUMMYFUNCTION("""COMPUTED_VALUE"""),93.18)</f>
        <v>93.18</v>
      </c>
      <c r="C1871" s="1">
        <f>IFERROR(__xludf.DUMMYFUNCTION("""COMPUTED_VALUE"""),93.89)</f>
        <v>93.89</v>
      </c>
      <c r="D1871" s="1">
        <f>IFERROR(__xludf.DUMMYFUNCTION("""COMPUTED_VALUE"""),92.82)</f>
        <v>92.82</v>
      </c>
      <c r="E1871" s="1">
        <f>IFERROR(__xludf.DUMMYFUNCTION("""COMPUTED_VALUE"""),93.5)</f>
        <v>93.5</v>
      </c>
      <c r="F1871" s="1">
        <f>IFERROR(__xludf.DUMMYFUNCTION("""COMPUTED_VALUE"""),228160.0)</f>
        <v>228160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IFERROR(__xludf.DUMMYFUNCTION("""COMPUTED_VALUE"""),93.4)</f>
        <v>93.4</v>
      </c>
      <c r="C1872" s="1">
        <f>IFERROR(__xludf.DUMMYFUNCTION("""COMPUTED_VALUE"""),95.41)</f>
        <v>95.41</v>
      </c>
      <c r="D1872" s="1">
        <f>IFERROR(__xludf.DUMMYFUNCTION("""COMPUTED_VALUE"""),93.1)</f>
        <v>93.1</v>
      </c>
      <c r="E1872" s="1">
        <f>IFERROR(__xludf.DUMMYFUNCTION("""COMPUTED_VALUE"""),95.19)</f>
        <v>95.19</v>
      </c>
      <c r="F1872" s="1">
        <f>IFERROR(__xludf.DUMMYFUNCTION("""COMPUTED_VALUE"""),391836.0)</f>
        <v>391836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IFERROR(__xludf.DUMMYFUNCTION("""COMPUTED_VALUE"""),95.32)</f>
        <v>95.32</v>
      </c>
      <c r="C1873" s="1">
        <f>IFERROR(__xludf.DUMMYFUNCTION("""COMPUTED_VALUE"""),95.83)</f>
        <v>95.83</v>
      </c>
      <c r="D1873" s="1">
        <f>IFERROR(__xludf.DUMMYFUNCTION("""COMPUTED_VALUE"""),94.03)</f>
        <v>94.03</v>
      </c>
      <c r="E1873" s="1">
        <f>IFERROR(__xludf.DUMMYFUNCTION("""COMPUTED_VALUE"""),94.23)</f>
        <v>94.23</v>
      </c>
      <c r="F1873" s="1">
        <f>IFERROR(__xludf.DUMMYFUNCTION("""COMPUTED_VALUE"""),539882.0)</f>
        <v>539882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IFERROR(__xludf.DUMMYFUNCTION("""COMPUTED_VALUE"""),94.12)</f>
        <v>94.12</v>
      </c>
      <c r="C1874" s="1">
        <f>IFERROR(__xludf.DUMMYFUNCTION("""COMPUTED_VALUE"""),94.39)</f>
        <v>94.39</v>
      </c>
      <c r="D1874" s="1">
        <f>IFERROR(__xludf.DUMMYFUNCTION("""COMPUTED_VALUE"""),92.67)</f>
        <v>92.67</v>
      </c>
      <c r="E1874" s="1">
        <f>IFERROR(__xludf.DUMMYFUNCTION("""COMPUTED_VALUE"""),93.53)</f>
        <v>93.53</v>
      </c>
      <c r="F1874" s="1">
        <f>IFERROR(__xludf.DUMMYFUNCTION("""COMPUTED_VALUE"""),298033.0)</f>
        <v>298033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IFERROR(__xludf.DUMMYFUNCTION("""COMPUTED_VALUE"""),93.95)</f>
        <v>93.95</v>
      </c>
      <c r="C1875" s="1">
        <f>IFERROR(__xludf.DUMMYFUNCTION("""COMPUTED_VALUE"""),94.64)</f>
        <v>94.64</v>
      </c>
      <c r="D1875" s="1">
        <f>IFERROR(__xludf.DUMMYFUNCTION("""COMPUTED_VALUE"""),93.71)</f>
        <v>93.71</v>
      </c>
      <c r="E1875" s="1">
        <f>IFERROR(__xludf.DUMMYFUNCTION("""COMPUTED_VALUE"""),94.14)</f>
        <v>94.14</v>
      </c>
      <c r="F1875" s="1">
        <f>IFERROR(__xludf.DUMMYFUNCTION("""COMPUTED_VALUE"""),189799.0)</f>
        <v>189799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IFERROR(__xludf.DUMMYFUNCTION("""COMPUTED_VALUE"""),94.56)</f>
        <v>94.56</v>
      </c>
      <c r="C1876" s="1">
        <f>IFERROR(__xludf.DUMMYFUNCTION("""COMPUTED_VALUE"""),94.96)</f>
        <v>94.96</v>
      </c>
      <c r="D1876" s="1">
        <f>IFERROR(__xludf.DUMMYFUNCTION("""COMPUTED_VALUE"""),93.96)</f>
        <v>93.96</v>
      </c>
      <c r="E1876" s="1">
        <f>IFERROR(__xludf.DUMMYFUNCTION("""COMPUTED_VALUE"""),94.8)</f>
        <v>94.8</v>
      </c>
      <c r="F1876" s="1">
        <f>IFERROR(__xludf.DUMMYFUNCTION("""COMPUTED_VALUE"""),331520.0)</f>
        <v>331520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IFERROR(__xludf.DUMMYFUNCTION("""COMPUTED_VALUE"""),94.21)</f>
        <v>94.21</v>
      </c>
      <c r="C1877" s="1">
        <f>IFERROR(__xludf.DUMMYFUNCTION("""COMPUTED_VALUE"""),95.16)</f>
        <v>95.16</v>
      </c>
      <c r="D1877" s="1">
        <f>IFERROR(__xludf.DUMMYFUNCTION("""COMPUTED_VALUE"""),94.14)</f>
        <v>94.14</v>
      </c>
      <c r="E1877" s="1">
        <f>IFERROR(__xludf.DUMMYFUNCTION("""COMPUTED_VALUE"""),95.15)</f>
        <v>95.15</v>
      </c>
      <c r="F1877" s="1">
        <f>IFERROR(__xludf.DUMMYFUNCTION("""COMPUTED_VALUE"""),231032.0)</f>
        <v>231032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IFERROR(__xludf.DUMMYFUNCTION("""COMPUTED_VALUE"""),95.46)</f>
        <v>95.46</v>
      </c>
      <c r="C1878" s="1">
        <f>IFERROR(__xludf.DUMMYFUNCTION("""COMPUTED_VALUE"""),95.83)</f>
        <v>95.83</v>
      </c>
      <c r="D1878" s="1">
        <f>IFERROR(__xludf.DUMMYFUNCTION("""COMPUTED_VALUE"""),95.14)</f>
        <v>95.14</v>
      </c>
      <c r="E1878" s="1">
        <f>IFERROR(__xludf.DUMMYFUNCTION("""COMPUTED_VALUE"""),95.76)</f>
        <v>95.76</v>
      </c>
      <c r="F1878" s="1">
        <f>IFERROR(__xludf.DUMMYFUNCTION("""COMPUTED_VALUE"""),525918.0)</f>
        <v>525918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IFERROR(__xludf.DUMMYFUNCTION("""COMPUTED_VALUE"""),96.0)</f>
        <v>96</v>
      </c>
      <c r="C1879" s="1">
        <f>IFERROR(__xludf.DUMMYFUNCTION("""COMPUTED_VALUE"""),97.92)</f>
        <v>97.92</v>
      </c>
      <c r="D1879" s="1">
        <f>IFERROR(__xludf.DUMMYFUNCTION("""COMPUTED_VALUE"""),95.98)</f>
        <v>95.98</v>
      </c>
      <c r="E1879" s="1">
        <f>IFERROR(__xludf.DUMMYFUNCTION("""COMPUTED_VALUE"""),97.75)</f>
        <v>97.75</v>
      </c>
      <c r="F1879" s="1">
        <f>IFERROR(__xludf.DUMMYFUNCTION("""COMPUTED_VALUE"""),343576.0)</f>
        <v>343576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IFERROR(__xludf.DUMMYFUNCTION("""COMPUTED_VALUE"""),97.54)</f>
        <v>97.54</v>
      </c>
      <c r="C1880" s="1">
        <f>IFERROR(__xludf.DUMMYFUNCTION("""COMPUTED_VALUE"""),99.5)</f>
        <v>99.5</v>
      </c>
      <c r="D1880" s="1">
        <f>IFERROR(__xludf.DUMMYFUNCTION("""COMPUTED_VALUE"""),97.07)</f>
        <v>97.07</v>
      </c>
      <c r="E1880" s="1">
        <f>IFERROR(__xludf.DUMMYFUNCTION("""COMPUTED_VALUE"""),99.1)</f>
        <v>99.1</v>
      </c>
      <c r="F1880" s="1">
        <f>IFERROR(__xludf.DUMMYFUNCTION("""COMPUTED_VALUE"""),612332.0)</f>
        <v>612332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IFERROR(__xludf.DUMMYFUNCTION("""COMPUTED_VALUE"""),99.25)</f>
        <v>99.25</v>
      </c>
      <c r="C1881" s="1">
        <f>IFERROR(__xludf.DUMMYFUNCTION("""COMPUTED_VALUE"""),99.82)</f>
        <v>99.82</v>
      </c>
      <c r="D1881" s="1">
        <f>IFERROR(__xludf.DUMMYFUNCTION("""COMPUTED_VALUE"""),98.97)</f>
        <v>98.97</v>
      </c>
      <c r="E1881" s="1">
        <f>IFERROR(__xludf.DUMMYFUNCTION("""COMPUTED_VALUE"""),99.46)</f>
        <v>99.46</v>
      </c>
      <c r="F1881" s="1">
        <f>IFERROR(__xludf.DUMMYFUNCTION("""COMPUTED_VALUE"""),423537.0)</f>
        <v>423537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IFERROR(__xludf.DUMMYFUNCTION("""COMPUTED_VALUE"""),99.62)</f>
        <v>99.62</v>
      </c>
      <c r="C1882" s="1">
        <f>IFERROR(__xludf.DUMMYFUNCTION("""COMPUTED_VALUE"""),101.23)</f>
        <v>101.23</v>
      </c>
      <c r="D1882" s="1">
        <f>IFERROR(__xludf.DUMMYFUNCTION("""COMPUTED_VALUE"""),98.92)</f>
        <v>98.92</v>
      </c>
      <c r="E1882" s="1">
        <f>IFERROR(__xludf.DUMMYFUNCTION("""COMPUTED_VALUE"""),100.41)</f>
        <v>100.41</v>
      </c>
      <c r="F1882" s="1">
        <f>IFERROR(__xludf.DUMMYFUNCTION("""COMPUTED_VALUE"""),417719.0)</f>
        <v>417719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IFERROR(__xludf.DUMMYFUNCTION("""COMPUTED_VALUE"""),100.35)</f>
        <v>100.35</v>
      </c>
      <c r="C1883" s="1">
        <f>IFERROR(__xludf.DUMMYFUNCTION("""COMPUTED_VALUE"""),100.98)</f>
        <v>100.98</v>
      </c>
      <c r="D1883" s="1">
        <f>IFERROR(__xludf.DUMMYFUNCTION("""COMPUTED_VALUE"""),99.95)</f>
        <v>99.95</v>
      </c>
      <c r="E1883" s="1">
        <f>IFERROR(__xludf.DUMMYFUNCTION("""COMPUTED_VALUE"""),100.29)</f>
        <v>100.29</v>
      </c>
      <c r="F1883" s="1">
        <f>IFERROR(__xludf.DUMMYFUNCTION("""COMPUTED_VALUE"""),434152.0)</f>
        <v>434152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IFERROR(__xludf.DUMMYFUNCTION("""COMPUTED_VALUE"""),100.49)</f>
        <v>100.49</v>
      </c>
      <c r="C1884" s="1">
        <f>IFERROR(__xludf.DUMMYFUNCTION("""COMPUTED_VALUE"""),101.2)</f>
        <v>101.2</v>
      </c>
      <c r="D1884" s="1">
        <f>IFERROR(__xludf.DUMMYFUNCTION("""COMPUTED_VALUE"""),99.6)</f>
        <v>99.6</v>
      </c>
      <c r="E1884" s="1">
        <f>IFERROR(__xludf.DUMMYFUNCTION("""COMPUTED_VALUE"""),100.63)</f>
        <v>100.63</v>
      </c>
      <c r="F1884" s="1">
        <f>IFERROR(__xludf.DUMMYFUNCTION("""COMPUTED_VALUE"""),205515.0)</f>
        <v>205515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IFERROR(__xludf.DUMMYFUNCTION("""COMPUTED_VALUE"""),100.64)</f>
        <v>100.64</v>
      </c>
      <c r="C1885" s="1">
        <f>IFERROR(__xludf.DUMMYFUNCTION("""COMPUTED_VALUE"""),101.27)</f>
        <v>101.27</v>
      </c>
      <c r="D1885" s="1">
        <f>IFERROR(__xludf.DUMMYFUNCTION("""COMPUTED_VALUE"""),99.59)</f>
        <v>99.59</v>
      </c>
      <c r="E1885" s="1">
        <f>IFERROR(__xludf.DUMMYFUNCTION("""COMPUTED_VALUE"""),99.9)</f>
        <v>99.9</v>
      </c>
      <c r="F1885" s="1">
        <f>IFERROR(__xludf.DUMMYFUNCTION("""COMPUTED_VALUE"""),302828.0)</f>
        <v>302828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IFERROR(__xludf.DUMMYFUNCTION("""COMPUTED_VALUE"""),100.34)</f>
        <v>100.34</v>
      </c>
      <c r="C1886" s="1">
        <f>IFERROR(__xludf.DUMMYFUNCTION("""COMPUTED_VALUE"""),101.69)</f>
        <v>101.69</v>
      </c>
      <c r="D1886" s="1">
        <f>IFERROR(__xludf.DUMMYFUNCTION("""COMPUTED_VALUE"""),100.24)</f>
        <v>100.24</v>
      </c>
      <c r="E1886" s="1">
        <f>IFERROR(__xludf.DUMMYFUNCTION("""COMPUTED_VALUE"""),101.2)</f>
        <v>101.2</v>
      </c>
      <c r="F1886" s="1">
        <f>IFERROR(__xludf.DUMMYFUNCTION("""COMPUTED_VALUE"""),197836.0)</f>
        <v>197836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IFERROR(__xludf.DUMMYFUNCTION("""COMPUTED_VALUE"""),101.5)</f>
        <v>101.5</v>
      </c>
      <c r="C1887" s="1">
        <f>IFERROR(__xludf.DUMMYFUNCTION("""COMPUTED_VALUE"""),102.32)</f>
        <v>102.32</v>
      </c>
      <c r="D1887" s="1">
        <f>IFERROR(__xludf.DUMMYFUNCTION("""COMPUTED_VALUE"""),100.78)</f>
        <v>100.78</v>
      </c>
      <c r="E1887" s="1">
        <f>IFERROR(__xludf.DUMMYFUNCTION("""COMPUTED_VALUE"""),101.54)</f>
        <v>101.54</v>
      </c>
      <c r="F1887" s="1">
        <f>IFERROR(__xludf.DUMMYFUNCTION("""COMPUTED_VALUE"""),384771.0)</f>
        <v>384771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IFERROR(__xludf.DUMMYFUNCTION("""COMPUTED_VALUE"""),101.89)</f>
        <v>101.89</v>
      </c>
      <c r="C1888" s="1">
        <f>IFERROR(__xludf.DUMMYFUNCTION("""COMPUTED_VALUE"""),101.89)</f>
        <v>101.89</v>
      </c>
      <c r="D1888" s="1">
        <f>IFERROR(__xludf.DUMMYFUNCTION("""COMPUTED_VALUE"""),100.73)</f>
        <v>100.73</v>
      </c>
      <c r="E1888" s="1">
        <f>IFERROR(__xludf.DUMMYFUNCTION("""COMPUTED_VALUE"""),101.15)</f>
        <v>101.15</v>
      </c>
      <c r="F1888" s="1">
        <f>IFERROR(__xludf.DUMMYFUNCTION("""COMPUTED_VALUE"""),288042.0)</f>
        <v>288042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IFERROR(__xludf.DUMMYFUNCTION("""COMPUTED_VALUE"""),101.61)</f>
        <v>101.61</v>
      </c>
      <c r="C1889" s="1">
        <f>IFERROR(__xludf.DUMMYFUNCTION("""COMPUTED_VALUE"""),101.61)</f>
        <v>101.61</v>
      </c>
      <c r="D1889" s="1">
        <f>IFERROR(__xludf.DUMMYFUNCTION("""COMPUTED_VALUE"""),100.62)</f>
        <v>100.62</v>
      </c>
      <c r="E1889" s="1">
        <f>IFERROR(__xludf.DUMMYFUNCTION("""COMPUTED_VALUE"""),101.06)</f>
        <v>101.06</v>
      </c>
      <c r="F1889" s="1">
        <f>IFERROR(__xludf.DUMMYFUNCTION("""COMPUTED_VALUE"""),136100.0)</f>
        <v>136100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IFERROR(__xludf.DUMMYFUNCTION("""COMPUTED_VALUE"""),101.24)</f>
        <v>101.24</v>
      </c>
      <c r="C1890" s="1">
        <f>IFERROR(__xludf.DUMMYFUNCTION("""COMPUTED_VALUE"""),101.81)</f>
        <v>101.81</v>
      </c>
      <c r="D1890" s="1">
        <f>IFERROR(__xludf.DUMMYFUNCTION("""COMPUTED_VALUE"""),100.7)</f>
        <v>100.7</v>
      </c>
      <c r="E1890" s="1">
        <f>IFERROR(__xludf.DUMMYFUNCTION("""COMPUTED_VALUE"""),101.23)</f>
        <v>101.23</v>
      </c>
      <c r="F1890" s="1">
        <f>IFERROR(__xludf.DUMMYFUNCTION("""COMPUTED_VALUE"""),309771.0)</f>
        <v>309771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IFERROR(__xludf.DUMMYFUNCTION("""COMPUTED_VALUE"""),100.53)</f>
        <v>100.53</v>
      </c>
      <c r="C1891" s="1">
        <f>IFERROR(__xludf.DUMMYFUNCTION("""COMPUTED_VALUE"""),100.85)</f>
        <v>100.85</v>
      </c>
      <c r="D1891" s="1">
        <f>IFERROR(__xludf.DUMMYFUNCTION("""COMPUTED_VALUE"""),99.16)</f>
        <v>99.16</v>
      </c>
      <c r="E1891" s="1">
        <f>IFERROR(__xludf.DUMMYFUNCTION("""COMPUTED_VALUE"""),99.26)</f>
        <v>99.26</v>
      </c>
      <c r="F1891" s="1">
        <f>IFERROR(__xludf.DUMMYFUNCTION("""COMPUTED_VALUE"""),316326.0)</f>
        <v>316326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IFERROR(__xludf.DUMMYFUNCTION("""COMPUTED_VALUE"""),99.86)</f>
        <v>99.86</v>
      </c>
      <c r="C1892" s="1">
        <f>IFERROR(__xludf.DUMMYFUNCTION("""COMPUTED_VALUE"""),100.5)</f>
        <v>100.5</v>
      </c>
      <c r="D1892" s="1">
        <f>IFERROR(__xludf.DUMMYFUNCTION("""COMPUTED_VALUE"""),99.79)</f>
        <v>99.79</v>
      </c>
      <c r="E1892" s="1">
        <f>IFERROR(__xludf.DUMMYFUNCTION("""COMPUTED_VALUE"""),100.25)</f>
        <v>100.25</v>
      </c>
      <c r="F1892" s="1">
        <f>IFERROR(__xludf.DUMMYFUNCTION("""COMPUTED_VALUE"""),224675.0)</f>
        <v>224675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IFERROR(__xludf.DUMMYFUNCTION("""COMPUTED_VALUE"""),100.13)</f>
        <v>100.13</v>
      </c>
      <c r="C1893" s="1">
        <f>IFERROR(__xludf.DUMMYFUNCTION("""COMPUTED_VALUE"""),100.2)</f>
        <v>100.2</v>
      </c>
      <c r="D1893" s="1">
        <f>IFERROR(__xludf.DUMMYFUNCTION("""COMPUTED_VALUE"""),98.72)</f>
        <v>98.72</v>
      </c>
      <c r="E1893" s="1">
        <f>IFERROR(__xludf.DUMMYFUNCTION("""COMPUTED_VALUE"""),99.25)</f>
        <v>99.25</v>
      </c>
      <c r="F1893" s="1">
        <f>IFERROR(__xludf.DUMMYFUNCTION("""COMPUTED_VALUE"""),316786.0)</f>
        <v>316786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IFERROR(__xludf.DUMMYFUNCTION("""COMPUTED_VALUE"""),99.28)</f>
        <v>99.28</v>
      </c>
      <c r="C1894" s="1">
        <f>IFERROR(__xludf.DUMMYFUNCTION("""COMPUTED_VALUE"""),100.52)</f>
        <v>100.52</v>
      </c>
      <c r="D1894" s="1">
        <f>IFERROR(__xludf.DUMMYFUNCTION("""COMPUTED_VALUE"""),99.05)</f>
        <v>99.05</v>
      </c>
      <c r="E1894" s="1">
        <f>IFERROR(__xludf.DUMMYFUNCTION("""COMPUTED_VALUE"""),99.39)</f>
        <v>99.39</v>
      </c>
      <c r="F1894" s="1">
        <f>IFERROR(__xludf.DUMMYFUNCTION("""COMPUTED_VALUE"""),233412.0)</f>
        <v>233412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IFERROR(__xludf.DUMMYFUNCTION("""COMPUTED_VALUE"""),99.86)</f>
        <v>99.86</v>
      </c>
      <c r="C1895" s="1">
        <f>IFERROR(__xludf.DUMMYFUNCTION("""COMPUTED_VALUE"""),101.03)</f>
        <v>101.03</v>
      </c>
      <c r="D1895" s="1">
        <f>IFERROR(__xludf.DUMMYFUNCTION("""COMPUTED_VALUE"""),98.07)</f>
        <v>98.07</v>
      </c>
      <c r="E1895" s="1">
        <f>IFERROR(__xludf.DUMMYFUNCTION("""COMPUTED_VALUE"""),99.97)</f>
        <v>99.97</v>
      </c>
      <c r="F1895" s="1">
        <f>IFERROR(__xludf.DUMMYFUNCTION("""COMPUTED_VALUE"""),247857.0)</f>
        <v>247857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IFERROR(__xludf.DUMMYFUNCTION("""COMPUTED_VALUE"""),100.22)</f>
        <v>100.22</v>
      </c>
      <c r="C1896" s="1">
        <f>IFERROR(__xludf.DUMMYFUNCTION("""COMPUTED_VALUE"""),100.98)</f>
        <v>100.98</v>
      </c>
      <c r="D1896" s="1">
        <f>IFERROR(__xludf.DUMMYFUNCTION("""COMPUTED_VALUE"""),98.55)</f>
        <v>98.55</v>
      </c>
      <c r="E1896" s="1">
        <f>IFERROR(__xludf.DUMMYFUNCTION("""COMPUTED_VALUE"""),100.65)</f>
        <v>100.65</v>
      </c>
      <c r="F1896" s="1">
        <f>IFERROR(__xludf.DUMMYFUNCTION("""COMPUTED_VALUE"""),263670.0)</f>
        <v>263670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IFERROR(__xludf.DUMMYFUNCTION("""COMPUTED_VALUE"""),100.82)</f>
        <v>100.82</v>
      </c>
      <c r="C1897" s="1">
        <f>IFERROR(__xludf.DUMMYFUNCTION("""COMPUTED_VALUE"""),101.24)</f>
        <v>101.24</v>
      </c>
      <c r="D1897" s="1">
        <f>IFERROR(__xludf.DUMMYFUNCTION("""COMPUTED_VALUE"""),100.28)</f>
        <v>100.28</v>
      </c>
      <c r="E1897" s="1">
        <f>IFERROR(__xludf.DUMMYFUNCTION("""COMPUTED_VALUE"""),100.56)</f>
        <v>100.56</v>
      </c>
      <c r="F1897" s="1">
        <f>IFERROR(__xludf.DUMMYFUNCTION("""COMPUTED_VALUE"""),160733.0)</f>
        <v>160733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IFERROR(__xludf.DUMMYFUNCTION("""COMPUTED_VALUE"""),100.88)</f>
        <v>100.88</v>
      </c>
      <c r="C1898" s="1">
        <f>IFERROR(__xludf.DUMMYFUNCTION("""COMPUTED_VALUE"""),101.59)</f>
        <v>101.59</v>
      </c>
      <c r="D1898" s="1">
        <f>IFERROR(__xludf.DUMMYFUNCTION("""COMPUTED_VALUE"""),100.26)</f>
        <v>100.26</v>
      </c>
      <c r="E1898" s="1">
        <f>IFERROR(__xludf.DUMMYFUNCTION("""COMPUTED_VALUE"""),100.7)</f>
        <v>100.7</v>
      </c>
      <c r="F1898" s="1">
        <f>IFERROR(__xludf.DUMMYFUNCTION("""COMPUTED_VALUE"""),158196.0)</f>
        <v>158196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IFERROR(__xludf.DUMMYFUNCTION("""COMPUTED_VALUE"""),100.75)</f>
        <v>100.75</v>
      </c>
      <c r="C1899" s="1">
        <f>IFERROR(__xludf.DUMMYFUNCTION("""COMPUTED_VALUE"""),100.75)</f>
        <v>100.75</v>
      </c>
      <c r="D1899" s="1">
        <f>IFERROR(__xludf.DUMMYFUNCTION("""COMPUTED_VALUE"""),99.33)</f>
        <v>99.33</v>
      </c>
      <c r="E1899" s="1">
        <f>IFERROR(__xludf.DUMMYFUNCTION("""COMPUTED_VALUE"""),99.69)</f>
        <v>99.69</v>
      </c>
      <c r="F1899" s="1">
        <f>IFERROR(__xludf.DUMMYFUNCTION("""COMPUTED_VALUE"""),226562.0)</f>
        <v>226562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IFERROR(__xludf.DUMMYFUNCTION("""COMPUTED_VALUE"""),100.15)</f>
        <v>100.15</v>
      </c>
      <c r="C1900" s="1">
        <f>IFERROR(__xludf.DUMMYFUNCTION("""COMPUTED_VALUE"""),100.46)</f>
        <v>100.46</v>
      </c>
      <c r="D1900" s="1">
        <f>IFERROR(__xludf.DUMMYFUNCTION("""COMPUTED_VALUE"""),99.07)</f>
        <v>99.07</v>
      </c>
      <c r="E1900" s="1">
        <f>IFERROR(__xludf.DUMMYFUNCTION("""COMPUTED_VALUE"""),100.13)</f>
        <v>100.13</v>
      </c>
      <c r="F1900" s="1">
        <f>IFERROR(__xludf.DUMMYFUNCTION("""COMPUTED_VALUE"""),220500.0)</f>
        <v>220500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IFERROR(__xludf.DUMMYFUNCTION("""COMPUTED_VALUE"""),100.46)</f>
        <v>100.46</v>
      </c>
      <c r="C1901" s="1">
        <f>IFERROR(__xludf.DUMMYFUNCTION("""COMPUTED_VALUE"""),101.25)</f>
        <v>101.25</v>
      </c>
      <c r="D1901" s="1">
        <f>IFERROR(__xludf.DUMMYFUNCTION("""COMPUTED_VALUE"""),100.31)</f>
        <v>100.31</v>
      </c>
      <c r="E1901" s="1">
        <f>IFERROR(__xludf.DUMMYFUNCTION("""COMPUTED_VALUE"""),101.1)</f>
        <v>101.1</v>
      </c>
      <c r="F1901" s="1">
        <f>IFERROR(__xludf.DUMMYFUNCTION("""COMPUTED_VALUE"""),173680.0)</f>
        <v>173680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IFERROR(__xludf.DUMMYFUNCTION("""COMPUTED_VALUE"""),101.03)</f>
        <v>101.03</v>
      </c>
      <c r="C1902" s="1">
        <f>IFERROR(__xludf.DUMMYFUNCTION("""COMPUTED_VALUE"""),101.83)</f>
        <v>101.83</v>
      </c>
      <c r="D1902" s="1">
        <f>IFERROR(__xludf.DUMMYFUNCTION("""COMPUTED_VALUE"""),100.57)</f>
        <v>100.57</v>
      </c>
      <c r="E1902" s="1">
        <f>IFERROR(__xludf.DUMMYFUNCTION("""COMPUTED_VALUE"""),101.16)</f>
        <v>101.16</v>
      </c>
      <c r="F1902" s="1">
        <f>IFERROR(__xludf.DUMMYFUNCTION("""COMPUTED_VALUE"""),137343.0)</f>
        <v>137343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IFERROR(__xludf.DUMMYFUNCTION("""COMPUTED_VALUE"""),101.16)</f>
        <v>101.16</v>
      </c>
      <c r="C1903" s="1">
        <f>IFERROR(__xludf.DUMMYFUNCTION("""COMPUTED_VALUE"""),102.1)</f>
        <v>102.1</v>
      </c>
      <c r="D1903" s="1">
        <f>IFERROR(__xludf.DUMMYFUNCTION("""COMPUTED_VALUE"""),101.05)</f>
        <v>101.05</v>
      </c>
      <c r="E1903" s="1">
        <f>IFERROR(__xludf.DUMMYFUNCTION("""COMPUTED_VALUE"""),101.72)</f>
        <v>101.72</v>
      </c>
      <c r="F1903" s="1">
        <f>IFERROR(__xludf.DUMMYFUNCTION("""COMPUTED_VALUE"""),172453.0)</f>
        <v>172453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IFERROR(__xludf.DUMMYFUNCTION("""COMPUTED_VALUE"""),101.57)</f>
        <v>101.57</v>
      </c>
      <c r="C1904" s="1">
        <f>IFERROR(__xludf.DUMMYFUNCTION("""COMPUTED_VALUE"""),101.7)</f>
        <v>101.7</v>
      </c>
      <c r="D1904" s="1">
        <f>IFERROR(__xludf.DUMMYFUNCTION("""COMPUTED_VALUE"""),99.96)</f>
        <v>99.96</v>
      </c>
      <c r="E1904" s="1">
        <f>IFERROR(__xludf.DUMMYFUNCTION("""COMPUTED_VALUE"""),100.19)</f>
        <v>100.19</v>
      </c>
      <c r="F1904" s="1">
        <f>IFERROR(__xludf.DUMMYFUNCTION("""COMPUTED_VALUE"""),442827.0)</f>
        <v>442827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IFERROR(__xludf.DUMMYFUNCTION("""COMPUTED_VALUE"""),100.3)</f>
        <v>100.3</v>
      </c>
      <c r="C1905" s="1">
        <f>IFERROR(__xludf.DUMMYFUNCTION("""COMPUTED_VALUE"""),100.68)</f>
        <v>100.68</v>
      </c>
      <c r="D1905" s="1">
        <f>IFERROR(__xludf.DUMMYFUNCTION("""COMPUTED_VALUE"""),99.16)</f>
        <v>99.16</v>
      </c>
      <c r="E1905" s="1">
        <f>IFERROR(__xludf.DUMMYFUNCTION("""COMPUTED_VALUE"""),99.44)</f>
        <v>99.44</v>
      </c>
      <c r="F1905" s="1">
        <f>IFERROR(__xludf.DUMMYFUNCTION("""COMPUTED_VALUE"""),367745.0)</f>
        <v>367745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IFERROR(__xludf.DUMMYFUNCTION("""COMPUTED_VALUE"""),99.61)</f>
        <v>99.61</v>
      </c>
      <c r="C1906" s="1">
        <f>IFERROR(__xludf.DUMMYFUNCTION("""COMPUTED_VALUE"""),99.81)</f>
        <v>99.81</v>
      </c>
      <c r="D1906" s="1">
        <f>IFERROR(__xludf.DUMMYFUNCTION("""COMPUTED_VALUE"""),98.21)</f>
        <v>98.21</v>
      </c>
      <c r="E1906" s="1">
        <f>IFERROR(__xludf.DUMMYFUNCTION("""COMPUTED_VALUE"""),98.44)</f>
        <v>98.44</v>
      </c>
      <c r="F1906" s="1">
        <f>IFERROR(__xludf.DUMMYFUNCTION("""COMPUTED_VALUE"""),317448.0)</f>
        <v>317448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IFERROR(__xludf.DUMMYFUNCTION("""COMPUTED_VALUE"""),98.42)</f>
        <v>98.42</v>
      </c>
      <c r="C1907" s="1">
        <f>IFERROR(__xludf.DUMMYFUNCTION("""COMPUTED_VALUE"""),98.73)</f>
        <v>98.73</v>
      </c>
      <c r="D1907" s="1">
        <f>IFERROR(__xludf.DUMMYFUNCTION("""COMPUTED_VALUE"""),96.08)</f>
        <v>96.08</v>
      </c>
      <c r="E1907" s="1">
        <f>IFERROR(__xludf.DUMMYFUNCTION("""COMPUTED_VALUE"""),97.53)</f>
        <v>97.53</v>
      </c>
      <c r="F1907" s="1">
        <f>IFERROR(__xludf.DUMMYFUNCTION("""COMPUTED_VALUE"""),445634.0)</f>
        <v>445634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IFERROR(__xludf.DUMMYFUNCTION("""COMPUTED_VALUE"""),97.76)</f>
        <v>97.76</v>
      </c>
      <c r="C1908" s="1">
        <f>IFERROR(__xludf.DUMMYFUNCTION("""COMPUTED_VALUE"""),98.56)</f>
        <v>98.56</v>
      </c>
      <c r="D1908" s="1">
        <f>IFERROR(__xludf.DUMMYFUNCTION("""COMPUTED_VALUE"""),97.49)</f>
        <v>97.49</v>
      </c>
      <c r="E1908" s="1">
        <f>IFERROR(__xludf.DUMMYFUNCTION("""COMPUTED_VALUE"""),98.2)</f>
        <v>98.2</v>
      </c>
      <c r="F1908" s="1">
        <f>IFERROR(__xludf.DUMMYFUNCTION("""COMPUTED_VALUE"""),347162.0)</f>
        <v>347162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IFERROR(__xludf.DUMMYFUNCTION("""COMPUTED_VALUE"""),98.84)</f>
        <v>98.84</v>
      </c>
      <c r="C1909" s="1">
        <f>IFERROR(__xludf.DUMMYFUNCTION("""COMPUTED_VALUE"""),98.97)</f>
        <v>98.97</v>
      </c>
      <c r="D1909" s="1">
        <f>IFERROR(__xludf.DUMMYFUNCTION("""COMPUTED_VALUE"""),97.72)</f>
        <v>97.72</v>
      </c>
      <c r="E1909" s="1">
        <f>IFERROR(__xludf.DUMMYFUNCTION("""COMPUTED_VALUE"""),98.87)</f>
        <v>98.87</v>
      </c>
      <c r="F1909" s="1">
        <f>IFERROR(__xludf.DUMMYFUNCTION("""COMPUTED_VALUE"""),344921.0)</f>
        <v>344921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IFERROR(__xludf.DUMMYFUNCTION("""COMPUTED_VALUE"""),99.11)</f>
        <v>99.11</v>
      </c>
      <c r="C1910" s="1">
        <f>IFERROR(__xludf.DUMMYFUNCTION("""COMPUTED_VALUE"""),99.87)</f>
        <v>99.87</v>
      </c>
      <c r="D1910" s="1">
        <f>IFERROR(__xludf.DUMMYFUNCTION("""COMPUTED_VALUE"""),98.59)</f>
        <v>98.59</v>
      </c>
      <c r="E1910" s="1">
        <f>IFERROR(__xludf.DUMMYFUNCTION("""COMPUTED_VALUE"""),99.53)</f>
        <v>99.53</v>
      </c>
      <c r="F1910" s="1">
        <f>IFERROR(__xludf.DUMMYFUNCTION("""COMPUTED_VALUE"""),227611.0)</f>
        <v>227611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IFERROR(__xludf.DUMMYFUNCTION("""COMPUTED_VALUE"""),99.25)</f>
        <v>99.25</v>
      </c>
      <c r="C1911" s="1">
        <f>IFERROR(__xludf.DUMMYFUNCTION("""COMPUTED_VALUE"""),99.67)</f>
        <v>99.67</v>
      </c>
      <c r="D1911" s="1">
        <f>IFERROR(__xludf.DUMMYFUNCTION("""COMPUTED_VALUE"""),98.81)</f>
        <v>98.81</v>
      </c>
      <c r="E1911" s="1">
        <f>IFERROR(__xludf.DUMMYFUNCTION("""COMPUTED_VALUE"""),99.5)</f>
        <v>99.5</v>
      </c>
      <c r="F1911" s="1">
        <f>IFERROR(__xludf.DUMMYFUNCTION("""COMPUTED_VALUE"""),310583.0)</f>
        <v>310583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IFERROR(__xludf.DUMMYFUNCTION("""COMPUTED_VALUE"""),99.87)</f>
        <v>99.87</v>
      </c>
      <c r="C1912" s="1">
        <f>IFERROR(__xludf.DUMMYFUNCTION("""COMPUTED_VALUE"""),99.97)</f>
        <v>99.97</v>
      </c>
      <c r="D1912" s="1">
        <f>IFERROR(__xludf.DUMMYFUNCTION("""COMPUTED_VALUE"""),99.2)</f>
        <v>99.2</v>
      </c>
      <c r="E1912" s="1">
        <f>IFERROR(__xludf.DUMMYFUNCTION("""COMPUTED_VALUE"""),99.53)</f>
        <v>99.53</v>
      </c>
      <c r="F1912" s="1">
        <f>IFERROR(__xludf.DUMMYFUNCTION("""COMPUTED_VALUE"""),208349.0)</f>
        <v>208349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IFERROR(__xludf.DUMMYFUNCTION("""COMPUTED_VALUE"""),99.6)</f>
        <v>99.6</v>
      </c>
      <c r="C1913" s="1">
        <f>IFERROR(__xludf.DUMMYFUNCTION("""COMPUTED_VALUE"""),99.9)</f>
        <v>99.9</v>
      </c>
      <c r="D1913" s="1">
        <f>IFERROR(__xludf.DUMMYFUNCTION("""COMPUTED_VALUE"""),98.9)</f>
        <v>98.9</v>
      </c>
      <c r="E1913" s="1">
        <f>IFERROR(__xludf.DUMMYFUNCTION("""COMPUTED_VALUE"""),99.6)</f>
        <v>99.6</v>
      </c>
      <c r="F1913" s="1">
        <f>IFERROR(__xludf.DUMMYFUNCTION("""COMPUTED_VALUE"""),372703.0)</f>
        <v>372703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IFERROR(__xludf.DUMMYFUNCTION("""COMPUTED_VALUE"""),99.6)</f>
        <v>99.6</v>
      </c>
      <c r="C1914" s="1">
        <f>IFERROR(__xludf.DUMMYFUNCTION("""COMPUTED_VALUE"""),100.68)</f>
        <v>100.68</v>
      </c>
      <c r="D1914" s="1">
        <f>IFERROR(__xludf.DUMMYFUNCTION("""COMPUTED_VALUE"""),98.19)</f>
        <v>98.19</v>
      </c>
      <c r="E1914" s="1">
        <f>IFERROR(__xludf.DUMMYFUNCTION("""COMPUTED_VALUE"""),98.36)</f>
        <v>98.36</v>
      </c>
      <c r="F1914" s="1">
        <f>IFERROR(__xludf.DUMMYFUNCTION("""COMPUTED_VALUE"""),447724.0)</f>
        <v>447724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IFERROR(__xludf.DUMMYFUNCTION("""COMPUTED_VALUE"""),97.66)</f>
        <v>97.66</v>
      </c>
      <c r="C1915" s="1">
        <f>IFERROR(__xludf.DUMMYFUNCTION("""COMPUTED_VALUE"""),98.93)</f>
        <v>98.93</v>
      </c>
      <c r="D1915" s="1">
        <f>IFERROR(__xludf.DUMMYFUNCTION("""COMPUTED_VALUE"""),94.15)</f>
        <v>94.15</v>
      </c>
      <c r="E1915" s="1">
        <f>IFERROR(__xludf.DUMMYFUNCTION("""COMPUTED_VALUE"""),98.36)</f>
        <v>98.36</v>
      </c>
      <c r="F1915" s="1">
        <f>IFERROR(__xludf.DUMMYFUNCTION("""COMPUTED_VALUE"""),529181.0)</f>
        <v>529181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IFERROR(__xludf.DUMMYFUNCTION("""COMPUTED_VALUE"""),98.28)</f>
        <v>98.28</v>
      </c>
      <c r="C1916" s="1">
        <f>IFERROR(__xludf.DUMMYFUNCTION("""COMPUTED_VALUE"""),98.89)</f>
        <v>98.89</v>
      </c>
      <c r="D1916" s="1">
        <f>IFERROR(__xludf.DUMMYFUNCTION("""COMPUTED_VALUE"""),96.64)</f>
        <v>96.64</v>
      </c>
      <c r="E1916" s="1">
        <f>IFERROR(__xludf.DUMMYFUNCTION("""COMPUTED_VALUE"""),96.72)</f>
        <v>96.72</v>
      </c>
      <c r="F1916" s="1">
        <f>IFERROR(__xludf.DUMMYFUNCTION("""COMPUTED_VALUE"""),653010.0)</f>
        <v>653010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IFERROR(__xludf.DUMMYFUNCTION("""COMPUTED_VALUE"""),96.38)</f>
        <v>96.38</v>
      </c>
      <c r="C1917" s="1">
        <f>IFERROR(__xludf.DUMMYFUNCTION("""COMPUTED_VALUE"""),99.04)</f>
        <v>99.04</v>
      </c>
      <c r="D1917" s="1">
        <f>IFERROR(__xludf.DUMMYFUNCTION("""COMPUTED_VALUE"""),96.2)</f>
        <v>96.2</v>
      </c>
      <c r="E1917" s="1">
        <f>IFERROR(__xludf.DUMMYFUNCTION("""COMPUTED_VALUE"""),97.97)</f>
        <v>97.97</v>
      </c>
      <c r="F1917" s="1">
        <f>IFERROR(__xludf.DUMMYFUNCTION("""COMPUTED_VALUE"""),499107.0)</f>
        <v>499107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IFERROR(__xludf.DUMMYFUNCTION("""COMPUTED_VALUE"""),98.31)</f>
        <v>98.31</v>
      </c>
      <c r="C1918" s="1">
        <f>IFERROR(__xludf.DUMMYFUNCTION("""COMPUTED_VALUE"""),98.52)</f>
        <v>98.52</v>
      </c>
      <c r="D1918" s="1">
        <f>IFERROR(__xludf.DUMMYFUNCTION("""COMPUTED_VALUE"""),96.83)</f>
        <v>96.83</v>
      </c>
      <c r="E1918" s="1">
        <f>IFERROR(__xludf.DUMMYFUNCTION("""COMPUTED_VALUE"""),98.15)</f>
        <v>98.15</v>
      </c>
      <c r="F1918" s="1">
        <f>IFERROR(__xludf.DUMMYFUNCTION("""COMPUTED_VALUE"""),264797.0)</f>
        <v>264797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IFERROR(__xludf.DUMMYFUNCTION("""COMPUTED_VALUE"""),98.25)</f>
        <v>98.25</v>
      </c>
      <c r="C1919" s="1">
        <f>IFERROR(__xludf.DUMMYFUNCTION("""COMPUTED_VALUE"""),99.19)</f>
        <v>99.19</v>
      </c>
      <c r="D1919" s="1">
        <f>IFERROR(__xludf.DUMMYFUNCTION("""COMPUTED_VALUE"""),97.97)</f>
        <v>97.97</v>
      </c>
      <c r="E1919" s="1">
        <f>IFERROR(__xludf.DUMMYFUNCTION("""COMPUTED_VALUE"""),98.58)</f>
        <v>98.58</v>
      </c>
      <c r="F1919" s="1">
        <f>IFERROR(__xludf.DUMMYFUNCTION("""COMPUTED_VALUE"""),210665.0)</f>
        <v>210665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IFERROR(__xludf.DUMMYFUNCTION("""COMPUTED_VALUE"""),99.04)</f>
        <v>99.04</v>
      </c>
      <c r="C1920" s="1">
        <f>IFERROR(__xludf.DUMMYFUNCTION("""COMPUTED_VALUE"""),100.0)</f>
        <v>100</v>
      </c>
      <c r="D1920" s="1">
        <f>IFERROR(__xludf.DUMMYFUNCTION("""COMPUTED_VALUE"""),99.01)</f>
        <v>99.01</v>
      </c>
      <c r="E1920" s="1">
        <f>IFERROR(__xludf.DUMMYFUNCTION("""COMPUTED_VALUE"""),99.38)</f>
        <v>99.38</v>
      </c>
      <c r="F1920" s="1">
        <f>IFERROR(__xludf.DUMMYFUNCTION("""COMPUTED_VALUE"""),299842.0)</f>
        <v>299842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IFERROR(__xludf.DUMMYFUNCTION("""COMPUTED_VALUE"""),99.29)</f>
        <v>99.29</v>
      </c>
      <c r="C1921" s="1">
        <f>IFERROR(__xludf.DUMMYFUNCTION("""COMPUTED_VALUE"""),100.63)</f>
        <v>100.63</v>
      </c>
      <c r="D1921" s="1">
        <f>IFERROR(__xludf.DUMMYFUNCTION("""COMPUTED_VALUE"""),98.42)</f>
        <v>98.42</v>
      </c>
      <c r="E1921" s="1">
        <f>IFERROR(__xludf.DUMMYFUNCTION("""COMPUTED_VALUE"""),99.71)</f>
        <v>99.71</v>
      </c>
      <c r="F1921" s="1">
        <f>IFERROR(__xludf.DUMMYFUNCTION("""COMPUTED_VALUE"""),439360.0)</f>
        <v>439360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IFERROR(__xludf.DUMMYFUNCTION("""COMPUTED_VALUE"""),99.43)</f>
        <v>99.43</v>
      </c>
      <c r="C1922" s="1">
        <f>IFERROR(__xludf.DUMMYFUNCTION("""COMPUTED_VALUE"""),100.42)</f>
        <v>100.42</v>
      </c>
      <c r="D1922" s="1">
        <f>IFERROR(__xludf.DUMMYFUNCTION("""COMPUTED_VALUE"""),98.9)</f>
        <v>98.9</v>
      </c>
      <c r="E1922" s="1">
        <f>IFERROR(__xludf.DUMMYFUNCTION("""COMPUTED_VALUE"""),99.98)</f>
        <v>99.98</v>
      </c>
      <c r="F1922" s="1">
        <f>IFERROR(__xludf.DUMMYFUNCTION("""COMPUTED_VALUE"""),321047.0)</f>
        <v>321047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IFERROR(__xludf.DUMMYFUNCTION("""COMPUTED_VALUE"""),99.97)</f>
        <v>99.97</v>
      </c>
      <c r="C1923" s="1">
        <f>IFERROR(__xludf.DUMMYFUNCTION("""COMPUTED_VALUE"""),101.39)</f>
        <v>101.39</v>
      </c>
      <c r="D1923" s="1">
        <f>IFERROR(__xludf.DUMMYFUNCTION("""COMPUTED_VALUE"""),99.83)</f>
        <v>99.83</v>
      </c>
      <c r="E1923" s="1">
        <f>IFERROR(__xludf.DUMMYFUNCTION("""COMPUTED_VALUE"""),101.21)</f>
        <v>101.21</v>
      </c>
      <c r="F1923" s="1">
        <f>IFERROR(__xludf.DUMMYFUNCTION("""COMPUTED_VALUE"""),315300.0)</f>
        <v>315300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IFERROR(__xludf.DUMMYFUNCTION("""COMPUTED_VALUE"""),101.37)</f>
        <v>101.37</v>
      </c>
      <c r="C1924" s="1">
        <f>IFERROR(__xludf.DUMMYFUNCTION("""COMPUTED_VALUE"""),104.09)</f>
        <v>104.09</v>
      </c>
      <c r="D1924" s="1">
        <f>IFERROR(__xludf.DUMMYFUNCTION("""COMPUTED_VALUE"""),101.18)</f>
        <v>101.18</v>
      </c>
      <c r="E1924" s="1">
        <f>IFERROR(__xludf.DUMMYFUNCTION("""COMPUTED_VALUE"""),103.98)</f>
        <v>103.98</v>
      </c>
      <c r="F1924" s="1">
        <f>IFERROR(__xludf.DUMMYFUNCTION("""COMPUTED_VALUE"""),406203.0)</f>
        <v>406203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IFERROR(__xludf.DUMMYFUNCTION("""COMPUTED_VALUE"""),103.65)</f>
        <v>103.65</v>
      </c>
      <c r="C1925" s="1">
        <f>IFERROR(__xludf.DUMMYFUNCTION("""COMPUTED_VALUE"""),104.9)</f>
        <v>104.9</v>
      </c>
      <c r="D1925" s="1">
        <f>IFERROR(__xludf.DUMMYFUNCTION("""COMPUTED_VALUE"""),103.42)</f>
        <v>103.42</v>
      </c>
      <c r="E1925" s="1">
        <f>IFERROR(__xludf.DUMMYFUNCTION("""COMPUTED_VALUE"""),103.66)</f>
        <v>103.66</v>
      </c>
      <c r="F1925" s="1">
        <f>IFERROR(__xludf.DUMMYFUNCTION("""COMPUTED_VALUE"""),569025.0)</f>
        <v>569025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IFERROR(__xludf.DUMMYFUNCTION("""COMPUTED_VALUE"""),103.82)</f>
        <v>103.82</v>
      </c>
      <c r="C1926" s="1">
        <f>IFERROR(__xludf.DUMMYFUNCTION("""COMPUTED_VALUE"""),105.42)</f>
        <v>105.42</v>
      </c>
      <c r="D1926" s="1">
        <f>IFERROR(__xludf.DUMMYFUNCTION("""COMPUTED_VALUE"""),103.52)</f>
        <v>103.52</v>
      </c>
      <c r="E1926" s="1">
        <f>IFERROR(__xludf.DUMMYFUNCTION("""COMPUTED_VALUE"""),104.99)</f>
        <v>104.99</v>
      </c>
      <c r="F1926" s="1">
        <f>IFERROR(__xludf.DUMMYFUNCTION("""COMPUTED_VALUE"""),266400.0)</f>
        <v>266400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IFERROR(__xludf.DUMMYFUNCTION("""COMPUTED_VALUE"""),105.33)</f>
        <v>105.33</v>
      </c>
      <c r="C1927" s="1">
        <f>IFERROR(__xludf.DUMMYFUNCTION("""COMPUTED_VALUE"""),106.19)</f>
        <v>106.19</v>
      </c>
      <c r="D1927" s="1">
        <f>IFERROR(__xludf.DUMMYFUNCTION("""COMPUTED_VALUE"""),104.97)</f>
        <v>104.97</v>
      </c>
      <c r="E1927" s="1">
        <f>IFERROR(__xludf.DUMMYFUNCTION("""COMPUTED_VALUE"""),105.03)</f>
        <v>105.03</v>
      </c>
      <c r="F1927" s="1">
        <f>IFERROR(__xludf.DUMMYFUNCTION("""COMPUTED_VALUE"""),428326.0)</f>
        <v>428326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IFERROR(__xludf.DUMMYFUNCTION("""COMPUTED_VALUE"""),105.27)</f>
        <v>105.27</v>
      </c>
      <c r="C1928" s="1">
        <f>IFERROR(__xludf.DUMMYFUNCTION("""COMPUTED_VALUE"""),106.44)</f>
        <v>106.44</v>
      </c>
      <c r="D1928" s="1">
        <f>IFERROR(__xludf.DUMMYFUNCTION("""COMPUTED_VALUE"""),105.1)</f>
        <v>105.1</v>
      </c>
      <c r="E1928" s="1">
        <f>IFERROR(__xludf.DUMMYFUNCTION("""COMPUTED_VALUE"""),105.81)</f>
        <v>105.81</v>
      </c>
      <c r="F1928" s="1">
        <f>IFERROR(__xludf.DUMMYFUNCTION("""COMPUTED_VALUE"""),346540.0)</f>
        <v>346540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IFERROR(__xludf.DUMMYFUNCTION("""COMPUTED_VALUE"""),105.86)</f>
        <v>105.86</v>
      </c>
      <c r="C1929" s="1">
        <f>IFERROR(__xludf.DUMMYFUNCTION("""COMPUTED_VALUE"""),106.64)</f>
        <v>106.64</v>
      </c>
      <c r="D1929" s="1">
        <f>IFERROR(__xludf.DUMMYFUNCTION("""COMPUTED_VALUE"""),105.66)</f>
        <v>105.66</v>
      </c>
      <c r="E1929" s="1">
        <f>IFERROR(__xludf.DUMMYFUNCTION("""COMPUTED_VALUE"""),106.43)</f>
        <v>106.43</v>
      </c>
      <c r="F1929" s="1">
        <f>IFERROR(__xludf.DUMMYFUNCTION("""COMPUTED_VALUE"""),469149.0)</f>
        <v>469149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IFERROR(__xludf.DUMMYFUNCTION("""COMPUTED_VALUE"""),106.21)</f>
        <v>106.21</v>
      </c>
      <c r="C1930" s="1">
        <f>IFERROR(__xludf.DUMMYFUNCTION("""COMPUTED_VALUE"""),107.39)</f>
        <v>107.39</v>
      </c>
      <c r="D1930" s="1">
        <f>IFERROR(__xludf.DUMMYFUNCTION("""COMPUTED_VALUE"""),105.94)</f>
        <v>105.94</v>
      </c>
      <c r="E1930" s="1">
        <f>IFERROR(__xludf.DUMMYFUNCTION("""COMPUTED_VALUE"""),106.8)</f>
        <v>106.8</v>
      </c>
      <c r="F1930" s="1">
        <f>IFERROR(__xludf.DUMMYFUNCTION("""COMPUTED_VALUE"""),347542.0)</f>
        <v>347542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IFERROR(__xludf.DUMMYFUNCTION("""COMPUTED_VALUE"""),107.07)</f>
        <v>107.07</v>
      </c>
      <c r="C1931" s="1">
        <f>IFERROR(__xludf.DUMMYFUNCTION("""COMPUTED_VALUE"""),108.85)</f>
        <v>108.85</v>
      </c>
      <c r="D1931" s="1">
        <f>IFERROR(__xludf.DUMMYFUNCTION("""COMPUTED_VALUE"""),107.07)</f>
        <v>107.07</v>
      </c>
      <c r="E1931" s="1">
        <f>IFERROR(__xludf.DUMMYFUNCTION("""COMPUTED_VALUE"""),108.8)</f>
        <v>108.8</v>
      </c>
      <c r="F1931" s="1">
        <f>IFERROR(__xludf.DUMMYFUNCTION("""COMPUTED_VALUE"""),396951.0)</f>
        <v>396951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IFERROR(__xludf.DUMMYFUNCTION("""COMPUTED_VALUE"""),108.93)</f>
        <v>108.93</v>
      </c>
      <c r="C1932" s="1">
        <f>IFERROR(__xludf.DUMMYFUNCTION("""COMPUTED_VALUE"""),109.38)</f>
        <v>109.38</v>
      </c>
      <c r="D1932" s="1">
        <f>IFERROR(__xludf.DUMMYFUNCTION("""COMPUTED_VALUE"""),108.08)</f>
        <v>108.08</v>
      </c>
      <c r="E1932" s="1">
        <f>IFERROR(__xludf.DUMMYFUNCTION("""COMPUTED_VALUE"""),108.22)</f>
        <v>108.22</v>
      </c>
      <c r="F1932" s="1">
        <f>IFERROR(__xludf.DUMMYFUNCTION("""COMPUTED_VALUE"""),326677.0)</f>
        <v>326677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IFERROR(__xludf.DUMMYFUNCTION("""COMPUTED_VALUE"""),107.95)</f>
        <v>107.95</v>
      </c>
      <c r="C1933" s="1">
        <f>IFERROR(__xludf.DUMMYFUNCTION("""COMPUTED_VALUE"""),108.91)</f>
        <v>108.91</v>
      </c>
      <c r="D1933" s="1">
        <f>IFERROR(__xludf.DUMMYFUNCTION("""COMPUTED_VALUE"""),106.9)</f>
        <v>106.9</v>
      </c>
      <c r="E1933" s="1">
        <f>IFERROR(__xludf.DUMMYFUNCTION("""COMPUTED_VALUE"""),107.45)</f>
        <v>107.45</v>
      </c>
      <c r="F1933" s="1">
        <f>IFERROR(__xludf.DUMMYFUNCTION("""COMPUTED_VALUE"""),357127.0)</f>
        <v>357127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IFERROR(__xludf.DUMMYFUNCTION("""COMPUTED_VALUE"""),108.15)</f>
        <v>108.15</v>
      </c>
      <c r="C1934" s="1">
        <f>IFERROR(__xludf.DUMMYFUNCTION("""COMPUTED_VALUE"""),108.27)</f>
        <v>108.27</v>
      </c>
      <c r="D1934" s="1">
        <f>IFERROR(__xludf.DUMMYFUNCTION("""COMPUTED_VALUE"""),106.84)</f>
        <v>106.84</v>
      </c>
      <c r="E1934" s="1">
        <f>IFERROR(__xludf.DUMMYFUNCTION("""COMPUTED_VALUE"""),107.86)</f>
        <v>107.86</v>
      </c>
      <c r="F1934" s="1">
        <f>IFERROR(__xludf.DUMMYFUNCTION("""COMPUTED_VALUE"""),450896.0)</f>
        <v>450896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IFERROR(__xludf.DUMMYFUNCTION("""COMPUTED_VALUE"""),108.25)</f>
        <v>108.25</v>
      </c>
      <c r="C1935" s="1">
        <f>IFERROR(__xludf.DUMMYFUNCTION("""COMPUTED_VALUE"""),109.27)</f>
        <v>109.27</v>
      </c>
      <c r="D1935" s="1">
        <f>IFERROR(__xludf.DUMMYFUNCTION("""COMPUTED_VALUE"""),107.31)</f>
        <v>107.31</v>
      </c>
      <c r="E1935" s="1">
        <f>IFERROR(__xludf.DUMMYFUNCTION("""COMPUTED_VALUE"""),109.25)</f>
        <v>109.25</v>
      </c>
      <c r="F1935" s="1">
        <f>IFERROR(__xludf.DUMMYFUNCTION("""COMPUTED_VALUE"""),353591.0)</f>
        <v>353591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IFERROR(__xludf.DUMMYFUNCTION("""COMPUTED_VALUE"""),108.71)</f>
        <v>108.71</v>
      </c>
      <c r="C1936" s="1">
        <f>IFERROR(__xludf.DUMMYFUNCTION("""COMPUTED_VALUE"""),109.59)</f>
        <v>109.59</v>
      </c>
      <c r="D1936" s="1">
        <f>IFERROR(__xludf.DUMMYFUNCTION("""COMPUTED_VALUE"""),108.07)</f>
        <v>108.07</v>
      </c>
      <c r="E1936" s="1">
        <f>IFERROR(__xludf.DUMMYFUNCTION("""COMPUTED_VALUE"""),108.18)</f>
        <v>108.18</v>
      </c>
      <c r="F1936" s="1">
        <f>IFERROR(__xludf.DUMMYFUNCTION("""COMPUTED_VALUE"""),485240.0)</f>
        <v>485240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IFERROR(__xludf.DUMMYFUNCTION("""COMPUTED_VALUE"""),108.93)</f>
        <v>108.93</v>
      </c>
      <c r="C1937" s="1">
        <f>IFERROR(__xludf.DUMMYFUNCTION("""COMPUTED_VALUE"""),108.93)</f>
        <v>108.93</v>
      </c>
      <c r="D1937" s="1">
        <f>IFERROR(__xludf.DUMMYFUNCTION("""COMPUTED_VALUE"""),107.86)</f>
        <v>107.86</v>
      </c>
      <c r="E1937" s="1">
        <f>IFERROR(__xludf.DUMMYFUNCTION("""COMPUTED_VALUE"""),108.57)</f>
        <v>108.57</v>
      </c>
      <c r="F1937" s="1">
        <f>IFERROR(__xludf.DUMMYFUNCTION("""COMPUTED_VALUE"""),493633.0)</f>
        <v>493633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IFERROR(__xludf.DUMMYFUNCTION("""COMPUTED_VALUE"""),108.66)</f>
        <v>108.66</v>
      </c>
      <c r="C1938" s="1">
        <f>IFERROR(__xludf.DUMMYFUNCTION("""COMPUTED_VALUE"""),109.26)</f>
        <v>109.26</v>
      </c>
      <c r="D1938" s="1">
        <f>IFERROR(__xludf.DUMMYFUNCTION("""COMPUTED_VALUE"""),108.06)</f>
        <v>108.06</v>
      </c>
      <c r="E1938" s="1">
        <f>IFERROR(__xludf.DUMMYFUNCTION("""COMPUTED_VALUE"""),109.26)</f>
        <v>109.26</v>
      </c>
      <c r="F1938" s="1">
        <f>IFERROR(__xludf.DUMMYFUNCTION("""COMPUTED_VALUE"""),462360.0)</f>
        <v>462360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IFERROR(__xludf.DUMMYFUNCTION("""COMPUTED_VALUE"""),109.16)</f>
        <v>109.16</v>
      </c>
      <c r="C1939" s="1">
        <f>IFERROR(__xludf.DUMMYFUNCTION("""COMPUTED_VALUE"""),109.43)</f>
        <v>109.43</v>
      </c>
      <c r="D1939" s="1">
        <f>IFERROR(__xludf.DUMMYFUNCTION("""COMPUTED_VALUE"""),107.39)</f>
        <v>107.39</v>
      </c>
      <c r="E1939" s="1">
        <f>IFERROR(__xludf.DUMMYFUNCTION("""COMPUTED_VALUE"""),107.53)</f>
        <v>107.53</v>
      </c>
      <c r="F1939" s="1">
        <f>IFERROR(__xludf.DUMMYFUNCTION("""COMPUTED_VALUE"""),552818.0)</f>
        <v>552818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IFERROR(__xludf.DUMMYFUNCTION("""COMPUTED_VALUE"""),107.36)</f>
        <v>107.36</v>
      </c>
      <c r="C1940" s="1">
        <f>IFERROR(__xludf.DUMMYFUNCTION("""COMPUTED_VALUE"""),108.22)</f>
        <v>108.22</v>
      </c>
      <c r="D1940" s="1">
        <f>IFERROR(__xludf.DUMMYFUNCTION("""COMPUTED_VALUE"""),106.07)</f>
        <v>106.07</v>
      </c>
      <c r="E1940" s="1">
        <f>IFERROR(__xludf.DUMMYFUNCTION("""COMPUTED_VALUE"""),106.31)</f>
        <v>106.31</v>
      </c>
      <c r="F1940" s="1">
        <f>IFERROR(__xludf.DUMMYFUNCTION("""COMPUTED_VALUE"""),489499.0)</f>
        <v>489499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IFERROR(__xludf.DUMMYFUNCTION("""COMPUTED_VALUE"""),106.02)</f>
        <v>106.02</v>
      </c>
      <c r="C1941" s="1">
        <f>IFERROR(__xludf.DUMMYFUNCTION("""COMPUTED_VALUE"""),106.53)</f>
        <v>106.53</v>
      </c>
      <c r="D1941" s="1">
        <f>IFERROR(__xludf.DUMMYFUNCTION("""COMPUTED_VALUE"""),105.32)</f>
        <v>105.32</v>
      </c>
      <c r="E1941" s="1">
        <f>IFERROR(__xludf.DUMMYFUNCTION("""COMPUTED_VALUE"""),106.02)</f>
        <v>106.02</v>
      </c>
      <c r="F1941" s="1">
        <f>IFERROR(__xludf.DUMMYFUNCTION("""COMPUTED_VALUE"""),572862.0)</f>
        <v>572862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IFERROR(__xludf.DUMMYFUNCTION("""COMPUTED_VALUE"""),106.35)</f>
        <v>106.35</v>
      </c>
      <c r="C1942" s="1">
        <f>IFERROR(__xludf.DUMMYFUNCTION("""COMPUTED_VALUE"""),107.47)</f>
        <v>107.47</v>
      </c>
      <c r="D1942" s="1">
        <f>IFERROR(__xludf.DUMMYFUNCTION("""COMPUTED_VALUE"""),105.87)</f>
        <v>105.87</v>
      </c>
      <c r="E1942" s="1">
        <f>IFERROR(__xludf.DUMMYFUNCTION("""COMPUTED_VALUE"""),107.29)</f>
        <v>107.29</v>
      </c>
      <c r="F1942" s="1">
        <f>IFERROR(__xludf.DUMMYFUNCTION("""COMPUTED_VALUE"""),401166.0)</f>
        <v>401166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IFERROR(__xludf.DUMMYFUNCTION("""COMPUTED_VALUE"""),107.25)</f>
        <v>107.25</v>
      </c>
      <c r="C1943" s="1">
        <f>IFERROR(__xludf.DUMMYFUNCTION("""COMPUTED_VALUE"""),107.32)</f>
        <v>107.32</v>
      </c>
      <c r="D1943" s="1">
        <f>IFERROR(__xludf.DUMMYFUNCTION("""COMPUTED_VALUE"""),105.52)</f>
        <v>105.52</v>
      </c>
      <c r="E1943" s="1">
        <f>IFERROR(__xludf.DUMMYFUNCTION("""COMPUTED_VALUE"""),105.68)</f>
        <v>105.68</v>
      </c>
      <c r="F1943" s="1">
        <f>IFERROR(__xludf.DUMMYFUNCTION("""COMPUTED_VALUE"""),404609.0)</f>
        <v>404609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IFERROR(__xludf.DUMMYFUNCTION("""COMPUTED_VALUE"""),105.58)</f>
        <v>105.58</v>
      </c>
      <c r="C1944" s="1">
        <f>IFERROR(__xludf.DUMMYFUNCTION("""COMPUTED_VALUE"""),106.48)</f>
        <v>106.48</v>
      </c>
      <c r="D1944" s="1">
        <f>IFERROR(__xludf.DUMMYFUNCTION("""COMPUTED_VALUE"""),105.13)</f>
        <v>105.13</v>
      </c>
      <c r="E1944" s="1">
        <f>IFERROR(__xludf.DUMMYFUNCTION("""COMPUTED_VALUE"""),105.8)</f>
        <v>105.8</v>
      </c>
      <c r="F1944" s="1">
        <f>IFERROR(__xludf.DUMMYFUNCTION("""COMPUTED_VALUE"""),571137.0)</f>
        <v>571137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IFERROR(__xludf.DUMMYFUNCTION("""COMPUTED_VALUE"""),105.68)</f>
        <v>105.68</v>
      </c>
      <c r="C1945" s="1">
        <f>IFERROR(__xludf.DUMMYFUNCTION("""COMPUTED_VALUE"""),105.97)</f>
        <v>105.97</v>
      </c>
      <c r="D1945" s="1">
        <f>IFERROR(__xludf.DUMMYFUNCTION("""COMPUTED_VALUE"""),105.22)</f>
        <v>105.22</v>
      </c>
      <c r="E1945" s="1">
        <f>IFERROR(__xludf.DUMMYFUNCTION("""COMPUTED_VALUE"""),105.38)</f>
        <v>105.38</v>
      </c>
      <c r="F1945" s="1">
        <f>IFERROR(__xludf.DUMMYFUNCTION("""COMPUTED_VALUE"""),229597.0)</f>
        <v>229597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IFERROR(__xludf.DUMMYFUNCTION("""COMPUTED_VALUE"""),105.52)</f>
        <v>105.52</v>
      </c>
      <c r="C1946" s="1">
        <f>IFERROR(__xludf.DUMMYFUNCTION("""COMPUTED_VALUE"""),105.83)</f>
        <v>105.83</v>
      </c>
      <c r="D1946" s="1">
        <f>IFERROR(__xludf.DUMMYFUNCTION("""COMPUTED_VALUE"""),104.3)</f>
        <v>104.3</v>
      </c>
      <c r="E1946" s="1">
        <f>IFERROR(__xludf.DUMMYFUNCTION("""COMPUTED_VALUE"""),105.51)</f>
        <v>105.51</v>
      </c>
      <c r="F1946" s="1">
        <f>IFERROR(__xludf.DUMMYFUNCTION("""COMPUTED_VALUE"""),428696.0)</f>
        <v>428696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IFERROR(__xludf.DUMMYFUNCTION("""COMPUTED_VALUE"""),105.24)</f>
        <v>105.24</v>
      </c>
      <c r="C1947" s="1">
        <f>IFERROR(__xludf.DUMMYFUNCTION("""COMPUTED_VALUE"""),106.33)</f>
        <v>106.33</v>
      </c>
      <c r="D1947" s="1">
        <f>IFERROR(__xludf.DUMMYFUNCTION("""COMPUTED_VALUE"""),104.45)</f>
        <v>104.45</v>
      </c>
      <c r="E1947" s="1">
        <f>IFERROR(__xludf.DUMMYFUNCTION("""COMPUTED_VALUE"""),105.84)</f>
        <v>105.84</v>
      </c>
      <c r="F1947" s="1">
        <f>IFERROR(__xludf.DUMMYFUNCTION("""COMPUTED_VALUE"""),251177.0)</f>
        <v>251177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IFERROR(__xludf.DUMMYFUNCTION("""COMPUTED_VALUE"""),105.82)</f>
        <v>105.82</v>
      </c>
      <c r="C1948" s="1">
        <f>IFERROR(__xludf.DUMMYFUNCTION("""COMPUTED_VALUE"""),106.19)</f>
        <v>106.19</v>
      </c>
      <c r="D1948" s="1">
        <f>IFERROR(__xludf.DUMMYFUNCTION("""COMPUTED_VALUE"""),105.0)</f>
        <v>105</v>
      </c>
      <c r="E1948" s="1">
        <f>IFERROR(__xludf.DUMMYFUNCTION("""COMPUTED_VALUE"""),105.43)</f>
        <v>105.43</v>
      </c>
      <c r="F1948" s="1">
        <f>IFERROR(__xludf.DUMMYFUNCTION("""COMPUTED_VALUE"""),328796.0)</f>
        <v>328796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IFERROR(__xludf.DUMMYFUNCTION("""COMPUTED_VALUE"""),105.96)</f>
        <v>105.96</v>
      </c>
      <c r="C1949" s="1">
        <f>IFERROR(__xludf.DUMMYFUNCTION("""COMPUTED_VALUE"""),107.31)</f>
        <v>107.31</v>
      </c>
      <c r="D1949" s="1">
        <f>IFERROR(__xludf.DUMMYFUNCTION("""COMPUTED_VALUE"""),105.89)</f>
        <v>105.89</v>
      </c>
      <c r="E1949" s="1">
        <f>IFERROR(__xludf.DUMMYFUNCTION("""COMPUTED_VALUE"""),107.03)</f>
        <v>107.03</v>
      </c>
      <c r="F1949" s="1">
        <f>IFERROR(__xludf.DUMMYFUNCTION("""COMPUTED_VALUE"""),297816.0)</f>
        <v>297816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IFERROR(__xludf.DUMMYFUNCTION("""COMPUTED_VALUE"""),106.9)</f>
        <v>106.9</v>
      </c>
      <c r="C1950" s="1">
        <f>IFERROR(__xludf.DUMMYFUNCTION("""COMPUTED_VALUE"""),107.34)</f>
        <v>107.34</v>
      </c>
      <c r="D1950" s="1">
        <f>IFERROR(__xludf.DUMMYFUNCTION("""COMPUTED_VALUE"""),106.47)</f>
        <v>106.47</v>
      </c>
      <c r="E1950" s="1">
        <f>IFERROR(__xludf.DUMMYFUNCTION("""COMPUTED_VALUE"""),106.93)</f>
        <v>106.93</v>
      </c>
      <c r="F1950" s="1">
        <f>IFERROR(__xludf.DUMMYFUNCTION("""COMPUTED_VALUE"""),295185.0)</f>
        <v>295185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IFERROR(__xludf.DUMMYFUNCTION("""COMPUTED_VALUE"""),106.94)</f>
        <v>106.94</v>
      </c>
      <c r="C1951" s="1">
        <f>IFERROR(__xludf.DUMMYFUNCTION("""COMPUTED_VALUE"""),108.41)</f>
        <v>108.41</v>
      </c>
      <c r="D1951" s="1">
        <f>IFERROR(__xludf.DUMMYFUNCTION("""COMPUTED_VALUE"""),106.84)</f>
        <v>106.84</v>
      </c>
      <c r="E1951" s="1">
        <f>IFERROR(__xludf.DUMMYFUNCTION("""COMPUTED_VALUE"""),108.02)</f>
        <v>108.02</v>
      </c>
      <c r="F1951" s="1">
        <f>IFERROR(__xludf.DUMMYFUNCTION("""COMPUTED_VALUE"""),330920.0)</f>
        <v>330920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IFERROR(__xludf.DUMMYFUNCTION("""COMPUTED_VALUE"""),108.05)</f>
        <v>108.05</v>
      </c>
      <c r="C1952" s="1">
        <f>IFERROR(__xludf.DUMMYFUNCTION("""COMPUTED_VALUE"""),109.0)</f>
        <v>109</v>
      </c>
      <c r="D1952" s="1">
        <f>IFERROR(__xludf.DUMMYFUNCTION("""COMPUTED_VALUE"""),107.99)</f>
        <v>107.99</v>
      </c>
      <c r="E1952" s="1">
        <f>IFERROR(__xludf.DUMMYFUNCTION("""COMPUTED_VALUE"""),108.93)</f>
        <v>108.93</v>
      </c>
      <c r="F1952" s="1">
        <f>IFERROR(__xludf.DUMMYFUNCTION("""COMPUTED_VALUE"""),443420.0)</f>
        <v>443420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IFERROR(__xludf.DUMMYFUNCTION("""COMPUTED_VALUE"""),108.92)</f>
        <v>108.92</v>
      </c>
      <c r="C1953" s="1">
        <f>IFERROR(__xludf.DUMMYFUNCTION("""COMPUTED_VALUE"""),109.42)</f>
        <v>109.42</v>
      </c>
      <c r="D1953" s="1">
        <f>IFERROR(__xludf.DUMMYFUNCTION("""COMPUTED_VALUE"""),108.61)</f>
        <v>108.61</v>
      </c>
      <c r="E1953" s="1">
        <f>IFERROR(__xludf.DUMMYFUNCTION("""COMPUTED_VALUE"""),109.32)</f>
        <v>109.32</v>
      </c>
      <c r="F1953" s="1">
        <f>IFERROR(__xludf.DUMMYFUNCTION("""COMPUTED_VALUE"""),293937.0)</f>
        <v>293937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IFERROR(__xludf.DUMMYFUNCTION("""COMPUTED_VALUE"""),109.3)</f>
        <v>109.3</v>
      </c>
      <c r="C1954" s="1">
        <f>IFERROR(__xludf.DUMMYFUNCTION("""COMPUTED_VALUE"""),109.74)</f>
        <v>109.74</v>
      </c>
      <c r="D1954" s="1">
        <f>IFERROR(__xludf.DUMMYFUNCTION("""COMPUTED_VALUE"""),108.78)</f>
        <v>108.78</v>
      </c>
      <c r="E1954" s="1">
        <f>IFERROR(__xludf.DUMMYFUNCTION("""COMPUTED_VALUE"""),109.58)</f>
        <v>109.58</v>
      </c>
      <c r="F1954" s="1">
        <f>IFERROR(__xludf.DUMMYFUNCTION("""COMPUTED_VALUE"""),268828.0)</f>
        <v>268828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IFERROR(__xludf.DUMMYFUNCTION("""COMPUTED_VALUE"""),109.72)</f>
        <v>109.72</v>
      </c>
      <c r="C1955" s="1">
        <f>IFERROR(__xludf.DUMMYFUNCTION("""COMPUTED_VALUE"""),110.52)</f>
        <v>110.52</v>
      </c>
      <c r="D1955" s="1">
        <f>IFERROR(__xludf.DUMMYFUNCTION("""COMPUTED_VALUE"""),109.02)</f>
        <v>109.02</v>
      </c>
      <c r="E1955" s="1">
        <f>IFERROR(__xludf.DUMMYFUNCTION("""COMPUTED_VALUE"""),110.12)</f>
        <v>110.12</v>
      </c>
      <c r="F1955" s="1">
        <f>IFERROR(__xludf.DUMMYFUNCTION("""COMPUTED_VALUE"""),373130.0)</f>
        <v>373130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IFERROR(__xludf.DUMMYFUNCTION("""COMPUTED_VALUE"""),109.91)</f>
        <v>109.91</v>
      </c>
      <c r="C1956" s="1">
        <f>IFERROR(__xludf.DUMMYFUNCTION("""COMPUTED_VALUE"""),110.59)</f>
        <v>110.59</v>
      </c>
      <c r="D1956" s="1">
        <f>IFERROR(__xludf.DUMMYFUNCTION("""COMPUTED_VALUE"""),109.27)</f>
        <v>109.27</v>
      </c>
      <c r="E1956" s="1">
        <f>IFERROR(__xludf.DUMMYFUNCTION("""COMPUTED_VALUE"""),109.9)</f>
        <v>109.9</v>
      </c>
      <c r="F1956" s="1">
        <f>IFERROR(__xludf.DUMMYFUNCTION("""COMPUTED_VALUE"""),207181.0)</f>
        <v>207181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IFERROR(__xludf.DUMMYFUNCTION("""COMPUTED_VALUE"""),110.57)</f>
        <v>110.57</v>
      </c>
      <c r="C1957" s="1">
        <f>IFERROR(__xludf.DUMMYFUNCTION("""COMPUTED_VALUE"""),110.82)</f>
        <v>110.82</v>
      </c>
      <c r="D1957" s="1">
        <f>IFERROR(__xludf.DUMMYFUNCTION("""COMPUTED_VALUE"""),109.5)</f>
        <v>109.5</v>
      </c>
      <c r="E1957" s="1">
        <f>IFERROR(__xludf.DUMMYFUNCTION("""COMPUTED_VALUE"""),110.46)</f>
        <v>110.46</v>
      </c>
      <c r="F1957" s="1">
        <f>IFERROR(__xludf.DUMMYFUNCTION("""COMPUTED_VALUE"""),221350.0)</f>
        <v>221350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IFERROR(__xludf.DUMMYFUNCTION("""COMPUTED_VALUE"""),110.82)</f>
        <v>110.82</v>
      </c>
      <c r="C1958" s="1">
        <f>IFERROR(__xludf.DUMMYFUNCTION("""COMPUTED_VALUE"""),111.84)</f>
        <v>111.84</v>
      </c>
      <c r="D1958" s="1">
        <f>IFERROR(__xludf.DUMMYFUNCTION("""COMPUTED_VALUE"""),110.82)</f>
        <v>110.82</v>
      </c>
      <c r="E1958" s="1">
        <f>IFERROR(__xludf.DUMMYFUNCTION("""COMPUTED_VALUE"""),111.8)</f>
        <v>111.8</v>
      </c>
      <c r="F1958" s="1">
        <f>IFERROR(__xludf.DUMMYFUNCTION("""COMPUTED_VALUE"""),246651.0)</f>
        <v>246651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IFERROR(__xludf.DUMMYFUNCTION("""COMPUTED_VALUE"""),111.74)</f>
        <v>111.74</v>
      </c>
      <c r="C1959" s="1">
        <f>IFERROR(__xludf.DUMMYFUNCTION("""COMPUTED_VALUE"""),112.97)</f>
        <v>112.97</v>
      </c>
      <c r="D1959" s="1">
        <f>IFERROR(__xludf.DUMMYFUNCTION("""COMPUTED_VALUE"""),111.74)</f>
        <v>111.74</v>
      </c>
      <c r="E1959" s="1">
        <f>IFERROR(__xludf.DUMMYFUNCTION("""COMPUTED_VALUE"""),112.8)</f>
        <v>112.8</v>
      </c>
      <c r="F1959" s="1">
        <f>IFERROR(__xludf.DUMMYFUNCTION("""COMPUTED_VALUE"""),272244.0)</f>
        <v>272244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IFERROR(__xludf.DUMMYFUNCTION("""COMPUTED_VALUE"""),112.65)</f>
        <v>112.65</v>
      </c>
      <c r="C1960" s="1">
        <f>IFERROR(__xludf.DUMMYFUNCTION("""COMPUTED_VALUE"""),113.83)</f>
        <v>113.83</v>
      </c>
      <c r="D1960" s="1">
        <f>IFERROR(__xludf.DUMMYFUNCTION("""COMPUTED_VALUE"""),112.35)</f>
        <v>112.35</v>
      </c>
      <c r="E1960" s="1">
        <f>IFERROR(__xludf.DUMMYFUNCTION("""COMPUTED_VALUE"""),112.59)</f>
        <v>112.59</v>
      </c>
      <c r="F1960" s="1">
        <f>IFERROR(__xludf.DUMMYFUNCTION("""COMPUTED_VALUE"""),428894.0)</f>
        <v>428894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IFERROR(__xludf.DUMMYFUNCTION("""COMPUTED_VALUE"""),112.75)</f>
        <v>112.75</v>
      </c>
      <c r="C1961" s="1">
        <f>IFERROR(__xludf.DUMMYFUNCTION("""COMPUTED_VALUE"""),113.17)</f>
        <v>113.17</v>
      </c>
      <c r="D1961" s="1">
        <f>IFERROR(__xludf.DUMMYFUNCTION("""COMPUTED_VALUE"""),111.9)</f>
        <v>111.9</v>
      </c>
      <c r="E1961" s="1">
        <f>IFERROR(__xludf.DUMMYFUNCTION("""COMPUTED_VALUE"""),112.92)</f>
        <v>112.92</v>
      </c>
      <c r="F1961" s="1">
        <f>IFERROR(__xludf.DUMMYFUNCTION("""COMPUTED_VALUE"""),250821.0)</f>
        <v>250821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IFERROR(__xludf.DUMMYFUNCTION("""COMPUTED_VALUE"""),113.77)</f>
        <v>113.77</v>
      </c>
      <c r="C1962" s="1">
        <f>IFERROR(__xludf.DUMMYFUNCTION("""COMPUTED_VALUE"""),114.61)</f>
        <v>114.61</v>
      </c>
      <c r="D1962" s="1">
        <f>IFERROR(__xludf.DUMMYFUNCTION("""COMPUTED_VALUE"""),112.94)</f>
        <v>112.94</v>
      </c>
      <c r="E1962" s="1">
        <f>IFERROR(__xludf.DUMMYFUNCTION("""COMPUTED_VALUE"""),114.07)</f>
        <v>114.07</v>
      </c>
      <c r="F1962" s="1">
        <f>IFERROR(__xludf.DUMMYFUNCTION("""COMPUTED_VALUE"""),265098.0)</f>
        <v>265098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IFERROR(__xludf.DUMMYFUNCTION("""COMPUTED_VALUE"""),114.02)</f>
        <v>114.02</v>
      </c>
      <c r="C1963" s="1">
        <f>IFERROR(__xludf.DUMMYFUNCTION("""COMPUTED_VALUE"""),114.5)</f>
        <v>114.5</v>
      </c>
      <c r="D1963" s="1">
        <f>IFERROR(__xludf.DUMMYFUNCTION("""COMPUTED_VALUE"""),113.81)</f>
        <v>113.81</v>
      </c>
      <c r="E1963" s="1">
        <f>IFERROR(__xludf.DUMMYFUNCTION("""COMPUTED_VALUE"""),114.23)</f>
        <v>114.23</v>
      </c>
      <c r="F1963" s="1">
        <f>IFERROR(__xludf.DUMMYFUNCTION("""COMPUTED_VALUE"""),171888.0)</f>
        <v>171888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IFERROR(__xludf.DUMMYFUNCTION("""COMPUTED_VALUE"""),114.58)</f>
        <v>114.58</v>
      </c>
      <c r="C1964" s="1">
        <f>IFERROR(__xludf.DUMMYFUNCTION("""COMPUTED_VALUE"""),114.94)</f>
        <v>114.94</v>
      </c>
      <c r="D1964" s="1">
        <f>IFERROR(__xludf.DUMMYFUNCTION("""COMPUTED_VALUE"""),114.01)</f>
        <v>114.01</v>
      </c>
      <c r="E1964" s="1">
        <f>IFERROR(__xludf.DUMMYFUNCTION("""COMPUTED_VALUE"""),114.7)</f>
        <v>114.7</v>
      </c>
      <c r="F1964" s="1">
        <f>IFERROR(__xludf.DUMMYFUNCTION("""COMPUTED_VALUE"""),264321.0)</f>
        <v>264321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IFERROR(__xludf.DUMMYFUNCTION("""COMPUTED_VALUE"""),114.76)</f>
        <v>114.76</v>
      </c>
      <c r="C1965" s="1">
        <f>IFERROR(__xludf.DUMMYFUNCTION("""COMPUTED_VALUE"""),115.6)</f>
        <v>115.6</v>
      </c>
      <c r="D1965" s="1">
        <f>IFERROR(__xludf.DUMMYFUNCTION("""COMPUTED_VALUE"""),114.17)</f>
        <v>114.17</v>
      </c>
      <c r="E1965" s="1">
        <f>IFERROR(__xludf.DUMMYFUNCTION("""COMPUTED_VALUE"""),115.35)</f>
        <v>115.35</v>
      </c>
      <c r="F1965" s="1">
        <f>IFERROR(__xludf.DUMMYFUNCTION("""COMPUTED_VALUE"""),498602.0)</f>
        <v>498602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IFERROR(__xludf.DUMMYFUNCTION("""COMPUTED_VALUE"""),115.66)</f>
        <v>115.66</v>
      </c>
      <c r="C1966" s="1">
        <f>IFERROR(__xludf.DUMMYFUNCTION("""COMPUTED_VALUE"""),115.96)</f>
        <v>115.96</v>
      </c>
      <c r="D1966" s="1">
        <f>IFERROR(__xludf.DUMMYFUNCTION("""COMPUTED_VALUE"""),114.84)</f>
        <v>114.84</v>
      </c>
      <c r="E1966" s="1">
        <f>IFERROR(__xludf.DUMMYFUNCTION("""COMPUTED_VALUE"""),115.17)</f>
        <v>115.17</v>
      </c>
      <c r="F1966" s="1">
        <f>IFERROR(__xludf.DUMMYFUNCTION("""COMPUTED_VALUE"""),324047.0)</f>
        <v>324047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IFERROR(__xludf.DUMMYFUNCTION("""COMPUTED_VALUE"""),115.37)</f>
        <v>115.37</v>
      </c>
      <c r="C1967" s="1">
        <f>IFERROR(__xludf.DUMMYFUNCTION("""COMPUTED_VALUE"""),115.44)</f>
        <v>115.44</v>
      </c>
      <c r="D1967" s="1">
        <f>IFERROR(__xludf.DUMMYFUNCTION("""COMPUTED_VALUE"""),114.3)</f>
        <v>114.3</v>
      </c>
      <c r="E1967" s="1">
        <f>IFERROR(__xludf.DUMMYFUNCTION("""COMPUTED_VALUE"""),114.91)</f>
        <v>114.91</v>
      </c>
      <c r="F1967" s="1">
        <f>IFERROR(__xludf.DUMMYFUNCTION("""COMPUTED_VALUE"""),207186.0)</f>
        <v>207186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IFERROR(__xludf.DUMMYFUNCTION("""COMPUTED_VALUE"""),115.42)</f>
        <v>115.42</v>
      </c>
      <c r="C1968" s="1">
        <f>IFERROR(__xludf.DUMMYFUNCTION("""COMPUTED_VALUE"""),115.42)</f>
        <v>115.42</v>
      </c>
      <c r="D1968" s="1">
        <f>IFERROR(__xludf.DUMMYFUNCTION("""COMPUTED_VALUE"""),113.45)</f>
        <v>113.45</v>
      </c>
      <c r="E1968" s="1">
        <f>IFERROR(__xludf.DUMMYFUNCTION("""COMPUTED_VALUE"""),114.81)</f>
        <v>114.81</v>
      </c>
      <c r="F1968" s="1">
        <f>IFERROR(__xludf.DUMMYFUNCTION("""COMPUTED_VALUE"""),214059.0)</f>
        <v>214059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IFERROR(__xludf.DUMMYFUNCTION("""COMPUTED_VALUE"""),115.27)</f>
        <v>115.27</v>
      </c>
      <c r="C1969" s="1">
        <f>IFERROR(__xludf.DUMMYFUNCTION("""COMPUTED_VALUE"""),115.5)</f>
        <v>115.5</v>
      </c>
      <c r="D1969" s="1">
        <f>IFERROR(__xludf.DUMMYFUNCTION("""COMPUTED_VALUE"""),114.39)</f>
        <v>114.39</v>
      </c>
      <c r="E1969" s="1">
        <f>IFERROR(__xludf.DUMMYFUNCTION("""COMPUTED_VALUE"""),114.87)</f>
        <v>114.87</v>
      </c>
      <c r="F1969" s="1">
        <f>IFERROR(__xludf.DUMMYFUNCTION("""COMPUTED_VALUE"""),571624.0)</f>
        <v>571624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IFERROR(__xludf.DUMMYFUNCTION("""COMPUTED_VALUE"""),114.91)</f>
        <v>114.91</v>
      </c>
      <c r="C1970" s="1">
        <f>IFERROR(__xludf.DUMMYFUNCTION("""COMPUTED_VALUE"""),118.39)</f>
        <v>118.39</v>
      </c>
      <c r="D1970" s="1">
        <f>IFERROR(__xludf.DUMMYFUNCTION("""COMPUTED_VALUE"""),114.7)</f>
        <v>114.7</v>
      </c>
      <c r="E1970" s="1">
        <f>IFERROR(__xludf.DUMMYFUNCTION("""COMPUTED_VALUE"""),118.09)</f>
        <v>118.09</v>
      </c>
      <c r="F1970" s="1">
        <f>IFERROR(__xludf.DUMMYFUNCTION("""COMPUTED_VALUE"""),506689.0)</f>
        <v>506689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IFERROR(__xludf.DUMMYFUNCTION("""COMPUTED_VALUE"""),118.32)</f>
        <v>118.32</v>
      </c>
      <c r="C1971" s="1">
        <f>IFERROR(__xludf.DUMMYFUNCTION("""COMPUTED_VALUE"""),118.66)</f>
        <v>118.66</v>
      </c>
      <c r="D1971" s="1">
        <f>IFERROR(__xludf.DUMMYFUNCTION("""COMPUTED_VALUE"""),114.91)</f>
        <v>114.91</v>
      </c>
      <c r="E1971" s="1">
        <f>IFERROR(__xludf.DUMMYFUNCTION("""COMPUTED_VALUE"""),117.38)</f>
        <v>117.38</v>
      </c>
      <c r="F1971" s="1">
        <f>IFERROR(__xludf.DUMMYFUNCTION("""COMPUTED_VALUE"""),423098.0)</f>
        <v>423098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IFERROR(__xludf.DUMMYFUNCTION("""COMPUTED_VALUE"""),117.06)</f>
        <v>117.06</v>
      </c>
      <c r="C1972" s="1">
        <f>IFERROR(__xludf.DUMMYFUNCTION("""COMPUTED_VALUE"""),117.82)</f>
        <v>117.82</v>
      </c>
      <c r="D1972" s="1">
        <f>IFERROR(__xludf.DUMMYFUNCTION("""COMPUTED_VALUE"""),114.99)</f>
        <v>114.99</v>
      </c>
      <c r="E1972" s="1">
        <f>IFERROR(__xludf.DUMMYFUNCTION("""COMPUTED_VALUE"""),115.13)</f>
        <v>115.13</v>
      </c>
      <c r="F1972" s="1">
        <f>IFERROR(__xludf.DUMMYFUNCTION("""COMPUTED_VALUE"""),183113.0)</f>
        <v>183113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IFERROR(__xludf.DUMMYFUNCTION("""COMPUTED_VALUE"""),115.22)</f>
        <v>115.22</v>
      </c>
      <c r="C1973" s="1">
        <f>IFERROR(__xludf.DUMMYFUNCTION("""COMPUTED_VALUE"""),116.41)</f>
        <v>116.41</v>
      </c>
      <c r="D1973" s="1">
        <f>IFERROR(__xludf.DUMMYFUNCTION("""COMPUTED_VALUE"""),115.14)</f>
        <v>115.14</v>
      </c>
      <c r="E1973" s="1">
        <f>IFERROR(__xludf.DUMMYFUNCTION("""COMPUTED_VALUE"""),116.29)</f>
        <v>116.29</v>
      </c>
      <c r="F1973" s="1">
        <f>IFERROR(__xludf.DUMMYFUNCTION("""COMPUTED_VALUE"""),536276.0)</f>
        <v>536276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IFERROR(__xludf.DUMMYFUNCTION("""COMPUTED_VALUE"""),116.59)</f>
        <v>116.59</v>
      </c>
      <c r="C1974" s="1">
        <f>IFERROR(__xludf.DUMMYFUNCTION("""COMPUTED_VALUE"""),118.0)</f>
        <v>118</v>
      </c>
      <c r="D1974" s="1">
        <f>IFERROR(__xludf.DUMMYFUNCTION("""COMPUTED_VALUE"""),116.3)</f>
        <v>116.3</v>
      </c>
      <c r="E1974" s="1">
        <f>IFERROR(__xludf.DUMMYFUNCTION("""COMPUTED_VALUE"""),117.76)</f>
        <v>117.76</v>
      </c>
      <c r="F1974" s="1">
        <f>IFERROR(__xludf.DUMMYFUNCTION("""COMPUTED_VALUE"""),508541.0)</f>
        <v>508541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IFERROR(__xludf.DUMMYFUNCTION("""COMPUTED_VALUE"""),117.41)</f>
        <v>117.41</v>
      </c>
      <c r="C1975" s="1">
        <f>IFERROR(__xludf.DUMMYFUNCTION("""COMPUTED_VALUE"""),119.05)</f>
        <v>119.05</v>
      </c>
      <c r="D1975" s="1">
        <f>IFERROR(__xludf.DUMMYFUNCTION("""COMPUTED_VALUE"""),117.02)</f>
        <v>117.02</v>
      </c>
      <c r="E1975" s="1">
        <f>IFERROR(__xludf.DUMMYFUNCTION("""COMPUTED_VALUE"""),117.13)</f>
        <v>117.13</v>
      </c>
      <c r="F1975" s="1">
        <f>IFERROR(__xludf.DUMMYFUNCTION("""COMPUTED_VALUE"""),339953.0)</f>
        <v>339953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IFERROR(__xludf.DUMMYFUNCTION("""COMPUTED_VALUE"""),117.03)</f>
        <v>117.03</v>
      </c>
      <c r="C1976" s="1">
        <f>IFERROR(__xludf.DUMMYFUNCTION("""COMPUTED_VALUE"""),118.31)</f>
        <v>118.31</v>
      </c>
      <c r="D1976" s="1">
        <f>IFERROR(__xludf.DUMMYFUNCTION("""COMPUTED_VALUE"""),116.71)</f>
        <v>116.71</v>
      </c>
      <c r="E1976" s="1">
        <f>IFERROR(__xludf.DUMMYFUNCTION("""COMPUTED_VALUE"""),117.75)</f>
        <v>117.75</v>
      </c>
      <c r="F1976" s="1">
        <f>IFERROR(__xludf.DUMMYFUNCTION("""COMPUTED_VALUE"""),276898.0)</f>
        <v>276898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IFERROR(__xludf.DUMMYFUNCTION("""COMPUTED_VALUE"""),117.67)</f>
        <v>117.67</v>
      </c>
      <c r="C1977" s="1">
        <f>IFERROR(__xludf.DUMMYFUNCTION("""COMPUTED_VALUE"""),118.17)</f>
        <v>118.17</v>
      </c>
      <c r="D1977" s="1">
        <f>IFERROR(__xludf.DUMMYFUNCTION("""COMPUTED_VALUE"""),116.72)</f>
        <v>116.72</v>
      </c>
      <c r="E1977" s="1">
        <f>IFERROR(__xludf.DUMMYFUNCTION("""COMPUTED_VALUE"""),117.35)</f>
        <v>117.35</v>
      </c>
      <c r="F1977" s="1">
        <f>IFERROR(__xludf.DUMMYFUNCTION("""COMPUTED_VALUE"""),354515.0)</f>
        <v>354515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IFERROR(__xludf.DUMMYFUNCTION("""COMPUTED_VALUE"""),117.13)</f>
        <v>117.13</v>
      </c>
      <c r="C1978" s="1">
        <f>IFERROR(__xludf.DUMMYFUNCTION("""COMPUTED_VALUE"""),118.28)</f>
        <v>118.28</v>
      </c>
      <c r="D1978" s="1">
        <f>IFERROR(__xludf.DUMMYFUNCTION("""COMPUTED_VALUE"""),116.25)</f>
        <v>116.25</v>
      </c>
      <c r="E1978" s="1">
        <f>IFERROR(__xludf.DUMMYFUNCTION("""COMPUTED_VALUE"""),116.89)</f>
        <v>116.89</v>
      </c>
      <c r="F1978" s="1">
        <f>IFERROR(__xludf.DUMMYFUNCTION("""COMPUTED_VALUE"""),304333.0)</f>
        <v>304333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IFERROR(__xludf.DUMMYFUNCTION("""COMPUTED_VALUE"""),117.19)</f>
        <v>117.19</v>
      </c>
      <c r="C1979" s="1">
        <f>IFERROR(__xludf.DUMMYFUNCTION("""COMPUTED_VALUE"""),118.95)</f>
        <v>118.95</v>
      </c>
      <c r="D1979" s="1">
        <f>IFERROR(__xludf.DUMMYFUNCTION("""COMPUTED_VALUE"""),117.02)</f>
        <v>117.02</v>
      </c>
      <c r="E1979" s="1">
        <f>IFERROR(__xludf.DUMMYFUNCTION("""COMPUTED_VALUE"""),117.8)</f>
        <v>117.8</v>
      </c>
      <c r="F1979" s="1">
        <f>IFERROR(__xludf.DUMMYFUNCTION("""COMPUTED_VALUE"""),548057.0)</f>
        <v>548057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IFERROR(__xludf.DUMMYFUNCTION("""COMPUTED_VALUE"""),108.0)</f>
        <v>108</v>
      </c>
      <c r="C1980" s="1">
        <f>IFERROR(__xludf.DUMMYFUNCTION("""COMPUTED_VALUE"""),108.0)</f>
        <v>108</v>
      </c>
      <c r="D1980" s="1">
        <f>IFERROR(__xludf.DUMMYFUNCTION("""COMPUTED_VALUE"""),100.44)</f>
        <v>100.44</v>
      </c>
      <c r="E1980" s="1">
        <f>IFERROR(__xludf.DUMMYFUNCTION("""COMPUTED_VALUE"""),102.85)</f>
        <v>102.85</v>
      </c>
      <c r="F1980" s="1">
        <f>IFERROR(__xludf.DUMMYFUNCTION("""COMPUTED_VALUE"""),1987546.0)</f>
        <v>1987546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IFERROR(__xludf.DUMMYFUNCTION("""COMPUTED_VALUE"""),102.64)</f>
        <v>102.64</v>
      </c>
      <c r="C1981" s="1">
        <f>IFERROR(__xludf.DUMMYFUNCTION("""COMPUTED_VALUE"""),104.49)</f>
        <v>104.49</v>
      </c>
      <c r="D1981" s="1">
        <f>IFERROR(__xludf.DUMMYFUNCTION("""COMPUTED_VALUE"""),100.88)</f>
        <v>100.88</v>
      </c>
      <c r="E1981" s="1">
        <f>IFERROR(__xludf.DUMMYFUNCTION("""COMPUTED_VALUE"""),102.12)</f>
        <v>102.12</v>
      </c>
      <c r="F1981" s="1">
        <f>IFERROR(__xludf.DUMMYFUNCTION("""COMPUTED_VALUE"""),1051719.0)</f>
        <v>1051719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IFERROR(__xludf.DUMMYFUNCTION("""COMPUTED_VALUE"""),101.5)</f>
        <v>101.5</v>
      </c>
      <c r="C1982" s="1">
        <f>IFERROR(__xludf.DUMMYFUNCTION("""COMPUTED_VALUE"""),102.29)</f>
        <v>102.29</v>
      </c>
      <c r="D1982" s="1">
        <f>IFERROR(__xludf.DUMMYFUNCTION("""COMPUTED_VALUE"""),100.24)</f>
        <v>100.24</v>
      </c>
      <c r="E1982" s="1">
        <f>IFERROR(__xludf.DUMMYFUNCTION("""COMPUTED_VALUE"""),101.93)</f>
        <v>101.93</v>
      </c>
      <c r="F1982" s="1">
        <f>IFERROR(__xludf.DUMMYFUNCTION("""COMPUTED_VALUE"""),640256.0)</f>
        <v>640256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IFERROR(__xludf.DUMMYFUNCTION("""COMPUTED_VALUE"""),101.57)</f>
        <v>101.57</v>
      </c>
      <c r="C1983" s="1">
        <f>IFERROR(__xludf.DUMMYFUNCTION("""COMPUTED_VALUE"""),101.89)</f>
        <v>101.89</v>
      </c>
      <c r="D1983" s="1">
        <f>IFERROR(__xludf.DUMMYFUNCTION("""COMPUTED_VALUE"""),100.28)</f>
        <v>100.28</v>
      </c>
      <c r="E1983" s="1">
        <f>IFERROR(__xludf.DUMMYFUNCTION("""COMPUTED_VALUE"""),100.92)</f>
        <v>100.92</v>
      </c>
      <c r="F1983" s="1">
        <f>IFERROR(__xludf.DUMMYFUNCTION("""COMPUTED_VALUE"""),363088.0)</f>
        <v>363088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IFERROR(__xludf.DUMMYFUNCTION("""COMPUTED_VALUE"""),99.99)</f>
        <v>99.99</v>
      </c>
      <c r="C1984" s="1">
        <f>IFERROR(__xludf.DUMMYFUNCTION("""COMPUTED_VALUE"""),100.79)</f>
        <v>100.79</v>
      </c>
      <c r="D1984" s="1">
        <f>IFERROR(__xludf.DUMMYFUNCTION("""COMPUTED_VALUE"""),99.12)</f>
        <v>99.12</v>
      </c>
      <c r="E1984" s="1">
        <f>IFERROR(__xludf.DUMMYFUNCTION("""COMPUTED_VALUE"""),100.43)</f>
        <v>100.43</v>
      </c>
      <c r="F1984" s="1">
        <f>IFERROR(__xludf.DUMMYFUNCTION("""COMPUTED_VALUE"""),334793.0)</f>
        <v>334793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IFERROR(__xludf.DUMMYFUNCTION("""COMPUTED_VALUE"""),100.56)</f>
        <v>100.56</v>
      </c>
      <c r="C1985" s="1">
        <f>IFERROR(__xludf.DUMMYFUNCTION("""COMPUTED_VALUE"""),102.16)</f>
        <v>102.16</v>
      </c>
      <c r="D1985" s="1">
        <f>IFERROR(__xludf.DUMMYFUNCTION("""COMPUTED_VALUE"""),100.56)</f>
        <v>100.56</v>
      </c>
      <c r="E1985" s="1">
        <f>IFERROR(__xludf.DUMMYFUNCTION("""COMPUTED_VALUE"""),101.47)</f>
        <v>101.47</v>
      </c>
      <c r="F1985" s="1">
        <f>IFERROR(__xludf.DUMMYFUNCTION("""COMPUTED_VALUE"""),604299.0)</f>
        <v>604299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IFERROR(__xludf.DUMMYFUNCTION("""COMPUTED_VALUE"""),101.24)</f>
        <v>101.24</v>
      </c>
      <c r="C1986" s="1">
        <f>IFERROR(__xludf.DUMMYFUNCTION("""COMPUTED_VALUE"""),102.0)</f>
        <v>102</v>
      </c>
      <c r="D1986" s="1">
        <f>IFERROR(__xludf.DUMMYFUNCTION("""COMPUTED_VALUE"""),100.61)</f>
        <v>100.61</v>
      </c>
      <c r="E1986" s="1">
        <f>IFERROR(__xludf.DUMMYFUNCTION("""COMPUTED_VALUE"""),101.39)</f>
        <v>101.39</v>
      </c>
      <c r="F1986" s="1">
        <f>IFERROR(__xludf.DUMMYFUNCTION("""COMPUTED_VALUE"""),376906.0)</f>
        <v>376906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IFERROR(__xludf.DUMMYFUNCTION("""COMPUTED_VALUE"""),101.41)</f>
        <v>101.41</v>
      </c>
      <c r="C1987" s="1">
        <f>IFERROR(__xludf.DUMMYFUNCTION("""COMPUTED_VALUE"""),101.8)</f>
        <v>101.8</v>
      </c>
      <c r="D1987" s="1">
        <f>IFERROR(__xludf.DUMMYFUNCTION("""COMPUTED_VALUE"""),101.02)</f>
        <v>101.02</v>
      </c>
      <c r="E1987" s="1">
        <f>IFERROR(__xludf.DUMMYFUNCTION("""COMPUTED_VALUE"""),101.51)</f>
        <v>101.51</v>
      </c>
      <c r="F1987" s="1">
        <f>IFERROR(__xludf.DUMMYFUNCTION("""COMPUTED_VALUE"""),240637.0)</f>
        <v>240637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IFERROR(__xludf.DUMMYFUNCTION("""COMPUTED_VALUE"""),101.69)</f>
        <v>101.69</v>
      </c>
      <c r="C1988" s="1">
        <f>IFERROR(__xludf.DUMMYFUNCTION("""COMPUTED_VALUE"""),102.49)</f>
        <v>102.49</v>
      </c>
      <c r="D1988" s="1">
        <f>IFERROR(__xludf.DUMMYFUNCTION("""COMPUTED_VALUE"""),100.86)</f>
        <v>100.86</v>
      </c>
      <c r="E1988" s="1">
        <f>IFERROR(__xludf.DUMMYFUNCTION("""COMPUTED_VALUE"""),102.43)</f>
        <v>102.43</v>
      </c>
      <c r="F1988" s="1">
        <f>IFERROR(__xludf.DUMMYFUNCTION("""COMPUTED_VALUE"""),364263.0)</f>
        <v>364263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IFERROR(__xludf.DUMMYFUNCTION("""COMPUTED_VALUE"""),102.63)</f>
        <v>102.63</v>
      </c>
      <c r="C1989" s="1">
        <f>IFERROR(__xludf.DUMMYFUNCTION("""COMPUTED_VALUE"""),103.36)</f>
        <v>103.36</v>
      </c>
      <c r="D1989" s="1">
        <f>IFERROR(__xludf.DUMMYFUNCTION("""COMPUTED_VALUE"""),102.21)</f>
        <v>102.21</v>
      </c>
      <c r="E1989" s="1">
        <f>IFERROR(__xludf.DUMMYFUNCTION("""COMPUTED_VALUE"""),102.29)</f>
        <v>102.29</v>
      </c>
      <c r="F1989" s="1">
        <f>IFERROR(__xludf.DUMMYFUNCTION("""COMPUTED_VALUE"""),209683.0)</f>
        <v>209683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IFERROR(__xludf.DUMMYFUNCTION("""COMPUTED_VALUE"""),102.36)</f>
        <v>102.36</v>
      </c>
      <c r="C1990" s="1">
        <f>IFERROR(__xludf.DUMMYFUNCTION("""COMPUTED_VALUE"""),102.54)</f>
        <v>102.54</v>
      </c>
      <c r="D1990" s="1">
        <f>IFERROR(__xludf.DUMMYFUNCTION("""COMPUTED_VALUE"""),101.72)</f>
        <v>101.72</v>
      </c>
      <c r="E1990" s="1">
        <f>IFERROR(__xludf.DUMMYFUNCTION("""COMPUTED_VALUE"""),101.8)</f>
        <v>101.8</v>
      </c>
      <c r="F1990" s="1">
        <f>IFERROR(__xludf.DUMMYFUNCTION("""COMPUTED_VALUE"""),129621.0)</f>
        <v>129621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IFERROR(__xludf.DUMMYFUNCTION("""COMPUTED_VALUE"""),101.5)</f>
        <v>101.5</v>
      </c>
      <c r="C1991" s="1">
        <f>IFERROR(__xludf.DUMMYFUNCTION("""COMPUTED_VALUE"""),103.15)</f>
        <v>103.15</v>
      </c>
      <c r="D1991" s="1">
        <f>IFERROR(__xludf.DUMMYFUNCTION("""COMPUTED_VALUE"""),101.38)</f>
        <v>101.38</v>
      </c>
      <c r="E1991" s="1">
        <f>IFERROR(__xludf.DUMMYFUNCTION("""COMPUTED_VALUE"""),102.3)</f>
        <v>102.3</v>
      </c>
      <c r="F1991" s="1">
        <f>IFERROR(__xludf.DUMMYFUNCTION("""COMPUTED_VALUE"""),363075.0)</f>
        <v>363075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IFERROR(__xludf.DUMMYFUNCTION("""COMPUTED_VALUE"""),102.65)</f>
        <v>102.65</v>
      </c>
      <c r="C1992" s="1">
        <f>IFERROR(__xludf.DUMMYFUNCTION("""COMPUTED_VALUE"""),103.56)</f>
        <v>103.56</v>
      </c>
      <c r="D1992" s="1">
        <f>IFERROR(__xludf.DUMMYFUNCTION("""COMPUTED_VALUE"""),102.16)</f>
        <v>102.16</v>
      </c>
      <c r="E1992" s="1">
        <f>IFERROR(__xludf.DUMMYFUNCTION("""COMPUTED_VALUE"""),103.39)</f>
        <v>103.39</v>
      </c>
      <c r="F1992" s="1">
        <f>IFERROR(__xludf.DUMMYFUNCTION("""COMPUTED_VALUE"""),483746.0)</f>
        <v>483746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IFERROR(__xludf.DUMMYFUNCTION("""COMPUTED_VALUE"""),103.48)</f>
        <v>103.48</v>
      </c>
      <c r="C1993" s="1">
        <f>IFERROR(__xludf.DUMMYFUNCTION("""COMPUTED_VALUE"""),103.48)</f>
        <v>103.48</v>
      </c>
      <c r="D1993" s="1">
        <f>IFERROR(__xludf.DUMMYFUNCTION("""COMPUTED_VALUE"""),101.92)</f>
        <v>101.92</v>
      </c>
      <c r="E1993" s="1">
        <f>IFERROR(__xludf.DUMMYFUNCTION("""COMPUTED_VALUE"""),102.66)</f>
        <v>102.66</v>
      </c>
      <c r="F1993" s="1">
        <f>IFERROR(__xludf.DUMMYFUNCTION("""COMPUTED_VALUE"""),337931.0)</f>
        <v>337931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IFERROR(__xludf.DUMMYFUNCTION("""COMPUTED_VALUE"""),103.04)</f>
        <v>103.04</v>
      </c>
      <c r="C1994" s="1">
        <f>IFERROR(__xludf.DUMMYFUNCTION("""COMPUTED_VALUE"""),104.36)</f>
        <v>104.36</v>
      </c>
      <c r="D1994" s="1">
        <f>IFERROR(__xludf.DUMMYFUNCTION("""COMPUTED_VALUE"""),102.64)</f>
        <v>102.64</v>
      </c>
      <c r="E1994" s="1">
        <f>IFERROR(__xludf.DUMMYFUNCTION("""COMPUTED_VALUE"""),104.2)</f>
        <v>104.2</v>
      </c>
      <c r="F1994" s="1">
        <f>IFERROR(__xludf.DUMMYFUNCTION("""COMPUTED_VALUE"""),329026.0)</f>
        <v>329026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IFERROR(__xludf.DUMMYFUNCTION("""COMPUTED_VALUE"""),104.2)</f>
        <v>104.2</v>
      </c>
      <c r="C1995" s="1">
        <f>IFERROR(__xludf.DUMMYFUNCTION("""COMPUTED_VALUE"""),104.81)</f>
        <v>104.81</v>
      </c>
      <c r="D1995" s="1">
        <f>IFERROR(__xludf.DUMMYFUNCTION("""COMPUTED_VALUE"""),102.73)</f>
        <v>102.73</v>
      </c>
      <c r="E1995" s="1">
        <f>IFERROR(__xludf.DUMMYFUNCTION("""COMPUTED_VALUE"""),104.29)</f>
        <v>104.29</v>
      </c>
      <c r="F1995" s="1">
        <f>IFERROR(__xludf.DUMMYFUNCTION("""COMPUTED_VALUE"""),358463.0)</f>
        <v>358463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IFERROR(__xludf.DUMMYFUNCTION("""COMPUTED_VALUE"""),105.08)</f>
        <v>105.08</v>
      </c>
      <c r="C1996" s="1">
        <f>IFERROR(__xludf.DUMMYFUNCTION("""COMPUTED_VALUE"""),105.37)</f>
        <v>105.37</v>
      </c>
      <c r="D1996" s="1">
        <f>IFERROR(__xludf.DUMMYFUNCTION("""COMPUTED_VALUE"""),101.86)</f>
        <v>101.86</v>
      </c>
      <c r="E1996" s="1">
        <f>IFERROR(__xludf.DUMMYFUNCTION("""COMPUTED_VALUE"""),102.07)</f>
        <v>102.07</v>
      </c>
      <c r="F1996" s="1">
        <f>IFERROR(__xludf.DUMMYFUNCTION("""COMPUTED_VALUE"""),388938.0)</f>
        <v>388938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IFERROR(__xludf.DUMMYFUNCTION("""COMPUTED_VALUE"""),102.06)</f>
        <v>102.06</v>
      </c>
      <c r="C1997" s="1">
        <f>IFERROR(__xludf.DUMMYFUNCTION("""COMPUTED_VALUE"""),103.33)</f>
        <v>103.33</v>
      </c>
      <c r="D1997" s="1">
        <f>IFERROR(__xludf.DUMMYFUNCTION("""COMPUTED_VALUE"""),101.52)</f>
        <v>101.52</v>
      </c>
      <c r="E1997" s="1">
        <f>IFERROR(__xludf.DUMMYFUNCTION("""COMPUTED_VALUE"""),101.82)</f>
        <v>101.82</v>
      </c>
      <c r="F1997" s="1">
        <f>IFERROR(__xludf.DUMMYFUNCTION("""COMPUTED_VALUE"""),443464.0)</f>
        <v>443464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IFERROR(__xludf.DUMMYFUNCTION("""COMPUTED_VALUE"""),101.9)</f>
        <v>101.9</v>
      </c>
      <c r="C1998" s="1">
        <f>IFERROR(__xludf.DUMMYFUNCTION("""COMPUTED_VALUE"""),102.95)</f>
        <v>102.95</v>
      </c>
      <c r="D1998" s="1">
        <f>IFERROR(__xludf.DUMMYFUNCTION("""COMPUTED_VALUE"""),101.29)</f>
        <v>101.29</v>
      </c>
      <c r="E1998" s="1">
        <f>IFERROR(__xludf.DUMMYFUNCTION("""COMPUTED_VALUE"""),102.48)</f>
        <v>102.48</v>
      </c>
      <c r="F1998" s="1">
        <f>IFERROR(__xludf.DUMMYFUNCTION("""COMPUTED_VALUE"""),218270.0)</f>
        <v>218270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IFERROR(__xludf.DUMMYFUNCTION("""COMPUTED_VALUE"""),102.14)</f>
        <v>102.14</v>
      </c>
      <c r="C1999" s="1">
        <f>IFERROR(__xludf.DUMMYFUNCTION("""COMPUTED_VALUE"""),103.3)</f>
        <v>103.3</v>
      </c>
      <c r="D1999" s="1">
        <f>IFERROR(__xludf.DUMMYFUNCTION("""COMPUTED_VALUE"""),101.93)</f>
        <v>101.93</v>
      </c>
      <c r="E1999" s="1">
        <f>IFERROR(__xludf.DUMMYFUNCTION("""COMPUTED_VALUE"""),103.13)</f>
        <v>103.13</v>
      </c>
      <c r="F1999" s="1">
        <f>IFERROR(__xludf.DUMMYFUNCTION("""COMPUTED_VALUE"""),250777.0)</f>
        <v>250777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IFERROR(__xludf.DUMMYFUNCTION("""COMPUTED_VALUE"""),103.62)</f>
        <v>103.62</v>
      </c>
      <c r="C2000" s="1">
        <f>IFERROR(__xludf.DUMMYFUNCTION("""COMPUTED_VALUE"""),103.87)</f>
        <v>103.87</v>
      </c>
      <c r="D2000" s="1">
        <f>IFERROR(__xludf.DUMMYFUNCTION("""COMPUTED_VALUE"""),102.65)</f>
        <v>102.65</v>
      </c>
      <c r="E2000" s="1">
        <f>IFERROR(__xludf.DUMMYFUNCTION("""COMPUTED_VALUE"""),103.84)</f>
        <v>103.84</v>
      </c>
      <c r="F2000" s="1">
        <f>IFERROR(__xludf.DUMMYFUNCTION("""COMPUTED_VALUE"""),174576.0)</f>
        <v>174576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IFERROR(__xludf.DUMMYFUNCTION("""COMPUTED_VALUE"""),104.05)</f>
        <v>104.05</v>
      </c>
      <c r="C2001" s="1">
        <f>IFERROR(__xludf.DUMMYFUNCTION("""COMPUTED_VALUE"""),104.87)</f>
        <v>104.87</v>
      </c>
      <c r="D2001" s="1">
        <f>IFERROR(__xludf.DUMMYFUNCTION("""COMPUTED_VALUE"""),103.35)</f>
        <v>103.35</v>
      </c>
      <c r="E2001" s="1">
        <f>IFERROR(__xludf.DUMMYFUNCTION("""COMPUTED_VALUE"""),103.9)</f>
        <v>103.9</v>
      </c>
      <c r="F2001" s="1">
        <f>IFERROR(__xludf.DUMMYFUNCTION("""COMPUTED_VALUE"""),294369.0)</f>
        <v>294369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IFERROR(__xludf.DUMMYFUNCTION("""COMPUTED_VALUE"""),104.15)</f>
        <v>104.15</v>
      </c>
      <c r="C2002" s="1">
        <f>IFERROR(__xludf.DUMMYFUNCTION("""COMPUTED_VALUE"""),105.11)</f>
        <v>105.11</v>
      </c>
      <c r="D2002" s="1">
        <f>IFERROR(__xludf.DUMMYFUNCTION("""COMPUTED_VALUE"""),103.23)</f>
        <v>103.23</v>
      </c>
      <c r="E2002" s="1">
        <f>IFERROR(__xludf.DUMMYFUNCTION("""COMPUTED_VALUE"""),104.57)</f>
        <v>104.57</v>
      </c>
      <c r="F2002" s="1">
        <f>IFERROR(__xludf.DUMMYFUNCTION("""COMPUTED_VALUE"""),259767.0)</f>
        <v>259767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IFERROR(__xludf.DUMMYFUNCTION("""COMPUTED_VALUE"""),105.31)</f>
        <v>105.31</v>
      </c>
      <c r="C2003" s="1">
        <f>IFERROR(__xludf.DUMMYFUNCTION("""COMPUTED_VALUE"""),107.08)</f>
        <v>107.08</v>
      </c>
      <c r="D2003" s="1">
        <f>IFERROR(__xludf.DUMMYFUNCTION("""COMPUTED_VALUE"""),104.71)</f>
        <v>104.71</v>
      </c>
      <c r="E2003" s="1">
        <f>IFERROR(__xludf.DUMMYFUNCTION("""COMPUTED_VALUE"""),106.0)</f>
        <v>106</v>
      </c>
      <c r="F2003" s="1">
        <f>IFERROR(__xludf.DUMMYFUNCTION("""COMPUTED_VALUE"""),452797.0)</f>
        <v>452797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IFERROR(__xludf.DUMMYFUNCTION("""COMPUTED_VALUE"""),106.21)</f>
        <v>106.21</v>
      </c>
      <c r="C2004" s="1">
        <f>IFERROR(__xludf.DUMMYFUNCTION("""COMPUTED_VALUE"""),106.29)</f>
        <v>106.29</v>
      </c>
      <c r="D2004" s="1">
        <f>IFERROR(__xludf.DUMMYFUNCTION("""COMPUTED_VALUE"""),104.42)</f>
        <v>104.42</v>
      </c>
      <c r="E2004" s="1">
        <f>IFERROR(__xludf.DUMMYFUNCTION("""COMPUTED_VALUE"""),104.88)</f>
        <v>104.88</v>
      </c>
      <c r="F2004" s="1">
        <f>IFERROR(__xludf.DUMMYFUNCTION("""COMPUTED_VALUE"""),301305.0)</f>
        <v>301305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IFERROR(__xludf.DUMMYFUNCTION("""COMPUTED_VALUE"""),104.84)</f>
        <v>104.84</v>
      </c>
      <c r="C2005" s="1">
        <f>IFERROR(__xludf.DUMMYFUNCTION("""COMPUTED_VALUE"""),108.17)</f>
        <v>108.17</v>
      </c>
      <c r="D2005" s="1">
        <f>IFERROR(__xludf.DUMMYFUNCTION("""COMPUTED_VALUE"""),104.84)</f>
        <v>104.84</v>
      </c>
      <c r="E2005" s="1">
        <f>IFERROR(__xludf.DUMMYFUNCTION("""COMPUTED_VALUE"""),108.08)</f>
        <v>108.08</v>
      </c>
      <c r="F2005" s="1">
        <f>IFERROR(__xludf.DUMMYFUNCTION("""COMPUTED_VALUE"""),803334.0)</f>
        <v>803334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IFERROR(__xludf.DUMMYFUNCTION("""COMPUTED_VALUE"""),108.63)</f>
        <v>108.63</v>
      </c>
      <c r="C2006" s="1">
        <f>IFERROR(__xludf.DUMMYFUNCTION("""COMPUTED_VALUE"""),109.86)</f>
        <v>109.86</v>
      </c>
      <c r="D2006" s="1">
        <f>IFERROR(__xludf.DUMMYFUNCTION("""COMPUTED_VALUE"""),108.25)</f>
        <v>108.25</v>
      </c>
      <c r="E2006" s="1">
        <f>IFERROR(__xludf.DUMMYFUNCTION("""COMPUTED_VALUE"""),108.45)</f>
        <v>108.45</v>
      </c>
      <c r="F2006" s="1">
        <f>IFERROR(__xludf.DUMMYFUNCTION("""COMPUTED_VALUE"""),291740.0)</f>
        <v>291740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IFERROR(__xludf.DUMMYFUNCTION("""COMPUTED_VALUE"""),108.72)</f>
        <v>108.72</v>
      </c>
      <c r="C2007" s="1">
        <f>IFERROR(__xludf.DUMMYFUNCTION("""COMPUTED_VALUE"""),110.35)</f>
        <v>110.35</v>
      </c>
      <c r="D2007" s="1">
        <f>IFERROR(__xludf.DUMMYFUNCTION("""COMPUTED_VALUE"""),108.44)</f>
        <v>108.44</v>
      </c>
      <c r="E2007" s="1">
        <f>IFERROR(__xludf.DUMMYFUNCTION("""COMPUTED_VALUE"""),109.74)</f>
        <v>109.74</v>
      </c>
      <c r="F2007" s="1">
        <f>IFERROR(__xludf.DUMMYFUNCTION("""COMPUTED_VALUE"""),368410.0)</f>
        <v>368410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IFERROR(__xludf.DUMMYFUNCTION("""COMPUTED_VALUE"""),110.2)</f>
        <v>110.2</v>
      </c>
      <c r="C2008" s="1">
        <f>IFERROR(__xludf.DUMMYFUNCTION("""COMPUTED_VALUE"""),110.42)</f>
        <v>110.42</v>
      </c>
      <c r="D2008" s="1">
        <f>IFERROR(__xludf.DUMMYFUNCTION("""COMPUTED_VALUE"""),109.21)</f>
        <v>109.21</v>
      </c>
      <c r="E2008" s="1">
        <f>IFERROR(__xludf.DUMMYFUNCTION("""COMPUTED_VALUE"""),109.44)</f>
        <v>109.44</v>
      </c>
      <c r="F2008" s="1">
        <f>IFERROR(__xludf.DUMMYFUNCTION("""COMPUTED_VALUE"""),229301.0)</f>
        <v>229301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IFERROR(__xludf.DUMMYFUNCTION("""COMPUTED_VALUE"""),109.9)</f>
        <v>109.9</v>
      </c>
      <c r="C2009" s="1">
        <f>IFERROR(__xludf.DUMMYFUNCTION("""COMPUTED_VALUE"""),109.98)</f>
        <v>109.98</v>
      </c>
      <c r="D2009" s="1">
        <f>IFERROR(__xludf.DUMMYFUNCTION("""COMPUTED_VALUE"""),108.42)</f>
        <v>108.42</v>
      </c>
      <c r="E2009" s="1">
        <f>IFERROR(__xludf.DUMMYFUNCTION("""COMPUTED_VALUE"""),108.77)</f>
        <v>108.77</v>
      </c>
      <c r="F2009" s="1">
        <f>IFERROR(__xludf.DUMMYFUNCTION("""COMPUTED_VALUE"""),167849.0)</f>
        <v>167849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IFERROR(__xludf.DUMMYFUNCTION("""COMPUTED_VALUE"""),108.8)</f>
        <v>108.8</v>
      </c>
      <c r="C2010" s="1">
        <f>IFERROR(__xludf.DUMMYFUNCTION("""COMPUTED_VALUE"""),108.83)</f>
        <v>108.83</v>
      </c>
      <c r="D2010" s="1">
        <f>IFERROR(__xludf.DUMMYFUNCTION("""COMPUTED_VALUE"""),107.64)</f>
        <v>107.64</v>
      </c>
      <c r="E2010" s="1">
        <f>IFERROR(__xludf.DUMMYFUNCTION("""COMPUTED_VALUE"""),108.51)</f>
        <v>108.51</v>
      </c>
      <c r="F2010" s="1">
        <f>IFERROR(__xludf.DUMMYFUNCTION("""COMPUTED_VALUE"""),159735.0)</f>
        <v>159735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IFERROR(__xludf.DUMMYFUNCTION("""COMPUTED_VALUE"""),108.71)</f>
        <v>108.71</v>
      </c>
      <c r="C2011" s="1">
        <f>IFERROR(__xludf.DUMMYFUNCTION("""COMPUTED_VALUE"""),108.74)</f>
        <v>108.74</v>
      </c>
      <c r="D2011" s="1">
        <f>IFERROR(__xludf.DUMMYFUNCTION("""COMPUTED_VALUE"""),107.5)</f>
        <v>107.5</v>
      </c>
      <c r="E2011" s="1">
        <f>IFERROR(__xludf.DUMMYFUNCTION("""COMPUTED_VALUE"""),107.77)</f>
        <v>107.77</v>
      </c>
      <c r="F2011" s="1">
        <f>IFERROR(__xludf.DUMMYFUNCTION("""COMPUTED_VALUE"""),167366.0)</f>
        <v>167366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IFERROR(__xludf.DUMMYFUNCTION("""COMPUTED_VALUE"""),107.85)</f>
        <v>107.85</v>
      </c>
      <c r="C2012" s="1">
        <f>IFERROR(__xludf.DUMMYFUNCTION("""COMPUTED_VALUE"""),108.95)</f>
        <v>108.95</v>
      </c>
      <c r="D2012" s="1">
        <f>IFERROR(__xludf.DUMMYFUNCTION("""COMPUTED_VALUE"""),107.85)</f>
        <v>107.85</v>
      </c>
      <c r="E2012" s="1">
        <f>IFERROR(__xludf.DUMMYFUNCTION("""COMPUTED_VALUE"""),108.95)</f>
        <v>108.95</v>
      </c>
      <c r="F2012" s="1">
        <f>IFERROR(__xludf.DUMMYFUNCTION("""COMPUTED_VALUE"""),180642.0)</f>
        <v>180642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IFERROR(__xludf.DUMMYFUNCTION("""COMPUTED_VALUE"""),109.38)</f>
        <v>109.38</v>
      </c>
      <c r="C2013" s="1">
        <f>IFERROR(__xludf.DUMMYFUNCTION("""COMPUTED_VALUE"""),109.75)</f>
        <v>109.75</v>
      </c>
      <c r="D2013" s="1">
        <f>IFERROR(__xludf.DUMMYFUNCTION("""COMPUTED_VALUE"""),108.14)</f>
        <v>108.14</v>
      </c>
      <c r="E2013" s="1">
        <f>IFERROR(__xludf.DUMMYFUNCTION("""COMPUTED_VALUE"""),109.74)</f>
        <v>109.74</v>
      </c>
      <c r="F2013" s="1">
        <f>IFERROR(__xludf.DUMMYFUNCTION("""COMPUTED_VALUE"""),240395.0)</f>
        <v>240395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IFERROR(__xludf.DUMMYFUNCTION("""COMPUTED_VALUE"""),110.0)</f>
        <v>110</v>
      </c>
      <c r="C2014" s="1">
        <f>IFERROR(__xludf.DUMMYFUNCTION("""COMPUTED_VALUE"""),110.71)</f>
        <v>110.71</v>
      </c>
      <c r="D2014" s="1">
        <f>IFERROR(__xludf.DUMMYFUNCTION("""COMPUTED_VALUE"""),109.33)</f>
        <v>109.33</v>
      </c>
      <c r="E2014" s="1">
        <f>IFERROR(__xludf.DUMMYFUNCTION("""COMPUTED_VALUE"""),109.45)</f>
        <v>109.45</v>
      </c>
      <c r="F2014" s="1">
        <f>IFERROR(__xludf.DUMMYFUNCTION("""COMPUTED_VALUE"""),195284.0)</f>
        <v>195284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IFERROR(__xludf.DUMMYFUNCTION("""COMPUTED_VALUE"""),109.81)</f>
        <v>109.81</v>
      </c>
      <c r="C2015" s="1">
        <f>IFERROR(__xludf.DUMMYFUNCTION("""COMPUTED_VALUE"""),110.86)</f>
        <v>110.86</v>
      </c>
      <c r="D2015" s="1">
        <f>IFERROR(__xludf.DUMMYFUNCTION("""COMPUTED_VALUE"""),109.12)</f>
        <v>109.12</v>
      </c>
      <c r="E2015" s="1">
        <f>IFERROR(__xludf.DUMMYFUNCTION("""COMPUTED_VALUE"""),110.65)</f>
        <v>110.65</v>
      </c>
      <c r="F2015" s="1">
        <f>IFERROR(__xludf.DUMMYFUNCTION("""COMPUTED_VALUE"""),347605.0)</f>
        <v>347605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IFERROR(__xludf.DUMMYFUNCTION("""COMPUTED_VALUE"""),111.08)</f>
        <v>111.08</v>
      </c>
      <c r="C2016" s="1">
        <f>IFERROR(__xludf.DUMMYFUNCTION("""COMPUTED_VALUE"""),111.08)</f>
        <v>111.08</v>
      </c>
      <c r="D2016" s="1">
        <f>IFERROR(__xludf.DUMMYFUNCTION("""COMPUTED_VALUE"""),108.87)</f>
        <v>108.87</v>
      </c>
      <c r="E2016" s="1">
        <f>IFERROR(__xludf.DUMMYFUNCTION("""COMPUTED_VALUE"""),110.31)</f>
        <v>110.31</v>
      </c>
      <c r="F2016" s="1">
        <f>IFERROR(__xludf.DUMMYFUNCTION("""COMPUTED_VALUE"""),404993.0)</f>
        <v>404993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IFERROR(__xludf.DUMMYFUNCTION("""COMPUTED_VALUE"""),110.61)</f>
        <v>110.61</v>
      </c>
      <c r="C2017" s="1">
        <f>IFERROR(__xludf.DUMMYFUNCTION("""COMPUTED_VALUE"""),110.66)</f>
        <v>110.66</v>
      </c>
      <c r="D2017" s="1">
        <f>IFERROR(__xludf.DUMMYFUNCTION("""COMPUTED_VALUE"""),109.21)</f>
        <v>109.21</v>
      </c>
      <c r="E2017" s="1">
        <f>IFERROR(__xludf.DUMMYFUNCTION("""COMPUTED_VALUE"""),109.47)</f>
        <v>109.47</v>
      </c>
      <c r="F2017" s="1">
        <f>IFERROR(__xludf.DUMMYFUNCTION("""COMPUTED_VALUE"""),327838.0)</f>
        <v>327838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IFERROR(__xludf.DUMMYFUNCTION("""COMPUTED_VALUE"""),110.16)</f>
        <v>110.16</v>
      </c>
      <c r="C2018" s="1">
        <f>IFERROR(__xludf.DUMMYFUNCTION("""COMPUTED_VALUE"""),112.46)</f>
        <v>112.46</v>
      </c>
      <c r="D2018" s="1">
        <f>IFERROR(__xludf.DUMMYFUNCTION("""COMPUTED_VALUE"""),109.69)</f>
        <v>109.69</v>
      </c>
      <c r="E2018" s="1">
        <f>IFERROR(__xludf.DUMMYFUNCTION("""COMPUTED_VALUE"""),111.88)</f>
        <v>111.88</v>
      </c>
      <c r="F2018" s="1">
        <f>IFERROR(__xludf.DUMMYFUNCTION("""COMPUTED_VALUE"""),230198.0)</f>
        <v>230198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IFERROR(__xludf.DUMMYFUNCTION("""COMPUTED_VALUE"""),112.11)</f>
        <v>112.11</v>
      </c>
      <c r="C2019" s="1">
        <f>IFERROR(__xludf.DUMMYFUNCTION("""COMPUTED_VALUE"""),112.29)</f>
        <v>112.29</v>
      </c>
      <c r="D2019" s="1">
        <f>IFERROR(__xludf.DUMMYFUNCTION("""COMPUTED_VALUE"""),110.42)</f>
        <v>110.42</v>
      </c>
      <c r="E2019" s="1">
        <f>IFERROR(__xludf.DUMMYFUNCTION("""COMPUTED_VALUE"""),111.89)</f>
        <v>111.89</v>
      </c>
      <c r="F2019" s="1">
        <f>IFERROR(__xludf.DUMMYFUNCTION("""COMPUTED_VALUE"""),181715.0)</f>
        <v>181715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IFERROR(__xludf.DUMMYFUNCTION("""COMPUTED_VALUE"""),112.44)</f>
        <v>112.44</v>
      </c>
      <c r="C2020" s="1">
        <f>IFERROR(__xludf.DUMMYFUNCTION("""COMPUTED_VALUE"""),112.47)</f>
        <v>112.47</v>
      </c>
      <c r="D2020" s="1">
        <f>IFERROR(__xludf.DUMMYFUNCTION("""COMPUTED_VALUE"""),110.19)</f>
        <v>110.19</v>
      </c>
      <c r="E2020" s="1">
        <f>IFERROR(__xludf.DUMMYFUNCTION("""COMPUTED_VALUE"""),110.47)</f>
        <v>110.47</v>
      </c>
      <c r="F2020" s="1">
        <f>IFERROR(__xludf.DUMMYFUNCTION("""COMPUTED_VALUE"""),336943.0)</f>
        <v>336943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IFERROR(__xludf.DUMMYFUNCTION("""COMPUTED_VALUE"""),109.94)</f>
        <v>109.94</v>
      </c>
      <c r="C2021" s="1">
        <f>IFERROR(__xludf.DUMMYFUNCTION("""COMPUTED_VALUE"""),109.94)</f>
        <v>109.94</v>
      </c>
      <c r="D2021" s="1">
        <f>IFERROR(__xludf.DUMMYFUNCTION("""COMPUTED_VALUE"""),108.01)</f>
        <v>108.01</v>
      </c>
      <c r="E2021" s="1">
        <f>IFERROR(__xludf.DUMMYFUNCTION("""COMPUTED_VALUE"""),109.85)</f>
        <v>109.85</v>
      </c>
      <c r="F2021" s="1">
        <f>IFERROR(__xludf.DUMMYFUNCTION("""COMPUTED_VALUE"""),416778.0)</f>
        <v>416778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IFERROR(__xludf.DUMMYFUNCTION("""COMPUTED_VALUE"""),109.91)</f>
        <v>109.91</v>
      </c>
      <c r="C2022" s="1">
        <f>IFERROR(__xludf.DUMMYFUNCTION("""COMPUTED_VALUE"""),110.36)</f>
        <v>110.36</v>
      </c>
      <c r="D2022" s="1">
        <f>IFERROR(__xludf.DUMMYFUNCTION("""COMPUTED_VALUE"""),107.37)</f>
        <v>107.37</v>
      </c>
      <c r="E2022" s="1">
        <f>IFERROR(__xludf.DUMMYFUNCTION("""COMPUTED_VALUE"""),108.06)</f>
        <v>108.06</v>
      </c>
      <c r="F2022" s="1">
        <f>IFERROR(__xludf.DUMMYFUNCTION("""COMPUTED_VALUE"""),483951.0)</f>
        <v>483951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IFERROR(__xludf.DUMMYFUNCTION("""COMPUTED_VALUE"""),108.23)</f>
        <v>108.23</v>
      </c>
      <c r="C2023" s="1">
        <f>IFERROR(__xludf.DUMMYFUNCTION("""COMPUTED_VALUE"""),108.23)</f>
        <v>108.23</v>
      </c>
      <c r="D2023" s="1">
        <f>IFERROR(__xludf.DUMMYFUNCTION("""COMPUTED_VALUE"""),104.86)</f>
        <v>104.86</v>
      </c>
      <c r="E2023" s="1">
        <f>IFERROR(__xludf.DUMMYFUNCTION("""COMPUTED_VALUE"""),105.34)</f>
        <v>105.34</v>
      </c>
      <c r="F2023" s="1">
        <f>IFERROR(__xludf.DUMMYFUNCTION("""COMPUTED_VALUE"""),694058.0)</f>
        <v>694058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IFERROR(__xludf.DUMMYFUNCTION("""COMPUTED_VALUE"""),105.64)</f>
        <v>105.64</v>
      </c>
      <c r="C2024" s="1">
        <f>IFERROR(__xludf.DUMMYFUNCTION("""COMPUTED_VALUE"""),106.45)</f>
        <v>106.45</v>
      </c>
      <c r="D2024" s="1">
        <f>IFERROR(__xludf.DUMMYFUNCTION("""COMPUTED_VALUE"""),104.92)</f>
        <v>104.92</v>
      </c>
      <c r="E2024" s="1">
        <f>IFERROR(__xludf.DUMMYFUNCTION("""COMPUTED_VALUE"""),105.76)</f>
        <v>105.76</v>
      </c>
      <c r="F2024" s="1">
        <f>IFERROR(__xludf.DUMMYFUNCTION("""COMPUTED_VALUE"""),423214.0)</f>
        <v>423214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IFERROR(__xludf.DUMMYFUNCTION("""COMPUTED_VALUE"""),106.29)</f>
        <v>106.29</v>
      </c>
      <c r="C2025" s="1">
        <f>IFERROR(__xludf.DUMMYFUNCTION("""COMPUTED_VALUE"""),106.94)</f>
        <v>106.94</v>
      </c>
      <c r="D2025" s="1">
        <f>IFERROR(__xludf.DUMMYFUNCTION("""COMPUTED_VALUE"""),105.35)</f>
        <v>105.35</v>
      </c>
      <c r="E2025" s="1">
        <f>IFERROR(__xludf.DUMMYFUNCTION("""COMPUTED_VALUE"""),106.77)</f>
        <v>106.77</v>
      </c>
      <c r="F2025" s="1">
        <f>IFERROR(__xludf.DUMMYFUNCTION("""COMPUTED_VALUE"""),328952.0)</f>
        <v>328952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IFERROR(__xludf.DUMMYFUNCTION("""COMPUTED_VALUE"""),106.76)</f>
        <v>106.76</v>
      </c>
      <c r="C2026" s="1">
        <f>IFERROR(__xludf.DUMMYFUNCTION("""COMPUTED_VALUE"""),107.45)</f>
        <v>107.45</v>
      </c>
      <c r="D2026" s="1">
        <f>IFERROR(__xludf.DUMMYFUNCTION("""COMPUTED_VALUE"""),105.89)</f>
        <v>105.89</v>
      </c>
      <c r="E2026" s="1">
        <f>IFERROR(__xludf.DUMMYFUNCTION("""COMPUTED_VALUE"""),106.67)</f>
        <v>106.67</v>
      </c>
      <c r="F2026" s="1">
        <f>IFERROR(__xludf.DUMMYFUNCTION("""COMPUTED_VALUE"""),243552.0)</f>
        <v>243552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IFERROR(__xludf.DUMMYFUNCTION("""COMPUTED_VALUE"""),106.56)</f>
        <v>106.56</v>
      </c>
      <c r="C2027" s="1">
        <f>IFERROR(__xludf.DUMMYFUNCTION("""COMPUTED_VALUE"""),108.18)</f>
        <v>108.18</v>
      </c>
      <c r="D2027" s="1">
        <f>IFERROR(__xludf.DUMMYFUNCTION("""COMPUTED_VALUE"""),104.38)</f>
        <v>104.38</v>
      </c>
      <c r="E2027" s="1">
        <f>IFERROR(__xludf.DUMMYFUNCTION("""COMPUTED_VALUE"""),107.89)</f>
        <v>107.89</v>
      </c>
      <c r="F2027" s="1">
        <f>IFERROR(__xludf.DUMMYFUNCTION("""COMPUTED_VALUE"""),407525.0)</f>
        <v>407525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IFERROR(__xludf.DUMMYFUNCTION("""COMPUTED_VALUE"""),104.4)</f>
        <v>104.4</v>
      </c>
      <c r="C2028" s="1">
        <f>IFERROR(__xludf.DUMMYFUNCTION("""COMPUTED_VALUE"""),106.42)</f>
        <v>106.42</v>
      </c>
      <c r="D2028" s="1">
        <f>IFERROR(__xludf.DUMMYFUNCTION("""COMPUTED_VALUE"""),104.0)</f>
        <v>104</v>
      </c>
      <c r="E2028" s="1">
        <f>IFERROR(__xludf.DUMMYFUNCTION("""COMPUTED_VALUE"""),105.8)</f>
        <v>105.8</v>
      </c>
      <c r="F2028" s="1">
        <f>IFERROR(__xludf.DUMMYFUNCTION("""COMPUTED_VALUE"""),436361.0)</f>
        <v>436361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IFERROR(__xludf.DUMMYFUNCTION("""COMPUTED_VALUE"""),105.68)</f>
        <v>105.68</v>
      </c>
      <c r="C2029" s="1">
        <f>IFERROR(__xludf.DUMMYFUNCTION("""COMPUTED_VALUE"""),108.0)</f>
        <v>108</v>
      </c>
      <c r="D2029" s="1">
        <f>IFERROR(__xludf.DUMMYFUNCTION("""COMPUTED_VALUE"""),105.38)</f>
        <v>105.38</v>
      </c>
      <c r="E2029" s="1">
        <f>IFERROR(__xludf.DUMMYFUNCTION("""COMPUTED_VALUE"""),106.97)</f>
        <v>106.97</v>
      </c>
      <c r="F2029" s="1">
        <f>IFERROR(__xludf.DUMMYFUNCTION("""COMPUTED_VALUE"""),446929.0)</f>
        <v>446929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IFERROR(__xludf.DUMMYFUNCTION("""COMPUTED_VALUE"""),106.99)</f>
        <v>106.99</v>
      </c>
      <c r="C2030" s="1">
        <f>IFERROR(__xludf.DUMMYFUNCTION("""COMPUTED_VALUE"""),107.05)</f>
        <v>107.05</v>
      </c>
      <c r="D2030" s="1">
        <f>IFERROR(__xludf.DUMMYFUNCTION("""COMPUTED_VALUE"""),104.6)</f>
        <v>104.6</v>
      </c>
      <c r="E2030" s="1">
        <f>IFERROR(__xludf.DUMMYFUNCTION("""COMPUTED_VALUE"""),105.53)</f>
        <v>105.53</v>
      </c>
      <c r="F2030" s="1">
        <f>IFERROR(__xludf.DUMMYFUNCTION("""COMPUTED_VALUE"""),392051.0)</f>
        <v>392051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IFERROR(__xludf.DUMMYFUNCTION("""COMPUTED_VALUE"""),105.94)</f>
        <v>105.94</v>
      </c>
      <c r="C2031" s="1">
        <f>IFERROR(__xludf.DUMMYFUNCTION("""COMPUTED_VALUE"""),107.23)</f>
        <v>107.23</v>
      </c>
      <c r="D2031" s="1">
        <f>IFERROR(__xludf.DUMMYFUNCTION("""COMPUTED_VALUE"""),105.51)</f>
        <v>105.51</v>
      </c>
      <c r="E2031" s="1">
        <f>IFERROR(__xludf.DUMMYFUNCTION("""COMPUTED_VALUE"""),107.2)</f>
        <v>107.2</v>
      </c>
      <c r="F2031" s="1">
        <f>IFERROR(__xludf.DUMMYFUNCTION("""COMPUTED_VALUE"""),249649.0)</f>
        <v>249649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IFERROR(__xludf.DUMMYFUNCTION("""COMPUTED_VALUE"""),107.7)</f>
        <v>107.7</v>
      </c>
      <c r="C2032" s="1">
        <f>IFERROR(__xludf.DUMMYFUNCTION("""COMPUTED_VALUE"""),108.08)</f>
        <v>108.08</v>
      </c>
      <c r="D2032" s="1">
        <f>IFERROR(__xludf.DUMMYFUNCTION("""COMPUTED_VALUE"""),106.76)</f>
        <v>106.76</v>
      </c>
      <c r="E2032" s="1">
        <f>IFERROR(__xludf.DUMMYFUNCTION("""COMPUTED_VALUE"""),107.83)</f>
        <v>107.83</v>
      </c>
      <c r="F2032" s="1">
        <f>IFERROR(__xludf.DUMMYFUNCTION("""COMPUTED_VALUE"""),347585.0)</f>
        <v>347585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IFERROR(__xludf.DUMMYFUNCTION("""COMPUTED_VALUE"""),107.83)</f>
        <v>107.83</v>
      </c>
      <c r="C2033" s="1">
        <f>IFERROR(__xludf.DUMMYFUNCTION("""COMPUTED_VALUE"""),109.16)</f>
        <v>109.16</v>
      </c>
      <c r="D2033" s="1">
        <f>IFERROR(__xludf.DUMMYFUNCTION("""COMPUTED_VALUE"""),107.19)</f>
        <v>107.19</v>
      </c>
      <c r="E2033" s="1">
        <f>IFERROR(__xludf.DUMMYFUNCTION("""COMPUTED_VALUE"""),107.47)</f>
        <v>107.47</v>
      </c>
      <c r="F2033" s="1">
        <f>IFERROR(__xludf.DUMMYFUNCTION("""COMPUTED_VALUE"""),250944.0)</f>
        <v>250944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IFERROR(__xludf.DUMMYFUNCTION("""COMPUTED_VALUE"""),106.41)</f>
        <v>106.41</v>
      </c>
      <c r="C2034" s="1">
        <f>IFERROR(__xludf.DUMMYFUNCTION("""COMPUTED_VALUE"""),107.77)</f>
        <v>107.77</v>
      </c>
      <c r="D2034" s="1">
        <f>IFERROR(__xludf.DUMMYFUNCTION("""COMPUTED_VALUE"""),105.75)</f>
        <v>105.75</v>
      </c>
      <c r="E2034" s="1">
        <f>IFERROR(__xludf.DUMMYFUNCTION("""COMPUTED_VALUE"""),106.1)</f>
        <v>106.1</v>
      </c>
      <c r="F2034" s="1">
        <f>IFERROR(__xludf.DUMMYFUNCTION("""COMPUTED_VALUE"""),258025.0)</f>
        <v>258025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IFERROR(__xludf.DUMMYFUNCTION("""COMPUTED_VALUE"""),106.7)</f>
        <v>106.7</v>
      </c>
      <c r="C2035" s="1">
        <f>IFERROR(__xludf.DUMMYFUNCTION("""COMPUTED_VALUE"""),107.66)</f>
        <v>107.66</v>
      </c>
      <c r="D2035" s="1">
        <f>IFERROR(__xludf.DUMMYFUNCTION("""COMPUTED_VALUE"""),105.16)</f>
        <v>105.16</v>
      </c>
      <c r="E2035" s="1">
        <f>IFERROR(__xludf.DUMMYFUNCTION("""COMPUTED_VALUE"""),105.44)</f>
        <v>105.44</v>
      </c>
      <c r="F2035" s="1">
        <f>IFERROR(__xludf.DUMMYFUNCTION("""COMPUTED_VALUE"""),432088.0)</f>
        <v>432088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IFERROR(__xludf.DUMMYFUNCTION("""COMPUTED_VALUE"""),105.59)</f>
        <v>105.59</v>
      </c>
      <c r="C2036" s="1">
        <f>IFERROR(__xludf.DUMMYFUNCTION("""COMPUTED_VALUE"""),108.3)</f>
        <v>108.3</v>
      </c>
      <c r="D2036" s="1">
        <f>IFERROR(__xludf.DUMMYFUNCTION("""COMPUTED_VALUE"""),105.14)</f>
        <v>105.14</v>
      </c>
      <c r="E2036" s="1">
        <f>IFERROR(__xludf.DUMMYFUNCTION("""COMPUTED_VALUE"""),107.8)</f>
        <v>107.8</v>
      </c>
      <c r="F2036" s="1">
        <f>IFERROR(__xludf.DUMMYFUNCTION("""COMPUTED_VALUE"""),434282.0)</f>
        <v>434282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IFERROR(__xludf.DUMMYFUNCTION("""COMPUTED_VALUE"""),106.95)</f>
        <v>106.95</v>
      </c>
      <c r="C2037" s="1">
        <f>IFERROR(__xludf.DUMMYFUNCTION("""COMPUTED_VALUE"""),107.41)</f>
        <v>107.41</v>
      </c>
      <c r="D2037" s="1">
        <f>IFERROR(__xludf.DUMMYFUNCTION("""COMPUTED_VALUE"""),102.19)</f>
        <v>102.19</v>
      </c>
      <c r="E2037" s="1">
        <f>IFERROR(__xludf.DUMMYFUNCTION("""COMPUTED_VALUE"""),102.94)</f>
        <v>102.94</v>
      </c>
      <c r="F2037" s="1">
        <f>IFERROR(__xludf.DUMMYFUNCTION("""COMPUTED_VALUE"""),574890.0)</f>
        <v>574890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IFERROR(__xludf.DUMMYFUNCTION("""COMPUTED_VALUE"""),102.09)</f>
        <v>102.09</v>
      </c>
      <c r="C2038" s="1">
        <f>IFERROR(__xludf.DUMMYFUNCTION("""COMPUTED_VALUE"""),102.9)</f>
        <v>102.9</v>
      </c>
      <c r="D2038" s="1">
        <f>IFERROR(__xludf.DUMMYFUNCTION("""COMPUTED_VALUE"""),98.94)</f>
        <v>98.94</v>
      </c>
      <c r="E2038" s="1">
        <f>IFERROR(__xludf.DUMMYFUNCTION("""COMPUTED_VALUE"""),100.08)</f>
        <v>100.08</v>
      </c>
      <c r="F2038" s="1">
        <f>IFERROR(__xludf.DUMMYFUNCTION("""COMPUTED_VALUE"""),500752.0)</f>
        <v>500752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IFERROR(__xludf.DUMMYFUNCTION("""COMPUTED_VALUE"""),98.37)</f>
        <v>98.37</v>
      </c>
      <c r="C2039" s="1">
        <f>IFERROR(__xludf.DUMMYFUNCTION("""COMPUTED_VALUE"""),101.36)</f>
        <v>101.36</v>
      </c>
      <c r="D2039" s="1">
        <f>IFERROR(__xludf.DUMMYFUNCTION("""COMPUTED_VALUE"""),98.16)</f>
        <v>98.16</v>
      </c>
      <c r="E2039" s="1">
        <f>IFERROR(__xludf.DUMMYFUNCTION("""COMPUTED_VALUE"""),100.83)</f>
        <v>100.83</v>
      </c>
      <c r="F2039" s="1">
        <f>IFERROR(__xludf.DUMMYFUNCTION("""COMPUTED_VALUE"""),442876.0)</f>
        <v>442876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IFERROR(__xludf.DUMMYFUNCTION("""COMPUTED_VALUE"""),100.72)</f>
        <v>100.72</v>
      </c>
      <c r="C2040" s="1">
        <f>IFERROR(__xludf.DUMMYFUNCTION("""COMPUTED_VALUE"""),101.78)</f>
        <v>101.78</v>
      </c>
      <c r="D2040" s="1">
        <f>IFERROR(__xludf.DUMMYFUNCTION("""COMPUTED_VALUE"""),100.06)</f>
        <v>100.06</v>
      </c>
      <c r="E2040" s="1">
        <f>IFERROR(__xludf.DUMMYFUNCTION("""COMPUTED_VALUE"""),100.43)</f>
        <v>100.43</v>
      </c>
      <c r="F2040" s="1">
        <f>IFERROR(__xludf.DUMMYFUNCTION("""COMPUTED_VALUE"""),287067.0)</f>
        <v>287067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IFERROR(__xludf.DUMMYFUNCTION("""COMPUTED_VALUE"""),100.6)</f>
        <v>100.6</v>
      </c>
      <c r="C2041" s="1">
        <f>IFERROR(__xludf.DUMMYFUNCTION("""COMPUTED_VALUE"""),101.66)</f>
        <v>101.66</v>
      </c>
      <c r="D2041" s="1">
        <f>IFERROR(__xludf.DUMMYFUNCTION("""COMPUTED_VALUE"""),98.12)</f>
        <v>98.12</v>
      </c>
      <c r="E2041" s="1">
        <f>IFERROR(__xludf.DUMMYFUNCTION("""COMPUTED_VALUE"""),98.19)</f>
        <v>98.19</v>
      </c>
      <c r="F2041" s="1">
        <f>IFERROR(__xludf.DUMMYFUNCTION("""COMPUTED_VALUE"""),405425.0)</f>
        <v>405425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IFERROR(__xludf.DUMMYFUNCTION("""COMPUTED_VALUE"""),99.45)</f>
        <v>99.45</v>
      </c>
      <c r="C2042" s="1">
        <f>IFERROR(__xludf.DUMMYFUNCTION("""COMPUTED_VALUE"""),100.54)</f>
        <v>100.54</v>
      </c>
      <c r="D2042" s="1">
        <f>IFERROR(__xludf.DUMMYFUNCTION("""COMPUTED_VALUE"""),96.7)</f>
        <v>96.7</v>
      </c>
      <c r="E2042" s="1">
        <f>IFERROR(__xludf.DUMMYFUNCTION("""COMPUTED_VALUE"""),99.77)</f>
        <v>99.77</v>
      </c>
      <c r="F2042" s="1">
        <f>IFERROR(__xludf.DUMMYFUNCTION("""COMPUTED_VALUE"""),422850.0)</f>
        <v>422850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IFERROR(__xludf.DUMMYFUNCTION("""COMPUTED_VALUE"""),100.51)</f>
        <v>100.51</v>
      </c>
      <c r="C2043" s="1">
        <f>IFERROR(__xludf.DUMMYFUNCTION("""COMPUTED_VALUE"""),103.23)</f>
        <v>103.23</v>
      </c>
      <c r="D2043" s="1">
        <f>IFERROR(__xludf.DUMMYFUNCTION("""COMPUTED_VALUE"""),100.24)</f>
        <v>100.24</v>
      </c>
      <c r="E2043" s="1">
        <f>IFERROR(__xludf.DUMMYFUNCTION("""COMPUTED_VALUE"""),101.99)</f>
        <v>101.99</v>
      </c>
      <c r="F2043" s="1">
        <f>IFERROR(__xludf.DUMMYFUNCTION("""COMPUTED_VALUE"""),1204849.0)</f>
        <v>1204849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IFERROR(__xludf.DUMMYFUNCTION("""COMPUTED_VALUE"""),100.25)</f>
        <v>100.25</v>
      </c>
      <c r="C2044" s="1">
        <f>IFERROR(__xludf.DUMMYFUNCTION("""COMPUTED_VALUE"""),108.75)</f>
        <v>108.75</v>
      </c>
      <c r="D2044" s="1">
        <f>IFERROR(__xludf.DUMMYFUNCTION("""COMPUTED_VALUE"""),98.72)</f>
        <v>98.72</v>
      </c>
      <c r="E2044" s="1">
        <f>IFERROR(__xludf.DUMMYFUNCTION("""COMPUTED_VALUE"""),107.66)</f>
        <v>107.66</v>
      </c>
      <c r="F2044" s="1">
        <f>IFERROR(__xludf.DUMMYFUNCTION("""COMPUTED_VALUE"""),1388052.0)</f>
        <v>1388052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IFERROR(__xludf.DUMMYFUNCTION("""COMPUTED_VALUE"""),110.72)</f>
        <v>110.72</v>
      </c>
      <c r="C2045" s="1">
        <f>IFERROR(__xludf.DUMMYFUNCTION("""COMPUTED_VALUE"""),112.6)</f>
        <v>112.6</v>
      </c>
      <c r="D2045" s="1">
        <f>IFERROR(__xludf.DUMMYFUNCTION("""COMPUTED_VALUE"""),108.67)</f>
        <v>108.67</v>
      </c>
      <c r="E2045" s="1">
        <f>IFERROR(__xludf.DUMMYFUNCTION("""COMPUTED_VALUE"""),110.31)</f>
        <v>110.31</v>
      </c>
      <c r="F2045" s="1">
        <f>IFERROR(__xludf.DUMMYFUNCTION("""COMPUTED_VALUE"""),1243423.0)</f>
        <v>1243423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IFERROR(__xludf.DUMMYFUNCTION("""COMPUTED_VALUE"""),111.22)</f>
        <v>111.22</v>
      </c>
      <c r="C2046" s="1">
        <f>IFERROR(__xludf.DUMMYFUNCTION("""COMPUTED_VALUE"""),111.22)</f>
        <v>111.22</v>
      </c>
      <c r="D2046" s="1">
        <f>IFERROR(__xludf.DUMMYFUNCTION("""COMPUTED_VALUE"""),107.37)</f>
        <v>107.37</v>
      </c>
      <c r="E2046" s="1">
        <f>IFERROR(__xludf.DUMMYFUNCTION("""COMPUTED_VALUE"""),109.65)</f>
        <v>109.65</v>
      </c>
      <c r="F2046" s="1">
        <f>IFERROR(__xludf.DUMMYFUNCTION("""COMPUTED_VALUE"""),501519.0)</f>
        <v>501519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IFERROR(__xludf.DUMMYFUNCTION("""COMPUTED_VALUE"""),109.4)</f>
        <v>109.4</v>
      </c>
      <c r="C2047" s="1">
        <f>IFERROR(__xludf.DUMMYFUNCTION("""COMPUTED_VALUE"""),109.56)</f>
        <v>109.56</v>
      </c>
      <c r="D2047" s="1">
        <f>IFERROR(__xludf.DUMMYFUNCTION("""COMPUTED_VALUE"""),107.93)</f>
        <v>107.93</v>
      </c>
      <c r="E2047" s="1">
        <f>IFERROR(__xludf.DUMMYFUNCTION("""COMPUTED_VALUE"""),108.11)</f>
        <v>108.11</v>
      </c>
      <c r="F2047" s="1">
        <f>IFERROR(__xludf.DUMMYFUNCTION("""COMPUTED_VALUE"""),357026.0)</f>
        <v>357026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IFERROR(__xludf.DUMMYFUNCTION("""COMPUTED_VALUE"""),107.7)</f>
        <v>107.7</v>
      </c>
      <c r="C2048" s="1">
        <f>IFERROR(__xludf.DUMMYFUNCTION("""COMPUTED_VALUE"""),108.83)</f>
        <v>108.83</v>
      </c>
      <c r="D2048" s="1">
        <f>IFERROR(__xludf.DUMMYFUNCTION("""COMPUTED_VALUE"""),106.87)</f>
        <v>106.87</v>
      </c>
      <c r="E2048" s="1">
        <f>IFERROR(__xludf.DUMMYFUNCTION("""COMPUTED_VALUE"""),107.03)</f>
        <v>107.03</v>
      </c>
      <c r="F2048" s="1">
        <f>IFERROR(__xludf.DUMMYFUNCTION("""COMPUTED_VALUE"""),322987.0)</f>
        <v>322987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IFERROR(__xludf.DUMMYFUNCTION("""COMPUTED_VALUE"""),107.35)</f>
        <v>107.35</v>
      </c>
      <c r="C2049" s="1">
        <f>IFERROR(__xludf.DUMMYFUNCTION("""COMPUTED_VALUE"""),108.57)</f>
        <v>108.57</v>
      </c>
      <c r="D2049" s="1">
        <f>IFERROR(__xludf.DUMMYFUNCTION("""COMPUTED_VALUE"""),106.72)</f>
        <v>106.72</v>
      </c>
      <c r="E2049" s="1">
        <f>IFERROR(__xludf.DUMMYFUNCTION("""COMPUTED_VALUE"""),107.07)</f>
        <v>107.07</v>
      </c>
      <c r="F2049" s="1">
        <f>IFERROR(__xludf.DUMMYFUNCTION("""COMPUTED_VALUE"""),332703.0)</f>
        <v>332703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IFERROR(__xludf.DUMMYFUNCTION("""COMPUTED_VALUE"""),107.44)</f>
        <v>107.44</v>
      </c>
      <c r="C2050" s="1">
        <f>IFERROR(__xludf.DUMMYFUNCTION("""COMPUTED_VALUE"""),107.44)</f>
        <v>107.44</v>
      </c>
      <c r="D2050" s="1">
        <f>IFERROR(__xludf.DUMMYFUNCTION("""COMPUTED_VALUE"""),105.35)</f>
        <v>105.35</v>
      </c>
      <c r="E2050" s="1">
        <f>IFERROR(__xludf.DUMMYFUNCTION("""COMPUTED_VALUE"""),105.63)</f>
        <v>105.63</v>
      </c>
      <c r="F2050" s="1">
        <f>IFERROR(__xludf.DUMMYFUNCTION("""COMPUTED_VALUE"""),457627.0)</f>
        <v>457627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IFERROR(__xludf.DUMMYFUNCTION("""COMPUTED_VALUE"""),106.32)</f>
        <v>106.32</v>
      </c>
      <c r="C2051" s="1">
        <f>IFERROR(__xludf.DUMMYFUNCTION("""COMPUTED_VALUE"""),109.8)</f>
        <v>109.8</v>
      </c>
      <c r="D2051" s="1">
        <f>IFERROR(__xludf.DUMMYFUNCTION("""COMPUTED_VALUE"""),106.32)</f>
        <v>106.32</v>
      </c>
      <c r="E2051" s="1">
        <f>IFERROR(__xludf.DUMMYFUNCTION("""COMPUTED_VALUE"""),109.34)</f>
        <v>109.34</v>
      </c>
      <c r="F2051" s="1">
        <f>IFERROR(__xludf.DUMMYFUNCTION("""COMPUTED_VALUE"""),390653.0)</f>
        <v>390653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IFERROR(__xludf.DUMMYFUNCTION("""COMPUTED_VALUE"""),109.51)</f>
        <v>109.51</v>
      </c>
      <c r="C2052" s="1">
        <f>IFERROR(__xludf.DUMMYFUNCTION("""COMPUTED_VALUE"""),109.51)</f>
        <v>109.51</v>
      </c>
      <c r="D2052" s="1">
        <f>IFERROR(__xludf.DUMMYFUNCTION("""COMPUTED_VALUE"""),106.42)</f>
        <v>106.42</v>
      </c>
      <c r="E2052" s="1">
        <f>IFERROR(__xludf.DUMMYFUNCTION("""COMPUTED_VALUE"""),108.95)</f>
        <v>108.95</v>
      </c>
      <c r="F2052" s="1">
        <f>IFERROR(__xludf.DUMMYFUNCTION("""COMPUTED_VALUE"""),331935.0)</f>
        <v>331935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IFERROR(__xludf.DUMMYFUNCTION("""COMPUTED_VALUE"""),108.7)</f>
        <v>108.7</v>
      </c>
      <c r="C2053" s="1">
        <f>IFERROR(__xludf.DUMMYFUNCTION("""COMPUTED_VALUE"""),109.01)</f>
        <v>109.01</v>
      </c>
      <c r="D2053" s="1">
        <f>IFERROR(__xludf.DUMMYFUNCTION("""COMPUTED_VALUE"""),107.38)</f>
        <v>107.38</v>
      </c>
      <c r="E2053" s="1">
        <f>IFERROR(__xludf.DUMMYFUNCTION("""COMPUTED_VALUE"""),107.82)</f>
        <v>107.82</v>
      </c>
      <c r="F2053" s="1">
        <f>IFERROR(__xludf.DUMMYFUNCTION("""COMPUTED_VALUE"""),348866.0)</f>
        <v>348866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IFERROR(__xludf.DUMMYFUNCTION("""COMPUTED_VALUE"""),107.91)</f>
        <v>107.91</v>
      </c>
      <c r="C2054" s="1">
        <f>IFERROR(__xludf.DUMMYFUNCTION("""COMPUTED_VALUE"""),108.75)</f>
        <v>108.75</v>
      </c>
      <c r="D2054" s="1">
        <f>IFERROR(__xludf.DUMMYFUNCTION("""COMPUTED_VALUE"""),106.61)</f>
        <v>106.61</v>
      </c>
      <c r="E2054" s="1">
        <f>IFERROR(__xludf.DUMMYFUNCTION("""COMPUTED_VALUE"""),106.61)</f>
        <v>106.61</v>
      </c>
      <c r="F2054" s="1">
        <f>IFERROR(__xludf.DUMMYFUNCTION("""COMPUTED_VALUE"""),414072.0)</f>
        <v>414072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IFERROR(__xludf.DUMMYFUNCTION("""COMPUTED_VALUE"""),106.59)</f>
        <v>106.59</v>
      </c>
      <c r="C2055" s="1">
        <f>IFERROR(__xludf.DUMMYFUNCTION("""COMPUTED_VALUE"""),106.59)</f>
        <v>106.59</v>
      </c>
      <c r="D2055" s="1">
        <f>IFERROR(__xludf.DUMMYFUNCTION("""COMPUTED_VALUE"""),102.76)</f>
        <v>102.76</v>
      </c>
      <c r="E2055" s="1">
        <f>IFERROR(__xludf.DUMMYFUNCTION("""COMPUTED_VALUE"""),104.94)</f>
        <v>104.94</v>
      </c>
      <c r="F2055" s="1">
        <f>IFERROR(__xludf.DUMMYFUNCTION("""COMPUTED_VALUE"""),460621.0)</f>
        <v>460621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IFERROR(__xludf.DUMMYFUNCTION("""COMPUTED_VALUE"""),104.03)</f>
        <v>104.03</v>
      </c>
      <c r="C2056" s="1">
        <f>IFERROR(__xludf.DUMMYFUNCTION("""COMPUTED_VALUE"""),106.81)</f>
        <v>106.81</v>
      </c>
      <c r="D2056" s="1">
        <f>IFERROR(__xludf.DUMMYFUNCTION("""COMPUTED_VALUE"""),104.03)</f>
        <v>104.03</v>
      </c>
      <c r="E2056" s="1">
        <f>IFERROR(__xludf.DUMMYFUNCTION("""COMPUTED_VALUE"""),106.56)</f>
        <v>106.56</v>
      </c>
      <c r="F2056" s="1">
        <f>IFERROR(__xludf.DUMMYFUNCTION("""COMPUTED_VALUE"""),336269.0)</f>
        <v>336269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IFERROR(__xludf.DUMMYFUNCTION("""COMPUTED_VALUE"""),106.29)</f>
        <v>106.29</v>
      </c>
      <c r="C2057" s="1">
        <f>IFERROR(__xludf.DUMMYFUNCTION("""COMPUTED_VALUE"""),108.99)</f>
        <v>108.99</v>
      </c>
      <c r="D2057" s="1">
        <f>IFERROR(__xludf.DUMMYFUNCTION("""COMPUTED_VALUE"""),105.74)</f>
        <v>105.74</v>
      </c>
      <c r="E2057" s="1">
        <f>IFERROR(__xludf.DUMMYFUNCTION("""COMPUTED_VALUE"""),108.27)</f>
        <v>108.27</v>
      </c>
      <c r="F2057" s="1">
        <f>IFERROR(__xludf.DUMMYFUNCTION("""COMPUTED_VALUE"""),551784.0)</f>
        <v>551784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IFERROR(__xludf.DUMMYFUNCTION("""COMPUTED_VALUE"""),108.67)</f>
        <v>108.67</v>
      </c>
      <c r="C2058" s="1">
        <f>IFERROR(__xludf.DUMMYFUNCTION("""COMPUTED_VALUE"""),111.47)</f>
        <v>111.47</v>
      </c>
      <c r="D2058" s="1">
        <f>IFERROR(__xludf.DUMMYFUNCTION("""COMPUTED_VALUE"""),107.88)</f>
        <v>107.88</v>
      </c>
      <c r="E2058" s="1">
        <f>IFERROR(__xludf.DUMMYFUNCTION("""COMPUTED_VALUE"""),111.32)</f>
        <v>111.32</v>
      </c>
      <c r="F2058" s="1">
        <f>IFERROR(__xludf.DUMMYFUNCTION("""COMPUTED_VALUE"""),809419.0)</f>
        <v>809419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IFERROR(__xludf.DUMMYFUNCTION("""COMPUTED_VALUE"""),110.21)</f>
        <v>110.21</v>
      </c>
      <c r="C2059" s="1">
        <f>IFERROR(__xludf.DUMMYFUNCTION("""COMPUTED_VALUE"""),112.36)</f>
        <v>112.36</v>
      </c>
      <c r="D2059" s="1">
        <f>IFERROR(__xludf.DUMMYFUNCTION("""COMPUTED_VALUE"""),110.1)</f>
        <v>110.1</v>
      </c>
      <c r="E2059" s="1">
        <f>IFERROR(__xludf.DUMMYFUNCTION("""COMPUTED_VALUE"""),111.14)</f>
        <v>111.14</v>
      </c>
      <c r="F2059" s="1">
        <f>IFERROR(__xludf.DUMMYFUNCTION("""COMPUTED_VALUE"""),624502.0)</f>
        <v>624502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IFERROR(__xludf.DUMMYFUNCTION("""COMPUTED_VALUE"""),111.73)</f>
        <v>111.73</v>
      </c>
      <c r="C2060" s="1">
        <f>IFERROR(__xludf.DUMMYFUNCTION("""COMPUTED_VALUE"""),112.81)</f>
        <v>112.81</v>
      </c>
      <c r="D2060" s="1">
        <f>IFERROR(__xludf.DUMMYFUNCTION("""COMPUTED_VALUE"""),110.21)</f>
        <v>110.21</v>
      </c>
      <c r="E2060" s="1">
        <f>IFERROR(__xludf.DUMMYFUNCTION("""COMPUTED_VALUE"""),111.92)</f>
        <v>111.92</v>
      </c>
      <c r="F2060" s="1">
        <f>IFERROR(__xludf.DUMMYFUNCTION("""COMPUTED_VALUE"""),413519.0)</f>
        <v>413519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IFERROR(__xludf.DUMMYFUNCTION("""COMPUTED_VALUE"""),112.39)</f>
        <v>112.39</v>
      </c>
      <c r="C2061" s="1">
        <f>IFERROR(__xludf.DUMMYFUNCTION("""COMPUTED_VALUE"""),115.34)</f>
        <v>115.34</v>
      </c>
      <c r="D2061" s="1">
        <f>IFERROR(__xludf.DUMMYFUNCTION("""COMPUTED_VALUE"""),111.33)</f>
        <v>111.33</v>
      </c>
      <c r="E2061" s="1">
        <f>IFERROR(__xludf.DUMMYFUNCTION("""COMPUTED_VALUE"""),114.82)</f>
        <v>114.82</v>
      </c>
      <c r="F2061" s="1">
        <f>IFERROR(__xludf.DUMMYFUNCTION("""COMPUTED_VALUE"""),494949.0)</f>
        <v>494949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IFERROR(__xludf.DUMMYFUNCTION("""COMPUTED_VALUE"""),114.75)</f>
        <v>114.75</v>
      </c>
      <c r="C2062" s="1">
        <f>IFERROR(__xludf.DUMMYFUNCTION("""COMPUTED_VALUE"""),115.61)</f>
        <v>115.61</v>
      </c>
      <c r="D2062" s="1">
        <f>IFERROR(__xludf.DUMMYFUNCTION("""COMPUTED_VALUE"""),114.0)</f>
        <v>114</v>
      </c>
      <c r="E2062" s="1">
        <f>IFERROR(__xludf.DUMMYFUNCTION("""COMPUTED_VALUE"""),115.2)</f>
        <v>115.2</v>
      </c>
      <c r="F2062" s="1">
        <f>IFERROR(__xludf.DUMMYFUNCTION("""COMPUTED_VALUE"""),335891.0)</f>
        <v>335891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IFERROR(__xludf.DUMMYFUNCTION("""COMPUTED_VALUE"""),115.45)</f>
        <v>115.45</v>
      </c>
      <c r="C2063" s="1">
        <f>IFERROR(__xludf.DUMMYFUNCTION("""COMPUTED_VALUE"""),115.65)</f>
        <v>115.65</v>
      </c>
      <c r="D2063" s="1">
        <f>IFERROR(__xludf.DUMMYFUNCTION("""COMPUTED_VALUE"""),113.6)</f>
        <v>113.6</v>
      </c>
      <c r="E2063" s="1">
        <f>IFERROR(__xludf.DUMMYFUNCTION("""COMPUTED_VALUE"""),114.19)</f>
        <v>114.19</v>
      </c>
      <c r="F2063" s="1">
        <f>IFERROR(__xludf.DUMMYFUNCTION("""COMPUTED_VALUE"""),247878.0)</f>
        <v>247878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IFERROR(__xludf.DUMMYFUNCTION("""COMPUTED_VALUE"""),114.64)</f>
        <v>114.64</v>
      </c>
      <c r="C2064" s="1">
        <f>IFERROR(__xludf.DUMMYFUNCTION("""COMPUTED_VALUE"""),114.64)</f>
        <v>114.64</v>
      </c>
      <c r="D2064" s="1">
        <f>IFERROR(__xludf.DUMMYFUNCTION("""COMPUTED_VALUE"""),111.8)</f>
        <v>111.8</v>
      </c>
      <c r="E2064" s="1">
        <f>IFERROR(__xludf.DUMMYFUNCTION("""COMPUTED_VALUE"""),112.71)</f>
        <v>112.71</v>
      </c>
      <c r="F2064" s="1">
        <f>IFERROR(__xludf.DUMMYFUNCTION("""COMPUTED_VALUE"""),316950.0)</f>
        <v>316950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IFERROR(__xludf.DUMMYFUNCTION("""COMPUTED_VALUE"""),112.71)</f>
        <v>112.71</v>
      </c>
      <c r="C2065" s="1">
        <f>IFERROR(__xludf.DUMMYFUNCTION("""COMPUTED_VALUE"""),112.85)</f>
        <v>112.85</v>
      </c>
      <c r="D2065" s="1">
        <f>IFERROR(__xludf.DUMMYFUNCTION("""COMPUTED_VALUE"""),110.17)</f>
        <v>110.17</v>
      </c>
      <c r="E2065" s="1">
        <f>IFERROR(__xludf.DUMMYFUNCTION("""COMPUTED_VALUE"""),112.06)</f>
        <v>112.06</v>
      </c>
      <c r="F2065" s="1">
        <f>IFERROR(__xludf.DUMMYFUNCTION("""COMPUTED_VALUE"""),274747.0)</f>
        <v>274747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IFERROR(__xludf.DUMMYFUNCTION("""COMPUTED_VALUE"""),112.0)</f>
        <v>112</v>
      </c>
      <c r="C2066" s="1">
        <f>IFERROR(__xludf.DUMMYFUNCTION("""COMPUTED_VALUE"""),112.26)</f>
        <v>112.26</v>
      </c>
      <c r="D2066" s="1">
        <f>IFERROR(__xludf.DUMMYFUNCTION("""COMPUTED_VALUE"""),110.69)</f>
        <v>110.69</v>
      </c>
      <c r="E2066" s="1">
        <f>IFERROR(__xludf.DUMMYFUNCTION("""COMPUTED_VALUE"""),111.1)</f>
        <v>111.1</v>
      </c>
      <c r="F2066" s="1">
        <f>IFERROR(__xludf.DUMMYFUNCTION("""COMPUTED_VALUE"""),596634.0)</f>
        <v>596634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IFERROR(__xludf.DUMMYFUNCTION("""COMPUTED_VALUE"""),110.93)</f>
        <v>110.93</v>
      </c>
      <c r="C2067" s="1">
        <f>IFERROR(__xludf.DUMMYFUNCTION("""COMPUTED_VALUE"""),111.16)</f>
        <v>111.16</v>
      </c>
      <c r="D2067" s="1">
        <f>IFERROR(__xludf.DUMMYFUNCTION("""COMPUTED_VALUE"""),109.9)</f>
        <v>109.9</v>
      </c>
      <c r="E2067" s="1">
        <f>IFERROR(__xludf.DUMMYFUNCTION("""COMPUTED_VALUE"""),110.86)</f>
        <v>110.86</v>
      </c>
      <c r="F2067" s="1">
        <f>IFERROR(__xludf.DUMMYFUNCTION("""COMPUTED_VALUE"""),286876.0)</f>
        <v>286876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IFERROR(__xludf.DUMMYFUNCTION("""COMPUTED_VALUE"""),111.0)</f>
        <v>111</v>
      </c>
      <c r="C2068" s="1">
        <f>IFERROR(__xludf.DUMMYFUNCTION("""COMPUTED_VALUE"""),111.36)</f>
        <v>111.36</v>
      </c>
      <c r="D2068" s="1">
        <f>IFERROR(__xludf.DUMMYFUNCTION("""COMPUTED_VALUE"""),110.04)</f>
        <v>110.04</v>
      </c>
      <c r="E2068" s="1">
        <f>IFERROR(__xludf.DUMMYFUNCTION("""COMPUTED_VALUE"""),110.44)</f>
        <v>110.44</v>
      </c>
      <c r="F2068" s="1">
        <f>IFERROR(__xludf.DUMMYFUNCTION("""COMPUTED_VALUE"""),228040.0)</f>
        <v>228040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IFERROR(__xludf.DUMMYFUNCTION("""COMPUTED_VALUE"""),110.38)</f>
        <v>110.38</v>
      </c>
      <c r="C2069" s="1">
        <f>IFERROR(__xludf.DUMMYFUNCTION("""COMPUTED_VALUE"""),111.07)</f>
        <v>111.07</v>
      </c>
      <c r="D2069" s="1">
        <f>IFERROR(__xludf.DUMMYFUNCTION("""COMPUTED_VALUE"""),109.18)</f>
        <v>109.18</v>
      </c>
      <c r="E2069" s="1">
        <f>IFERROR(__xludf.DUMMYFUNCTION("""COMPUTED_VALUE"""),109.9)</f>
        <v>109.9</v>
      </c>
      <c r="F2069" s="1">
        <f>IFERROR(__xludf.DUMMYFUNCTION("""COMPUTED_VALUE"""),325738.0)</f>
        <v>325738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IFERROR(__xludf.DUMMYFUNCTION("""COMPUTED_VALUE"""),109.29)</f>
        <v>109.29</v>
      </c>
      <c r="C2070" s="1">
        <f>IFERROR(__xludf.DUMMYFUNCTION("""COMPUTED_VALUE"""),109.88)</f>
        <v>109.88</v>
      </c>
      <c r="D2070" s="1">
        <f>IFERROR(__xludf.DUMMYFUNCTION("""COMPUTED_VALUE"""),106.83)</f>
        <v>106.83</v>
      </c>
      <c r="E2070" s="1">
        <f>IFERROR(__xludf.DUMMYFUNCTION("""COMPUTED_VALUE"""),106.89)</f>
        <v>106.89</v>
      </c>
      <c r="F2070" s="1">
        <f>IFERROR(__xludf.DUMMYFUNCTION("""COMPUTED_VALUE"""),256052.0)</f>
        <v>256052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IFERROR(__xludf.DUMMYFUNCTION("""COMPUTED_VALUE"""),107.26)</f>
        <v>107.26</v>
      </c>
      <c r="C2071" s="1">
        <f>IFERROR(__xludf.DUMMYFUNCTION("""COMPUTED_VALUE"""),107.76)</f>
        <v>107.76</v>
      </c>
      <c r="D2071" s="1">
        <f>IFERROR(__xludf.DUMMYFUNCTION("""COMPUTED_VALUE"""),105.95)</f>
        <v>105.95</v>
      </c>
      <c r="E2071" s="1">
        <f>IFERROR(__xludf.DUMMYFUNCTION("""COMPUTED_VALUE"""),106.27)</f>
        <v>106.27</v>
      </c>
      <c r="F2071" s="1">
        <f>IFERROR(__xludf.DUMMYFUNCTION("""COMPUTED_VALUE"""),332489.0)</f>
        <v>332489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IFERROR(__xludf.DUMMYFUNCTION("""COMPUTED_VALUE"""),107.65)</f>
        <v>107.65</v>
      </c>
      <c r="C2072" s="1">
        <f>IFERROR(__xludf.DUMMYFUNCTION("""COMPUTED_VALUE"""),108.98)</f>
        <v>108.98</v>
      </c>
      <c r="D2072" s="1">
        <f>IFERROR(__xludf.DUMMYFUNCTION("""COMPUTED_VALUE"""),105.97)</f>
        <v>105.97</v>
      </c>
      <c r="E2072" s="1">
        <f>IFERROR(__xludf.DUMMYFUNCTION("""COMPUTED_VALUE"""),108.8)</f>
        <v>108.8</v>
      </c>
      <c r="F2072" s="1">
        <f>IFERROR(__xludf.DUMMYFUNCTION("""COMPUTED_VALUE"""),276451.0)</f>
        <v>276451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IFERROR(__xludf.DUMMYFUNCTION("""COMPUTED_VALUE"""),109.06)</f>
        <v>109.06</v>
      </c>
      <c r="C2073" s="1">
        <f>IFERROR(__xludf.DUMMYFUNCTION("""COMPUTED_VALUE"""),109.09)</f>
        <v>109.09</v>
      </c>
      <c r="D2073" s="1">
        <f>IFERROR(__xludf.DUMMYFUNCTION("""COMPUTED_VALUE"""),106.52)</f>
        <v>106.52</v>
      </c>
      <c r="E2073" s="1">
        <f>IFERROR(__xludf.DUMMYFUNCTION("""COMPUTED_VALUE"""),107.27)</f>
        <v>107.27</v>
      </c>
      <c r="F2073" s="1">
        <f>IFERROR(__xludf.DUMMYFUNCTION("""COMPUTED_VALUE"""),427044.0)</f>
        <v>427044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IFERROR(__xludf.DUMMYFUNCTION("""COMPUTED_VALUE"""),107.35)</f>
        <v>107.35</v>
      </c>
      <c r="C2074" s="1">
        <f>IFERROR(__xludf.DUMMYFUNCTION("""COMPUTED_VALUE"""),107.77)</f>
        <v>107.77</v>
      </c>
      <c r="D2074" s="1">
        <f>IFERROR(__xludf.DUMMYFUNCTION("""COMPUTED_VALUE"""),105.46)</f>
        <v>105.46</v>
      </c>
      <c r="E2074" s="1">
        <f>IFERROR(__xludf.DUMMYFUNCTION("""COMPUTED_VALUE"""),106.18)</f>
        <v>106.18</v>
      </c>
      <c r="F2074" s="1">
        <f>IFERROR(__xludf.DUMMYFUNCTION("""COMPUTED_VALUE"""),429915.0)</f>
        <v>429915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IFERROR(__xludf.DUMMYFUNCTION("""COMPUTED_VALUE"""),106.74)</f>
        <v>106.74</v>
      </c>
      <c r="C2075" s="1">
        <f>IFERROR(__xludf.DUMMYFUNCTION("""COMPUTED_VALUE"""),107.01)</f>
        <v>107.01</v>
      </c>
      <c r="D2075" s="1">
        <f>IFERROR(__xludf.DUMMYFUNCTION("""COMPUTED_VALUE"""),104.87)</f>
        <v>104.87</v>
      </c>
      <c r="E2075" s="1">
        <f>IFERROR(__xludf.DUMMYFUNCTION("""COMPUTED_VALUE"""),106.74)</f>
        <v>106.74</v>
      </c>
      <c r="F2075" s="1">
        <f>IFERROR(__xludf.DUMMYFUNCTION("""COMPUTED_VALUE"""),281983.0)</f>
        <v>281983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IFERROR(__xludf.DUMMYFUNCTION("""COMPUTED_VALUE"""),106.33)</f>
        <v>106.33</v>
      </c>
      <c r="C2076" s="1">
        <f>IFERROR(__xludf.DUMMYFUNCTION("""COMPUTED_VALUE"""),106.52)</f>
        <v>106.52</v>
      </c>
      <c r="D2076" s="1">
        <f>IFERROR(__xludf.DUMMYFUNCTION("""COMPUTED_VALUE"""),102.28)</f>
        <v>102.28</v>
      </c>
      <c r="E2076" s="1">
        <f>IFERROR(__xludf.DUMMYFUNCTION("""COMPUTED_VALUE"""),103.11)</f>
        <v>103.11</v>
      </c>
      <c r="F2076" s="1">
        <f>IFERROR(__xludf.DUMMYFUNCTION("""COMPUTED_VALUE"""),343554.0)</f>
        <v>343554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IFERROR(__xludf.DUMMYFUNCTION("""COMPUTED_VALUE"""),103.95)</f>
        <v>103.95</v>
      </c>
      <c r="C2077" s="1">
        <f>IFERROR(__xludf.DUMMYFUNCTION("""COMPUTED_VALUE"""),105.13)</f>
        <v>105.13</v>
      </c>
      <c r="D2077" s="1">
        <f>IFERROR(__xludf.DUMMYFUNCTION("""COMPUTED_VALUE"""),102.26)</f>
        <v>102.26</v>
      </c>
      <c r="E2077" s="1">
        <f>IFERROR(__xludf.DUMMYFUNCTION("""COMPUTED_VALUE"""),104.58)</f>
        <v>104.58</v>
      </c>
      <c r="F2077" s="1">
        <f>IFERROR(__xludf.DUMMYFUNCTION("""COMPUTED_VALUE"""),360965.0)</f>
        <v>360965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IFERROR(__xludf.DUMMYFUNCTION("""COMPUTED_VALUE"""),103.46)</f>
        <v>103.46</v>
      </c>
      <c r="C2078" s="1">
        <f>IFERROR(__xludf.DUMMYFUNCTION("""COMPUTED_VALUE"""),105.8)</f>
        <v>105.8</v>
      </c>
      <c r="D2078" s="1">
        <f>IFERROR(__xludf.DUMMYFUNCTION("""COMPUTED_VALUE"""),102.83)</f>
        <v>102.83</v>
      </c>
      <c r="E2078" s="1">
        <f>IFERROR(__xludf.DUMMYFUNCTION("""COMPUTED_VALUE"""),105.62)</f>
        <v>105.62</v>
      </c>
      <c r="F2078" s="1">
        <f>IFERROR(__xludf.DUMMYFUNCTION("""COMPUTED_VALUE"""),419197.0)</f>
        <v>419197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IFERROR(__xludf.DUMMYFUNCTION("""COMPUTED_VALUE"""),106.37)</f>
        <v>106.37</v>
      </c>
      <c r="C2079" s="1">
        <f>IFERROR(__xludf.DUMMYFUNCTION("""COMPUTED_VALUE"""),106.37)</f>
        <v>106.37</v>
      </c>
      <c r="D2079" s="1">
        <f>IFERROR(__xludf.DUMMYFUNCTION("""COMPUTED_VALUE"""),104.47)</f>
        <v>104.47</v>
      </c>
      <c r="E2079" s="1">
        <f>IFERROR(__xludf.DUMMYFUNCTION("""COMPUTED_VALUE"""),105.45)</f>
        <v>105.45</v>
      </c>
      <c r="F2079" s="1">
        <f>IFERROR(__xludf.DUMMYFUNCTION("""COMPUTED_VALUE"""),296291.0)</f>
        <v>296291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IFERROR(__xludf.DUMMYFUNCTION("""COMPUTED_VALUE"""),104.39)</f>
        <v>104.39</v>
      </c>
      <c r="C2080" s="1">
        <f>IFERROR(__xludf.DUMMYFUNCTION("""COMPUTED_VALUE"""),105.26)</f>
        <v>105.26</v>
      </c>
      <c r="D2080" s="1">
        <f>IFERROR(__xludf.DUMMYFUNCTION("""COMPUTED_VALUE"""),101.58)</f>
        <v>101.58</v>
      </c>
      <c r="E2080" s="1">
        <f>IFERROR(__xludf.DUMMYFUNCTION("""COMPUTED_VALUE"""),102.37)</f>
        <v>102.37</v>
      </c>
      <c r="F2080" s="1">
        <f>IFERROR(__xludf.DUMMYFUNCTION("""COMPUTED_VALUE"""),253149.0)</f>
        <v>253149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IFERROR(__xludf.DUMMYFUNCTION("""COMPUTED_VALUE"""),103.07)</f>
        <v>103.07</v>
      </c>
      <c r="C2081" s="1">
        <f>IFERROR(__xludf.DUMMYFUNCTION("""COMPUTED_VALUE"""),104.9)</f>
        <v>104.9</v>
      </c>
      <c r="D2081" s="1">
        <f>IFERROR(__xludf.DUMMYFUNCTION("""COMPUTED_VALUE"""),102.66)</f>
        <v>102.66</v>
      </c>
      <c r="E2081" s="1">
        <f>IFERROR(__xludf.DUMMYFUNCTION("""COMPUTED_VALUE"""),103.58)</f>
        <v>103.58</v>
      </c>
      <c r="F2081" s="1">
        <f>IFERROR(__xludf.DUMMYFUNCTION("""COMPUTED_VALUE"""),247039.0)</f>
        <v>247039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IFERROR(__xludf.DUMMYFUNCTION("""COMPUTED_VALUE"""),104.44)</f>
        <v>104.44</v>
      </c>
      <c r="C2082" s="1">
        <f>IFERROR(__xludf.DUMMYFUNCTION("""COMPUTED_VALUE"""),106.68)</f>
        <v>106.68</v>
      </c>
      <c r="D2082" s="1">
        <f>IFERROR(__xludf.DUMMYFUNCTION("""COMPUTED_VALUE"""),103.94)</f>
        <v>103.94</v>
      </c>
      <c r="E2082" s="1">
        <f>IFERROR(__xludf.DUMMYFUNCTION("""COMPUTED_VALUE"""),106.1)</f>
        <v>106.1</v>
      </c>
      <c r="F2082" s="1">
        <f>IFERROR(__xludf.DUMMYFUNCTION("""COMPUTED_VALUE"""),288706.0)</f>
        <v>288706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IFERROR(__xludf.DUMMYFUNCTION("""COMPUTED_VALUE"""),105.52)</f>
        <v>105.52</v>
      </c>
      <c r="C2083" s="1">
        <f>IFERROR(__xludf.DUMMYFUNCTION("""COMPUTED_VALUE"""),106.19)</f>
        <v>106.19</v>
      </c>
      <c r="D2083" s="1">
        <f>IFERROR(__xludf.DUMMYFUNCTION("""COMPUTED_VALUE"""),104.85)</f>
        <v>104.85</v>
      </c>
      <c r="E2083" s="1">
        <f>IFERROR(__xludf.DUMMYFUNCTION("""COMPUTED_VALUE"""),105.29)</f>
        <v>105.29</v>
      </c>
      <c r="F2083" s="1">
        <f>IFERROR(__xludf.DUMMYFUNCTION("""COMPUTED_VALUE"""),143256.0)</f>
        <v>143256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IFERROR(__xludf.DUMMYFUNCTION("""COMPUTED_VALUE"""),105.52)</f>
        <v>105.52</v>
      </c>
      <c r="C2084" s="1">
        <f>IFERROR(__xludf.DUMMYFUNCTION("""COMPUTED_VALUE"""),106.84)</f>
        <v>106.84</v>
      </c>
      <c r="D2084" s="1">
        <f>IFERROR(__xludf.DUMMYFUNCTION("""COMPUTED_VALUE"""),105.43)</f>
        <v>105.43</v>
      </c>
      <c r="E2084" s="1">
        <f>IFERROR(__xludf.DUMMYFUNCTION("""COMPUTED_VALUE"""),106.01)</f>
        <v>106.01</v>
      </c>
      <c r="F2084" s="1">
        <f>IFERROR(__xludf.DUMMYFUNCTION("""COMPUTED_VALUE"""),190482.0)</f>
        <v>190482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IFERROR(__xludf.DUMMYFUNCTION("""COMPUTED_VALUE"""),106.79)</f>
        <v>106.79</v>
      </c>
      <c r="C2085" s="1">
        <f>IFERROR(__xludf.DUMMYFUNCTION("""COMPUTED_VALUE"""),106.79)</f>
        <v>106.79</v>
      </c>
      <c r="D2085" s="1">
        <f>IFERROR(__xludf.DUMMYFUNCTION("""COMPUTED_VALUE"""),105.31)</f>
        <v>105.31</v>
      </c>
      <c r="E2085" s="1">
        <f>IFERROR(__xludf.DUMMYFUNCTION("""COMPUTED_VALUE"""),106.05)</f>
        <v>106.05</v>
      </c>
      <c r="F2085" s="1">
        <f>IFERROR(__xludf.DUMMYFUNCTION("""COMPUTED_VALUE"""),217809.0)</f>
        <v>217809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IFERROR(__xludf.DUMMYFUNCTION("""COMPUTED_VALUE"""),106.8)</f>
        <v>106.8</v>
      </c>
      <c r="C2086" s="1">
        <f>IFERROR(__xludf.DUMMYFUNCTION("""COMPUTED_VALUE"""),107.99)</f>
        <v>107.99</v>
      </c>
      <c r="D2086" s="1">
        <f>IFERROR(__xludf.DUMMYFUNCTION("""COMPUTED_VALUE"""),106.49)</f>
        <v>106.49</v>
      </c>
      <c r="E2086" s="1">
        <f>IFERROR(__xludf.DUMMYFUNCTION("""COMPUTED_VALUE"""),107.25)</f>
        <v>107.25</v>
      </c>
      <c r="F2086" s="1">
        <f>IFERROR(__xludf.DUMMYFUNCTION("""COMPUTED_VALUE"""),156246.0)</f>
        <v>156246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IFERROR(__xludf.DUMMYFUNCTION("""COMPUTED_VALUE"""),107.86)</f>
        <v>107.86</v>
      </c>
      <c r="C2087" s="1">
        <f>IFERROR(__xludf.DUMMYFUNCTION("""COMPUTED_VALUE"""),108.23)</f>
        <v>108.23</v>
      </c>
      <c r="D2087" s="1">
        <f>IFERROR(__xludf.DUMMYFUNCTION("""COMPUTED_VALUE"""),106.19)</f>
        <v>106.19</v>
      </c>
      <c r="E2087" s="1">
        <f>IFERROR(__xludf.DUMMYFUNCTION("""COMPUTED_VALUE"""),108.01)</f>
        <v>108.01</v>
      </c>
      <c r="F2087" s="1">
        <f>IFERROR(__xludf.DUMMYFUNCTION("""COMPUTED_VALUE"""),343681.0)</f>
        <v>343681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IFERROR(__xludf.DUMMYFUNCTION("""COMPUTED_VALUE"""),108.37)</f>
        <v>108.37</v>
      </c>
      <c r="C2088" s="1">
        <f>IFERROR(__xludf.DUMMYFUNCTION("""COMPUTED_VALUE"""),109.24)</f>
        <v>109.24</v>
      </c>
      <c r="D2088" s="1">
        <f>IFERROR(__xludf.DUMMYFUNCTION("""COMPUTED_VALUE"""),107.92)</f>
        <v>107.92</v>
      </c>
      <c r="E2088" s="1">
        <f>IFERROR(__xludf.DUMMYFUNCTION("""COMPUTED_VALUE"""),108.12)</f>
        <v>108.12</v>
      </c>
      <c r="F2088" s="1">
        <f>IFERROR(__xludf.DUMMYFUNCTION("""COMPUTED_VALUE"""),228769.0)</f>
        <v>228769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IFERROR(__xludf.DUMMYFUNCTION("""COMPUTED_VALUE"""),107.96)</f>
        <v>107.96</v>
      </c>
      <c r="C2089" s="1">
        <f>IFERROR(__xludf.DUMMYFUNCTION("""COMPUTED_VALUE"""),108.09)</f>
        <v>108.09</v>
      </c>
      <c r="D2089" s="1">
        <f>IFERROR(__xludf.DUMMYFUNCTION("""COMPUTED_VALUE"""),105.72)</f>
        <v>105.72</v>
      </c>
      <c r="E2089" s="1">
        <f>IFERROR(__xludf.DUMMYFUNCTION("""COMPUTED_VALUE"""),106.0)</f>
        <v>106</v>
      </c>
      <c r="F2089" s="1">
        <f>IFERROR(__xludf.DUMMYFUNCTION("""COMPUTED_VALUE"""),311623.0)</f>
        <v>311623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IFERROR(__xludf.DUMMYFUNCTION("""COMPUTED_VALUE"""),105.86)</f>
        <v>105.86</v>
      </c>
      <c r="C2090" s="1">
        <f>IFERROR(__xludf.DUMMYFUNCTION("""COMPUTED_VALUE"""),108.72)</f>
        <v>108.72</v>
      </c>
      <c r="D2090" s="1">
        <f>IFERROR(__xludf.DUMMYFUNCTION("""COMPUTED_VALUE"""),105.03)</f>
        <v>105.03</v>
      </c>
      <c r="E2090" s="1">
        <f>IFERROR(__xludf.DUMMYFUNCTION("""COMPUTED_VALUE"""),105.46)</f>
        <v>105.46</v>
      </c>
      <c r="F2090" s="1">
        <f>IFERROR(__xludf.DUMMYFUNCTION("""COMPUTED_VALUE"""),271665.0)</f>
        <v>271665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IFERROR(__xludf.DUMMYFUNCTION("""COMPUTED_VALUE"""),105.86)</f>
        <v>105.86</v>
      </c>
      <c r="C2091" s="1">
        <f>IFERROR(__xludf.DUMMYFUNCTION("""COMPUTED_VALUE"""),107.56)</f>
        <v>107.56</v>
      </c>
      <c r="D2091" s="1">
        <f>IFERROR(__xludf.DUMMYFUNCTION("""COMPUTED_VALUE"""),105.81)</f>
        <v>105.81</v>
      </c>
      <c r="E2091" s="1">
        <f>IFERROR(__xludf.DUMMYFUNCTION("""COMPUTED_VALUE"""),106.52)</f>
        <v>106.52</v>
      </c>
      <c r="F2091" s="1">
        <f>IFERROR(__xludf.DUMMYFUNCTION("""COMPUTED_VALUE"""),124627.0)</f>
        <v>124627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IFERROR(__xludf.DUMMYFUNCTION("""COMPUTED_VALUE"""),106.83)</f>
        <v>106.83</v>
      </c>
      <c r="C2092" s="1">
        <f>IFERROR(__xludf.DUMMYFUNCTION("""COMPUTED_VALUE"""),107.86)</f>
        <v>107.86</v>
      </c>
      <c r="D2092" s="1">
        <f>IFERROR(__xludf.DUMMYFUNCTION("""COMPUTED_VALUE"""),104.28)</f>
        <v>104.28</v>
      </c>
      <c r="E2092" s="1">
        <f>IFERROR(__xludf.DUMMYFUNCTION("""COMPUTED_VALUE"""),105.21)</f>
        <v>105.21</v>
      </c>
      <c r="F2092" s="1">
        <f>IFERROR(__xludf.DUMMYFUNCTION("""COMPUTED_VALUE"""),151844.0)</f>
        <v>151844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IFERROR(__xludf.DUMMYFUNCTION("""COMPUTED_VALUE"""),105.12)</f>
        <v>105.12</v>
      </c>
      <c r="C2093" s="1">
        <f>IFERROR(__xludf.DUMMYFUNCTION("""COMPUTED_VALUE"""),105.18)</f>
        <v>105.18</v>
      </c>
      <c r="D2093" s="1">
        <f>IFERROR(__xludf.DUMMYFUNCTION("""COMPUTED_VALUE"""),104.11)</f>
        <v>104.11</v>
      </c>
      <c r="E2093" s="1">
        <f>IFERROR(__xludf.DUMMYFUNCTION("""COMPUTED_VALUE"""),104.7)</f>
        <v>104.7</v>
      </c>
      <c r="F2093" s="1">
        <f>IFERROR(__xludf.DUMMYFUNCTION("""COMPUTED_VALUE"""),526666.0)</f>
        <v>526666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IFERROR(__xludf.DUMMYFUNCTION("""COMPUTED_VALUE"""),105.25)</f>
        <v>105.25</v>
      </c>
      <c r="C2094" s="1">
        <f>IFERROR(__xludf.DUMMYFUNCTION("""COMPUTED_VALUE"""),105.49)</f>
        <v>105.49</v>
      </c>
      <c r="D2094" s="1">
        <f>IFERROR(__xludf.DUMMYFUNCTION("""COMPUTED_VALUE"""),104.3)</f>
        <v>104.3</v>
      </c>
      <c r="E2094" s="1">
        <f>IFERROR(__xludf.DUMMYFUNCTION("""COMPUTED_VALUE"""),104.8)</f>
        <v>104.8</v>
      </c>
      <c r="F2094" s="1">
        <f>IFERROR(__xludf.DUMMYFUNCTION("""COMPUTED_VALUE"""),173707.0)</f>
        <v>173707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IFERROR(__xludf.DUMMYFUNCTION("""COMPUTED_VALUE"""),104.58)</f>
        <v>104.58</v>
      </c>
      <c r="C2095" s="1">
        <f>IFERROR(__xludf.DUMMYFUNCTION("""COMPUTED_VALUE"""),105.31)</f>
        <v>105.31</v>
      </c>
      <c r="D2095" s="1">
        <f>IFERROR(__xludf.DUMMYFUNCTION("""COMPUTED_VALUE"""),104.06)</f>
        <v>104.06</v>
      </c>
      <c r="E2095" s="1">
        <f>IFERROR(__xludf.DUMMYFUNCTION("""COMPUTED_VALUE"""),105.07)</f>
        <v>105.07</v>
      </c>
      <c r="F2095" s="1">
        <f>IFERROR(__xludf.DUMMYFUNCTION("""COMPUTED_VALUE"""),468314.0)</f>
        <v>468314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IFERROR(__xludf.DUMMYFUNCTION("""COMPUTED_VALUE"""),105.4)</f>
        <v>105.4</v>
      </c>
      <c r="C2096" s="1">
        <f>IFERROR(__xludf.DUMMYFUNCTION("""COMPUTED_VALUE"""),105.8)</f>
        <v>105.8</v>
      </c>
      <c r="D2096" s="1">
        <f>IFERROR(__xludf.DUMMYFUNCTION("""COMPUTED_VALUE"""),104.16)</f>
        <v>104.16</v>
      </c>
      <c r="E2096" s="1">
        <f>IFERROR(__xludf.DUMMYFUNCTION("""COMPUTED_VALUE"""),104.19)</f>
        <v>104.19</v>
      </c>
      <c r="F2096" s="1">
        <f>IFERROR(__xludf.DUMMYFUNCTION("""COMPUTED_VALUE"""),206386.0)</f>
        <v>206386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IFERROR(__xludf.DUMMYFUNCTION("""COMPUTED_VALUE"""),103.81)</f>
        <v>103.81</v>
      </c>
      <c r="C2097" s="1">
        <f>IFERROR(__xludf.DUMMYFUNCTION("""COMPUTED_VALUE"""),105.43)</f>
        <v>105.43</v>
      </c>
      <c r="D2097" s="1">
        <f>IFERROR(__xludf.DUMMYFUNCTION("""COMPUTED_VALUE"""),103.44)</f>
        <v>103.44</v>
      </c>
      <c r="E2097" s="1">
        <f>IFERROR(__xludf.DUMMYFUNCTION("""COMPUTED_VALUE"""),104.99)</f>
        <v>104.99</v>
      </c>
      <c r="F2097" s="1">
        <f>IFERROR(__xludf.DUMMYFUNCTION("""COMPUTED_VALUE"""),216610.0)</f>
        <v>216610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IFERROR(__xludf.DUMMYFUNCTION("""COMPUTED_VALUE"""),105.01)</f>
        <v>105.01</v>
      </c>
      <c r="C2098" s="1">
        <f>IFERROR(__xludf.DUMMYFUNCTION("""COMPUTED_VALUE"""),105.28)</f>
        <v>105.28</v>
      </c>
      <c r="D2098" s="1">
        <f>IFERROR(__xludf.DUMMYFUNCTION("""COMPUTED_VALUE"""),103.02)</f>
        <v>103.02</v>
      </c>
      <c r="E2098" s="1">
        <f>IFERROR(__xludf.DUMMYFUNCTION("""COMPUTED_VALUE"""),104.79)</f>
        <v>104.79</v>
      </c>
      <c r="F2098" s="1">
        <f>IFERROR(__xludf.DUMMYFUNCTION("""COMPUTED_VALUE"""),376447.0)</f>
        <v>376447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IFERROR(__xludf.DUMMYFUNCTION("""COMPUTED_VALUE"""),104.53)</f>
        <v>104.53</v>
      </c>
      <c r="C2099" s="1">
        <f>IFERROR(__xludf.DUMMYFUNCTION("""COMPUTED_VALUE"""),105.43)</f>
        <v>105.43</v>
      </c>
      <c r="D2099" s="1">
        <f>IFERROR(__xludf.DUMMYFUNCTION("""COMPUTED_VALUE"""),103.24)</f>
        <v>103.24</v>
      </c>
      <c r="E2099" s="1">
        <f>IFERROR(__xludf.DUMMYFUNCTION("""COMPUTED_VALUE"""),104.92)</f>
        <v>104.92</v>
      </c>
      <c r="F2099" s="1">
        <f>IFERROR(__xludf.DUMMYFUNCTION("""COMPUTED_VALUE"""),345369.0)</f>
        <v>345369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IFERROR(__xludf.DUMMYFUNCTION("""COMPUTED_VALUE"""),104.6)</f>
        <v>104.6</v>
      </c>
      <c r="C2100" s="1">
        <f>IFERROR(__xludf.DUMMYFUNCTION("""COMPUTED_VALUE"""),106.49)</f>
        <v>106.49</v>
      </c>
      <c r="D2100" s="1">
        <f>IFERROR(__xludf.DUMMYFUNCTION("""COMPUTED_VALUE"""),104.14)</f>
        <v>104.14</v>
      </c>
      <c r="E2100" s="1">
        <f>IFERROR(__xludf.DUMMYFUNCTION("""COMPUTED_VALUE"""),105.93)</f>
        <v>105.93</v>
      </c>
      <c r="F2100" s="1">
        <f>IFERROR(__xludf.DUMMYFUNCTION("""COMPUTED_VALUE"""),175893.0)</f>
        <v>175893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IFERROR(__xludf.DUMMYFUNCTION("""COMPUTED_VALUE"""),106.15)</f>
        <v>106.15</v>
      </c>
      <c r="C2101" s="1">
        <f>IFERROR(__xludf.DUMMYFUNCTION("""COMPUTED_VALUE"""),106.79)</f>
        <v>106.79</v>
      </c>
      <c r="D2101" s="1">
        <f>IFERROR(__xludf.DUMMYFUNCTION("""COMPUTED_VALUE"""),105.17)</f>
        <v>105.17</v>
      </c>
      <c r="E2101" s="1">
        <f>IFERROR(__xludf.DUMMYFUNCTION("""COMPUTED_VALUE"""),105.36)</f>
        <v>105.36</v>
      </c>
      <c r="F2101" s="1">
        <f>IFERROR(__xludf.DUMMYFUNCTION("""COMPUTED_VALUE"""),342950.0)</f>
        <v>342950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IFERROR(__xludf.DUMMYFUNCTION("""COMPUTED_VALUE"""),105.09)</f>
        <v>105.09</v>
      </c>
      <c r="C2102" s="1">
        <f>IFERROR(__xludf.DUMMYFUNCTION("""COMPUTED_VALUE"""),106.3)</f>
        <v>106.3</v>
      </c>
      <c r="D2102" s="1">
        <f>IFERROR(__xludf.DUMMYFUNCTION("""COMPUTED_VALUE"""),104.48)</f>
        <v>104.48</v>
      </c>
      <c r="E2102" s="1">
        <f>IFERROR(__xludf.DUMMYFUNCTION("""COMPUTED_VALUE"""),104.94)</f>
        <v>104.94</v>
      </c>
      <c r="F2102" s="1">
        <f>IFERROR(__xludf.DUMMYFUNCTION("""COMPUTED_VALUE"""),271891.0)</f>
        <v>271891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IFERROR(__xludf.DUMMYFUNCTION("""COMPUTED_VALUE"""),104.97)</f>
        <v>104.97</v>
      </c>
      <c r="C2103" s="1">
        <f>IFERROR(__xludf.DUMMYFUNCTION("""COMPUTED_VALUE"""),105.7)</f>
        <v>105.7</v>
      </c>
      <c r="D2103" s="1">
        <f>IFERROR(__xludf.DUMMYFUNCTION("""COMPUTED_VALUE"""),103.59)</f>
        <v>103.59</v>
      </c>
      <c r="E2103" s="1">
        <f>IFERROR(__xludf.DUMMYFUNCTION("""COMPUTED_VALUE"""),105.17)</f>
        <v>105.17</v>
      </c>
      <c r="F2103" s="1">
        <f>IFERROR(__xludf.DUMMYFUNCTION("""COMPUTED_VALUE"""),371867.0)</f>
        <v>371867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IFERROR(__xludf.DUMMYFUNCTION("""COMPUTED_VALUE"""),107.0)</f>
        <v>107</v>
      </c>
      <c r="C2104" s="1">
        <f>IFERROR(__xludf.DUMMYFUNCTION("""COMPUTED_VALUE"""),107.0)</f>
        <v>107</v>
      </c>
      <c r="D2104" s="1">
        <f>IFERROR(__xludf.DUMMYFUNCTION("""COMPUTED_VALUE"""),103.53)</f>
        <v>103.53</v>
      </c>
      <c r="E2104" s="1">
        <f>IFERROR(__xludf.DUMMYFUNCTION("""COMPUTED_VALUE"""),104.57)</f>
        <v>104.57</v>
      </c>
      <c r="F2104" s="1">
        <f>IFERROR(__xludf.DUMMYFUNCTION("""COMPUTED_VALUE"""),536436.0)</f>
        <v>536436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IFERROR(__xludf.DUMMYFUNCTION("""COMPUTED_VALUE"""),104.89)</f>
        <v>104.89</v>
      </c>
      <c r="C2105" s="1">
        <f>IFERROR(__xludf.DUMMYFUNCTION("""COMPUTED_VALUE"""),106.06)</f>
        <v>106.06</v>
      </c>
      <c r="D2105" s="1">
        <f>IFERROR(__xludf.DUMMYFUNCTION("""COMPUTED_VALUE"""),104.03)</f>
        <v>104.03</v>
      </c>
      <c r="E2105" s="1">
        <f>IFERROR(__xludf.DUMMYFUNCTION("""COMPUTED_VALUE"""),105.53)</f>
        <v>105.53</v>
      </c>
      <c r="F2105" s="1">
        <f>IFERROR(__xludf.DUMMYFUNCTION("""COMPUTED_VALUE"""),638021.0)</f>
        <v>638021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IFERROR(__xludf.DUMMYFUNCTION("""COMPUTED_VALUE"""),105.56)</f>
        <v>105.56</v>
      </c>
      <c r="C2106" s="1">
        <f>IFERROR(__xludf.DUMMYFUNCTION("""COMPUTED_VALUE"""),107.74)</f>
        <v>107.74</v>
      </c>
      <c r="D2106" s="1">
        <f>IFERROR(__xludf.DUMMYFUNCTION("""COMPUTED_VALUE"""),105.51)</f>
        <v>105.51</v>
      </c>
      <c r="E2106" s="1">
        <f>IFERROR(__xludf.DUMMYFUNCTION("""COMPUTED_VALUE"""),107.31)</f>
        <v>107.31</v>
      </c>
      <c r="F2106" s="1">
        <f>IFERROR(__xludf.DUMMYFUNCTION("""COMPUTED_VALUE"""),601884.0)</f>
        <v>601884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IFERROR(__xludf.DUMMYFUNCTION("""COMPUTED_VALUE"""),106.7)</f>
        <v>106.7</v>
      </c>
      <c r="C2107" s="1">
        <f>IFERROR(__xludf.DUMMYFUNCTION("""COMPUTED_VALUE"""),106.7)</f>
        <v>106.7</v>
      </c>
      <c r="D2107" s="1">
        <f>IFERROR(__xludf.DUMMYFUNCTION("""COMPUTED_VALUE"""),103.93)</f>
        <v>103.93</v>
      </c>
      <c r="E2107" s="1">
        <f>IFERROR(__xludf.DUMMYFUNCTION("""COMPUTED_VALUE"""),104.16)</f>
        <v>104.16</v>
      </c>
      <c r="F2107" s="1">
        <f>IFERROR(__xludf.DUMMYFUNCTION("""COMPUTED_VALUE"""),453620.0)</f>
        <v>453620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IFERROR(__xludf.DUMMYFUNCTION("""COMPUTED_VALUE"""),103.86)</f>
        <v>103.86</v>
      </c>
      <c r="C2108" s="1">
        <f>IFERROR(__xludf.DUMMYFUNCTION("""COMPUTED_VALUE"""),104.65)</f>
        <v>104.65</v>
      </c>
      <c r="D2108" s="1">
        <f>IFERROR(__xludf.DUMMYFUNCTION("""COMPUTED_VALUE"""),102.96)</f>
        <v>102.96</v>
      </c>
      <c r="E2108" s="1">
        <f>IFERROR(__xludf.DUMMYFUNCTION("""COMPUTED_VALUE"""),103.73)</f>
        <v>103.73</v>
      </c>
      <c r="F2108" s="1">
        <f>IFERROR(__xludf.DUMMYFUNCTION("""COMPUTED_VALUE"""),314547.0)</f>
        <v>314547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IFERROR(__xludf.DUMMYFUNCTION("""COMPUTED_VALUE"""),103.75)</f>
        <v>103.75</v>
      </c>
      <c r="C2109" s="1">
        <f>IFERROR(__xludf.DUMMYFUNCTION("""COMPUTED_VALUE"""),106.23)</f>
        <v>106.23</v>
      </c>
      <c r="D2109" s="1">
        <f>IFERROR(__xludf.DUMMYFUNCTION("""COMPUTED_VALUE"""),103.58)</f>
        <v>103.58</v>
      </c>
      <c r="E2109" s="1">
        <f>IFERROR(__xludf.DUMMYFUNCTION("""COMPUTED_VALUE"""),105.0)</f>
        <v>105</v>
      </c>
      <c r="F2109" s="1">
        <f>IFERROR(__xludf.DUMMYFUNCTION("""COMPUTED_VALUE"""),397748.0)</f>
        <v>397748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IFERROR(__xludf.DUMMYFUNCTION("""COMPUTED_VALUE"""),105.21)</f>
        <v>105.21</v>
      </c>
      <c r="C2110" s="1">
        <f>IFERROR(__xludf.DUMMYFUNCTION("""COMPUTED_VALUE"""),106.6)</f>
        <v>106.6</v>
      </c>
      <c r="D2110" s="1">
        <f>IFERROR(__xludf.DUMMYFUNCTION("""COMPUTED_VALUE"""),105.21)</f>
        <v>105.21</v>
      </c>
      <c r="E2110" s="1">
        <f>IFERROR(__xludf.DUMMYFUNCTION("""COMPUTED_VALUE"""),105.93)</f>
        <v>105.93</v>
      </c>
      <c r="F2110" s="1">
        <f>IFERROR(__xludf.DUMMYFUNCTION("""COMPUTED_VALUE"""),247429.0)</f>
        <v>247429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IFERROR(__xludf.DUMMYFUNCTION("""COMPUTED_VALUE"""),106.78)</f>
        <v>106.78</v>
      </c>
      <c r="C2111" s="1">
        <f>IFERROR(__xludf.DUMMYFUNCTION("""COMPUTED_VALUE"""),107.07)</f>
        <v>107.07</v>
      </c>
      <c r="D2111" s="1">
        <f>IFERROR(__xludf.DUMMYFUNCTION("""COMPUTED_VALUE"""),106.07)</f>
        <v>106.07</v>
      </c>
      <c r="E2111" s="1">
        <f>IFERROR(__xludf.DUMMYFUNCTION("""COMPUTED_VALUE"""),106.61)</f>
        <v>106.61</v>
      </c>
      <c r="F2111" s="1">
        <f>IFERROR(__xludf.DUMMYFUNCTION("""COMPUTED_VALUE"""),446577.0)</f>
        <v>446577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IFERROR(__xludf.DUMMYFUNCTION("""COMPUTED_VALUE"""),107.19)</f>
        <v>107.19</v>
      </c>
      <c r="C2112" s="1">
        <f>IFERROR(__xludf.DUMMYFUNCTION("""COMPUTED_VALUE"""),107.32)</f>
        <v>107.32</v>
      </c>
      <c r="D2112" s="1">
        <f>IFERROR(__xludf.DUMMYFUNCTION("""COMPUTED_VALUE"""),106.32)</f>
        <v>106.32</v>
      </c>
      <c r="E2112" s="1">
        <f>IFERROR(__xludf.DUMMYFUNCTION("""COMPUTED_VALUE"""),106.69)</f>
        <v>106.69</v>
      </c>
      <c r="F2112" s="1">
        <f>IFERROR(__xludf.DUMMYFUNCTION("""COMPUTED_VALUE"""),474183.0)</f>
        <v>474183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IFERROR(__xludf.DUMMYFUNCTION("""COMPUTED_VALUE"""),106.44)</f>
        <v>106.44</v>
      </c>
      <c r="C2113" s="1">
        <f>IFERROR(__xludf.DUMMYFUNCTION("""COMPUTED_VALUE"""),107.14)</f>
        <v>107.14</v>
      </c>
      <c r="D2113" s="1">
        <f>IFERROR(__xludf.DUMMYFUNCTION("""COMPUTED_VALUE"""),106.12)</f>
        <v>106.12</v>
      </c>
      <c r="E2113" s="1">
        <f>IFERROR(__xludf.DUMMYFUNCTION("""COMPUTED_VALUE"""),106.49)</f>
        <v>106.49</v>
      </c>
      <c r="F2113" s="1">
        <f>IFERROR(__xludf.DUMMYFUNCTION("""COMPUTED_VALUE"""),192994.0)</f>
        <v>192994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IFERROR(__xludf.DUMMYFUNCTION("""COMPUTED_VALUE"""),106.57)</f>
        <v>106.57</v>
      </c>
      <c r="C2114" s="1">
        <f>IFERROR(__xludf.DUMMYFUNCTION("""COMPUTED_VALUE"""),106.77)</f>
        <v>106.77</v>
      </c>
      <c r="D2114" s="1">
        <f>IFERROR(__xludf.DUMMYFUNCTION("""COMPUTED_VALUE"""),105.59)</f>
        <v>105.59</v>
      </c>
      <c r="E2114" s="1">
        <f>IFERROR(__xludf.DUMMYFUNCTION("""COMPUTED_VALUE"""),105.68)</f>
        <v>105.68</v>
      </c>
      <c r="F2114" s="1">
        <f>IFERROR(__xludf.DUMMYFUNCTION("""COMPUTED_VALUE"""),218636.0)</f>
        <v>218636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IFERROR(__xludf.DUMMYFUNCTION("""COMPUTED_VALUE"""),105.49)</f>
        <v>105.49</v>
      </c>
      <c r="C2115" s="1">
        <f>IFERROR(__xludf.DUMMYFUNCTION("""COMPUTED_VALUE"""),105.9)</f>
        <v>105.9</v>
      </c>
      <c r="D2115" s="1">
        <f>IFERROR(__xludf.DUMMYFUNCTION("""COMPUTED_VALUE"""),103.97)</f>
        <v>103.97</v>
      </c>
      <c r="E2115" s="1">
        <f>IFERROR(__xludf.DUMMYFUNCTION("""COMPUTED_VALUE"""),104.13)</f>
        <v>104.13</v>
      </c>
      <c r="F2115" s="1">
        <f>IFERROR(__xludf.DUMMYFUNCTION("""COMPUTED_VALUE"""),227455.0)</f>
        <v>227455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IFERROR(__xludf.DUMMYFUNCTION("""COMPUTED_VALUE"""),103.29)</f>
        <v>103.29</v>
      </c>
      <c r="C2116" s="1">
        <f>IFERROR(__xludf.DUMMYFUNCTION("""COMPUTED_VALUE"""),104.7)</f>
        <v>104.7</v>
      </c>
      <c r="D2116" s="1">
        <f>IFERROR(__xludf.DUMMYFUNCTION("""COMPUTED_VALUE"""),103.25)</f>
        <v>103.25</v>
      </c>
      <c r="E2116" s="1">
        <f>IFERROR(__xludf.DUMMYFUNCTION("""COMPUTED_VALUE"""),104.63)</f>
        <v>104.63</v>
      </c>
      <c r="F2116" s="1">
        <f>IFERROR(__xludf.DUMMYFUNCTION("""COMPUTED_VALUE"""),364201.0)</f>
        <v>364201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IFERROR(__xludf.DUMMYFUNCTION("""COMPUTED_VALUE"""),105.51)</f>
        <v>105.51</v>
      </c>
      <c r="C2117" s="1">
        <f>IFERROR(__xludf.DUMMYFUNCTION("""COMPUTED_VALUE"""),107.84)</f>
        <v>107.84</v>
      </c>
      <c r="D2117" s="1">
        <f>IFERROR(__xludf.DUMMYFUNCTION("""COMPUTED_VALUE"""),105.45)</f>
        <v>105.45</v>
      </c>
      <c r="E2117" s="1">
        <f>IFERROR(__xludf.DUMMYFUNCTION("""COMPUTED_VALUE"""),107.67)</f>
        <v>107.67</v>
      </c>
      <c r="F2117" s="1">
        <f>IFERROR(__xludf.DUMMYFUNCTION("""COMPUTED_VALUE"""),352398.0)</f>
        <v>352398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IFERROR(__xludf.DUMMYFUNCTION("""COMPUTED_VALUE"""),107.68)</f>
        <v>107.68</v>
      </c>
      <c r="C2118" s="1">
        <f>IFERROR(__xludf.DUMMYFUNCTION("""COMPUTED_VALUE"""),108.56)</f>
        <v>108.56</v>
      </c>
      <c r="D2118" s="1">
        <f>IFERROR(__xludf.DUMMYFUNCTION("""COMPUTED_VALUE"""),106.91)</f>
        <v>106.91</v>
      </c>
      <c r="E2118" s="1">
        <f>IFERROR(__xludf.DUMMYFUNCTION("""COMPUTED_VALUE"""),107.52)</f>
        <v>107.52</v>
      </c>
      <c r="F2118" s="1">
        <f>IFERROR(__xludf.DUMMYFUNCTION("""COMPUTED_VALUE"""),336455.0)</f>
        <v>336455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IFERROR(__xludf.DUMMYFUNCTION("""COMPUTED_VALUE"""),108.16)</f>
        <v>108.16</v>
      </c>
      <c r="C2119" s="1">
        <f>IFERROR(__xludf.DUMMYFUNCTION("""COMPUTED_VALUE"""),108.54)</f>
        <v>108.54</v>
      </c>
      <c r="D2119" s="1">
        <f>IFERROR(__xludf.DUMMYFUNCTION("""COMPUTED_VALUE"""),107.2)</f>
        <v>107.2</v>
      </c>
      <c r="E2119" s="1">
        <f>IFERROR(__xludf.DUMMYFUNCTION("""COMPUTED_VALUE"""),108.12)</f>
        <v>108.12</v>
      </c>
      <c r="F2119" s="1">
        <f>IFERROR(__xludf.DUMMYFUNCTION("""COMPUTED_VALUE"""),171185.0)</f>
        <v>171185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IFERROR(__xludf.DUMMYFUNCTION("""COMPUTED_VALUE"""),108.58)</f>
        <v>108.58</v>
      </c>
      <c r="C2120" s="1">
        <f>IFERROR(__xludf.DUMMYFUNCTION("""COMPUTED_VALUE"""),109.07)</f>
        <v>109.07</v>
      </c>
      <c r="D2120" s="1">
        <f>IFERROR(__xludf.DUMMYFUNCTION("""COMPUTED_VALUE"""),107.66)</f>
        <v>107.66</v>
      </c>
      <c r="E2120" s="1">
        <f>IFERROR(__xludf.DUMMYFUNCTION("""COMPUTED_VALUE"""),109.02)</f>
        <v>109.02</v>
      </c>
      <c r="F2120" s="1">
        <f>IFERROR(__xludf.DUMMYFUNCTION("""COMPUTED_VALUE"""),168983.0)</f>
        <v>168983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IFERROR(__xludf.DUMMYFUNCTION("""COMPUTED_VALUE"""),109.1)</f>
        <v>109.1</v>
      </c>
      <c r="C2121" s="1">
        <f>IFERROR(__xludf.DUMMYFUNCTION("""COMPUTED_VALUE"""),110.37)</f>
        <v>110.37</v>
      </c>
      <c r="D2121" s="1">
        <f>IFERROR(__xludf.DUMMYFUNCTION("""COMPUTED_VALUE"""),108.7)</f>
        <v>108.7</v>
      </c>
      <c r="E2121" s="1">
        <f>IFERROR(__xludf.DUMMYFUNCTION("""COMPUTED_VALUE"""),110.05)</f>
        <v>110.05</v>
      </c>
      <c r="F2121" s="1">
        <f>IFERROR(__xludf.DUMMYFUNCTION("""COMPUTED_VALUE"""),265368.0)</f>
        <v>265368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IFERROR(__xludf.DUMMYFUNCTION("""COMPUTED_VALUE"""),110.13)</f>
        <v>110.13</v>
      </c>
      <c r="C2122" s="1">
        <f>IFERROR(__xludf.DUMMYFUNCTION("""COMPUTED_VALUE"""),112.5)</f>
        <v>112.5</v>
      </c>
      <c r="D2122" s="1">
        <f>IFERROR(__xludf.DUMMYFUNCTION("""COMPUTED_VALUE"""),109.34)</f>
        <v>109.34</v>
      </c>
      <c r="E2122" s="1">
        <f>IFERROR(__xludf.DUMMYFUNCTION("""COMPUTED_VALUE"""),111.95)</f>
        <v>111.95</v>
      </c>
      <c r="F2122" s="1">
        <f>IFERROR(__xludf.DUMMYFUNCTION("""COMPUTED_VALUE"""),303031.0)</f>
        <v>303031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IFERROR(__xludf.DUMMYFUNCTION("""COMPUTED_VALUE"""),111.85)</f>
        <v>111.85</v>
      </c>
      <c r="C2123" s="1">
        <f>IFERROR(__xludf.DUMMYFUNCTION("""COMPUTED_VALUE"""),112.67)</f>
        <v>112.67</v>
      </c>
      <c r="D2123" s="1">
        <f>IFERROR(__xludf.DUMMYFUNCTION("""COMPUTED_VALUE"""),111.28)</f>
        <v>111.28</v>
      </c>
      <c r="E2123" s="1">
        <f>IFERROR(__xludf.DUMMYFUNCTION("""COMPUTED_VALUE"""),112.44)</f>
        <v>112.44</v>
      </c>
      <c r="F2123" s="1">
        <f>IFERROR(__xludf.DUMMYFUNCTION("""COMPUTED_VALUE"""),261905.0)</f>
        <v>261905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IFERROR(__xludf.DUMMYFUNCTION("""COMPUTED_VALUE"""),112.31)</f>
        <v>112.31</v>
      </c>
      <c r="C2124" s="1">
        <f>IFERROR(__xludf.DUMMYFUNCTION("""COMPUTED_VALUE"""),114.42)</f>
        <v>114.42</v>
      </c>
      <c r="D2124" s="1">
        <f>IFERROR(__xludf.DUMMYFUNCTION("""COMPUTED_VALUE"""),112.31)</f>
        <v>112.31</v>
      </c>
      <c r="E2124" s="1">
        <f>IFERROR(__xludf.DUMMYFUNCTION("""COMPUTED_VALUE"""),114.12)</f>
        <v>114.12</v>
      </c>
      <c r="F2124" s="1">
        <f>IFERROR(__xludf.DUMMYFUNCTION("""COMPUTED_VALUE"""),374221.0)</f>
        <v>374221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IFERROR(__xludf.DUMMYFUNCTION("""COMPUTED_VALUE"""),114.12)</f>
        <v>114.12</v>
      </c>
      <c r="C2125" s="1">
        <f>IFERROR(__xludf.DUMMYFUNCTION("""COMPUTED_VALUE"""),115.99)</f>
        <v>115.99</v>
      </c>
      <c r="D2125" s="1">
        <f>IFERROR(__xludf.DUMMYFUNCTION("""COMPUTED_VALUE"""),113.74)</f>
        <v>113.74</v>
      </c>
      <c r="E2125" s="1">
        <f>IFERROR(__xludf.DUMMYFUNCTION("""COMPUTED_VALUE"""),115.86)</f>
        <v>115.86</v>
      </c>
      <c r="F2125" s="1">
        <f>IFERROR(__xludf.DUMMYFUNCTION("""COMPUTED_VALUE"""),329932.0)</f>
        <v>329932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IFERROR(__xludf.DUMMYFUNCTION("""COMPUTED_VALUE"""),115.49)</f>
        <v>115.49</v>
      </c>
      <c r="C2126" s="1">
        <f>IFERROR(__xludf.DUMMYFUNCTION("""COMPUTED_VALUE"""),116.59)</f>
        <v>116.59</v>
      </c>
      <c r="D2126" s="1">
        <f>IFERROR(__xludf.DUMMYFUNCTION("""COMPUTED_VALUE"""),115.17)</f>
        <v>115.17</v>
      </c>
      <c r="E2126" s="1">
        <f>IFERROR(__xludf.DUMMYFUNCTION("""COMPUTED_VALUE"""),115.96)</f>
        <v>115.96</v>
      </c>
      <c r="F2126" s="1">
        <f>IFERROR(__xludf.DUMMYFUNCTION("""COMPUTED_VALUE"""),263698.0)</f>
        <v>263698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IFERROR(__xludf.DUMMYFUNCTION("""COMPUTED_VALUE"""),116.13)</f>
        <v>116.13</v>
      </c>
      <c r="C2127" s="1">
        <f>IFERROR(__xludf.DUMMYFUNCTION("""COMPUTED_VALUE"""),116.19)</f>
        <v>116.19</v>
      </c>
      <c r="D2127" s="1">
        <f>IFERROR(__xludf.DUMMYFUNCTION("""COMPUTED_VALUE"""),113.69)</f>
        <v>113.69</v>
      </c>
      <c r="E2127" s="1">
        <f>IFERROR(__xludf.DUMMYFUNCTION("""COMPUTED_VALUE"""),113.87)</f>
        <v>113.87</v>
      </c>
      <c r="F2127" s="1">
        <f>IFERROR(__xludf.DUMMYFUNCTION("""COMPUTED_VALUE"""),537942.0)</f>
        <v>537942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IFERROR(__xludf.DUMMYFUNCTION("""COMPUTED_VALUE"""),114.58)</f>
        <v>114.58</v>
      </c>
      <c r="C2128" s="1">
        <f>IFERROR(__xludf.DUMMYFUNCTION("""COMPUTED_VALUE"""),115.15)</f>
        <v>115.15</v>
      </c>
      <c r="D2128" s="1">
        <f>IFERROR(__xludf.DUMMYFUNCTION("""COMPUTED_VALUE"""),113.54)</f>
        <v>113.54</v>
      </c>
      <c r="E2128" s="1">
        <f>IFERROR(__xludf.DUMMYFUNCTION("""COMPUTED_VALUE"""),114.47)</f>
        <v>114.47</v>
      </c>
      <c r="F2128" s="1">
        <f>IFERROR(__xludf.DUMMYFUNCTION("""COMPUTED_VALUE"""),255129.0)</f>
        <v>255129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IFERROR(__xludf.DUMMYFUNCTION("""COMPUTED_VALUE"""),115.37)</f>
        <v>115.37</v>
      </c>
      <c r="C2129" s="1">
        <f>IFERROR(__xludf.DUMMYFUNCTION("""COMPUTED_VALUE"""),118.53)</f>
        <v>118.53</v>
      </c>
      <c r="D2129" s="1">
        <f>IFERROR(__xludf.DUMMYFUNCTION("""COMPUTED_VALUE"""),115.21)</f>
        <v>115.21</v>
      </c>
      <c r="E2129" s="1">
        <f>IFERROR(__xludf.DUMMYFUNCTION("""COMPUTED_VALUE"""),117.25)</f>
        <v>117.25</v>
      </c>
      <c r="F2129" s="1">
        <f>IFERROR(__xludf.DUMMYFUNCTION("""COMPUTED_VALUE"""),691690.0)</f>
        <v>691690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IFERROR(__xludf.DUMMYFUNCTION("""COMPUTED_VALUE"""),116.73)</f>
        <v>116.73</v>
      </c>
      <c r="C2130" s="1">
        <f>IFERROR(__xludf.DUMMYFUNCTION("""COMPUTED_VALUE"""),117.43)</f>
        <v>117.43</v>
      </c>
      <c r="D2130" s="1">
        <f>IFERROR(__xludf.DUMMYFUNCTION("""COMPUTED_VALUE"""),116.26)</f>
        <v>116.26</v>
      </c>
      <c r="E2130" s="1">
        <f>IFERROR(__xludf.DUMMYFUNCTION("""COMPUTED_VALUE"""),116.56)</f>
        <v>116.56</v>
      </c>
      <c r="F2130" s="1">
        <f>IFERROR(__xludf.DUMMYFUNCTION("""COMPUTED_VALUE"""),214400.0)</f>
        <v>214400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IFERROR(__xludf.DUMMYFUNCTION("""COMPUTED_VALUE"""),115.68)</f>
        <v>115.68</v>
      </c>
      <c r="C2131" s="1">
        <f>IFERROR(__xludf.DUMMYFUNCTION("""COMPUTED_VALUE"""),116.42)</f>
        <v>116.42</v>
      </c>
      <c r="D2131" s="1">
        <f>IFERROR(__xludf.DUMMYFUNCTION("""COMPUTED_VALUE"""),114.71)</f>
        <v>114.71</v>
      </c>
      <c r="E2131" s="1">
        <f>IFERROR(__xludf.DUMMYFUNCTION("""COMPUTED_VALUE"""),115.97)</f>
        <v>115.97</v>
      </c>
      <c r="F2131" s="1">
        <f>IFERROR(__xludf.DUMMYFUNCTION("""COMPUTED_VALUE"""),314388.0)</f>
        <v>314388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IFERROR(__xludf.DUMMYFUNCTION("""COMPUTED_VALUE"""),116.5)</f>
        <v>116.5</v>
      </c>
      <c r="C2132" s="1">
        <f>IFERROR(__xludf.DUMMYFUNCTION("""COMPUTED_VALUE"""),117.26)</f>
        <v>117.26</v>
      </c>
      <c r="D2132" s="1">
        <f>IFERROR(__xludf.DUMMYFUNCTION("""COMPUTED_VALUE"""),115.85)</f>
        <v>115.85</v>
      </c>
      <c r="E2132" s="1">
        <f>IFERROR(__xludf.DUMMYFUNCTION("""COMPUTED_VALUE"""),116.93)</f>
        <v>116.93</v>
      </c>
      <c r="F2132" s="1">
        <f>IFERROR(__xludf.DUMMYFUNCTION("""COMPUTED_VALUE"""),262646.0)</f>
        <v>262646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IFERROR(__xludf.DUMMYFUNCTION("""COMPUTED_VALUE"""),116.61)</f>
        <v>116.61</v>
      </c>
      <c r="C2133" s="1">
        <f>IFERROR(__xludf.DUMMYFUNCTION("""COMPUTED_VALUE"""),117.39)</f>
        <v>117.39</v>
      </c>
      <c r="D2133" s="1">
        <f>IFERROR(__xludf.DUMMYFUNCTION("""COMPUTED_VALUE"""),115.43)</f>
        <v>115.43</v>
      </c>
      <c r="E2133" s="1">
        <f>IFERROR(__xludf.DUMMYFUNCTION("""COMPUTED_VALUE"""),115.73)</f>
        <v>115.73</v>
      </c>
      <c r="F2133" s="1">
        <f>IFERROR(__xludf.DUMMYFUNCTION("""COMPUTED_VALUE"""),234120.0)</f>
        <v>234120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IFERROR(__xludf.DUMMYFUNCTION("""COMPUTED_VALUE"""),116.39)</f>
        <v>116.39</v>
      </c>
      <c r="C2134" s="1">
        <f>IFERROR(__xludf.DUMMYFUNCTION("""COMPUTED_VALUE"""),116.9)</f>
        <v>116.9</v>
      </c>
      <c r="D2134" s="1">
        <f>IFERROR(__xludf.DUMMYFUNCTION("""COMPUTED_VALUE"""),114.91)</f>
        <v>114.91</v>
      </c>
      <c r="E2134" s="1">
        <f>IFERROR(__xludf.DUMMYFUNCTION("""COMPUTED_VALUE"""),116.21)</f>
        <v>116.21</v>
      </c>
      <c r="F2134" s="1">
        <f>IFERROR(__xludf.DUMMYFUNCTION("""COMPUTED_VALUE"""),576475.0)</f>
        <v>576475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IFERROR(__xludf.DUMMYFUNCTION("""COMPUTED_VALUE"""),116.13)</f>
        <v>116.13</v>
      </c>
      <c r="C2135" s="1">
        <f>IFERROR(__xludf.DUMMYFUNCTION("""COMPUTED_VALUE"""),116.13)</f>
        <v>116.13</v>
      </c>
      <c r="D2135" s="1">
        <f>IFERROR(__xludf.DUMMYFUNCTION("""COMPUTED_VALUE"""),112.45)</f>
        <v>112.45</v>
      </c>
      <c r="E2135" s="1">
        <f>IFERROR(__xludf.DUMMYFUNCTION("""COMPUTED_VALUE"""),113.11)</f>
        <v>113.11</v>
      </c>
      <c r="F2135" s="1">
        <f>IFERROR(__xludf.DUMMYFUNCTION("""COMPUTED_VALUE"""),272951.0)</f>
        <v>272951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IFERROR(__xludf.DUMMYFUNCTION("""COMPUTED_VALUE"""),113.14)</f>
        <v>113.14</v>
      </c>
      <c r="C2136" s="1">
        <f>IFERROR(__xludf.DUMMYFUNCTION("""COMPUTED_VALUE"""),113.31)</f>
        <v>113.31</v>
      </c>
      <c r="D2136" s="1">
        <f>IFERROR(__xludf.DUMMYFUNCTION("""COMPUTED_VALUE"""),111.4)</f>
        <v>111.4</v>
      </c>
      <c r="E2136" s="1">
        <f>IFERROR(__xludf.DUMMYFUNCTION("""COMPUTED_VALUE"""),112.39)</f>
        <v>112.39</v>
      </c>
      <c r="F2136" s="1">
        <f>IFERROR(__xludf.DUMMYFUNCTION("""COMPUTED_VALUE"""),301473.0)</f>
        <v>301473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IFERROR(__xludf.DUMMYFUNCTION("""COMPUTED_VALUE"""),112.36)</f>
        <v>112.36</v>
      </c>
      <c r="C2137" s="1">
        <f>IFERROR(__xludf.DUMMYFUNCTION("""COMPUTED_VALUE"""),112.74)</f>
        <v>112.74</v>
      </c>
      <c r="D2137" s="1">
        <f>IFERROR(__xludf.DUMMYFUNCTION("""COMPUTED_VALUE"""),110.17)</f>
        <v>110.17</v>
      </c>
      <c r="E2137" s="1">
        <f>IFERROR(__xludf.DUMMYFUNCTION("""COMPUTED_VALUE"""),110.3)</f>
        <v>110.3</v>
      </c>
      <c r="F2137" s="1">
        <f>IFERROR(__xludf.DUMMYFUNCTION("""COMPUTED_VALUE"""),176463.0)</f>
        <v>176463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IFERROR(__xludf.DUMMYFUNCTION("""COMPUTED_VALUE"""),109.95)</f>
        <v>109.95</v>
      </c>
      <c r="C2138" s="1">
        <f>IFERROR(__xludf.DUMMYFUNCTION("""COMPUTED_VALUE"""),111.39)</f>
        <v>111.39</v>
      </c>
      <c r="D2138" s="1">
        <f>IFERROR(__xludf.DUMMYFUNCTION("""COMPUTED_VALUE"""),108.88)</f>
        <v>108.88</v>
      </c>
      <c r="E2138" s="1">
        <f>IFERROR(__xludf.DUMMYFUNCTION("""COMPUTED_VALUE"""),111.22)</f>
        <v>111.22</v>
      </c>
      <c r="F2138" s="1">
        <f>IFERROR(__xludf.DUMMYFUNCTION("""COMPUTED_VALUE"""),242551.0)</f>
        <v>242551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IFERROR(__xludf.DUMMYFUNCTION("""COMPUTED_VALUE"""),111.3)</f>
        <v>111.3</v>
      </c>
      <c r="C2139" s="1">
        <f>IFERROR(__xludf.DUMMYFUNCTION("""COMPUTED_VALUE"""),112.92)</f>
        <v>112.92</v>
      </c>
      <c r="D2139" s="1">
        <f>IFERROR(__xludf.DUMMYFUNCTION("""COMPUTED_VALUE"""),111.17)</f>
        <v>111.17</v>
      </c>
      <c r="E2139" s="1">
        <f>IFERROR(__xludf.DUMMYFUNCTION("""COMPUTED_VALUE"""),112.26)</f>
        <v>112.26</v>
      </c>
      <c r="F2139" s="1">
        <f>IFERROR(__xludf.DUMMYFUNCTION("""COMPUTED_VALUE"""),228909.0)</f>
        <v>228909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IFERROR(__xludf.DUMMYFUNCTION("""COMPUTED_VALUE"""),111.42)</f>
        <v>111.42</v>
      </c>
      <c r="C2140" s="1">
        <f>IFERROR(__xludf.DUMMYFUNCTION("""COMPUTED_VALUE"""),112.23)</f>
        <v>112.23</v>
      </c>
      <c r="D2140" s="1">
        <f>IFERROR(__xludf.DUMMYFUNCTION("""COMPUTED_VALUE"""),110.4)</f>
        <v>110.4</v>
      </c>
      <c r="E2140" s="1">
        <f>IFERROR(__xludf.DUMMYFUNCTION("""COMPUTED_VALUE"""),112.11)</f>
        <v>112.11</v>
      </c>
      <c r="F2140" s="1">
        <f>IFERROR(__xludf.DUMMYFUNCTION("""COMPUTED_VALUE"""),265907.0)</f>
        <v>265907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IFERROR(__xludf.DUMMYFUNCTION("""COMPUTED_VALUE"""),112.4)</f>
        <v>112.4</v>
      </c>
      <c r="C2141" s="1">
        <f>IFERROR(__xludf.DUMMYFUNCTION("""COMPUTED_VALUE"""),113.72)</f>
        <v>113.72</v>
      </c>
      <c r="D2141" s="1">
        <f>IFERROR(__xludf.DUMMYFUNCTION("""COMPUTED_VALUE"""),112.02)</f>
        <v>112.02</v>
      </c>
      <c r="E2141" s="1">
        <f>IFERROR(__xludf.DUMMYFUNCTION("""COMPUTED_VALUE"""),113.24)</f>
        <v>113.24</v>
      </c>
      <c r="F2141" s="1">
        <f>IFERROR(__xludf.DUMMYFUNCTION("""COMPUTED_VALUE"""),130969.0)</f>
        <v>130969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IFERROR(__xludf.DUMMYFUNCTION("""COMPUTED_VALUE"""),113.83)</f>
        <v>113.83</v>
      </c>
      <c r="C2142" s="1">
        <f>IFERROR(__xludf.DUMMYFUNCTION("""COMPUTED_VALUE"""),114.22)</f>
        <v>114.22</v>
      </c>
      <c r="D2142" s="1">
        <f>IFERROR(__xludf.DUMMYFUNCTION("""COMPUTED_VALUE"""),112.98)</f>
        <v>112.98</v>
      </c>
      <c r="E2142" s="1">
        <f>IFERROR(__xludf.DUMMYFUNCTION("""COMPUTED_VALUE"""),114.14)</f>
        <v>114.14</v>
      </c>
      <c r="F2142" s="1">
        <f>IFERROR(__xludf.DUMMYFUNCTION("""COMPUTED_VALUE"""),252907.0)</f>
        <v>252907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IFERROR(__xludf.DUMMYFUNCTION("""COMPUTED_VALUE"""),114.35)</f>
        <v>114.35</v>
      </c>
      <c r="C2143" s="1">
        <f>IFERROR(__xludf.DUMMYFUNCTION("""COMPUTED_VALUE"""),115.93)</f>
        <v>115.93</v>
      </c>
      <c r="D2143" s="1">
        <f>IFERROR(__xludf.DUMMYFUNCTION("""COMPUTED_VALUE"""),114.18)</f>
        <v>114.18</v>
      </c>
      <c r="E2143" s="1">
        <f>IFERROR(__xludf.DUMMYFUNCTION("""COMPUTED_VALUE"""),115.78)</f>
        <v>115.78</v>
      </c>
      <c r="F2143" s="1">
        <f>IFERROR(__xludf.DUMMYFUNCTION("""COMPUTED_VALUE"""),205137.0)</f>
        <v>205137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IFERROR(__xludf.DUMMYFUNCTION("""COMPUTED_VALUE"""),116.0)</f>
        <v>116</v>
      </c>
      <c r="C2144" s="1">
        <f>IFERROR(__xludf.DUMMYFUNCTION("""COMPUTED_VALUE"""),116.89)</f>
        <v>116.89</v>
      </c>
      <c r="D2144" s="1">
        <f>IFERROR(__xludf.DUMMYFUNCTION("""COMPUTED_VALUE"""),115.66)</f>
        <v>115.66</v>
      </c>
      <c r="E2144" s="1">
        <f>IFERROR(__xludf.DUMMYFUNCTION("""COMPUTED_VALUE"""),116.1)</f>
        <v>116.1</v>
      </c>
      <c r="F2144" s="1">
        <f>IFERROR(__xludf.DUMMYFUNCTION("""COMPUTED_VALUE"""),177534.0)</f>
        <v>177534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IFERROR(__xludf.DUMMYFUNCTION("""COMPUTED_VALUE"""),116.06)</f>
        <v>116.06</v>
      </c>
      <c r="C2145" s="1">
        <f>IFERROR(__xludf.DUMMYFUNCTION("""COMPUTED_VALUE"""),117.02)</f>
        <v>117.02</v>
      </c>
      <c r="D2145" s="1">
        <f>IFERROR(__xludf.DUMMYFUNCTION("""COMPUTED_VALUE"""),115.31)</f>
        <v>115.31</v>
      </c>
      <c r="E2145" s="1">
        <f>IFERROR(__xludf.DUMMYFUNCTION("""COMPUTED_VALUE"""),116.79)</f>
        <v>116.79</v>
      </c>
      <c r="F2145" s="1">
        <f>IFERROR(__xludf.DUMMYFUNCTION("""COMPUTED_VALUE"""),184181.0)</f>
        <v>184181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IFERROR(__xludf.DUMMYFUNCTION("""COMPUTED_VALUE"""),116.07)</f>
        <v>116.07</v>
      </c>
      <c r="C2146" s="1">
        <f>IFERROR(__xludf.DUMMYFUNCTION("""COMPUTED_VALUE"""),116.75)</f>
        <v>116.75</v>
      </c>
      <c r="D2146" s="1">
        <f>IFERROR(__xludf.DUMMYFUNCTION("""COMPUTED_VALUE"""),115.32)</f>
        <v>115.32</v>
      </c>
      <c r="E2146" s="1">
        <f>IFERROR(__xludf.DUMMYFUNCTION("""COMPUTED_VALUE"""),115.51)</f>
        <v>115.51</v>
      </c>
      <c r="F2146" s="1">
        <f>IFERROR(__xludf.DUMMYFUNCTION("""COMPUTED_VALUE"""),269700.0)</f>
        <v>269700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IFERROR(__xludf.DUMMYFUNCTION("""COMPUTED_VALUE"""),115.65)</f>
        <v>115.65</v>
      </c>
      <c r="C2147" s="1">
        <f>IFERROR(__xludf.DUMMYFUNCTION("""COMPUTED_VALUE"""),117.42)</f>
        <v>117.42</v>
      </c>
      <c r="D2147" s="1">
        <f>IFERROR(__xludf.DUMMYFUNCTION("""COMPUTED_VALUE"""),115.65)</f>
        <v>115.65</v>
      </c>
      <c r="E2147" s="1">
        <f>IFERROR(__xludf.DUMMYFUNCTION("""COMPUTED_VALUE"""),116.96)</f>
        <v>116.96</v>
      </c>
      <c r="F2147" s="1">
        <f>IFERROR(__xludf.DUMMYFUNCTION("""COMPUTED_VALUE"""),203911.0)</f>
        <v>203911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IFERROR(__xludf.DUMMYFUNCTION("""COMPUTED_VALUE"""),116.99)</f>
        <v>116.99</v>
      </c>
      <c r="C2148" s="1">
        <f>IFERROR(__xludf.DUMMYFUNCTION("""COMPUTED_VALUE"""),117.85)</f>
        <v>117.85</v>
      </c>
      <c r="D2148" s="1">
        <f>IFERROR(__xludf.DUMMYFUNCTION("""COMPUTED_VALUE"""),116.33)</f>
        <v>116.33</v>
      </c>
      <c r="E2148" s="1">
        <f>IFERROR(__xludf.DUMMYFUNCTION("""COMPUTED_VALUE"""),117.31)</f>
        <v>117.31</v>
      </c>
      <c r="F2148" s="1">
        <f>IFERROR(__xludf.DUMMYFUNCTION("""COMPUTED_VALUE"""),128747.0)</f>
        <v>128747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IFERROR(__xludf.DUMMYFUNCTION("""COMPUTED_VALUE"""),117.46)</f>
        <v>117.46</v>
      </c>
      <c r="C2149" s="1">
        <f>IFERROR(__xludf.DUMMYFUNCTION("""COMPUTED_VALUE"""),117.91)</f>
        <v>117.91</v>
      </c>
      <c r="D2149" s="1">
        <f>IFERROR(__xludf.DUMMYFUNCTION("""COMPUTED_VALUE"""),116.54)</f>
        <v>116.54</v>
      </c>
      <c r="E2149" s="1">
        <f>IFERROR(__xludf.DUMMYFUNCTION("""COMPUTED_VALUE"""),117.66)</f>
        <v>117.66</v>
      </c>
      <c r="F2149" s="1">
        <f>IFERROR(__xludf.DUMMYFUNCTION("""COMPUTED_VALUE"""),169881.0)</f>
        <v>169881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IFERROR(__xludf.DUMMYFUNCTION("""COMPUTED_VALUE"""),118.0)</f>
        <v>118</v>
      </c>
      <c r="C2150" s="1">
        <f>IFERROR(__xludf.DUMMYFUNCTION("""COMPUTED_VALUE"""),120.51)</f>
        <v>120.51</v>
      </c>
      <c r="D2150" s="1">
        <f>IFERROR(__xludf.DUMMYFUNCTION("""COMPUTED_VALUE"""),116.96)</f>
        <v>116.96</v>
      </c>
      <c r="E2150" s="1">
        <f>IFERROR(__xludf.DUMMYFUNCTION("""COMPUTED_VALUE"""),119.95)</f>
        <v>119.95</v>
      </c>
      <c r="F2150" s="1">
        <f>IFERROR(__xludf.DUMMYFUNCTION("""COMPUTED_VALUE"""),336051.0)</f>
        <v>336051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IFERROR(__xludf.DUMMYFUNCTION("""COMPUTED_VALUE"""),120.35)</f>
        <v>120.35</v>
      </c>
      <c r="C2151" s="1">
        <f>IFERROR(__xludf.DUMMYFUNCTION("""COMPUTED_VALUE"""),120.59)</f>
        <v>120.59</v>
      </c>
      <c r="D2151" s="1">
        <f>IFERROR(__xludf.DUMMYFUNCTION("""COMPUTED_VALUE"""),119.21)</f>
        <v>119.21</v>
      </c>
      <c r="E2151" s="1">
        <f>IFERROR(__xludf.DUMMYFUNCTION("""COMPUTED_VALUE"""),120.42)</f>
        <v>120.42</v>
      </c>
      <c r="F2151" s="1">
        <f>IFERROR(__xludf.DUMMYFUNCTION("""COMPUTED_VALUE"""),343139.0)</f>
        <v>343139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IFERROR(__xludf.DUMMYFUNCTION("""COMPUTED_VALUE"""),120.01)</f>
        <v>120.01</v>
      </c>
      <c r="C2152" s="1">
        <f>IFERROR(__xludf.DUMMYFUNCTION("""COMPUTED_VALUE"""),122.69)</f>
        <v>122.69</v>
      </c>
      <c r="D2152" s="1">
        <f>IFERROR(__xludf.DUMMYFUNCTION("""COMPUTED_VALUE"""),120.01)</f>
        <v>120.01</v>
      </c>
      <c r="E2152" s="1">
        <f>IFERROR(__xludf.DUMMYFUNCTION("""COMPUTED_VALUE"""),122.12)</f>
        <v>122.12</v>
      </c>
      <c r="F2152" s="1">
        <f>IFERROR(__xludf.DUMMYFUNCTION("""COMPUTED_VALUE"""),233125.0)</f>
        <v>233125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IFERROR(__xludf.DUMMYFUNCTION("""COMPUTED_VALUE"""),122.32)</f>
        <v>122.32</v>
      </c>
      <c r="C2153" s="1">
        <f>IFERROR(__xludf.DUMMYFUNCTION("""COMPUTED_VALUE"""),124.35)</f>
        <v>124.35</v>
      </c>
      <c r="D2153" s="1">
        <f>IFERROR(__xludf.DUMMYFUNCTION("""COMPUTED_VALUE"""),122.13)</f>
        <v>122.13</v>
      </c>
      <c r="E2153" s="1">
        <f>IFERROR(__xludf.DUMMYFUNCTION("""COMPUTED_VALUE"""),124.27)</f>
        <v>124.27</v>
      </c>
      <c r="F2153" s="1">
        <f>IFERROR(__xludf.DUMMYFUNCTION("""COMPUTED_VALUE"""),333648.0)</f>
        <v>333648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IFERROR(__xludf.DUMMYFUNCTION("""COMPUTED_VALUE"""),124.14)</f>
        <v>124.14</v>
      </c>
      <c r="C2154" s="1">
        <f>IFERROR(__xludf.DUMMYFUNCTION("""COMPUTED_VALUE"""),125.0)</f>
        <v>125</v>
      </c>
      <c r="D2154" s="1">
        <f>IFERROR(__xludf.DUMMYFUNCTION("""COMPUTED_VALUE"""),123.91)</f>
        <v>123.91</v>
      </c>
      <c r="E2154" s="1">
        <f>IFERROR(__xludf.DUMMYFUNCTION("""COMPUTED_VALUE"""),124.63)</f>
        <v>124.63</v>
      </c>
      <c r="F2154" s="1">
        <f>IFERROR(__xludf.DUMMYFUNCTION("""COMPUTED_VALUE"""),474576.0)</f>
        <v>474576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IFERROR(__xludf.DUMMYFUNCTION("""COMPUTED_VALUE"""),125.0)</f>
        <v>125</v>
      </c>
      <c r="C2155" s="1">
        <f>IFERROR(__xludf.DUMMYFUNCTION("""COMPUTED_VALUE"""),127.88)</f>
        <v>127.88</v>
      </c>
      <c r="D2155" s="1">
        <f>IFERROR(__xludf.DUMMYFUNCTION("""COMPUTED_VALUE"""),123.48)</f>
        <v>123.48</v>
      </c>
      <c r="E2155" s="1">
        <f>IFERROR(__xludf.DUMMYFUNCTION("""COMPUTED_VALUE"""),123.82)</f>
        <v>123.82</v>
      </c>
      <c r="F2155" s="1">
        <f>IFERROR(__xludf.DUMMYFUNCTION("""COMPUTED_VALUE"""),446564.0)</f>
        <v>446564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IFERROR(__xludf.DUMMYFUNCTION("""COMPUTED_VALUE"""),123.0)</f>
        <v>123</v>
      </c>
      <c r="C2156" s="1">
        <f>IFERROR(__xludf.DUMMYFUNCTION("""COMPUTED_VALUE"""),124.13)</f>
        <v>124.13</v>
      </c>
      <c r="D2156" s="1">
        <f>IFERROR(__xludf.DUMMYFUNCTION("""COMPUTED_VALUE"""),121.54)</f>
        <v>121.54</v>
      </c>
      <c r="E2156" s="1">
        <f>IFERROR(__xludf.DUMMYFUNCTION("""COMPUTED_VALUE"""),123.3)</f>
        <v>123.3</v>
      </c>
      <c r="F2156" s="1">
        <f>IFERROR(__xludf.DUMMYFUNCTION("""COMPUTED_VALUE"""),1371072.0)</f>
        <v>1371072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IFERROR(__xludf.DUMMYFUNCTION("""COMPUTED_VALUE"""),123.53)</f>
        <v>123.53</v>
      </c>
      <c r="C2157" s="1">
        <f>IFERROR(__xludf.DUMMYFUNCTION("""COMPUTED_VALUE"""),124.91)</f>
        <v>124.91</v>
      </c>
      <c r="D2157" s="1">
        <f>IFERROR(__xludf.DUMMYFUNCTION("""COMPUTED_VALUE"""),122.94)</f>
        <v>122.94</v>
      </c>
      <c r="E2157" s="1">
        <f>IFERROR(__xludf.DUMMYFUNCTION("""COMPUTED_VALUE"""),124.64)</f>
        <v>124.64</v>
      </c>
      <c r="F2157" s="1">
        <f>IFERROR(__xludf.DUMMYFUNCTION("""COMPUTED_VALUE"""),305390.0)</f>
        <v>305390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IFERROR(__xludf.DUMMYFUNCTION("""COMPUTED_VALUE"""),124.44)</f>
        <v>124.44</v>
      </c>
      <c r="C2158" s="1">
        <f>IFERROR(__xludf.DUMMYFUNCTION("""COMPUTED_VALUE"""),124.44)</f>
        <v>124.44</v>
      </c>
      <c r="D2158" s="1">
        <f>IFERROR(__xludf.DUMMYFUNCTION("""COMPUTED_VALUE"""),121.34)</f>
        <v>121.34</v>
      </c>
      <c r="E2158" s="1">
        <f>IFERROR(__xludf.DUMMYFUNCTION("""COMPUTED_VALUE"""),122.26)</f>
        <v>122.26</v>
      </c>
      <c r="F2158" s="1">
        <f>IFERROR(__xludf.DUMMYFUNCTION("""COMPUTED_VALUE"""),289482.0)</f>
        <v>289482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IFERROR(__xludf.DUMMYFUNCTION("""COMPUTED_VALUE"""),122.25)</f>
        <v>122.25</v>
      </c>
      <c r="C2159" s="1">
        <f>IFERROR(__xludf.DUMMYFUNCTION("""COMPUTED_VALUE"""),122.86)</f>
        <v>122.86</v>
      </c>
      <c r="D2159" s="1">
        <f>IFERROR(__xludf.DUMMYFUNCTION("""COMPUTED_VALUE"""),120.54)</f>
        <v>120.54</v>
      </c>
      <c r="E2159" s="1">
        <f>IFERROR(__xludf.DUMMYFUNCTION("""COMPUTED_VALUE"""),120.98)</f>
        <v>120.98</v>
      </c>
      <c r="F2159" s="1">
        <f>IFERROR(__xludf.DUMMYFUNCTION("""COMPUTED_VALUE"""),310435.0)</f>
        <v>310435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IFERROR(__xludf.DUMMYFUNCTION("""COMPUTED_VALUE"""),121.87)</f>
        <v>121.87</v>
      </c>
      <c r="C2160" s="1">
        <f>IFERROR(__xludf.DUMMYFUNCTION("""COMPUTED_VALUE"""),124.92)</f>
        <v>124.92</v>
      </c>
      <c r="D2160" s="1">
        <f>IFERROR(__xludf.DUMMYFUNCTION("""COMPUTED_VALUE"""),121.85)</f>
        <v>121.85</v>
      </c>
      <c r="E2160" s="1">
        <f>IFERROR(__xludf.DUMMYFUNCTION("""COMPUTED_VALUE"""),124.3)</f>
        <v>124.3</v>
      </c>
      <c r="F2160" s="1">
        <f>IFERROR(__xludf.DUMMYFUNCTION("""COMPUTED_VALUE"""),271099.0)</f>
        <v>271099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IFERROR(__xludf.DUMMYFUNCTION("""COMPUTED_VALUE"""),124.0)</f>
        <v>124</v>
      </c>
      <c r="C2161" s="1">
        <f>IFERROR(__xludf.DUMMYFUNCTION("""COMPUTED_VALUE"""),125.13)</f>
        <v>125.13</v>
      </c>
      <c r="D2161" s="1">
        <f>IFERROR(__xludf.DUMMYFUNCTION("""COMPUTED_VALUE"""),123.97)</f>
        <v>123.97</v>
      </c>
      <c r="E2161" s="1">
        <f>IFERROR(__xludf.DUMMYFUNCTION("""COMPUTED_VALUE"""),124.77)</f>
        <v>124.77</v>
      </c>
      <c r="F2161" s="1">
        <f>IFERROR(__xludf.DUMMYFUNCTION("""COMPUTED_VALUE"""),222161.0)</f>
        <v>222161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IFERROR(__xludf.DUMMYFUNCTION("""COMPUTED_VALUE"""),124.25)</f>
        <v>124.25</v>
      </c>
      <c r="C2162" s="1">
        <f>IFERROR(__xludf.DUMMYFUNCTION("""COMPUTED_VALUE"""),127.6)</f>
        <v>127.6</v>
      </c>
      <c r="D2162" s="1">
        <f>IFERROR(__xludf.DUMMYFUNCTION("""COMPUTED_VALUE"""),124.25)</f>
        <v>124.25</v>
      </c>
      <c r="E2162" s="1">
        <f>IFERROR(__xludf.DUMMYFUNCTION("""COMPUTED_VALUE"""),126.89)</f>
        <v>126.89</v>
      </c>
      <c r="F2162" s="1">
        <f>IFERROR(__xludf.DUMMYFUNCTION("""COMPUTED_VALUE"""),327185.0)</f>
        <v>327185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IFERROR(__xludf.DUMMYFUNCTION("""COMPUTED_VALUE"""),127.07)</f>
        <v>127.07</v>
      </c>
      <c r="C2163" s="1">
        <f>IFERROR(__xludf.DUMMYFUNCTION("""COMPUTED_VALUE"""),127.89)</f>
        <v>127.89</v>
      </c>
      <c r="D2163" s="1">
        <f>IFERROR(__xludf.DUMMYFUNCTION("""COMPUTED_VALUE"""),126.19)</f>
        <v>126.19</v>
      </c>
      <c r="E2163" s="1">
        <f>IFERROR(__xludf.DUMMYFUNCTION("""COMPUTED_VALUE"""),127.73)</f>
        <v>127.73</v>
      </c>
      <c r="F2163" s="1">
        <f>IFERROR(__xludf.DUMMYFUNCTION("""COMPUTED_VALUE"""),360968.0)</f>
        <v>360968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IFERROR(__xludf.DUMMYFUNCTION("""COMPUTED_VALUE"""),127.49)</f>
        <v>127.49</v>
      </c>
      <c r="C2164" s="1">
        <f>IFERROR(__xludf.DUMMYFUNCTION("""COMPUTED_VALUE"""),129.49)</f>
        <v>129.49</v>
      </c>
      <c r="D2164" s="1">
        <f>IFERROR(__xludf.DUMMYFUNCTION("""COMPUTED_VALUE"""),127.29)</f>
        <v>127.29</v>
      </c>
      <c r="E2164" s="1">
        <f>IFERROR(__xludf.DUMMYFUNCTION("""COMPUTED_VALUE"""),127.54)</f>
        <v>127.54</v>
      </c>
      <c r="F2164" s="1">
        <f>IFERROR(__xludf.DUMMYFUNCTION("""COMPUTED_VALUE"""),387703.0)</f>
        <v>387703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IFERROR(__xludf.DUMMYFUNCTION("""COMPUTED_VALUE"""),127.83)</f>
        <v>127.83</v>
      </c>
      <c r="C2165" s="1">
        <f>IFERROR(__xludf.DUMMYFUNCTION("""COMPUTED_VALUE"""),129.31)</f>
        <v>129.31</v>
      </c>
      <c r="D2165" s="1">
        <f>IFERROR(__xludf.DUMMYFUNCTION("""COMPUTED_VALUE"""),126.66)</f>
        <v>126.66</v>
      </c>
      <c r="E2165" s="1">
        <f>IFERROR(__xludf.DUMMYFUNCTION("""COMPUTED_VALUE"""),128.42)</f>
        <v>128.42</v>
      </c>
      <c r="F2165" s="1">
        <f>IFERROR(__xludf.DUMMYFUNCTION("""COMPUTED_VALUE"""),570972.0)</f>
        <v>570972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IFERROR(__xludf.DUMMYFUNCTION("""COMPUTED_VALUE"""),124.95)</f>
        <v>124.95</v>
      </c>
      <c r="C2166" s="1">
        <f>IFERROR(__xludf.DUMMYFUNCTION("""COMPUTED_VALUE"""),130.66)</f>
        <v>130.66</v>
      </c>
      <c r="D2166" s="1">
        <f>IFERROR(__xludf.DUMMYFUNCTION("""COMPUTED_VALUE"""),124.03)</f>
        <v>124.03</v>
      </c>
      <c r="E2166" s="1">
        <f>IFERROR(__xludf.DUMMYFUNCTION("""COMPUTED_VALUE"""),124.18)</f>
        <v>124.18</v>
      </c>
      <c r="F2166" s="1">
        <f>IFERROR(__xludf.DUMMYFUNCTION("""COMPUTED_VALUE"""),684578.0)</f>
        <v>684578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IFERROR(__xludf.DUMMYFUNCTION("""COMPUTED_VALUE"""),124.76)</f>
        <v>124.76</v>
      </c>
      <c r="C2167" s="1">
        <f>IFERROR(__xludf.DUMMYFUNCTION("""COMPUTED_VALUE"""),125.27)</f>
        <v>125.27</v>
      </c>
      <c r="D2167" s="1">
        <f>IFERROR(__xludf.DUMMYFUNCTION("""COMPUTED_VALUE"""),121.68)</f>
        <v>121.68</v>
      </c>
      <c r="E2167" s="1">
        <f>IFERROR(__xludf.DUMMYFUNCTION("""COMPUTED_VALUE"""),121.76)</f>
        <v>121.76</v>
      </c>
      <c r="F2167" s="1">
        <f>IFERROR(__xludf.DUMMYFUNCTION("""COMPUTED_VALUE"""),531583.0)</f>
        <v>531583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IFERROR(__xludf.DUMMYFUNCTION("""COMPUTED_VALUE"""),121.2)</f>
        <v>121.2</v>
      </c>
      <c r="C2168" s="1">
        <f>IFERROR(__xludf.DUMMYFUNCTION("""COMPUTED_VALUE"""),122.26)</f>
        <v>122.26</v>
      </c>
      <c r="D2168" s="1">
        <f>IFERROR(__xludf.DUMMYFUNCTION("""COMPUTED_VALUE"""),120.03)</f>
        <v>120.03</v>
      </c>
      <c r="E2168" s="1">
        <f>IFERROR(__xludf.DUMMYFUNCTION("""COMPUTED_VALUE"""),120.59)</f>
        <v>120.59</v>
      </c>
      <c r="F2168" s="1">
        <f>IFERROR(__xludf.DUMMYFUNCTION("""COMPUTED_VALUE"""),529530.0)</f>
        <v>529530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IFERROR(__xludf.DUMMYFUNCTION("""COMPUTED_VALUE"""),121.09)</f>
        <v>121.09</v>
      </c>
      <c r="C2169" s="1">
        <f>IFERROR(__xludf.DUMMYFUNCTION("""COMPUTED_VALUE"""),121.5)</f>
        <v>121.5</v>
      </c>
      <c r="D2169" s="1">
        <f>IFERROR(__xludf.DUMMYFUNCTION("""COMPUTED_VALUE"""),119.06)</f>
        <v>119.06</v>
      </c>
      <c r="E2169" s="1">
        <f>IFERROR(__xludf.DUMMYFUNCTION("""COMPUTED_VALUE"""),119.93)</f>
        <v>119.93</v>
      </c>
      <c r="F2169" s="1">
        <f>IFERROR(__xludf.DUMMYFUNCTION("""COMPUTED_VALUE"""),601125.0)</f>
        <v>601125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IFERROR(__xludf.DUMMYFUNCTION("""COMPUTED_VALUE"""),119.81)</f>
        <v>119.81</v>
      </c>
      <c r="C2170" s="1">
        <f>IFERROR(__xludf.DUMMYFUNCTION("""COMPUTED_VALUE"""),120.54)</f>
        <v>120.54</v>
      </c>
      <c r="D2170" s="1">
        <f>IFERROR(__xludf.DUMMYFUNCTION("""COMPUTED_VALUE"""),119.27)</f>
        <v>119.27</v>
      </c>
      <c r="E2170" s="1">
        <f>IFERROR(__xludf.DUMMYFUNCTION("""COMPUTED_VALUE"""),120.14)</f>
        <v>120.14</v>
      </c>
      <c r="F2170" s="1">
        <f>IFERROR(__xludf.DUMMYFUNCTION("""COMPUTED_VALUE"""),726904.0)</f>
        <v>726904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IFERROR(__xludf.DUMMYFUNCTION("""COMPUTED_VALUE"""),119.61)</f>
        <v>119.61</v>
      </c>
      <c r="C2171" s="1">
        <f>IFERROR(__xludf.DUMMYFUNCTION("""COMPUTED_VALUE"""),120.44)</f>
        <v>120.44</v>
      </c>
      <c r="D2171" s="1">
        <f>IFERROR(__xludf.DUMMYFUNCTION("""COMPUTED_VALUE"""),117.92)</f>
        <v>117.92</v>
      </c>
      <c r="E2171" s="1">
        <f>IFERROR(__xludf.DUMMYFUNCTION("""COMPUTED_VALUE"""),118.84)</f>
        <v>118.84</v>
      </c>
      <c r="F2171" s="1">
        <f>IFERROR(__xludf.DUMMYFUNCTION("""COMPUTED_VALUE"""),357068.0)</f>
        <v>357068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IFERROR(__xludf.DUMMYFUNCTION("""COMPUTED_VALUE"""),119.64)</f>
        <v>119.64</v>
      </c>
      <c r="C2172" s="1">
        <f>IFERROR(__xludf.DUMMYFUNCTION("""COMPUTED_VALUE"""),121.17)</f>
        <v>121.17</v>
      </c>
      <c r="D2172" s="1">
        <f>IFERROR(__xludf.DUMMYFUNCTION("""COMPUTED_VALUE"""),118.78)</f>
        <v>118.78</v>
      </c>
      <c r="E2172" s="1">
        <f>IFERROR(__xludf.DUMMYFUNCTION("""COMPUTED_VALUE"""),120.59)</f>
        <v>120.59</v>
      </c>
      <c r="F2172" s="1">
        <f>IFERROR(__xludf.DUMMYFUNCTION("""COMPUTED_VALUE"""),306636.0)</f>
        <v>306636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IFERROR(__xludf.DUMMYFUNCTION("""COMPUTED_VALUE"""),120.58)</f>
        <v>120.58</v>
      </c>
      <c r="C2173" s="1">
        <f>IFERROR(__xludf.DUMMYFUNCTION("""COMPUTED_VALUE"""),121.54)</f>
        <v>121.54</v>
      </c>
      <c r="D2173" s="1">
        <f>IFERROR(__xludf.DUMMYFUNCTION("""COMPUTED_VALUE"""),120.38)</f>
        <v>120.38</v>
      </c>
      <c r="E2173" s="1">
        <f>IFERROR(__xludf.DUMMYFUNCTION("""COMPUTED_VALUE"""),121.13)</f>
        <v>121.13</v>
      </c>
      <c r="F2173" s="1">
        <f>IFERROR(__xludf.DUMMYFUNCTION("""COMPUTED_VALUE"""),316702.0)</f>
        <v>316702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IFERROR(__xludf.DUMMYFUNCTION("""COMPUTED_VALUE"""),121.26)</f>
        <v>121.26</v>
      </c>
      <c r="C2174" s="1">
        <f>IFERROR(__xludf.DUMMYFUNCTION("""COMPUTED_VALUE"""),121.83)</f>
        <v>121.83</v>
      </c>
      <c r="D2174" s="1">
        <f>IFERROR(__xludf.DUMMYFUNCTION("""COMPUTED_VALUE"""),119.55)</f>
        <v>119.55</v>
      </c>
      <c r="E2174" s="1">
        <f>IFERROR(__xludf.DUMMYFUNCTION("""COMPUTED_VALUE"""),119.64)</f>
        <v>119.64</v>
      </c>
      <c r="F2174" s="1">
        <f>IFERROR(__xludf.DUMMYFUNCTION("""COMPUTED_VALUE"""),276449.0)</f>
        <v>276449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IFERROR(__xludf.DUMMYFUNCTION("""COMPUTED_VALUE"""),119.45)</f>
        <v>119.45</v>
      </c>
      <c r="C2175" s="1">
        <f>IFERROR(__xludf.DUMMYFUNCTION("""COMPUTED_VALUE"""),120.43)</f>
        <v>120.43</v>
      </c>
      <c r="D2175" s="1">
        <f>IFERROR(__xludf.DUMMYFUNCTION("""COMPUTED_VALUE"""),119.45)</f>
        <v>119.45</v>
      </c>
      <c r="E2175" s="1">
        <f>IFERROR(__xludf.DUMMYFUNCTION("""COMPUTED_VALUE"""),120.17)</f>
        <v>120.17</v>
      </c>
      <c r="F2175" s="1">
        <f>IFERROR(__xludf.DUMMYFUNCTION("""COMPUTED_VALUE"""),400097.0)</f>
        <v>400097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IFERROR(__xludf.DUMMYFUNCTION("""COMPUTED_VALUE"""),120.17)</f>
        <v>120.17</v>
      </c>
      <c r="C2176" s="1">
        <f>IFERROR(__xludf.DUMMYFUNCTION("""COMPUTED_VALUE"""),120.83)</f>
        <v>120.83</v>
      </c>
      <c r="D2176" s="1">
        <f>IFERROR(__xludf.DUMMYFUNCTION("""COMPUTED_VALUE"""),119.56)</f>
        <v>119.56</v>
      </c>
      <c r="E2176" s="1">
        <f>IFERROR(__xludf.DUMMYFUNCTION("""COMPUTED_VALUE"""),120.51)</f>
        <v>120.51</v>
      </c>
      <c r="F2176" s="1">
        <f>IFERROR(__xludf.DUMMYFUNCTION("""COMPUTED_VALUE"""),204593.0)</f>
        <v>204593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IFERROR(__xludf.DUMMYFUNCTION("""COMPUTED_VALUE"""),123.02)</f>
        <v>123.02</v>
      </c>
      <c r="C2177" s="1">
        <f>IFERROR(__xludf.DUMMYFUNCTION("""COMPUTED_VALUE"""),123.84)</f>
        <v>123.84</v>
      </c>
      <c r="D2177" s="1">
        <f>IFERROR(__xludf.DUMMYFUNCTION("""COMPUTED_VALUE"""),121.9)</f>
        <v>121.9</v>
      </c>
      <c r="E2177" s="1">
        <f>IFERROR(__xludf.DUMMYFUNCTION("""COMPUTED_VALUE"""),121.96)</f>
        <v>121.96</v>
      </c>
      <c r="F2177" s="1">
        <f>IFERROR(__xludf.DUMMYFUNCTION("""COMPUTED_VALUE"""),343618.0)</f>
        <v>343618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IFERROR(__xludf.DUMMYFUNCTION("""COMPUTED_VALUE"""),121.65)</f>
        <v>121.65</v>
      </c>
      <c r="C2178" s="1">
        <f>IFERROR(__xludf.DUMMYFUNCTION("""COMPUTED_VALUE"""),123.21)</f>
        <v>123.21</v>
      </c>
      <c r="D2178" s="1">
        <f>IFERROR(__xludf.DUMMYFUNCTION("""COMPUTED_VALUE"""),121.01)</f>
        <v>121.01</v>
      </c>
      <c r="E2178" s="1">
        <f>IFERROR(__xludf.DUMMYFUNCTION("""COMPUTED_VALUE"""),121.51)</f>
        <v>121.51</v>
      </c>
      <c r="F2178" s="1">
        <f>IFERROR(__xludf.DUMMYFUNCTION("""COMPUTED_VALUE"""),439177.0)</f>
        <v>439177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IFERROR(__xludf.DUMMYFUNCTION("""COMPUTED_VALUE"""),123.0)</f>
        <v>123</v>
      </c>
      <c r="C2179" s="1">
        <f>IFERROR(__xludf.DUMMYFUNCTION("""COMPUTED_VALUE"""),123.0)</f>
        <v>123</v>
      </c>
      <c r="D2179" s="1">
        <f>IFERROR(__xludf.DUMMYFUNCTION("""COMPUTED_VALUE"""),121.59)</f>
        <v>121.59</v>
      </c>
      <c r="E2179" s="1">
        <f>IFERROR(__xludf.DUMMYFUNCTION("""COMPUTED_VALUE"""),122.03)</f>
        <v>122.03</v>
      </c>
      <c r="F2179" s="1">
        <f>IFERROR(__xludf.DUMMYFUNCTION("""COMPUTED_VALUE"""),590830.0)</f>
        <v>590830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IFERROR(__xludf.DUMMYFUNCTION("""COMPUTED_VALUE"""),122.33)</f>
        <v>122.33</v>
      </c>
      <c r="C2180" s="1">
        <f>IFERROR(__xludf.DUMMYFUNCTION("""COMPUTED_VALUE"""),122.57)</f>
        <v>122.57</v>
      </c>
      <c r="D2180" s="1">
        <f>IFERROR(__xludf.DUMMYFUNCTION("""COMPUTED_VALUE"""),121.34)</f>
        <v>121.34</v>
      </c>
      <c r="E2180" s="1">
        <f>IFERROR(__xludf.DUMMYFUNCTION("""COMPUTED_VALUE"""),121.77)</f>
        <v>121.77</v>
      </c>
      <c r="F2180" s="1">
        <f>IFERROR(__xludf.DUMMYFUNCTION("""COMPUTED_VALUE"""),301610.0)</f>
        <v>301610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IFERROR(__xludf.DUMMYFUNCTION("""COMPUTED_VALUE"""),122.13)</f>
        <v>122.13</v>
      </c>
      <c r="C2181" s="1">
        <f>IFERROR(__xludf.DUMMYFUNCTION("""COMPUTED_VALUE"""),122.2)</f>
        <v>122.2</v>
      </c>
      <c r="D2181" s="1">
        <f>IFERROR(__xludf.DUMMYFUNCTION("""COMPUTED_VALUE"""),121.27)</f>
        <v>121.27</v>
      </c>
      <c r="E2181" s="1">
        <f>IFERROR(__xludf.DUMMYFUNCTION("""COMPUTED_VALUE"""),121.77)</f>
        <v>121.77</v>
      </c>
      <c r="F2181" s="1">
        <f>IFERROR(__xludf.DUMMYFUNCTION("""COMPUTED_VALUE"""),194435.0)</f>
        <v>194435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IFERROR(__xludf.DUMMYFUNCTION("""COMPUTED_VALUE"""),121.78)</f>
        <v>121.78</v>
      </c>
      <c r="C2182" s="1">
        <f>IFERROR(__xludf.DUMMYFUNCTION("""COMPUTED_VALUE"""),121.87)</f>
        <v>121.87</v>
      </c>
      <c r="D2182" s="1">
        <f>IFERROR(__xludf.DUMMYFUNCTION("""COMPUTED_VALUE"""),121.18)</f>
        <v>121.18</v>
      </c>
      <c r="E2182" s="1">
        <f>IFERROR(__xludf.DUMMYFUNCTION("""COMPUTED_VALUE"""),121.56)</f>
        <v>121.56</v>
      </c>
      <c r="F2182" s="1">
        <f>IFERROR(__xludf.DUMMYFUNCTION("""COMPUTED_VALUE"""),448112.0)</f>
        <v>448112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IFERROR(__xludf.DUMMYFUNCTION("""COMPUTED_VALUE"""),121.14)</f>
        <v>121.14</v>
      </c>
      <c r="C2183" s="1">
        <f>IFERROR(__xludf.DUMMYFUNCTION("""COMPUTED_VALUE"""),123.73)</f>
        <v>123.73</v>
      </c>
      <c r="D2183" s="1">
        <f>IFERROR(__xludf.DUMMYFUNCTION("""COMPUTED_VALUE"""),120.86)</f>
        <v>120.86</v>
      </c>
      <c r="E2183" s="1">
        <f>IFERROR(__xludf.DUMMYFUNCTION("""COMPUTED_VALUE"""),123.51)</f>
        <v>123.51</v>
      </c>
      <c r="F2183" s="1">
        <f>IFERROR(__xludf.DUMMYFUNCTION("""COMPUTED_VALUE"""),369265.0)</f>
        <v>369265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IFERROR(__xludf.DUMMYFUNCTION("""COMPUTED_VALUE"""),123.48)</f>
        <v>123.48</v>
      </c>
      <c r="C2184" s="1">
        <f>IFERROR(__xludf.DUMMYFUNCTION("""COMPUTED_VALUE"""),124.8)</f>
        <v>124.8</v>
      </c>
      <c r="D2184" s="1">
        <f>IFERROR(__xludf.DUMMYFUNCTION("""COMPUTED_VALUE"""),123.16)</f>
        <v>123.16</v>
      </c>
      <c r="E2184" s="1">
        <f>IFERROR(__xludf.DUMMYFUNCTION("""COMPUTED_VALUE"""),124.71)</f>
        <v>124.71</v>
      </c>
      <c r="F2184" s="1">
        <f>IFERROR(__xludf.DUMMYFUNCTION("""COMPUTED_VALUE"""),416441.0)</f>
        <v>416441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IFERROR(__xludf.DUMMYFUNCTION("""COMPUTED_VALUE"""),124.3)</f>
        <v>124.3</v>
      </c>
      <c r="C2185" s="1">
        <f>IFERROR(__xludf.DUMMYFUNCTION("""COMPUTED_VALUE"""),124.96)</f>
        <v>124.96</v>
      </c>
      <c r="D2185" s="1">
        <f>IFERROR(__xludf.DUMMYFUNCTION("""COMPUTED_VALUE"""),123.64)</f>
        <v>123.64</v>
      </c>
      <c r="E2185" s="1">
        <f>IFERROR(__xludf.DUMMYFUNCTION("""COMPUTED_VALUE"""),124.28)</f>
        <v>124.28</v>
      </c>
      <c r="F2185" s="1">
        <f>IFERROR(__xludf.DUMMYFUNCTION("""COMPUTED_VALUE"""),267963.0)</f>
        <v>267963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IFERROR(__xludf.DUMMYFUNCTION("""COMPUTED_VALUE"""),124.2)</f>
        <v>124.2</v>
      </c>
      <c r="C2186" s="1">
        <f>IFERROR(__xludf.DUMMYFUNCTION("""COMPUTED_VALUE"""),125.87)</f>
        <v>125.87</v>
      </c>
      <c r="D2186" s="1">
        <f>IFERROR(__xludf.DUMMYFUNCTION("""COMPUTED_VALUE"""),124.2)</f>
        <v>124.2</v>
      </c>
      <c r="E2186" s="1">
        <f>IFERROR(__xludf.DUMMYFUNCTION("""COMPUTED_VALUE"""),125.5)</f>
        <v>125.5</v>
      </c>
      <c r="F2186" s="1">
        <f>IFERROR(__xludf.DUMMYFUNCTION("""COMPUTED_VALUE"""),368666.0)</f>
        <v>368666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IFERROR(__xludf.DUMMYFUNCTION("""COMPUTED_VALUE"""),124.99)</f>
        <v>124.99</v>
      </c>
      <c r="C2187" s="1">
        <f>IFERROR(__xludf.DUMMYFUNCTION("""COMPUTED_VALUE"""),126.95)</f>
        <v>126.95</v>
      </c>
      <c r="D2187" s="1">
        <f>IFERROR(__xludf.DUMMYFUNCTION("""COMPUTED_VALUE"""),124.88)</f>
        <v>124.88</v>
      </c>
      <c r="E2187" s="1">
        <f>IFERROR(__xludf.DUMMYFUNCTION("""COMPUTED_VALUE"""),126.32)</f>
        <v>126.32</v>
      </c>
      <c r="F2187" s="1">
        <f>IFERROR(__xludf.DUMMYFUNCTION("""COMPUTED_VALUE"""),329407.0)</f>
        <v>329407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IFERROR(__xludf.DUMMYFUNCTION("""COMPUTED_VALUE"""),126.8)</f>
        <v>126.8</v>
      </c>
      <c r="C2188" s="1">
        <f>IFERROR(__xludf.DUMMYFUNCTION("""COMPUTED_VALUE"""),127.32)</f>
        <v>127.32</v>
      </c>
      <c r="D2188" s="1">
        <f>IFERROR(__xludf.DUMMYFUNCTION("""COMPUTED_VALUE"""),126.18)</f>
        <v>126.18</v>
      </c>
      <c r="E2188" s="1">
        <f>IFERROR(__xludf.DUMMYFUNCTION("""COMPUTED_VALUE"""),126.7)</f>
        <v>126.7</v>
      </c>
      <c r="F2188" s="1">
        <f>IFERROR(__xludf.DUMMYFUNCTION("""COMPUTED_VALUE"""),336222.0)</f>
        <v>336222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IFERROR(__xludf.DUMMYFUNCTION("""COMPUTED_VALUE"""),126.54)</f>
        <v>126.54</v>
      </c>
      <c r="C2189" s="1">
        <f>IFERROR(__xludf.DUMMYFUNCTION("""COMPUTED_VALUE"""),128.04)</f>
        <v>128.04</v>
      </c>
      <c r="D2189" s="1">
        <f>IFERROR(__xludf.DUMMYFUNCTION("""COMPUTED_VALUE"""),125.68)</f>
        <v>125.68</v>
      </c>
      <c r="E2189" s="1">
        <f>IFERROR(__xludf.DUMMYFUNCTION("""COMPUTED_VALUE"""),127.92)</f>
        <v>127.92</v>
      </c>
      <c r="F2189" s="1">
        <f>IFERROR(__xludf.DUMMYFUNCTION("""COMPUTED_VALUE"""),275899.0)</f>
        <v>275899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IFERROR(__xludf.DUMMYFUNCTION("""COMPUTED_VALUE"""),127.82)</f>
        <v>127.82</v>
      </c>
      <c r="C2190" s="1">
        <f>IFERROR(__xludf.DUMMYFUNCTION("""COMPUTED_VALUE"""),129.43)</f>
        <v>129.43</v>
      </c>
      <c r="D2190" s="1">
        <f>IFERROR(__xludf.DUMMYFUNCTION("""COMPUTED_VALUE"""),127.28)</f>
        <v>127.28</v>
      </c>
      <c r="E2190" s="1">
        <f>IFERROR(__xludf.DUMMYFUNCTION("""COMPUTED_VALUE"""),129.11)</f>
        <v>129.11</v>
      </c>
      <c r="F2190" s="1">
        <f>IFERROR(__xludf.DUMMYFUNCTION("""COMPUTED_VALUE"""),274927.0)</f>
        <v>274927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IFERROR(__xludf.DUMMYFUNCTION("""COMPUTED_VALUE"""),129.13)</f>
        <v>129.13</v>
      </c>
      <c r="C2191" s="1">
        <f>IFERROR(__xludf.DUMMYFUNCTION("""COMPUTED_VALUE"""),132.0)</f>
        <v>132</v>
      </c>
      <c r="D2191" s="1">
        <f>IFERROR(__xludf.DUMMYFUNCTION("""COMPUTED_VALUE"""),128.62)</f>
        <v>128.62</v>
      </c>
      <c r="E2191" s="1">
        <f>IFERROR(__xludf.DUMMYFUNCTION("""COMPUTED_VALUE"""),130.95)</f>
        <v>130.95</v>
      </c>
      <c r="F2191" s="1">
        <f>IFERROR(__xludf.DUMMYFUNCTION("""COMPUTED_VALUE"""),539939.0)</f>
        <v>539939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IFERROR(__xludf.DUMMYFUNCTION("""COMPUTED_VALUE"""),131.02)</f>
        <v>131.02</v>
      </c>
      <c r="C2192" s="1">
        <f>IFERROR(__xludf.DUMMYFUNCTION("""COMPUTED_VALUE"""),132.49)</f>
        <v>132.49</v>
      </c>
      <c r="D2192" s="1">
        <f>IFERROR(__xludf.DUMMYFUNCTION("""COMPUTED_VALUE"""),131.02)</f>
        <v>131.02</v>
      </c>
      <c r="E2192" s="1">
        <f>IFERROR(__xludf.DUMMYFUNCTION("""COMPUTED_VALUE"""),132.28)</f>
        <v>132.28</v>
      </c>
      <c r="F2192" s="1">
        <f>IFERROR(__xludf.DUMMYFUNCTION("""COMPUTED_VALUE"""),339201.0)</f>
        <v>339201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IFERROR(__xludf.DUMMYFUNCTION("""COMPUTED_VALUE"""),132.0)</f>
        <v>132</v>
      </c>
      <c r="C2193" s="1">
        <f>IFERROR(__xludf.DUMMYFUNCTION("""COMPUTED_VALUE"""),132.22)</f>
        <v>132.22</v>
      </c>
      <c r="D2193" s="1">
        <f>IFERROR(__xludf.DUMMYFUNCTION("""COMPUTED_VALUE"""),128.71)</f>
        <v>128.71</v>
      </c>
      <c r="E2193" s="1">
        <f>IFERROR(__xludf.DUMMYFUNCTION("""COMPUTED_VALUE"""),129.19)</f>
        <v>129.19</v>
      </c>
      <c r="F2193" s="1">
        <f>IFERROR(__xludf.DUMMYFUNCTION("""COMPUTED_VALUE"""),337537.0)</f>
        <v>337537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IFERROR(__xludf.DUMMYFUNCTION("""COMPUTED_VALUE"""),129.16)</f>
        <v>129.16</v>
      </c>
      <c r="C2194" s="1">
        <f>IFERROR(__xludf.DUMMYFUNCTION("""COMPUTED_VALUE"""),130.02)</f>
        <v>130.02</v>
      </c>
      <c r="D2194" s="1">
        <f>IFERROR(__xludf.DUMMYFUNCTION("""COMPUTED_VALUE"""),128.99)</f>
        <v>128.99</v>
      </c>
      <c r="E2194" s="1">
        <f>IFERROR(__xludf.DUMMYFUNCTION("""COMPUTED_VALUE"""),129.94)</f>
        <v>129.94</v>
      </c>
      <c r="F2194" s="1">
        <f>IFERROR(__xludf.DUMMYFUNCTION("""COMPUTED_VALUE"""),229057.0)</f>
        <v>229057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IFERROR(__xludf.DUMMYFUNCTION("""COMPUTED_VALUE"""),129.96)</f>
        <v>129.96</v>
      </c>
      <c r="C2195" s="1">
        <f>IFERROR(__xludf.DUMMYFUNCTION("""COMPUTED_VALUE"""),130.27)</f>
        <v>130.27</v>
      </c>
      <c r="D2195" s="1">
        <f>IFERROR(__xludf.DUMMYFUNCTION("""COMPUTED_VALUE"""),126.85)</f>
        <v>126.85</v>
      </c>
      <c r="E2195" s="1">
        <f>IFERROR(__xludf.DUMMYFUNCTION("""COMPUTED_VALUE"""),127.85)</f>
        <v>127.85</v>
      </c>
      <c r="F2195" s="1">
        <f>IFERROR(__xludf.DUMMYFUNCTION("""COMPUTED_VALUE"""),281630.0)</f>
        <v>281630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IFERROR(__xludf.DUMMYFUNCTION("""COMPUTED_VALUE"""),128.58)</f>
        <v>128.58</v>
      </c>
      <c r="C2196" s="1">
        <f>IFERROR(__xludf.DUMMYFUNCTION("""COMPUTED_VALUE"""),129.19)</f>
        <v>129.19</v>
      </c>
      <c r="D2196" s="1">
        <f>IFERROR(__xludf.DUMMYFUNCTION("""COMPUTED_VALUE"""),127.73)</f>
        <v>127.73</v>
      </c>
      <c r="E2196" s="1">
        <f>IFERROR(__xludf.DUMMYFUNCTION("""COMPUTED_VALUE"""),128.92)</f>
        <v>128.92</v>
      </c>
      <c r="F2196" s="1">
        <f>IFERROR(__xludf.DUMMYFUNCTION("""COMPUTED_VALUE"""),175414.0)</f>
        <v>175414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IFERROR(__xludf.DUMMYFUNCTION("""COMPUTED_VALUE"""),128.82)</f>
        <v>128.82</v>
      </c>
      <c r="C2197" s="1">
        <f>IFERROR(__xludf.DUMMYFUNCTION("""COMPUTED_VALUE"""),129.14)</f>
        <v>129.14</v>
      </c>
      <c r="D2197" s="1">
        <f>IFERROR(__xludf.DUMMYFUNCTION("""COMPUTED_VALUE"""),127.43)</f>
        <v>127.43</v>
      </c>
      <c r="E2197" s="1">
        <f>IFERROR(__xludf.DUMMYFUNCTION("""COMPUTED_VALUE"""),128.41)</f>
        <v>128.41</v>
      </c>
      <c r="F2197" s="1">
        <f>IFERROR(__xludf.DUMMYFUNCTION("""COMPUTED_VALUE"""),457442.0)</f>
        <v>457442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IFERROR(__xludf.DUMMYFUNCTION("""COMPUTED_VALUE"""),128.42)</f>
        <v>128.42</v>
      </c>
      <c r="C2198" s="1">
        <f>IFERROR(__xludf.DUMMYFUNCTION("""COMPUTED_VALUE"""),128.82)</f>
        <v>128.82</v>
      </c>
      <c r="D2198" s="1">
        <f>IFERROR(__xludf.DUMMYFUNCTION("""COMPUTED_VALUE"""),127.22)</f>
        <v>127.22</v>
      </c>
      <c r="E2198" s="1">
        <f>IFERROR(__xludf.DUMMYFUNCTION("""COMPUTED_VALUE"""),128.75)</f>
        <v>128.75</v>
      </c>
      <c r="F2198" s="1">
        <f>IFERROR(__xludf.DUMMYFUNCTION("""COMPUTED_VALUE"""),180190.0)</f>
        <v>180190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IFERROR(__xludf.DUMMYFUNCTION("""COMPUTED_VALUE"""),129.65)</f>
        <v>129.65</v>
      </c>
      <c r="C2199" s="1">
        <f>IFERROR(__xludf.DUMMYFUNCTION("""COMPUTED_VALUE"""),131.9)</f>
        <v>131.9</v>
      </c>
      <c r="D2199" s="1">
        <f>IFERROR(__xludf.DUMMYFUNCTION("""COMPUTED_VALUE"""),129.03)</f>
        <v>129.03</v>
      </c>
      <c r="E2199" s="1">
        <f>IFERROR(__xludf.DUMMYFUNCTION("""COMPUTED_VALUE"""),131.69)</f>
        <v>131.69</v>
      </c>
      <c r="F2199" s="1">
        <f>IFERROR(__xludf.DUMMYFUNCTION("""COMPUTED_VALUE"""),434487.0)</f>
        <v>434487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IFERROR(__xludf.DUMMYFUNCTION("""COMPUTED_VALUE"""),131.78)</f>
        <v>131.78</v>
      </c>
      <c r="C2200" s="1">
        <f>IFERROR(__xludf.DUMMYFUNCTION("""COMPUTED_VALUE"""),132.4)</f>
        <v>132.4</v>
      </c>
      <c r="D2200" s="1">
        <f>IFERROR(__xludf.DUMMYFUNCTION("""COMPUTED_VALUE"""),130.92)</f>
        <v>130.92</v>
      </c>
      <c r="E2200" s="1">
        <f>IFERROR(__xludf.DUMMYFUNCTION("""COMPUTED_VALUE"""),131.54)</f>
        <v>131.54</v>
      </c>
      <c r="F2200" s="1">
        <f>IFERROR(__xludf.DUMMYFUNCTION("""COMPUTED_VALUE"""),477415.0)</f>
        <v>477415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IFERROR(__xludf.DUMMYFUNCTION("""COMPUTED_VALUE"""),131.78)</f>
        <v>131.78</v>
      </c>
      <c r="C2201" s="1">
        <f>IFERROR(__xludf.DUMMYFUNCTION("""COMPUTED_VALUE"""),134.84)</f>
        <v>134.84</v>
      </c>
      <c r="D2201" s="1">
        <f>IFERROR(__xludf.DUMMYFUNCTION("""COMPUTED_VALUE"""),131.58)</f>
        <v>131.58</v>
      </c>
      <c r="E2201" s="1">
        <f>IFERROR(__xludf.DUMMYFUNCTION("""COMPUTED_VALUE"""),133.74)</f>
        <v>133.74</v>
      </c>
      <c r="F2201" s="1">
        <f>IFERROR(__xludf.DUMMYFUNCTION("""COMPUTED_VALUE"""),587627.0)</f>
        <v>587627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IFERROR(__xludf.DUMMYFUNCTION("""COMPUTED_VALUE"""),133.52)</f>
        <v>133.52</v>
      </c>
      <c r="C2202" s="1">
        <f>IFERROR(__xludf.DUMMYFUNCTION("""COMPUTED_VALUE"""),135.9)</f>
        <v>135.9</v>
      </c>
      <c r="D2202" s="1">
        <f>IFERROR(__xludf.DUMMYFUNCTION("""COMPUTED_VALUE"""),133.52)</f>
        <v>133.52</v>
      </c>
      <c r="E2202" s="1">
        <f>IFERROR(__xludf.DUMMYFUNCTION("""COMPUTED_VALUE"""),134.54)</f>
        <v>134.54</v>
      </c>
      <c r="F2202" s="1">
        <f>IFERROR(__xludf.DUMMYFUNCTION("""COMPUTED_VALUE"""),672037.0)</f>
        <v>672037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IFERROR(__xludf.DUMMYFUNCTION("""COMPUTED_VALUE"""),135.29)</f>
        <v>135.29</v>
      </c>
      <c r="C2203" s="1">
        <f>IFERROR(__xludf.DUMMYFUNCTION("""COMPUTED_VALUE"""),135.88)</f>
        <v>135.88</v>
      </c>
      <c r="D2203" s="1">
        <f>IFERROR(__xludf.DUMMYFUNCTION("""COMPUTED_VALUE"""),133.31)</f>
        <v>133.31</v>
      </c>
      <c r="E2203" s="1">
        <f>IFERROR(__xludf.DUMMYFUNCTION("""COMPUTED_VALUE"""),133.55)</f>
        <v>133.55</v>
      </c>
      <c r="F2203" s="1">
        <f>IFERROR(__xludf.DUMMYFUNCTION("""COMPUTED_VALUE"""),285576.0)</f>
        <v>285576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IFERROR(__xludf.DUMMYFUNCTION("""COMPUTED_VALUE"""),133.78)</f>
        <v>133.78</v>
      </c>
      <c r="C2204" s="1">
        <f>IFERROR(__xludf.DUMMYFUNCTION("""COMPUTED_VALUE"""),133.91)</f>
        <v>133.91</v>
      </c>
      <c r="D2204" s="1">
        <f>IFERROR(__xludf.DUMMYFUNCTION("""COMPUTED_VALUE"""),132.8)</f>
        <v>132.8</v>
      </c>
      <c r="E2204" s="1">
        <f>IFERROR(__xludf.DUMMYFUNCTION("""COMPUTED_VALUE"""),133.52)</f>
        <v>133.52</v>
      </c>
      <c r="F2204" s="1">
        <f>IFERROR(__xludf.DUMMYFUNCTION("""COMPUTED_VALUE"""),589654.0)</f>
        <v>589654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IFERROR(__xludf.DUMMYFUNCTION("""COMPUTED_VALUE"""),134.43)</f>
        <v>134.43</v>
      </c>
      <c r="C2205" s="1">
        <f>IFERROR(__xludf.DUMMYFUNCTION("""COMPUTED_VALUE"""),134.62)</f>
        <v>134.62</v>
      </c>
      <c r="D2205" s="1">
        <f>IFERROR(__xludf.DUMMYFUNCTION("""COMPUTED_VALUE"""),133.59)</f>
        <v>133.59</v>
      </c>
      <c r="E2205" s="1">
        <f>IFERROR(__xludf.DUMMYFUNCTION("""COMPUTED_VALUE"""),134.37)</f>
        <v>134.37</v>
      </c>
      <c r="F2205" s="1">
        <f>IFERROR(__xludf.DUMMYFUNCTION("""COMPUTED_VALUE"""),826808.0)</f>
        <v>826808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IFERROR(__xludf.DUMMYFUNCTION("""COMPUTED_VALUE"""),133.89)</f>
        <v>133.89</v>
      </c>
      <c r="C2206" s="1">
        <f>IFERROR(__xludf.DUMMYFUNCTION("""COMPUTED_VALUE"""),134.43)</f>
        <v>134.43</v>
      </c>
      <c r="D2206" s="1">
        <f>IFERROR(__xludf.DUMMYFUNCTION("""COMPUTED_VALUE"""),130.02)</f>
        <v>130.02</v>
      </c>
      <c r="E2206" s="1">
        <f>IFERROR(__xludf.DUMMYFUNCTION("""COMPUTED_VALUE"""),130.65)</f>
        <v>130.65</v>
      </c>
      <c r="F2206" s="1">
        <f>IFERROR(__xludf.DUMMYFUNCTION("""COMPUTED_VALUE"""),287312.0)</f>
        <v>287312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IFERROR(__xludf.DUMMYFUNCTION("""COMPUTED_VALUE"""),130.64)</f>
        <v>130.64</v>
      </c>
      <c r="C2207" s="1">
        <f>IFERROR(__xludf.DUMMYFUNCTION("""COMPUTED_VALUE"""),132.0)</f>
        <v>132</v>
      </c>
      <c r="D2207" s="1">
        <f>IFERROR(__xludf.DUMMYFUNCTION("""COMPUTED_VALUE"""),128.25)</f>
        <v>128.25</v>
      </c>
      <c r="E2207" s="1">
        <f>IFERROR(__xludf.DUMMYFUNCTION("""COMPUTED_VALUE"""),129.73)</f>
        <v>129.73</v>
      </c>
      <c r="F2207" s="1">
        <f>IFERROR(__xludf.DUMMYFUNCTION("""COMPUTED_VALUE"""),406345.0)</f>
        <v>406345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IFERROR(__xludf.DUMMYFUNCTION("""COMPUTED_VALUE"""),129.08)</f>
        <v>129.08</v>
      </c>
      <c r="C2208" s="1">
        <f>IFERROR(__xludf.DUMMYFUNCTION("""COMPUTED_VALUE"""),129.28)</f>
        <v>129.28</v>
      </c>
      <c r="D2208" s="1">
        <f>IFERROR(__xludf.DUMMYFUNCTION("""COMPUTED_VALUE"""),126.62)</f>
        <v>126.62</v>
      </c>
      <c r="E2208" s="1">
        <f>IFERROR(__xludf.DUMMYFUNCTION("""COMPUTED_VALUE"""),128.31)</f>
        <v>128.31</v>
      </c>
      <c r="F2208" s="1">
        <f>IFERROR(__xludf.DUMMYFUNCTION("""COMPUTED_VALUE"""),513420.0)</f>
        <v>513420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IFERROR(__xludf.DUMMYFUNCTION("""COMPUTED_VALUE"""),127.41)</f>
        <v>127.41</v>
      </c>
      <c r="C2209" s="1">
        <f>IFERROR(__xludf.DUMMYFUNCTION("""COMPUTED_VALUE"""),129.15)</f>
        <v>129.15</v>
      </c>
      <c r="D2209" s="1">
        <f>IFERROR(__xludf.DUMMYFUNCTION("""COMPUTED_VALUE"""),126.83)</f>
        <v>126.83</v>
      </c>
      <c r="E2209" s="1">
        <f>IFERROR(__xludf.DUMMYFUNCTION("""COMPUTED_VALUE"""),128.2)</f>
        <v>128.2</v>
      </c>
      <c r="F2209" s="1">
        <f>IFERROR(__xludf.DUMMYFUNCTION("""COMPUTED_VALUE"""),353571.0)</f>
        <v>353571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IFERROR(__xludf.DUMMYFUNCTION("""COMPUTED_VALUE"""),127.69)</f>
        <v>127.69</v>
      </c>
      <c r="C2210" s="1">
        <f>IFERROR(__xludf.DUMMYFUNCTION("""COMPUTED_VALUE"""),127.85)</f>
        <v>127.85</v>
      </c>
      <c r="D2210" s="1">
        <f>IFERROR(__xludf.DUMMYFUNCTION("""COMPUTED_VALUE"""),122.88)</f>
        <v>122.88</v>
      </c>
      <c r="E2210" s="1">
        <f>IFERROR(__xludf.DUMMYFUNCTION("""COMPUTED_VALUE"""),123.06)</f>
        <v>123.06</v>
      </c>
      <c r="F2210" s="1">
        <f>IFERROR(__xludf.DUMMYFUNCTION("""COMPUTED_VALUE"""),481429.0)</f>
        <v>481429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IFERROR(__xludf.DUMMYFUNCTION("""COMPUTED_VALUE"""),123.15)</f>
        <v>123.15</v>
      </c>
      <c r="C2211" s="1">
        <f>IFERROR(__xludf.DUMMYFUNCTION("""COMPUTED_VALUE"""),124.31)</f>
        <v>124.31</v>
      </c>
      <c r="D2211" s="1">
        <f>IFERROR(__xludf.DUMMYFUNCTION("""COMPUTED_VALUE"""),120.68)</f>
        <v>120.68</v>
      </c>
      <c r="E2211" s="1">
        <f>IFERROR(__xludf.DUMMYFUNCTION("""COMPUTED_VALUE"""),120.87)</f>
        <v>120.87</v>
      </c>
      <c r="F2211" s="1">
        <f>IFERROR(__xludf.DUMMYFUNCTION("""COMPUTED_VALUE"""),395208.0)</f>
        <v>395208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IFERROR(__xludf.DUMMYFUNCTION("""COMPUTED_VALUE"""),123.05)</f>
        <v>123.05</v>
      </c>
      <c r="C2212" s="1">
        <f>IFERROR(__xludf.DUMMYFUNCTION("""COMPUTED_VALUE"""),124.12)</f>
        <v>124.12</v>
      </c>
      <c r="D2212" s="1">
        <f>IFERROR(__xludf.DUMMYFUNCTION("""COMPUTED_VALUE"""),121.81)</f>
        <v>121.81</v>
      </c>
      <c r="E2212" s="1">
        <f>IFERROR(__xludf.DUMMYFUNCTION("""COMPUTED_VALUE"""),122.99)</f>
        <v>122.99</v>
      </c>
      <c r="F2212" s="1">
        <f>IFERROR(__xludf.DUMMYFUNCTION("""COMPUTED_VALUE"""),674428.0)</f>
        <v>674428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IFERROR(__xludf.DUMMYFUNCTION("""COMPUTED_VALUE"""),122.65)</f>
        <v>122.65</v>
      </c>
      <c r="C2213" s="1">
        <f>IFERROR(__xludf.DUMMYFUNCTION("""COMPUTED_VALUE"""),123.02)</f>
        <v>123.02</v>
      </c>
      <c r="D2213" s="1">
        <f>IFERROR(__xludf.DUMMYFUNCTION("""COMPUTED_VALUE"""),120.9)</f>
        <v>120.9</v>
      </c>
      <c r="E2213" s="1">
        <f>IFERROR(__xludf.DUMMYFUNCTION("""COMPUTED_VALUE"""),121.86)</f>
        <v>121.86</v>
      </c>
      <c r="F2213" s="1">
        <f>IFERROR(__xludf.DUMMYFUNCTION("""COMPUTED_VALUE"""),407640.0)</f>
        <v>407640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IFERROR(__xludf.DUMMYFUNCTION("""COMPUTED_VALUE"""),123.06)</f>
        <v>123.06</v>
      </c>
      <c r="C2214" s="1">
        <f>IFERROR(__xludf.DUMMYFUNCTION("""COMPUTED_VALUE"""),126.89)</f>
        <v>126.89</v>
      </c>
      <c r="D2214" s="1">
        <f>IFERROR(__xludf.DUMMYFUNCTION("""COMPUTED_VALUE"""),123.06)</f>
        <v>123.06</v>
      </c>
      <c r="E2214" s="1">
        <f>IFERROR(__xludf.DUMMYFUNCTION("""COMPUTED_VALUE"""),126.85)</f>
        <v>126.85</v>
      </c>
      <c r="F2214" s="1">
        <f>IFERROR(__xludf.DUMMYFUNCTION("""COMPUTED_VALUE"""),465037.0)</f>
        <v>465037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IFERROR(__xludf.DUMMYFUNCTION("""COMPUTED_VALUE"""),127.11)</f>
        <v>127.11</v>
      </c>
      <c r="C2215" s="1">
        <f>IFERROR(__xludf.DUMMYFUNCTION("""COMPUTED_VALUE"""),127.9)</f>
        <v>127.9</v>
      </c>
      <c r="D2215" s="1">
        <f>IFERROR(__xludf.DUMMYFUNCTION("""COMPUTED_VALUE"""),125.7)</f>
        <v>125.7</v>
      </c>
      <c r="E2215" s="1">
        <f>IFERROR(__xludf.DUMMYFUNCTION("""COMPUTED_VALUE"""),127.25)</f>
        <v>127.25</v>
      </c>
      <c r="F2215" s="1">
        <f>IFERROR(__xludf.DUMMYFUNCTION("""COMPUTED_VALUE"""),222072.0)</f>
        <v>222072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IFERROR(__xludf.DUMMYFUNCTION("""COMPUTED_VALUE"""),126.82)</f>
        <v>126.82</v>
      </c>
      <c r="C2216" s="1">
        <f>IFERROR(__xludf.DUMMYFUNCTION("""COMPUTED_VALUE"""),127.3)</f>
        <v>127.3</v>
      </c>
      <c r="D2216" s="1">
        <f>IFERROR(__xludf.DUMMYFUNCTION("""COMPUTED_VALUE"""),123.86)</f>
        <v>123.86</v>
      </c>
      <c r="E2216" s="1">
        <f>IFERROR(__xludf.DUMMYFUNCTION("""COMPUTED_VALUE"""),125.2)</f>
        <v>125.2</v>
      </c>
      <c r="F2216" s="1">
        <f>IFERROR(__xludf.DUMMYFUNCTION("""COMPUTED_VALUE"""),164833.0)</f>
        <v>164833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IFERROR(__xludf.DUMMYFUNCTION("""COMPUTED_VALUE"""),125.66)</f>
        <v>125.66</v>
      </c>
      <c r="C2217" s="1">
        <f>IFERROR(__xludf.DUMMYFUNCTION("""COMPUTED_VALUE"""),125.95)</f>
        <v>125.95</v>
      </c>
      <c r="D2217" s="1">
        <f>IFERROR(__xludf.DUMMYFUNCTION("""COMPUTED_VALUE"""),121.96)</f>
        <v>121.96</v>
      </c>
      <c r="E2217" s="1">
        <f>IFERROR(__xludf.DUMMYFUNCTION("""COMPUTED_VALUE"""),122.33)</f>
        <v>122.33</v>
      </c>
      <c r="F2217" s="1">
        <f>IFERROR(__xludf.DUMMYFUNCTION("""COMPUTED_VALUE"""),289329.0)</f>
        <v>289329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IFERROR(__xludf.DUMMYFUNCTION("""COMPUTED_VALUE"""),123.13)</f>
        <v>123.13</v>
      </c>
      <c r="C2218" s="1">
        <f>IFERROR(__xludf.DUMMYFUNCTION("""COMPUTED_VALUE"""),125.34)</f>
        <v>125.34</v>
      </c>
      <c r="D2218" s="1">
        <f>IFERROR(__xludf.DUMMYFUNCTION("""COMPUTED_VALUE"""),121.79)</f>
        <v>121.79</v>
      </c>
      <c r="E2218" s="1">
        <f>IFERROR(__xludf.DUMMYFUNCTION("""COMPUTED_VALUE"""),123.05)</f>
        <v>123.05</v>
      </c>
      <c r="F2218" s="1">
        <f>IFERROR(__xludf.DUMMYFUNCTION("""COMPUTED_VALUE"""),221390.0)</f>
        <v>221390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IFERROR(__xludf.DUMMYFUNCTION("""COMPUTED_VALUE"""),120.85)</f>
        <v>120.85</v>
      </c>
      <c r="C2219" s="1">
        <f>IFERROR(__xludf.DUMMYFUNCTION("""COMPUTED_VALUE"""),122.58)</f>
        <v>122.58</v>
      </c>
      <c r="D2219" s="1">
        <f>IFERROR(__xludf.DUMMYFUNCTION("""COMPUTED_VALUE"""),118.15)</f>
        <v>118.15</v>
      </c>
      <c r="E2219" s="1">
        <f>IFERROR(__xludf.DUMMYFUNCTION("""COMPUTED_VALUE"""),121.59)</f>
        <v>121.59</v>
      </c>
      <c r="F2219" s="1">
        <f>IFERROR(__xludf.DUMMYFUNCTION("""COMPUTED_VALUE"""),378371.0)</f>
        <v>378371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IFERROR(__xludf.DUMMYFUNCTION("""COMPUTED_VALUE"""),121.59)</f>
        <v>121.59</v>
      </c>
      <c r="C2220" s="1">
        <f>IFERROR(__xludf.DUMMYFUNCTION("""COMPUTED_VALUE"""),122.31)</f>
        <v>122.31</v>
      </c>
      <c r="D2220" s="1">
        <f>IFERROR(__xludf.DUMMYFUNCTION("""COMPUTED_VALUE"""),112.98)</f>
        <v>112.98</v>
      </c>
      <c r="E2220" s="1">
        <f>IFERROR(__xludf.DUMMYFUNCTION("""COMPUTED_VALUE"""),113.28)</f>
        <v>113.28</v>
      </c>
      <c r="F2220" s="1">
        <f>IFERROR(__xludf.DUMMYFUNCTION("""COMPUTED_VALUE"""),551621.0)</f>
        <v>551621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IFERROR(__xludf.DUMMYFUNCTION("""COMPUTED_VALUE"""),114.33)</f>
        <v>114.33</v>
      </c>
      <c r="C2221" s="1">
        <f>IFERROR(__xludf.DUMMYFUNCTION("""COMPUTED_VALUE"""),119.27)</f>
        <v>119.27</v>
      </c>
      <c r="D2221" s="1">
        <f>IFERROR(__xludf.DUMMYFUNCTION("""COMPUTED_VALUE"""),114.32)</f>
        <v>114.32</v>
      </c>
      <c r="E2221" s="1">
        <f>IFERROR(__xludf.DUMMYFUNCTION("""COMPUTED_VALUE"""),118.91)</f>
        <v>118.91</v>
      </c>
      <c r="F2221" s="1">
        <f>IFERROR(__xludf.DUMMYFUNCTION("""COMPUTED_VALUE"""),403033.0)</f>
        <v>403033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IFERROR(__xludf.DUMMYFUNCTION("""COMPUTED_VALUE"""),116.69)</f>
        <v>116.69</v>
      </c>
      <c r="C2222" s="1">
        <f>IFERROR(__xludf.DUMMYFUNCTION("""COMPUTED_VALUE"""),120.02)</f>
        <v>120.02</v>
      </c>
      <c r="D2222" s="1">
        <f>IFERROR(__xludf.DUMMYFUNCTION("""COMPUTED_VALUE"""),115.96)</f>
        <v>115.96</v>
      </c>
      <c r="E2222" s="1">
        <f>IFERROR(__xludf.DUMMYFUNCTION("""COMPUTED_VALUE"""),118.27)</f>
        <v>118.27</v>
      </c>
      <c r="F2222" s="1">
        <f>IFERROR(__xludf.DUMMYFUNCTION("""COMPUTED_VALUE"""),409376.0)</f>
        <v>409376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IFERROR(__xludf.DUMMYFUNCTION("""COMPUTED_VALUE"""),120.27)</f>
        <v>120.27</v>
      </c>
      <c r="C2223" s="1">
        <f>IFERROR(__xludf.DUMMYFUNCTION("""COMPUTED_VALUE"""),120.47)</f>
        <v>120.47</v>
      </c>
      <c r="D2223" s="1">
        <f>IFERROR(__xludf.DUMMYFUNCTION("""COMPUTED_VALUE"""),115.64)</f>
        <v>115.64</v>
      </c>
      <c r="E2223" s="1">
        <f>IFERROR(__xludf.DUMMYFUNCTION("""COMPUTED_VALUE"""),117.63)</f>
        <v>117.63</v>
      </c>
      <c r="F2223" s="1">
        <f>IFERROR(__xludf.DUMMYFUNCTION("""COMPUTED_VALUE"""),497399.0)</f>
        <v>497399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IFERROR(__xludf.DUMMYFUNCTION("""COMPUTED_VALUE"""),118.13)</f>
        <v>118.13</v>
      </c>
      <c r="C2224" s="1">
        <f>IFERROR(__xludf.DUMMYFUNCTION("""COMPUTED_VALUE"""),119.65)</f>
        <v>119.65</v>
      </c>
      <c r="D2224" s="1">
        <f>IFERROR(__xludf.DUMMYFUNCTION("""COMPUTED_VALUE"""),116.76)</f>
        <v>116.76</v>
      </c>
      <c r="E2224" s="1">
        <f>IFERROR(__xludf.DUMMYFUNCTION("""COMPUTED_VALUE"""),118.16)</f>
        <v>118.16</v>
      </c>
      <c r="F2224" s="1">
        <f>IFERROR(__xludf.DUMMYFUNCTION("""COMPUTED_VALUE"""),298120.0)</f>
        <v>298120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IFERROR(__xludf.DUMMYFUNCTION("""COMPUTED_VALUE"""),119.77)</f>
        <v>119.77</v>
      </c>
      <c r="C2225" s="1">
        <f>IFERROR(__xludf.DUMMYFUNCTION("""COMPUTED_VALUE"""),123.77)</f>
        <v>123.77</v>
      </c>
      <c r="D2225" s="1">
        <f>IFERROR(__xludf.DUMMYFUNCTION("""COMPUTED_VALUE"""),119.56)</f>
        <v>119.56</v>
      </c>
      <c r="E2225" s="1">
        <f>IFERROR(__xludf.DUMMYFUNCTION("""COMPUTED_VALUE"""),121.82)</f>
        <v>121.82</v>
      </c>
      <c r="F2225" s="1">
        <f>IFERROR(__xludf.DUMMYFUNCTION("""COMPUTED_VALUE"""),325334.0)</f>
        <v>325334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IFERROR(__xludf.DUMMYFUNCTION("""COMPUTED_VALUE"""),122.03)</f>
        <v>122.03</v>
      </c>
      <c r="C2226" s="1">
        <f>IFERROR(__xludf.DUMMYFUNCTION("""COMPUTED_VALUE"""),123.57)</f>
        <v>123.57</v>
      </c>
      <c r="D2226" s="1">
        <f>IFERROR(__xludf.DUMMYFUNCTION("""COMPUTED_VALUE"""),119.39)</f>
        <v>119.39</v>
      </c>
      <c r="E2226" s="1">
        <f>IFERROR(__xludf.DUMMYFUNCTION("""COMPUTED_VALUE"""),123.13)</f>
        <v>123.13</v>
      </c>
      <c r="F2226" s="1">
        <f>IFERROR(__xludf.DUMMYFUNCTION("""COMPUTED_VALUE"""),311166.0)</f>
        <v>311166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IFERROR(__xludf.DUMMYFUNCTION("""COMPUTED_VALUE"""),124.22)</f>
        <v>124.22</v>
      </c>
      <c r="C2227" s="1">
        <f>IFERROR(__xludf.DUMMYFUNCTION("""COMPUTED_VALUE"""),125.34)</f>
        <v>125.34</v>
      </c>
      <c r="D2227" s="1">
        <f>IFERROR(__xludf.DUMMYFUNCTION("""COMPUTED_VALUE"""),122.03)</f>
        <v>122.03</v>
      </c>
      <c r="E2227" s="1">
        <f>IFERROR(__xludf.DUMMYFUNCTION("""COMPUTED_VALUE"""),123.5)</f>
        <v>123.5</v>
      </c>
      <c r="F2227" s="1">
        <f>IFERROR(__xludf.DUMMYFUNCTION("""COMPUTED_VALUE"""),278678.0)</f>
        <v>278678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IFERROR(__xludf.DUMMYFUNCTION("""COMPUTED_VALUE"""),123.51)</f>
        <v>123.51</v>
      </c>
      <c r="C2228" s="1">
        <f>IFERROR(__xludf.DUMMYFUNCTION("""COMPUTED_VALUE"""),124.97)</f>
        <v>124.97</v>
      </c>
      <c r="D2228" s="1">
        <f>IFERROR(__xludf.DUMMYFUNCTION("""COMPUTED_VALUE"""),122.6)</f>
        <v>122.6</v>
      </c>
      <c r="E2228" s="1">
        <f>IFERROR(__xludf.DUMMYFUNCTION("""COMPUTED_VALUE"""),124.53)</f>
        <v>124.53</v>
      </c>
      <c r="F2228" s="1">
        <f>IFERROR(__xludf.DUMMYFUNCTION("""COMPUTED_VALUE"""),304991.0)</f>
        <v>304991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IFERROR(__xludf.DUMMYFUNCTION("""COMPUTED_VALUE"""),124.15)</f>
        <v>124.15</v>
      </c>
      <c r="C2229" s="1">
        <f>IFERROR(__xludf.DUMMYFUNCTION("""COMPUTED_VALUE"""),126.05)</f>
        <v>126.05</v>
      </c>
      <c r="D2229" s="1">
        <f>IFERROR(__xludf.DUMMYFUNCTION("""COMPUTED_VALUE"""),123.79)</f>
        <v>123.79</v>
      </c>
      <c r="E2229" s="1">
        <f>IFERROR(__xludf.DUMMYFUNCTION("""COMPUTED_VALUE"""),125.14)</f>
        <v>125.14</v>
      </c>
      <c r="F2229" s="1">
        <f>IFERROR(__xludf.DUMMYFUNCTION("""COMPUTED_VALUE"""),361954.0)</f>
        <v>361954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IFERROR(__xludf.DUMMYFUNCTION("""COMPUTED_VALUE"""),128.6)</f>
        <v>128.6</v>
      </c>
      <c r="C2230" s="1">
        <f>IFERROR(__xludf.DUMMYFUNCTION("""COMPUTED_VALUE"""),138.89)</f>
        <v>138.89</v>
      </c>
      <c r="D2230" s="1">
        <f>IFERROR(__xludf.DUMMYFUNCTION("""COMPUTED_VALUE"""),127.86)</f>
        <v>127.86</v>
      </c>
      <c r="E2230" s="1">
        <f>IFERROR(__xludf.DUMMYFUNCTION("""COMPUTED_VALUE"""),136.23)</f>
        <v>136.23</v>
      </c>
      <c r="F2230" s="1">
        <f>IFERROR(__xludf.DUMMYFUNCTION("""COMPUTED_VALUE"""),723197.0)</f>
        <v>723197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IFERROR(__xludf.DUMMYFUNCTION("""COMPUTED_VALUE"""),136.36)</f>
        <v>136.36</v>
      </c>
      <c r="C2231" s="1">
        <f>IFERROR(__xludf.DUMMYFUNCTION("""COMPUTED_VALUE"""),138.71)</f>
        <v>138.71</v>
      </c>
      <c r="D2231" s="1">
        <f>IFERROR(__xludf.DUMMYFUNCTION("""COMPUTED_VALUE"""),135.36)</f>
        <v>135.36</v>
      </c>
      <c r="E2231" s="1">
        <f>IFERROR(__xludf.DUMMYFUNCTION("""COMPUTED_VALUE"""),136.1)</f>
        <v>136.1</v>
      </c>
      <c r="F2231" s="1">
        <f>IFERROR(__xludf.DUMMYFUNCTION("""COMPUTED_VALUE"""),547008.0)</f>
        <v>547008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IFERROR(__xludf.DUMMYFUNCTION("""COMPUTED_VALUE"""),135.44)</f>
        <v>135.44</v>
      </c>
      <c r="C2232" s="1">
        <f>IFERROR(__xludf.DUMMYFUNCTION("""COMPUTED_VALUE"""),137.47)</f>
        <v>137.47</v>
      </c>
      <c r="D2232" s="1">
        <f>IFERROR(__xludf.DUMMYFUNCTION("""COMPUTED_VALUE"""),134.43)</f>
        <v>134.43</v>
      </c>
      <c r="E2232" s="1">
        <f>IFERROR(__xludf.DUMMYFUNCTION("""COMPUTED_VALUE"""),136.45)</f>
        <v>136.45</v>
      </c>
      <c r="F2232" s="1">
        <f>IFERROR(__xludf.DUMMYFUNCTION("""COMPUTED_VALUE"""),592301.0)</f>
        <v>592301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IFERROR(__xludf.DUMMYFUNCTION("""COMPUTED_VALUE"""),136.32)</f>
        <v>136.32</v>
      </c>
      <c r="C2233" s="1">
        <f>IFERROR(__xludf.DUMMYFUNCTION("""COMPUTED_VALUE"""),136.92)</f>
        <v>136.92</v>
      </c>
      <c r="D2233" s="1">
        <f>IFERROR(__xludf.DUMMYFUNCTION("""COMPUTED_VALUE"""),133.15)</f>
        <v>133.15</v>
      </c>
      <c r="E2233" s="1">
        <f>IFERROR(__xludf.DUMMYFUNCTION("""COMPUTED_VALUE"""),133.69)</f>
        <v>133.69</v>
      </c>
      <c r="F2233" s="1">
        <f>IFERROR(__xludf.DUMMYFUNCTION("""COMPUTED_VALUE"""),519332.0)</f>
        <v>519332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IFERROR(__xludf.DUMMYFUNCTION("""COMPUTED_VALUE"""),133.74)</f>
        <v>133.74</v>
      </c>
      <c r="C2234" s="1">
        <f>IFERROR(__xludf.DUMMYFUNCTION("""COMPUTED_VALUE"""),135.9)</f>
        <v>135.9</v>
      </c>
      <c r="D2234" s="1">
        <f>IFERROR(__xludf.DUMMYFUNCTION("""COMPUTED_VALUE"""),130.64)</f>
        <v>130.64</v>
      </c>
      <c r="E2234" s="1">
        <f>IFERROR(__xludf.DUMMYFUNCTION("""COMPUTED_VALUE"""),131.19)</f>
        <v>131.19</v>
      </c>
      <c r="F2234" s="1">
        <f>IFERROR(__xludf.DUMMYFUNCTION("""COMPUTED_VALUE"""),297573.0)</f>
        <v>297573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IFERROR(__xludf.DUMMYFUNCTION("""COMPUTED_VALUE"""),132.31)</f>
        <v>132.31</v>
      </c>
      <c r="C2235" s="1">
        <f>IFERROR(__xludf.DUMMYFUNCTION("""COMPUTED_VALUE"""),133.39)</f>
        <v>133.39</v>
      </c>
      <c r="D2235" s="1">
        <f>IFERROR(__xludf.DUMMYFUNCTION("""COMPUTED_VALUE"""),128.18)</f>
        <v>128.18</v>
      </c>
      <c r="E2235" s="1">
        <f>IFERROR(__xludf.DUMMYFUNCTION("""COMPUTED_VALUE"""),128.71)</f>
        <v>128.71</v>
      </c>
      <c r="F2235" s="1">
        <f>IFERROR(__xludf.DUMMYFUNCTION("""COMPUTED_VALUE"""),417361.0)</f>
        <v>417361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IFERROR(__xludf.DUMMYFUNCTION("""COMPUTED_VALUE"""),127.85)</f>
        <v>127.85</v>
      </c>
      <c r="C2236" s="1">
        <f>IFERROR(__xludf.DUMMYFUNCTION("""COMPUTED_VALUE"""),131.25)</f>
        <v>131.25</v>
      </c>
      <c r="D2236" s="1">
        <f>IFERROR(__xludf.DUMMYFUNCTION("""COMPUTED_VALUE"""),126.65)</f>
        <v>126.65</v>
      </c>
      <c r="E2236" s="1">
        <f>IFERROR(__xludf.DUMMYFUNCTION("""COMPUTED_VALUE"""),130.58)</f>
        <v>130.58</v>
      </c>
      <c r="F2236" s="1">
        <f>IFERROR(__xludf.DUMMYFUNCTION("""COMPUTED_VALUE"""),572309.0)</f>
        <v>572309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IFERROR(__xludf.DUMMYFUNCTION("""COMPUTED_VALUE"""),130.0)</f>
        <v>130</v>
      </c>
      <c r="C2237" s="1">
        <f>IFERROR(__xludf.DUMMYFUNCTION("""COMPUTED_VALUE"""),132.89)</f>
        <v>132.89</v>
      </c>
      <c r="D2237" s="1">
        <f>IFERROR(__xludf.DUMMYFUNCTION("""COMPUTED_VALUE"""),129.1)</f>
        <v>129.1</v>
      </c>
      <c r="E2237" s="1">
        <f>IFERROR(__xludf.DUMMYFUNCTION("""COMPUTED_VALUE"""),130.88)</f>
        <v>130.88</v>
      </c>
      <c r="F2237" s="1">
        <f>IFERROR(__xludf.DUMMYFUNCTION("""COMPUTED_VALUE"""),460884.0)</f>
        <v>460884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IFERROR(__xludf.DUMMYFUNCTION("""COMPUTED_VALUE"""),130.18)</f>
        <v>130.18</v>
      </c>
      <c r="C2238" s="1">
        <f>IFERROR(__xludf.DUMMYFUNCTION("""COMPUTED_VALUE"""),130.6)</f>
        <v>130.6</v>
      </c>
      <c r="D2238" s="1">
        <f>IFERROR(__xludf.DUMMYFUNCTION("""COMPUTED_VALUE"""),124.02)</f>
        <v>124.02</v>
      </c>
      <c r="E2238" s="1">
        <f>IFERROR(__xludf.DUMMYFUNCTION("""COMPUTED_VALUE"""),125.0)</f>
        <v>125</v>
      </c>
      <c r="F2238" s="1">
        <f>IFERROR(__xludf.DUMMYFUNCTION("""COMPUTED_VALUE"""),371798.0)</f>
        <v>371798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IFERROR(__xludf.DUMMYFUNCTION("""COMPUTED_VALUE"""),123.75)</f>
        <v>123.75</v>
      </c>
      <c r="C2239" s="1">
        <f>IFERROR(__xludf.DUMMYFUNCTION("""COMPUTED_VALUE"""),125.79)</f>
        <v>125.79</v>
      </c>
      <c r="D2239" s="1">
        <f>IFERROR(__xludf.DUMMYFUNCTION("""COMPUTED_VALUE"""),121.66)</f>
        <v>121.66</v>
      </c>
      <c r="E2239" s="1">
        <f>IFERROR(__xludf.DUMMYFUNCTION("""COMPUTED_VALUE"""),123.54)</f>
        <v>123.54</v>
      </c>
      <c r="F2239" s="1">
        <f>IFERROR(__xludf.DUMMYFUNCTION("""COMPUTED_VALUE"""),633639.0)</f>
        <v>633639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IFERROR(__xludf.DUMMYFUNCTION("""COMPUTED_VALUE"""),124.35)</f>
        <v>124.35</v>
      </c>
      <c r="C2240" s="1">
        <f>IFERROR(__xludf.DUMMYFUNCTION("""COMPUTED_VALUE"""),127.28)</f>
        <v>127.28</v>
      </c>
      <c r="D2240" s="1">
        <f>IFERROR(__xludf.DUMMYFUNCTION("""COMPUTED_VALUE"""),124.06)</f>
        <v>124.06</v>
      </c>
      <c r="E2240" s="1">
        <f>IFERROR(__xludf.DUMMYFUNCTION("""COMPUTED_VALUE"""),125.15)</f>
        <v>125.15</v>
      </c>
      <c r="F2240" s="1">
        <f>IFERROR(__xludf.DUMMYFUNCTION("""COMPUTED_VALUE"""),213472.0)</f>
        <v>213472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IFERROR(__xludf.DUMMYFUNCTION("""COMPUTED_VALUE"""),124.04)</f>
        <v>124.04</v>
      </c>
      <c r="C2241" s="1">
        <f>IFERROR(__xludf.DUMMYFUNCTION("""COMPUTED_VALUE"""),129.51)</f>
        <v>129.51</v>
      </c>
      <c r="D2241" s="1">
        <f>IFERROR(__xludf.DUMMYFUNCTION("""COMPUTED_VALUE"""),124.04)</f>
        <v>124.04</v>
      </c>
      <c r="E2241" s="1">
        <f>IFERROR(__xludf.DUMMYFUNCTION("""COMPUTED_VALUE"""),127.4)</f>
        <v>127.4</v>
      </c>
      <c r="F2241" s="1">
        <f>IFERROR(__xludf.DUMMYFUNCTION("""COMPUTED_VALUE"""),242426.0)</f>
        <v>242426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IFERROR(__xludf.DUMMYFUNCTION("""COMPUTED_VALUE"""),128.83)</f>
        <v>128.83</v>
      </c>
      <c r="C2242" s="1">
        <f>IFERROR(__xludf.DUMMYFUNCTION("""COMPUTED_VALUE"""),130.15)</f>
        <v>130.15</v>
      </c>
      <c r="D2242" s="1">
        <f>IFERROR(__xludf.DUMMYFUNCTION("""COMPUTED_VALUE"""),127.12)</f>
        <v>127.12</v>
      </c>
      <c r="E2242" s="1">
        <f>IFERROR(__xludf.DUMMYFUNCTION("""COMPUTED_VALUE"""),129.27)</f>
        <v>129.27</v>
      </c>
      <c r="F2242" s="1">
        <f>IFERROR(__xludf.DUMMYFUNCTION("""COMPUTED_VALUE"""),237567.0)</f>
        <v>237567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IFERROR(__xludf.DUMMYFUNCTION("""COMPUTED_VALUE"""),128.49)</f>
        <v>128.49</v>
      </c>
      <c r="C2243" s="1">
        <f>IFERROR(__xludf.DUMMYFUNCTION("""COMPUTED_VALUE"""),130.02)</f>
        <v>130.02</v>
      </c>
      <c r="D2243" s="1">
        <f>IFERROR(__xludf.DUMMYFUNCTION("""COMPUTED_VALUE"""),127.57)</f>
        <v>127.57</v>
      </c>
      <c r="E2243" s="1">
        <f>IFERROR(__xludf.DUMMYFUNCTION("""COMPUTED_VALUE"""),129.7)</f>
        <v>129.7</v>
      </c>
      <c r="F2243" s="1">
        <f>IFERROR(__xludf.DUMMYFUNCTION("""COMPUTED_VALUE"""),285118.0)</f>
        <v>285118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IFERROR(__xludf.DUMMYFUNCTION("""COMPUTED_VALUE"""),130.03)</f>
        <v>130.03</v>
      </c>
      <c r="C2244" s="1">
        <f>IFERROR(__xludf.DUMMYFUNCTION("""COMPUTED_VALUE"""),134.71)</f>
        <v>134.71</v>
      </c>
      <c r="D2244" s="1">
        <f>IFERROR(__xludf.DUMMYFUNCTION("""COMPUTED_VALUE"""),130.03)</f>
        <v>130.03</v>
      </c>
      <c r="E2244" s="1">
        <f>IFERROR(__xludf.DUMMYFUNCTION("""COMPUTED_VALUE"""),134.58)</f>
        <v>134.58</v>
      </c>
      <c r="F2244" s="1">
        <f>IFERROR(__xludf.DUMMYFUNCTION("""COMPUTED_VALUE"""),218108.0)</f>
        <v>218108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IFERROR(__xludf.DUMMYFUNCTION("""COMPUTED_VALUE"""),133.54)</f>
        <v>133.54</v>
      </c>
      <c r="C2245" s="1">
        <f>IFERROR(__xludf.DUMMYFUNCTION("""COMPUTED_VALUE"""),134.92)</f>
        <v>134.92</v>
      </c>
      <c r="D2245" s="1">
        <f>IFERROR(__xludf.DUMMYFUNCTION("""COMPUTED_VALUE"""),132.22)</f>
        <v>132.22</v>
      </c>
      <c r="E2245" s="1">
        <f>IFERROR(__xludf.DUMMYFUNCTION("""COMPUTED_VALUE"""),133.0)</f>
        <v>133</v>
      </c>
      <c r="F2245" s="1">
        <f>IFERROR(__xludf.DUMMYFUNCTION("""COMPUTED_VALUE"""),469389.0)</f>
        <v>469389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IFERROR(__xludf.DUMMYFUNCTION("""COMPUTED_VALUE"""),132.31)</f>
        <v>132.31</v>
      </c>
      <c r="C2246" s="1">
        <f>IFERROR(__xludf.DUMMYFUNCTION("""COMPUTED_VALUE"""),135.31)</f>
        <v>135.31</v>
      </c>
      <c r="D2246" s="1">
        <f>IFERROR(__xludf.DUMMYFUNCTION("""COMPUTED_VALUE"""),131.95)</f>
        <v>131.95</v>
      </c>
      <c r="E2246" s="1">
        <f>IFERROR(__xludf.DUMMYFUNCTION("""COMPUTED_VALUE"""),134.85)</f>
        <v>134.85</v>
      </c>
      <c r="F2246" s="1">
        <f>IFERROR(__xludf.DUMMYFUNCTION("""COMPUTED_VALUE"""),367159.0)</f>
        <v>367159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IFERROR(__xludf.DUMMYFUNCTION("""COMPUTED_VALUE"""),137.36)</f>
        <v>137.36</v>
      </c>
      <c r="C2247" s="1">
        <f>IFERROR(__xludf.DUMMYFUNCTION("""COMPUTED_VALUE"""),139.72)</f>
        <v>139.72</v>
      </c>
      <c r="D2247" s="1">
        <f>IFERROR(__xludf.DUMMYFUNCTION("""COMPUTED_VALUE"""),136.16)</f>
        <v>136.16</v>
      </c>
      <c r="E2247" s="1">
        <f>IFERROR(__xludf.DUMMYFUNCTION("""COMPUTED_VALUE"""),137.23)</f>
        <v>137.23</v>
      </c>
      <c r="F2247" s="1">
        <f>IFERROR(__xludf.DUMMYFUNCTION("""COMPUTED_VALUE"""),326790.0)</f>
        <v>326790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IFERROR(__xludf.DUMMYFUNCTION("""COMPUTED_VALUE"""),137.54)</f>
        <v>137.54</v>
      </c>
      <c r="C2248" s="1">
        <f>IFERROR(__xludf.DUMMYFUNCTION("""COMPUTED_VALUE"""),137.69)</f>
        <v>137.69</v>
      </c>
      <c r="D2248" s="1">
        <f>IFERROR(__xludf.DUMMYFUNCTION("""COMPUTED_VALUE"""),133.05)</f>
        <v>133.05</v>
      </c>
      <c r="E2248" s="1">
        <f>IFERROR(__xludf.DUMMYFUNCTION("""COMPUTED_VALUE"""),133.62)</f>
        <v>133.62</v>
      </c>
      <c r="F2248" s="1">
        <f>IFERROR(__xludf.DUMMYFUNCTION("""COMPUTED_VALUE"""),464326.0)</f>
        <v>464326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IFERROR(__xludf.DUMMYFUNCTION("""COMPUTED_VALUE"""),131.5)</f>
        <v>131.5</v>
      </c>
      <c r="C2249" s="1">
        <f>IFERROR(__xludf.DUMMYFUNCTION("""COMPUTED_VALUE"""),132.27)</f>
        <v>132.27</v>
      </c>
      <c r="D2249" s="1">
        <f>IFERROR(__xludf.DUMMYFUNCTION("""COMPUTED_VALUE"""),128.19)</f>
        <v>128.19</v>
      </c>
      <c r="E2249" s="1">
        <f>IFERROR(__xludf.DUMMYFUNCTION("""COMPUTED_VALUE"""),130.84)</f>
        <v>130.84</v>
      </c>
      <c r="F2249" s="1">
        <f>IFERROR(__xludf.DUMMYFUNCTION("""COMPUTED_VALUE"""),406032.0)</f>
        <v>406032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IFERROR(__xludf.DUMMYFUNCTION("""COMPUTED_VALUE"""),130.0)</f>
        <v>130</v>
      </c>
      <c r="C2250" s="1">
        <f>IFERROR(__xludf.DUMMYFUNCTION("""COMPUTED_VALUE"""),131.08)</f>
        <v>131.08</v>
      </c>
      <c r="D2250" s="1">
        <f>IFERROR(__xludf.DUMMYFUNCTION("""COMPUTED_VALUE"""),127.47)</f>
        <v>127.47</v>
      </c>
      <c r="E2250" s="1">
        <f>IFERROR(__xludf.DUMMYFUNCTION("""COMPUTED_VALUE"""),128.86)</f>
        <v>128.86</v>
      </c>
      <c r="F2250" s="1">
        <f>IFERROR(__xludf.DUMMYFUNCTION("""COMPUTED_VALUE"""),356953.0)</f>
        <v>356953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IFERROR(__xludf.DUMMYFUNCTION("""COMPUTED_VALUE"""),128.65)</f>
        <v>128.65</v>
      </c>
      <c r="C2251" s="1">
        <f>IFERROR(__xludf.DUMMYFUNCTION("""COMPUTED_VALUE"""),129.75)</f>
        <v>129.75</v>
      </c>
      <c r="D2251" s="1">
        <f>IFERROR(__xludf.DUMMYFUNCTION("""COMPUTED_VALUE"""),125.67)</f>
        <v>125.67</v>
      </c>
      <c r="E2251" s="1">
        <f>IFERROR(__xludf.DUMMYFUNCTION("""COMPUTED_VALUE"""),127.71)</f>
        <v>127.71</v>
      </c>
      <c r="F2251" s="1">
        <f>IFERROR(__xludf.DUMMYFUNCTION("""COMPUTED_VALUE"""),612160.0)</f>
        <v>612160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IFERROR(__xludf.DUMMYFUNCTION("""COMPUTED_VALUE"""),129.94)</f>
        <v>129.94</v>
      </c>
      <c r="C2252" s="1">
        <f>IFERROR(__xludf.DUMMYFUNCTION("""COMPUTED_VALUE"""),131.03)</f>
        <v>131.03</v>
      </c>
      <c r="D2252" s="1">
        <f>IFERROR(__xludf.DUMMYFUNCTION("""COMPUTED_VALUE"""),128.34)</f>
        <v>128.34</v>
      </c>
      <c r="E2252" s="1">
        <f>IFERROR(__xludf.DUMMYFUNCTION("""COMPUTED_VALUE"""),128.81)</f>
        <v>128.81</v>
      </c>
      <c r="F2252" s="1">
        <f>IFERROR(__xludf.DUMMYFUNCTION("""COMPUTED_VALUE"""),403029.0)</f>
        <v>403029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IFERROR(__xludf.DUMMYFUNCTION("""COMPUTED_VALUE"""),131.03)</f>
        <v>131.03</v>
      </c>
      <c r="C2253" s="1">
        <f>IFERROR(__xludf.DUMMYFUNCTION("""COMPUTED_VALUE"""),132.92)</f>
        <v>132.92</v>
      </c>
      <c r="D2253" s="1">
        <f>IFERROR(__xludf.DUMMYFUNCTION("""COMPUTED_VALUE"""),129.41)</f>
        <v>129.41</v>
      </c>
      <c r="E2253" s="1">
        <f>IFERROR(__xludf.DUMMYFUNCTION("""COMPUTED_VALUE"""),129.78)</f>
        <v>129.78</v>
      </c>
      <c r="F2253" s="1">
        <f>IFERROR(__xludf.DUMMYFUNCTION("""COMPUTED_VALUE"""),325144.0)</f>
        <v>325144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IFERROR(__xludf.DUMMYFUNCTION("""COMPUTED_VALUE"""),130.07)</f>
        <v>130.07</v>
      </c>
      <c r="C2254" s="1">
        <f>IFERROR(__xludf.DUMMYFUNCTION("""COMPUTED_VALUE"""),130.07)</f>
        <v>130.07</v>
      </c>
      <c r="D2254" s="1">
        <f>IFERROR(__xludf.DUMMYFUNCTION("""COMPUTED_VALUE"""),126.47)</f>
        <v>126.47</v>
      </c>
      <c r="E2254" s="1">
        <f>IFERROR(__xludf.DUMMYFUNCTION("""COMPUTED_VALUE"""),127.92)</f>
        <v>127.92</v>
      </c>
      <c r="F2254" s="1">
        <f>IFERROR(__xludf.DUMMYFUNCTION("""COMPUTED_VALUE"""),410205.0)</f>
        <v>410205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IFERROR(__xludf.DUMMYFUNCTION("""COMPUTED_VALUE"""),127.49)</f>
        <v>127.49</v>
      </c>
      <c r="C2255" s="1">
        <f>IFERROR(__xludf.DUMMYFUNCTION("""COMPUTED_VALUE"""),130.03)</f>
        <v>130.03</v>
      </c>
      <c r="D2255" s="1">
        <f>IFERROR(__xludf.DUMMYFUNCTION("""COMPUTED_VALUE"""),124.56)</f>
        <v>124.56</v>
      </c>
      <c r="E2255" s="1">
        <f>IFERROR(__xludf.DUMMYFUNCTION("""COMPUTED_VALUE"""),124.96)</f>
        <v>124.96</v>
      </c>
      <c r="F2255" s="1">
        <f>IFERROR(__xludf.DUMMYFUNCTION("""COMPUTED_VALUE"""),281140.0)</f>
        <v>281140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IFERROR(__xludf.DUMMYFUNCTION("""COMPUTED_VALUE"""),123.71)</f>
        <v>123.71</v>
      </c>
      <c r="C2256" s="1">
        <f>IFERROR(__xludf.DUMMYFUNCTION("""COMPUTED_VALUE"""),123.83)</f>
        <v>123.83</v>
      </c>
      <c r="D2256" s="1">
        <f>IFERROR(__xludf.DUMMYFUNCTION("""COMPUTED_VALUE"""),119.39)</f>
        <v>119.39</v>
      </c>
      <c r="E2256" s="1">
        <f>IFERROR(__xludf.DUMMYFUNCTION("""COMPUTED_VALUE"""),120.25)</f>
        <v>120.25</v>
      </c>
      <c r="F2256" s="1">
        <f>IFERROR(__xludf.DUMMYFUNCTION("""COMPUTED_VALUE"""),500682.0)</f>
        <v>500682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IFERROR(__xludf.DUMMYFUNCTION("""COMPUTED_VALUE"""),121.52)</f>
        <v>121.52</v>
      </c>
      <c r="C2257" s="1">
        <f>IFERROR(__xludf.DUMMYFUNCTION("""COMPUTED_VALUE"""),121.6)</f>
        <v>121.6</v>
      </c>
      <c r="D2257" s="1">
        <f>IFERROR(__xludf.DUMMYFUNCTION("""COMPUTED_VALUE"""),118.85)</f>
        <v>118.85</v>
      </c>
      <c r="E2257" s="1">
        <f>IFERROR(__xludf.DUMMYFUNCTION("""COMPUTED_VALUE"""),120.01)</f>
        <v>120.01</v>
      </c>
      <c r="F2257" s="1">
        <f>IFERROR(__xludf.DUMMYFUNCTION("""COMPUTED_VALUE"""),266616.0)</f>
        <v>266616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IFERROR(__xludf.DUMMYFUNCTION("""COMPUTED_VALUE"""),120.1)</f>
        <v>120.1</v>
      </c>
      <c r="C2258" s="1">
        <f>IFERROR(__xludf.DUMMYFUNCTION("""COMPUTED_VALUE"""),121.85)</f>
        <v>121.85</v>
      </c>
      <c r="D2258" s="1">
        <f>IFERROR(__xludf.DUMMYFUNCTION("""COMPUTED_VALUE"""),118.12)</f>
        <v>118.12</v>
      </c>
      <c r="E2258" s="1">
        <f>IFERROR(__xludf.DUMMYFUNCTION("""COMPUTED_VALUE"""),118.77)</f>
        <v>118.77</v>
      </c>
      <c r="F2258" s="1">
        <f>IFERROR(__xludf.DUMMYFUNCTION("""COMPUTED_VALUE"""),310981.0)</f>
        <v>310981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IFERROR(__xludf.DUMMYFUNCTION("""COMPUTED_VALUE"""),118.27)</f>
        <v>118.27</v>
      </c>
      <c r="C2259" s="1">
        <f>IFERROR(__xludf.DUMMYFUNCTION("""COMPUTED_VALUE"""),118.27)</f>
        <v>118.27</v>
      </c>
      <c r="D2259" s="1">
        <f>IFERROR(__xludf.DUMMYFUNCTION("""COMPUTED_VALUE"""),112.6)</f>
        <v>112.6</v>
      </c>
      <c r="E2259" s="1">
        <f>IFERROR(__xludf.DUMMYFUNCTION("""COMPUTED_VALUE"""),113.99)</f>
        <v>113.99</v>
      </c>
      <c r="F2259" s="1">
        <f>IFERROR(__xludf.DUMMYFUNCTION("""COMPUTED_VALUE"""),561083.0)</f>
        <v>561083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IFERROR(__xludf.DUMMYFUNCTION("""COMPUTED_VALUE"""),114.0)</f>
        <v>114</v>
      </c>
      <c r="C2260" s="1">
        <f>IFERROR(__xludf.DUMMYFUNCTION("""COMPUTED_VALUE"""),115.37)</f>
        <v>115.37</v>
      </c>
      <c r="D2260" s="1">
        <f>IFERROR(__xludf.DUMMYFUNCTION("""COMPUTED_VALUE"""),110.23)</f>
        <v>110.23</v>
      </c>
      <c r="E2260" s="1">
        <f>IFERROR(__xludf.DUMMYFUNCTION("""COMPUTED_VALUE"""),110.65)</f>
        <v>110.65</v>
      </c>
      <c r="F2260" s="1">
        <f>IFERROR(__xludf.DUMMYFUNCTION("""COMPUTED_VALUE"""),877216.0)</f>
        <v>877216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IFERROR(__xludf.DUMMYFUNCTION("""COMPUTED_VALUE"""),109.83)</f>
        <v>109.83</v>
      </c>
      <c r="C2261" s="1">
        <f>IFERROR(__xludf.DUMMYFUNCTION("""COMPUTED_VALUE"""),109.83)</f>
        <v>109.83</v>
      </c>
      <c r="D2261" s="1">
        <f>IFERROR(__xludf.DUMMYFUNCTION("""COMPUTED_VALUE"""),105.0)</f>
        <v>105</v>
      </c>
      <c r="E2261" s="1">
        <f>IFERROR(__xludf.DUMMYFUNCTION("""COMPUTED_VALUE"""),105.09)</f>
        <v>105.09</v>
      </c>
      <c r="F2261" s="1">
        <f>IFERROR(__xludf.DUMMYFUNCTION("""COMPUTED_VALUE"""),342863.0)</f>
        <v>342863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IFERROR(__xludf.DUMMYFUNCTION("""COMPUTED_VALUE"""),105.64)</f>
        <v>105.64</v>
      </c>
      <c r="C2262" s="1">
        <f>IFERROR(__xludf.DUMMYFUNCTION("""COMPUTED_VALUE"""),110.36)</f>
        <v>110.36</v>
      </c>
      <c r="D2262" s="1">
        <f>IFERROR(__xludf.DUMMYFUNCTION("""COMPUTED_VALUE"""),104.68)</f>
        <v>104.68</v>
      </c>
      <c r="E2262" s="1">
        <f>IFERROR(__xludf.DUMMYFUNCTION("""COMPUTED_VALUE"""),110.17)</f>
        <v>110.17</v>
      </c>
      <c r="F2262" s="1">
        <f>IFERROR(__xludf.DUMMYFUNCTION("""COMPUTED_VALUE"""),419960.0)</f>
        <v>419960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IFERROR(__xludf.DUMMYFUNCTION("""COMPUTED_VALUE"""),108.5)</f>
        <v>108.5</v>
      </c>
      <c r="C2263" s="1">
        <f>IFERROR(__xludf.DUMMYFUNCTION("""COMPUTED_VALUE"""),110.37)</f>
        <v>110.37</v>
      </c>
      <c r="D2263" s="1">
        <f>IFERROR(__xludf.DUMMYFUNCTION("""COMPUTED_VALUE"""),105.51)</f>
        <v>105.51</v>
      </c>
      <c r="E2263" s="1">
        <f>IFERROR(__xludf.DUMMYFUNCTION("""COMPUTED_VALUE"""),110.37)</f>
        <v>110.37</v>
      </c>
      <c r="F2263" s="1">
        <f>IFERROR(__xludf.DUMMYFUNCTION("""COMPUTED_VALUE"""),435323.0)</f>
        <v>435323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IFERROR(__xludf.DUMMYFUNCTION("""COMPUTED_VALUE"""),111.19)</f>
        <v>111.19</v>
      </c>
      <c r="C2264" s="1">
        <f>IFERROR(__xludf.DUMMYFUNCTION("""COMPUTED_VALUE"""),113.71)</f>
        <v>113.71</v>
      </c>
      <c r="D2264" s="1">
        <f>IFERROR(__xludf.DUMMYFUNCTION("""COMPUTED_VALUE"""),110.04)</f>
        <v>110.04</v>
      </c>
      <c r="E2264" s="1">
        <f>IFERROR(__xludf.DUMMYFUNCTION("""COMPUTED_VALUE"""),111.72)</f>
        <v>111.72</v>
      </c>
      <c r="F2264" s="1">
        <f>IFERROR(__xludf.DUMMYFUNCTION("""COMPUTED_VALUE"""),377831.0)</f>
        <v>377831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IFERROR(__xludf.DUMMYFUNCTION("""COMPUTED_VALUE"""),112.16)</f>
        <v>112.16</v>
      </c>
      <c r="C2265" s="1">
        <f>IFERROR(__xludf.DUMMYFUNCTION("""COMPUTED_VALUE"""),113.47)</f>
        <v>113.47</v>
      </c>
      <c r="D2265" s="1">
        <f>IFERROR(__xludf.DUMMYFUNCTION("""COMPUTED_VALUE"""),111.25)</f>
        <v>111.25</v>
      </c>
      <c r="E2265" s="1">
        <f>IFERROR(__xludf.DUMMYFUNCTION("""COMPUTED_VALUE"""),113.18)</f>
        <v>113.18</v>
      </c>
      <c r="F2265" s="1">
        <f>IFERROR(__xludf.DUMMYFUNCTION("""COMPUTED_VALUE"""),292995.0)</f>
        <v>292995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IFERROR(__xludf.DUMMYFUNCTION("""COMPUTED_VALUE"""),111.07)</f>
        <v>111.07</v>
      </c>
      <c r="C2266" s="1">
        <f>IFERROR(__xludf.DUMMYFUNCTION("""COMPUTED_VALUE"""),111.96)</f>
        <v>111.96</v>
      </c>
      <c r="D2266" s="1">
        <f>IFERROR(__xludf.DUMMYFUNCTION("""COMPUTED_VALUE"""),109.78)</f>
        <v>109.78</v>
      </c>
      <c r="E2266" s="1">
        <f>IFERROR(__xludf.DUMMYFUNCTION("""COMPUTED_VALUE"""),111.09)</f>
        <v>111.09</v>
      </c>
      <c r="F2266" s="1">
        <f>IFERROR(__xludf.DUMMYFUNCTION("""COMPUTED_VALUE"""),257447.0)</f>
        <v>257447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IFERROR(__xludf.DUMMYFUNCTION("""COMPUTED_VALUE"""),110.09)</f>
        <v>110.09</v>
      </c>
      <c r="C2267" s="1">
        <f>IFERROR(__xludf.DUMMYFUNCTION("""COMPUTED_VALUE"""),110.09)</f>
        <v>110.09</v>
      </c>
      <c r="D2267" s="1">
        <f>IFERROR(__xludf.DUMMYFUNCTION("""COMPUTED_VALUE"""),103.0)</f>
        <v>103</v>
      </c>
      <c r="E2267" s="1">
        <f>IFERROR(__xludf.DUMMYFUNCTION("""COMPUTED_VALUE"""),104.82)</f>
        <v>104.82</v>
      </c>
      <c r="F2267" s="1">
        <f>IFERROR(__xludf.DUMMYFUNCTION("""COMPUTED_VALUE"""),600337.0)</f>
        <v>600337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IFERROR(__xludf.DUMMYFUNCTION("""COMPUTED_VALUE"""),106.05)</f>
        <v>106.05</v>
      </c>
      <c r="C2268" s="1">
        <f>IFERROR(__xludf.DUMMYFUNCTION("""COMPUTED_VALUE"""),110.58)</f>
        <v>110.58</v>
      </c>
      <c r="D2268" s="1">
        <f>IFERROR(__xludf.DUMMYFUNCTION("""COMPUTED_VALUE"""),106.05)</f>
        <v>106.05</v>
      </c>
      <c r="E2268" s="1">
        <f>IFERROR(__xludf.DUMMYFUNCTION("""COMPUTED_VALUE"""),109.75)</f>
        <v>109.75</v>
      </c>
      <c r="F2268" s="1">
        <f>IFERROR(__xludf.DUMMYFUNCTION("""COMPUTED_VALUE"""),819193.0)</f>
        <v>819193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IFERROR(__xludf.DUMMYFUNCTION("""COMPUTED_VALUE"""),110.26)</f>
        <v>110.26</v>
      </c>
      <c r="C2269" s="1">
        <f>IFERROR(__xludf.DUMMYFUNCTION("""COMPUTED_VALUE"""),113.56)</f>
        <v>113.56</v>
      </c>
      <c r="D2269" s="1">
        <f>IFERROR(__xludf.DUMMYFUNCTION("""COMPUTED_VALUE"""),110.25)</f>
        <v>110.25</v>
      </c>
      <c r="E2269" s="1">
        <f>IFERROR(__xludf.DUMMYFUNCTION("""COMPUTED_VALUE"""),112.56)</f>
        <v>112.56</v>
      </c>
      <c r="F2269" s="1">
        <f>IFERROR(__xludf.DUMMYFUNCTION("""COMPUTED_VALUE"""),411547.0)</f>
        <v>411547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IFERROR(__xludf.DUMMYFUNCTION("""COMPUTED_VALUE"""),113.57)</f>
        <v>113.57</v>
      </c>
      <c r="C2270" s="1">
        <f>IFERROR(__xludf.DUMMYFUNCTION("""COMPUTED_VALUE"""),117.72)</f>
        <v>117.72</v>
      </c>
      <c r="D2270" s="1">
        <f>IFERROR(__xludf.DUMMYFUNCTION("""COMPUTED_VALUE"""),113.57)</f>
        <v>113.57</v>
      </c>
      <c r="E2270" s="1">
        <f>IFERROR(__xludf.DUMMYFUNCTION("""COMPUTED_VALUE"""),117.58)</f>
        <v>117.58</v>
      </c>
      <c r="F2270" s="1">
        <f>IFERROR(__xludf.DUMMYFUNCTION("""COMPUTED_VALUE"""),685725.0)</f>
        <v>685725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IFERROR(__xludf.DUMMYFUNCTION("""COMPUTED_VALUE"""),118.55)</f>
        <v>118.55</v>
      </c>
      <c r="C2271" s="1">
        <f>IFERROR(__xludf.DUMMYFUNCTION("""COMPUTED_VALUE"""),119.93)</f>
        <v>119.93</v>
      </c>
      <c r="D2271" s="1">
        <f>IFERROR(__xludf.DUMMYFUNCTION("""COMPUTED_VALUE"""),117.06)</f>
        <v>117.06</v>
      </c>
      <c r="E2271" s="1">
        <f>IFERROR(__xludf.DUMMYFUNCTION("""COMPUTED_VALUE"""),117.99)</f>
        <v>117.99</v>
      </c>
      <c r="F2271" s="1">
        <f>IFERROR(__xludf.DUMMYFUNCTION("""COMPUTED_VALUE"""),408392.0)</f>
        <v>408392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IFERROR(__xludf.DUMMYFUNCTION("""COMPUTED_VALUE"""),117.34)</f>
        <v>117.34</v>
      </c>
      <c r="C2272" s="1">
        <f>IFERROR(__xludf.DUMMYFUNCTION("""COMPUTED_VALUE"""),119.68)</f>
        <v>119.68</v>
      </c>
      <c r="D2272" s="1">
        <f>IFERROR(__xludf.DUMMYFUNCTION("""COMPUTED_VALUE"""),116.01)</f>
        <v>116.01</v>
      </c>
      <c r="E2272" s="1">
        <f>IFERROR(__xludf.DUMMYFUNCTION("""COMPUTED_VALUE"""),119.59)</f>
        <v>119.59</v>
      </c>
      <c r="F2272" s="1">
        <f>IFERROR(__xludf.DUMMYFUNCTION("""COMPUTED_VALUE"""),468794.0)</f>
        <v>468794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IFERROR(__xludf.DUMMYFUNCTION("""COMPUTED_VALUE"""),118.83)</f>
        <v>118.83</v>
      </c>
      <c r="C2273" s="1">
        <f>IFERROR(__xludf.DUMMYFUNCTION("""COMPUTED_VALUE"""),120.7)</f>
        <v>120.7</v>
      </c>
      <c r="D2273" s="1">
        <f>IFERROR(__xludf.DUMMYFUNCTION("""COMPUTED_VALUE"""),117.81)</f>
        <v>117.81</v>
      </c>
      <c r="E2273" s="1">
        <f>IFERROR(__xludf.DUMMYFUNCTION("""COMPUTED_VALUE"""),119.21)</f>
        <v>119.21</v>
      </c>
      <c r="F2273" s="1">
        <f>IFERROR(__xludf.DUMMYFUNCTION("""COMPUTED_VALUE"""),291009.0)</f>
        <v>291009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IFERROR(__xludf.DUMMYFUNCTION("""COMPUTED_VALUE"""),117.73)</f>
        <v>117.73</v>
      </c>
      <c r="C2274" s="1">
        <f>IFERROR(__xludf.DUMMYFUNCTION("""COMPUTED_VALUE"""),118.13)</f>
        <v>118.13</v>
      </c>
      <c r="D2274" s="1">
        <f>IFERROR(__xludf.DUMMYFUNCTION("""COMPUTED_VALUE"""),116.42)</f>
        <v>116.42</v>
      </c>
      <c r="E2274" s="1">
        <f>IFERROR(__xludf.DUMMYFUNCTION("""COMPUTED_VALUE"""),116.94)</f>
        <v>116.94</v>
      </c>
      <c r="F2274" s="1">
        <f>IFERROR(__xludf.DUMMYFUNCTION("""COMPUTED_VALUE"""),346012.0)</f>
        <v>346012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IFERROR(__xludf.DUMMYFUNCTION("""COMPUTED_VALUE"""),116.95)</f>
        <v>116.95</v>
      </c>
      <c r="C2275" s="1">
        <f>IFERROR(__xludf.DUMMYFUNCTION("""COMPUTED_VALUE"""),118.53)</f>
        <v>118.53</v>
      </c>
      <c r="D2275" s="1">
        <f>IFERROR(__xludf.DUMMYFUNCTION("""COMPUTED_VALUE"""),115.76)</f>
        <v>115.76</v>
      </c>
      <c r="E2275" s="1">
        <f>IFERROR(__xludf.DUMMYFUNCTION("""COMPUTED_VALUE"""),116.46)</f>
        <v>116.46</v>
      </c>
      <c r="F2275" s="1">
        <f>IFERROR(__xludf.DUMMYFUNCTION("""COMPUTED_VALUE"""),463715.0)</f>
        <v>463715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IFERROR(__xludf.DUMMYFUNCTION("""COMPUTED_VALUE"""),117.08)</f>
        <v>117.08</v>
      </c>
      <c r="C2276" s="1">
        <f>IFERROR(__xludf.DUMMYFUNCTION("""COMPUTED_VALUE"""),118.6)</f>
        <v>118.6</v>
      </c>
      <c r="D2276" s="1">
        <f>IFERROR(__xludf.DUMMYFUNCTION("""COMPUTED_VALUE"""),115.69)</f>
        <v>115.69</v>
      </c>
      <c r="E2276" s="1">
        <f>IFERROR(__xludf.DUMMYFUNCTION("""COMPUTED_VALUE"""),117.03)</f>
        <v>117.03</v>
      </c>
      <c r="F2276" s="1">
        <f>IFERROR(__xludf.DUMMYFUNCTION("""COMPUTED_VALUE"""),459720.0)</f>
        <v>459720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IFERROR(__xludf.DUMMYFUNCTION("""COMPUTED_VALUE"""),116.44)</f>
        <v>116.44</v>
      </c>
      <c r="C2277" s="1">
        <f>IFERROR(__xludf.DUMMYFUNCTION("""COMPUTED_VALUE"""),119.79)</f>
        <v>119.79</v>
      </c>
      <c r="D2277" s="1">
        <f>IFERROR(__xludf.DUMMYFUNCTION("""COMPUTED_VALUE"""),116.44)</f>
        <v>116.44</v>
      </c>
      <c r="E2277" s="1">
        <f>IFERROR(__xludf.DUMMYFUNCTION("""COMPUTED_VALUE"""),118.45)</f>
        <v>118.45</v>
      </c>
      <c r="F2277" s="1">
        <f>IFERROR(__xludf.DUMMYFUNCTION("""COMPUTED_VALUE"""),347159.0)</f>
        <v>347159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IFERROR(__xludf.DUMMYFUNCTION("""COMPUTED_VALUE"""),119.43)</f>
        <v>119.43</v>
      </c>
      <c r="C2278" s="1">
        <f>IFERROR(__xludf.DUMMYFUNCTION("""COMPUTED_VALUE"""),120.41)</f>
        <v>120.41</v>
      </c>
      <c r="D2278" s="1">
        <f>IFERROR(__xludf.DUMMYFUNCTION("""COMPUTED_VALUE"""),117.2)</f>
        <v>117.2</v>
      </c>
      <c r="E2278" s="1">
        <f>IFERROR(__xludf.DUMMYFUNCTION("""COMPUTED_VALUE"""),119.21)</f>
        <v>119.21</v>
      </c>
      <c r="F2278" s="1">
        <f>IFERROR(__xludf.DUMMYFUNCTION("""COMPUTED_VALUE"""),464401.0)</f>
        <v>464401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IFERROR(__xludf.DUMMYFUNCTION("""COMPUTED_VALUE"""),118.34)</f>
        <v>118.34</v>
      </c>
      <c r="C2279" s="1">
        <f>IFERROR(__xludf.DUMMYFUNCTION("""COMPUTED_VALUE"""),119.33)</f>
        <v>119.33</v>
      </c>
      <c r="D2279" s="1">
        <f>IFERROR(__xludf.DUMMYFUNCTION("""COMPUTED_VALUE"""),116.29)</f>
        <v>116.29</v>
      </c>
      <c r="E2279" s="1">
        <f>IFERROR(__xludf.DUMMYFUNCTION("""COMPUTED_VALUE"""),117.59)</f>
        <v>117.59</v>
      </c>
      <c r="F2279" s="1">
        <f>IFERROR(__xludf.DUMMYFUNCTION("""COMPUTED_VALUE"""),292416.0)</f>
        <v>292416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IFERROR(__xludf.DUMMYFUNCTION("""COMPUTED_VALUE"""),118.25)</f>
        <v>118.25</v>
      </c>
      <c r="C2280" s="1">
        <f>IFERROR(__xludf.DUMMYFUNCTION("""COMPUTED_VALUE"""),120.85)</f>
        <v>120.85</v>
      </c>
      <c r="D2280" s="1">
        <f>IFERROR(__xludf.DUMMYFUNCTION("""COMPUTED_VALUE"""),116.24)</f>
        <v>116.24</v>
      </c>
      <c r="E2280" s="1">
        <f>IFERROR(__xludf.DUMMYFUNCTION("""COMPUTED_VALUE"""),118.81)</f>
        <v>118.81</v>
      </c>
      <c r="F2280" s="1">
        <f>IFERROR(__xludf.DUMMYFUNCTION("""COMPUTED_VALUE"""),265012.0)</f>
        <v>265012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IFERROR(__xludf.DUMMYFUNCTION("""COMPUTED_VALUE"""),118.56)</f>
        <v>118.56</v>
      </c>
      <c r="C2281" s="1">
        <f>IFERROR(__xludf.DUMMYFUNCTION("""COMPUTED_VALUE"""),119.62)</f>
        <v>119.62</v>
      </c>
      <c r="D2281" s="1">
        <f>IFERROR(__xludf.DUMMYFUNCTION("""COMPUTED_VALUE"""),117.68)</f>
        <v>117.68</v>
      </c>
      <c r="E2281" s="1">
        <f>IFERROR(__xludf.DUMMYFUNCTION("""COMPUTED_VALUE"""),118.01)</f>
        <v>118.01</v>
      </c>
      <c r="F2281" s="1">
        <f>IFERROR(__xludf.DUMMYFUNCTION("""COMPUTED_VALUE"""),257757.0)</f>
        <v>257757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IFERROR(__xludf.DUMMYFUNCTION("""COMPUTED_VALUE"""),118.93)</f>
        <v>118.93</v>
      </c>
      <c r="C2282" s="1">
        <f>IFERROR(__xludf.DUMMYFUNCTION("""COMPUTED_VALUE"""),119.31)</f>
        <v>119.31</v>
      </c>
      <c r="D2282" s="1">
        <f>IFERROR(__xludf.DUMMYFUNCTION("""COMPUTED_VALUE"""),117.78)</f>
        <v>117.78</v>
      </c>
      <c r="E2282" s="1">
        <f>IFERROR(__xludf.DUMMYFUNCTION("""COMPUTED_VALUE"""),118.76)</f>
        <v>118.76</v>
      </c>
      <c r="F2282" s="1">
        <f>IFERROR(__xludf.DUMMYFUNCTION("""COMPUTED_VALUE"""),241155.0)</f>
        <v>241155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IFERROR(__xludf.DUMMYFUNCTION("""COMPUTED_VALUE"""),117.33)</f>
        <v>117.33</v>
      </c>
      <c r="C2283" s="1">
        <f>IFERROR(__xludf.DUMMYFUNCTION("""COMPUTED_VALUE"""),118.63)</f>
        <v>118.63</v>
      </c>
      <c r="D2283" s="1">
        <f>IFERROR(__xludf.DUMMYFUNCTION("""COMPUTED_VALUE"""),116.9)</f>
        <v>116.9</v>
      </c>
      <c r="E2283" s="1">
        <f>IFERROR(__xludf.DUMMYFUNCTION("""COMPUTED_VALUE"""),118.58)</f>
        <v>118.58</v>
      </c>
      <c r="F2283" s="1">
        <f>IFERROR(__xludf.DUMMYFUNCTION("""COMPUTED_VALUE"""),369504.0)</f>
        <v>369504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IFERROR(__xludf.DUMMYFUNCTION("""COMPUTED_VALUE"""),118.86)</f>
        <v>118.86</v>
      </c>
      <c r="C2284" s="1">
        <f>IFERROR(__xludf.DUMMYFUNCTION("""COMPUTED_VALUE"""),120.19)</f>
        <v>120.19</v>
      </c>
      <c r="D2284" s="1">
        <f>IFERROR(__xludf.DUMMYFUNCTION("""COMPUTED_VALUE"""),118.86)</f>
        <v>118.86</v>
      </c>
      <c r="E2284" s="1">
        <f>IFERROR(__xludf.DUMMYFUNCTION("""COMPUTED_VALUE"""),119.39)</f>
        <v>119.39</v>
      </c>
      <c r="F2284" s="1">
        <f>IFERROR(__xludf.DUMMYFUNCTION("""COMPUTED_VALUE"""),292251.0)</f>
        <v>292251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IFERROR(__xludf.DUMMYFUNCTION("""COMPUTED_VALUE"""),119.73)</f>
        <v>119.73</v>
      </c>
      <c r="C2285" s="1">
        <f>IFERROR(__xludf.DUMMYFUNCTION("""COMPUTED_VALUE"""),123.27)</f>
        <v>123.27</v>
      </c>
      <c r="D2285" s="1">
        <f>IFERROR(__xludf.DUMMYFUNCTION("""COMPUTED_VALUE"""),118.66)</f>
        <v>118.66</v>
      </c>
      <c r="E2285" s="1">
        <f>IFERROR(__xludf.DUMMYFUNCTION("""COMPUTED_VALUE"""),122.28)</f>
        <v>122.28</v>
      </c>
      <c r="F2285" s="1">
        <f>IFERROR(__xludf.DUMMYFUNCTION("""COMPUTED_VALUE"""),294933.0)</f>
        <v>294933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IFERROR(__xludf.DUMMYFUNCTION("""COMPUTED_VALUE"""),122.04)</f>
        <v>122.04</v>
      </c>
      <c r="C2286" s="1">
        <f>IFERROR(__xludf.DUMMYFUNCTION("""COMPUTED_VALUE"""),123.81)</f>
        <v>123.81</v>
      </c>
      <c r="D2286" s="1">
        <f>IFERROR(__xludf.DUMMYFUNCTION("""COMPUTED_VALUE"""),120.26)</f>
        <v>120.26</v>
      </c>
      <c r="E2286" s="1">
        <f>IFERROR(__xludf.DUMMYFUNCTION("""COMPUTED_VALUE"""),123.19)</f>
        <v>123.19</v>
      </c>
      <c r="F2286" s="1">
        <f>IFERROR(__xludf.DUMMYFUNCTION("""COMPUTED_VALUE"""),353501.0)</f>
        <v>353501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IFERROR(__xludf.DUMMYFUNCTION("""COMPUTED_VALUE"""),123.69)</f>
        <v>123.69</v>
      </c>
      <c r="C2287" s="1">
        <f>IFERROR(__xludf.DUMMYFUNCTION("""COMPUTED_VALUE"""),125.48)</f>
        <v>125.48</v>
      </c>
      <c r="D2287" s="1">
        <f>IFERROR(__xludf.DUMMYFUNCTION("""COMPUTED_VALUE"""),122.97)</f>
        <v>122.97</v>
      </c>
      <c r="E2287" s="1">
        <f>IFERROR(__xludf.DUMMYFUNCTION("""COMPUTED_VALUE"""),124.13)</f>
        <v>124.13</v>
      </c>
      <c r="F2287" s="1">
        <f>IFERROR(__xludf.DUMMYFUNCTION("""COMPUTED_VALUE"""),388550.0)</f>
        <v>388550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IFERROR(__xludf.DUMMYFUNCTION("""COMPUTED_VALUE"""),124.66)</f>
        <v>124.66</v>
      </c>
      <c r="C2288" s="1">
        <f>IFERROR(__xludf.DUMMYFUNCTION("""COMPUTED_VALUE"""),127.98)</f>
        <v>127.98</v>
      </c>
      <c r="D2288" s="1">
        <f>IFERROR(__xludf.DUMMYFUNCTION("""COMPUTED_VALUE"""),123.67)</f>
        <v>123.67</v>
      </c>
      <c r="E2288" s="1">
        <f>IFERROR(__xludf.DUMMYFUNCTION("""COMPUTED_VALUE"""),127.4)</f>
        <v>127.4</v>
      </c>
      <c r="F2288" s="1">
        <f>IFERROR(__xludf.DUMMYFUNCTION("""COMPUTED_VALUE"""),440275.0)</f>
        <v>440275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IFERROR(__xludf.DUMMYFUNCTION("""COMPUTED_VALUE"""),127.51)</f>
        <v>127.51</v>
      </c>
      <c r="C2289" s="1">
        <f>IFERROR(__xludf.DUMMYFUNCTION("""COMPUTED_VALUE"""),129.56)</f>
        <v>129.56</v>
      </c>
      <c r="D2289" s="1">
        <f>IFERROR(__xludf.DUMMYFUNCTION("""COMPUTED_VALUE"""),126.31)</f>
        <v>126.31</v>
      </c>
      <c r="E2289" s="1">
        <f>IFERROR(__xludf.DUMMYFUNCTION("""COMPUTED_VALUE"""),126.4)</f>
        <v>126.4</v>
      </c>
      <c r="F2289" s="1">
        <f>IFERROR(__xludf.DUMMYFUNCTION("""COMPUTED_VALUE"""),371050.0)</f>
        <v>371050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IFERROR(__xludf.DUMMYFUNCTION("""COMPUTED_VALUE"""),126.38)</f>
        <v>126.38</v>
      </c>
      <c r="C2290" s="1">
        <f>IFERROR(__xludf.DUMMYFUNCTION("""COMPUTED_VALUE"""),127.5)</f>
        <v>127.5</v>
      </c>
      <c r="D2290" s="1">
        <f>IFERROR(__xludf.DUMMYFUNCTION("""COMPUTED_VALUE"""),125.81)</f>
        <v>125.81</v>
      </c>
      <c r="E2290" s="1">
        <f>IFERROR(__xludf.DUMMYFUNCTION("""COMPUTED_VALUE"""),126.49)</f>
        <v>126.49</v>
      </c>
      <c r="F2290" s="1">
        <f>IFERROR(__xludf.DUMMYFUNCTION("""COMPUTED_VALUE"""),354549.0)</f>
        <v>354549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IFERROR(__xludf.DUMMYFUNCTION("""COMPUTED_VALUE"""),125.97)</f>
        <v>125.97</v>
      </c>
      <c r="C2291" s="1">
        <f>IFERROR(__xludf.DUMMYFUNCTION("""COMPUTED_VALUE"""),126.5)</f>
        <v>126.5</v>
      </c>
      <c r="D2291" s="1">
        <f>IFERROR(__xludf.DUMMYFUNCTION("""COMPUTED_VALUE"""),124.72)</f>
        <v>124.72</v>
      </c>
      <c r="E2291" s="1">
        <f>IFERROR(__xludf.DUMMYFUNCTION("""COMPUTED_VALUE"""),125.38)</f>
        <v>125.38</v>
      </c>
      <c r="F2291" s="1">
        <f>IFERROR(__xludf.DUMMYFUNCTION("""COMPUTED_VALUE"""),362416.0)</f>
        <v>362416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IFERROR(__xludf.DUMMYFUNCTION("""COMPUTED_VALUE"""),124.77)</f>
        <v>124.77</v>
      </c>
      <c r="C2292" s="1">
        <f>IFERROR(__xludf.DUMMYFUNCTION("""COMPUTED_VALUE"""),125.55)</f>
        <v>125.55</v>
      </c>
      <c r="D2292" s="1">
        <f>IFERROR(__xludf.DUMMYFUNCTION("""COMPUTED_VALUE"""),124.23)</f>
        <v>124.23</v>
      </c>
      <c r="E2292" s="1">
        <f>IFERROR(__xludf.DUMMYFUNCTION("""COMPUTED_VALUE"""),125.43)</f>
        <v>125.43</v>
      </c>
      <c r="F2292" s="1">
        <f>IFERROR(__xludf.DUMMYFUNCTION("""COMPUTED_VALUE"""),230222.0)</f>
        <v>230222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IFERROR(__xludf.DUMMYFUNCTION("""COMPUTED_VALUE"""),125.86)</f>
        <v>125.86</v>
      </c>
      <c r="C2293" s="1">
        <f>IFERROR(__xludf.DUMMYFUNCTION("""COMPUTED_VALUE"""),127.37)</f>
        <v>127.37</v>
      </c>
      <c r="D2293" s="1">
        <f>IFERROR(__xludf.DUMMYFUNCTION("""COMPUTED_VALUE"""),125.3)</f>
        <v>125.3</v>
      </c>
      <c r="E2293" s="1">
        <f>IFERROR(__xludf.DUMMYFUNCTION("""COMPUTED_VALUE"""),126.07)</f>
        <v>126.07</v>
      </c>
      <c r="F2293" s="1">
        <f>IFERROR(__xludf.DUMMYFUNCTION("""COMPUTED_VALUE"""),381356.0)</f>
        <v>381356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IFERROR(__xludf.DUMMYFUNCTION("""COMPUTED_VALUE"""),127.11)</f>
        <v>127.11</v>
      </c>
      <c r="C2294" s="1">
        <f>IFERROR(__xludf.DUMMYFUNCTION("""COMPUTED_VALUE"""),129.55)</f>
        <v>129.55</v>
      </c>
      <c r="D2294" s="1">
        <f>IFERROR(__xludf.DUMMYFUNCTION("""COMPUTED_VALUE"""),126.64)</f>
        <v>126.64</v>
      </c>
      <c r="E2294" s="1">
        <f>IFERROR(__xludf.DUMMYFUNCTION("""COMPUTED_VALUE"""),129.2)</f>
        <v>129.2</v>
      </c>
      <c r="F2294" s="1">
        <f>IFERROR(__xludf.DUMMYFUNCTION("""COMPUTED_VALUE"""),543598.0)</f>
        <v>543598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IFERROR(__xludf.DUMMYFUNCTION("""COMPUTED_VALUE"""),135.06)</f>
        <v>135.06</v>
      </c>
      <c r="C2295" s="1">
        <f>IFERROR(__xludf.DUMMYFUNCTION("""COMPUTED_VALUE"""),139.91)</f>
        <v>139.91</v>
      </c>
      <c r="D2295" s="1">
        <f>IFERROR(__xludf.DUMMYFUNCTION("""COMPUTED_VALUE"""),135.06)</f>
        <v>135.06</v>
      </c>
      <c r="E2295" s="1">
        <f>IFERROR(__xludf.DUMMYFUNCTION("""COMPUTED_VALUE"""),139.12)</f>
        <v>139.12</v>
      </c>
      <c r="F2295" s="1">
        <f>IFERROR(__xludf.DUMMYFUNCTION("""COMPUTED_VALUE"""),940369.0)</f>
        <v>940369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IFERROR(__xludf.DUMMYFUNCTION("""COMPUTED_VALUE"""),139.86)</f>
        <v>139.86</v>
      </c>
      <c r="C2296" s="1">
        <f>IFERROR(__xludf.DUMMYFUNCTION("""COMPUTED_VALUE"""),141.53)</f>
        <v>141.53</v>
      </c>
      <c r="D2296" s="1">
        <f>IFERROR(__xludf.DUMMYFUNCTION("""COMPUTED_VALUE"""),138.6)</f>
        <v>138.6</v>
      </c>
      <c r="E2296" s="1">
        <f>IFERROR(__xludf.DUMMYFUNCTION("""COMPUTED_VALUE"""),139.7)</f>
        <v>139.7</v>
      </c>
      <c r="F2296" s="1">
        <f>IFERROR(__xludf.DUMMYFUNCTION("""COMPUTED_VALUE"""),506131.0)</f>
        <v>506131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IFERROR(__xludf.DUMMYFUNCTION("""COMPUTED_VALUE"""),140.74)</f>
        <v>140.74</v>
      </c>
      <c r="C2297" s="1">
        <f>IFERROR(__xludf.DUMMYFUNCTION("""COMPUTED_VALUE"""),140.92)</f>
        <v>140.92</v>
      </c>
      <c r="D2297" s="1">
        <f>IFERROR(__xludf.DUMMYFUNCTION("""COMPUTED_VALUE"""),138.75)</f>
        <v>138.75</v>
      </c>
      <c r="E2297" s="1">
        <f>IFERROR(__xludf.DUMMYFUNCTION("""COMPUTED_VALUE"""),140.86)</f>
        <v>140.86</v>
      </c>
      <c r="F2297" s="1">
        <f>IFERROR(__xludf.DUMMYFUNCTION("""COMPUTED_VALUE"""),578211.0)</f>
        <v>578211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IFERROR(__xludf.DUMMYFUNCTION("""COMPUTED_VALUE"""),139.91)</f>
        <v>139.91</v>
      </c>
      <c r="C2298" s="1">
        <f>IFERROR(__xludf.DUMMYFUNCTION("""COMPUTED_VALUE"""),141.99)</f>
        <v>141.99</v>
      </c>
      <c r="D2298" s="1">
        <f>IFERROR(__xludf.DUMMYFUNCTION("""COMPUTED_VALUE"""),139.44)</f>
        <v>139.44</v>
      </c>
      <c r="E2298" s="1">
        <f>IFERROR(__xludf.DUMMYFUNCTION("""COMPUTED_VALUE"""),141.13)</f>
        <v>141.13</v>
      </c>
      <c r="F2298" s="1">
        <f>IFERROR(__xludf.DUMMYFUNCTION("""COMPUTED_VALUE"""),433494.0)</f>
        <v>433494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IFERROR(__xludf.DUMMYFUNCTION("""COMPUTED_VALUE"""),141.43)</f>
        <v>141.43</v>
      </c>
      <c r="C2299" s="1">
        <f>IFERROR(__xludf.DUMMYFUNCTION("""COMPUTED_VALUE"""),141.68)</f>
        <v>141.68</v>
      </c>
      <c r="D2299" s="1">
        <f>IFERROR(__xludf.DUMMYFUNCTION("""COMPUTED_VALUE"""),139.84)</f>
        <v>139.84</v>
      </c>
      <c r="E2299" s="1">
        <f>IFERROR(__xludf.DUMMYFUNCTION("""COMPUTED_VALUE"""),141.67)</f>
        <v>141.67</v>
      </c>
      <c r="F2299" s="1">
        <f>IFERROR(__xludf.DUMMYFUNCTION("""COMPUTED_VALUE"""),317815.0)</f>
        <v>317815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IFERROR(__xludf.DUMMYFUNCTION("""COMPUTED_VALUE"""),141.32)</f>
        <v>141.32</v>
      </c>
      <c r="C2300" s="1">
        <f>IFERROR(__xludf.DUMMYFUNCTION("""COMPUTED_VALUE"""),142.7)</f>
        <v>142.7</v>
      </c>
      <c r="D2300" s="1">
        <f>IFERROR(__xludf.DUMMYFUNCTION("""COMPUTED_VALUE"""),140.59)</f>
        <v>140.59</v>
      </c>
      <c r="E2300" s="1">
        <f>IFERROR(__xludf.DUMMYFUNCTION("""COMPUTED_VALUE"""),142.39)</f>
        <v>142.39</v>
      </c>
      <c r="F2300" s="1">
        <f>IFERROR(__xludf.DUMMYFUNCTION("""COMPUTED_VALUE"""),311655.0)</f>
        <v>311655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IFERROR(__xludf.DUMMYFUNCTION("""COMPUTED_VALUE"""),142.36)</f>
        <v>142.36</v>
      </c>
      <c r="C2301" s="1">
        <f>IFERROR(__xludf.DUMMYFUNCTION("""COMPUTED_VALUE"""),145.23)</f>
        <v>145.23</v>
      </c>
      <c r="D2301" s="1">
        <f>IFERROR(__xludf.DUMMYFUNCTION("""COMPUTED_VALUE"""),141.95)</f>
        <v>141.95</v>
      </c>
      <c r="E2301" s="1">
        <f>IFERROR(__xludf.DUMMYFUNCTION("""COMPUTED_VALUE"""),144.67)</f>
        <v>144.67</v>
      </c>
      <c r="F2301" s="1">
        <f>IFERROR(__xludf.DUMMYFUNCTION("""COMPUTED_VALUE"""),302311.0)</f>
        <v>302311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IFERROR(__xludf.DUMMYFUNCTION("""COMPUTED_VALUE"""),144.75)</f>
        <v>144.75</v>
      </c>
      <c r="C2302" s="1">
        <f>IFERROR(__xludf.DUMMYFUNCTION("""COMPUTED_VALUE"""),146.31)</f>
        <v>146.31</v>
      </c>
      <c r="D2302" s="1">
        <f>IFERROR(__xludf.DUMMYFUNCTION("""COMPUTED_VALUE"""),144.04)</f>
        <v>144.04</v>
      </c>
      <c r="E2302" s="1">
        <f>IFERROR(__xludf.DUMMYFUNCTION("""COMPUTED_VALUE"""),145.31)</f>
        <v>145.31</v>
      </c>
      <c r="F2302" s="1">
        <f>IFERROR(__xludf.DUMMYFUNCTION("""COMPUTED_VALUE"""),615246.0)</f>
        <v>615246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IFERROR(__xludf.DUMMYFUNCTION("""COMPUTED_VALUE"""),144.59)</f>
        <v>144.59</v>
      </c>
      <c r="C2303" s="1">
        <f>IFERROR(__xludf.DUMMYFUNCTION("""COMPUTED_VALUE"""),145.01)</f>
        <v>145.01</v>
      </c>
      <c r="D2303" s="1">
        <f>IFERROR(__xludf.DUMMYFUNCTION("""COMPUTED_VALUE"""),139.27)</f>
        <v>139.27</v>
      </c>
      <c r="E2303" s="1">
        <f>IFERROR(__xludf.DUMMYFUNCTION("""COMPUTED_VALUE"""),140.71)</f>
        <v>140.71</v>
      </c>
      <c r="F2303" s="1">
        <f>IFERROR(__xludf.DUMMYFUNCTION("""COMPUTED_VALUE"""),443405.0)</f>
        <v>443405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IFERROR(__xludf.DUMMYFUNCTION("""COMPUTED_VALUE"""),140.0)</f>
        <v>140</v>
      </c>
      <c r="C2304" s="1">
        <f>IFERROR(__xludf.DUMMYFUNCTION("""COMPUTED_VALUE"""),142.68)</f>
        <v>142.68</v>
      </c>
      <c r="D2304" s="1">
        <f>IFERROR(__xludf.DUMMYFUNCTION("""COMPUTED_VALUE"""),139.84)</f>
        <v>139.84</v>
      </c>
      <c r="E2304" s="1">
        <f>IFERROR(__xludf.DUMMYFUNCTION("""COMPUTED_VALUE"""),142.57)</f>
        <v>142.57</v>
      </c>
      <c r="F2304" s="1">
        <f>IFERROR(__xludf.DUMMYFUNCTION("""COMPUTED_VALUE"""),267520.0)</f>
        <v>267520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IFERROR(__xludf.DUMMYFUNCTION("""COMPUTED_VALUE"""),141.91)</f>
        <v>141.91</v>
      </c>
      <c r="C2305" s="1">
        <f>IFERROR(__xludf.DUMMYFUNCTION("""COMPUTED_VALUE"""),142.64)</f>
        <v>142.64</v>
      </c>
      <c r="D2305" s="1">
        <f>IFERROR(__xludf.DUMMYFUNCTION("""COMPUTED_VALUE"""),139.97)</f>
        <v>139.97</v>
      </c>
      <c r="E2305" s="1">
        <f>IFERROR(__xludf.DUMMYFUNCTION("""COMPUTED_VALUE"""),142.17)</f>
        <v>142.17</v>
      </c>
      <c r="F2305" s="1">
        <f>IFERROR(__xludf.DUMMYFUNCTION("""COMPUTED_VALUE"""),318881.0)</f>
        <v>318881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IFERROR(__xludf.DUMMYFUNCTION("""COMPUTED_VALUE"""),143.0)</f>
        <v>143</v>
      </c>
      <c r="C2306" s="1">
        <f>IFERROR(__xludf.DUMMYFUNCTION("""COMPUTED_VALUE"""),144.76)</f>
        <v>144.76</v>
      </c>
      <c r="D2306" s="1">
        <f>IFERROR(__xludf.DUMMYFUNCTION("""COMPUTED_VALUE"""),142.11)</f>
        <v>142.11</v>
      </c>
      <c r="E2306" s="1">
        <f>IFERROR(__xludf.DUMMYFUNCTION("""COMPUTED_VALUE"""),144.09)</f>
        <v>144.09</v>
      </c>
      <c r="F2306" s="1">
        <f>IFERROR(__xludf.DUMMYFUNCTION("""COMPUTED_VALUE"""),405459.0)</f>
        <v>405459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IFERROR(__xludf.DUMMYFUNCTION("""COMPUTED_VALUE"""),144.09)</f>
        <v>144.09</v>
      </c>
      <c r="C2307" s="1">
        <f>IFERROR(__xludf.DUMMYFUNCTION("""COMPUTED_VALUE"""),144.53)</f>
        <v>144.53</v>
      </c>
      <c r="D2307" s="1">
        <f>IFERROR(__xludf.DUMMYFUNCTION("""COMPUTED_VALUE"""),140.37)</f>
        <v>140.37</v>
      </c>
      <c r="E2307" s="1">
        <f>IFERROR(__xludf.DUMMYFUNCTION("""COMPUTED_VALUE"""),141.2)</f>
        <v>141.2</v>
      </c>
      <c r="F2307" s="1">
        <f>IFERROR(__xludf.DUMMYFUNCTION("""COMPUTED_VALUE"""),582568.0)</f>
        <v>582568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IFERROR(__xludf.DUMMYFUNCTION("""COMPUTED_VALUE"""),141.34)</f>
        <v>141.34</v>
      </c>
      <c r="C2308" s="1">
        <f>IFERROR(__xludf.DUMMYFUNCTION("""COMPUTED_VALUE"""),141.9)</f>
        <v>141.9</v>
      </c>
      <c r="D2308" s="1">
        <f>IFERROR(__xludf.DUMMYFUNCTION("""COMPUTED_VALUE"""),140.2)</f>
        <v>140.2</v>
      </c>
      <c r="E2308" s="1">
        <f>IFERROR(__xludf.DUMMYFUNCTION("""COMPUTED_VALUE"""),140.78)</f>
        <v>140.78</v>
      </c>
      <c r="F2308" s="1">
        <f>IFERROR(__xludf.DUMMYFUNCTION("""COMPUTED_VALUE"""),292071.0)</f>
        <v>292071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IFERROR(__xludf.DUMMYFUNCTION("""COMPUTED_VALUE"""),141.09)</f>
        <v>141.09</v>
      </c>
      <c r="C2309" s="1">
        <f>IFERROR(__xludf.DUMMYFUNCTION("""COMPUTED_VALUE"""),141.09)</f>
        <v>141.09</v>
      </c>
      <c r="D2309" s="1">
        <f>IFERROR(__xludf.DUMMYFUNCTION("""COMPUTED_VALUE"""),137.96)</f>
        <v>137.96</v>
      </c>
      <c r="E2309" s="1">
        <f>IFERROR(__xludf.DUMMYFUNCTION("""COMPUTED_VALUE"""),138.03)</f>
        <v>138.03</v>
      </c>
      <c r="F2309" s="1">
        <f>IFERROR(__xludf.DUMMYFUNCTION("""COMPUTED_VALUE"""),290751.0)</f>
        <v>290751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IFERROR(__xludf.DUMMYFUNCTION("""COMPUTED_VALUE"""),138.06)</f>
        <v>138.06</v>
      </c>
      <c r="C2310" s="1">
        <f>IFERROR(__xludf.DUMMYFUNCTION("""COMPUTED_VALUE"""),139.29)</f>
        <v>139.29</v>
      </c>
      <c r="D2310" s="1">
        <f>IFERROR(__xludf.DUMMYFUNCTION("""COMPUTED_VALUE"""),137.0)</f>
        <v>137</v>
      </c>
      <c r="E2310" s="1">
        <f>IFERROR(__xludf.DUMMYFUNCTION("""COMPUTED_VALUE"""),138.48)</f>
        <v>138.48</v>
      </c>
      <c r="F2310" s="1">
        <f>IFERROR(__xludf.DUMMYFUNCTION("""COMPUTED_VALUE"""),321282.0)</f>
        <v>321282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IFERROR(__xludf.DUMMYFUNCTION("""COMPUTED_VALUE"""),136.89)</f>
        <v>136.89</v>
      </c>
      <c r="C2311" s="1">
        <f>IFERROR(__xludf.DUMMYFUNCTION("""COMPUTED_VALUE"""),138.74)</f>
        <v>138.74</v>
      </c>
      <c r="D2311" s="1">
        <f>IFERROR(__xludf.DUMMYFUNCTION("""COMPUTED_VALUE"""),136.11)</f>
        <v>136.11</v>
      </c>
      <c r="E2311" s="1">
        <f>IFERROR(__xludf.DUMMYFUNCTION("""COMPUTED_VALUE"""),137.95)</f>
        <v>137.95</v>
      </c>
      <c r="F2311" s="1">
        <f>IFERROR(__xludf.DUMMYFUNCTION("""COMPUTED_VALUE"""),267509.0)</f>
        <v>267509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IFERROR(__xludf.DUMMYFUNCTION("""COMPUTED_VALUE"""),138.93)</f>
        <v>138.93</v>
      </c>
      <c r="C2312" s="1">
        <f>IFERROR(__xludf.DUMMYFUNCTION("""COMPUTED_VALUE"""),140.75)</f>
        <v>140.75</v>
      </c>
      <c r="D2312" s="1">
        <f>IFERROR(__xludf.DUMMYFUNCTION("""COMPUTED_VALUE"""),138.76)</f>
        <v>138.76</v>
      </c>
      <c r="E2312" s="1">
        <f>IFERROR(__xludf.DUMMYFUNCTION("""COMPUTED_VALUE"""),140.35)</f>
        <v>140.35</v>
      </c>
      <c r="F2312" s="1">
        <f>IFERROR(__xludf.DUMMYFUNCTION("""COMPUTED_VALUE"""),174038.0)</f>
        <v>174038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IFERROR(__xludf.DUMMYFUNCTION("""COMPUTED_VALUE"""),140.65)</f>
        <v>140.65</v>
      </c>
      <c r="C2313" s="1">
        <f>IFERROR(__xludf.DUMMYFUNCTION("""COMPUTED_VALUE"""),141.28)</f>
        <v>141.28</v>
      </c>
      <c r="D2313" s="1">
        <f>IFERROR(__xludf.DUMMYFUNCTION("""COMPUTED_VALUE"""),139.97)</f>
        <v>139.97</v>
      </c>
      <c r="E2313" s="1">
        <f>IFERROR(__xludf.DUMMYFUNCTION("""COMPUTED_VALUE"""),140.49)</f>
        <v>140.49</v>
      </c>
      <c r="F2313" s="1">
        <f>IFERROR(__xludf.DUMMYFUNCTION("""COMPUTED_VALUE"""),295308.0)</f>
        <v>295308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IFERROR(__xludf.DUMMYFUNCTION("""COMPUTED_VALUE"""),141.0)</f>
        <v>141</v>
      </c>
      <c r="C2314" s="1">
        <f>IFERROR(__xludf.DUMMYFUNCTION("""COMPUTED_VALUE"""),142.78)</f>
        <v>142.78</v>
      </c>
      <c r="D2314" s="1">
        <f>IFERROR(__xludf.DUMMYFUNCTION("""COMPUTED_VALUE"""),140.43)</f>
        <v>140.43</v>
      </c>
      <c r="E2314" s="1">
        <f>IFERROR(__xludf.DUMMYFUNCTION("""COMPUTED_VALUE"""),141.51)</f>
        <v>141.51</v>
      </c>
      <c r="F2314" s="1">
        <f>IFERROR(__xludf.DUMMYFUNCTION("""COMPUTED_VALUE"""),506544.0)</f>
        <v>506544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IFERROR(__xludf.DUMMYFUNCTION("""COMPUTED_VALUE"""),141.84)</f>
        <v>141.84</v>
      </c>
      <c r="C2315" s="1">
        <f>IFERROR(__xludf.DUMMYFUNCTION("""COMPUTED_VALUE"""),142.29)</f>
        <v>142.29</v>
      </c>
      <c r="D2315" s="1">
        <f>IFERROR(__xludf.DUMMYFUNCTION("""COMPUTED_VALUE"""),140.67)</f>
        <v>140.67</v>
      </c>
      <c r="E2315" s="1">
        <f>IFERROR(__xludf.DUMMYFUNCTION("""COMPUTED_VALUE"""),140.99)</f>
        <v>140.99</v>
      </c>
      <c r="F2315" s="1">
        <f>IFERROR(__xludf.DUMMYFUNCTION("""COMPUTED_VALUE"""),306578.0)</f>
        <v>306578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IFERROR(__xludf.DUMMYFUNCTION("""COMPUTED_VALUE"""),142.1)</f>
        <v>142.1</v>
      </c>
      <c r="C2316" s="1">
        <f>IFERROR(__xludf.DUMMYFUNCTION("""COMPUTED_VALUE"""),144.35)</f>
        <v>144.35</v>
      </c>
      <c r="D2316" s="1">
        <f>IFERROR(__xludf.DUMMYFUNCTION("""COMPUTED_VALUE"""),142.1)</f>
        <v>142.1</v>
      </c>
      <c r="E2316" s="1">
        <f>IFERROR(__xludf.DUMMYFUNCTION("""COMPUTED_VALUE"""),143.48)</f>
        <v>143.48</v>
      </c>
      <c r="F2316" s="1">
        <f>IFERROR(__xludf.DUMMYFUNCTION("""COMPUTED_VALUE"""),489327.0)</f>
        <v>489327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IFERROR(__xludf.DUMMYFUNCTION("""COMPUTED_VALUE"""),144.07)</f>
        <v>144.07</v>
      </c>
      <c r="C2317" s="1">
        <f>IFERROR(__xludf.DUMMYFUNCTION("""COMPUTED_VALUE"""),145.09)</f>
        <v>145.09</v>
      </c>
      <c r="D2317" s="1">
        <f>IFERROR(__xludf.DUMMYFUNCTION("""COMPUTED_VALUE"""),142.64)</f>
        <v>142.64</v>
      </c>
      <c r="E2317" s="1">
        <f>IFERROR(__xludf.DUMMYFUNCTION("""COMPUTED_VALUE"""),144.9)</f>
        <v>144.9</v>
      </c>
      <c r="F2317" s="1">
        <f>IFERROR(__xludf.DUMMYFUNCTION("""COMPUTED_VALUE"""),421299.0)</f>
        <v>421299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IFERROR(__xludf.DUMMYFUNCTION("""COMPUTED_VALUE"""),145.63)</f>
        <v>145.63</v>
      </c>
      <c r="C2318" s="1">
        <f>IFERROR(__xludf.DUMMYFUNCTION("""COMPUTED_VALUE"""),146.2)</f>
        <v>146.2</v>
      </c>
      <c r="D2318" s="1">
        <f>IFERROR(__xludf.DUMMYFUNCTION("""COMPUTED_VALUE"""),144.87)</f>
        <v>144.87</v>
      </c>
      <c r="E2318" s="1">
        <f>IFERROR(__xludf.DUMMYFUNCTION("""COMPUTED_VALUE"""),145.81)</f>
        <v>145.81</v>
      </c>
      <c r="F2318" s="1">
        <f>IFERROR(__xludf.DUMMYFUNCTION("""COMPUTED_VALUE"""),276926.0)</f>
        <v>276926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IFERROR(__xludf.DUMMYFUNCTION("""COMPUTED_VALUE"""),145.99)</f>
        <v>145.99</v>
      </c>
      <c r="C2319" s="1">
        <f>IFERROR(__xludf.DUMMYFUNCTION("""COMPUTED_VALUE"""),146.55)</f>
        <v>146.55</v>
      </c>
      <c r="D2319" s="1">
        <f>IFERROR(__xludf.DUMMYFUNCTION("""COMPUTED_VALUE"""),144.05)</f>
        <v>144.05</v>
      </c>
      <c r="E2319" s="1">
        <f>IFERROR(__xludf.DUMMYFUNCTION("""COMPUTED_VALUE"""),145.12)</f>
        <v>145.12</v>
      </c>
      <c r="F2319" s="1">
        <f>IFERROR(__xludf.DUMMYFUNCTION("""COMPUTED_VALUE"""),207845.0)</f>
        <v>207845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IFERROR(__xludf.DUMMYFUNCTION("""COMPUTED_VALUE"""),144.25)</f>
        <v>144.25</v>
      </c>
      <c r="C2320" s="1">
        <f>IFERROR(__xludf.DUMMYFUNCTION("""COMPUTED_VALUE"""),147.72)</f>
        <v>147.72</v>
      </c>
      <c r="D2320" s="1">
        <f>IFERROR(__xludf.DUMMYFUNCTION("""COMPUTED_VALUE"""),143.82)</f>
        <v>143.82</v>
      </c>
      <c r="E2320" s="1">
        <f>IFERROR(__xludf.DUMMYFUNCTION("""COMPUTED_VALUE"""),146.73)</f>
        <v>146.73</v>
      </c>
      <c r="F2320" s="1">
        <f>IFERROR(__xludf.DUMMYFUNCTION("""COMPUTED_VALUE"""),292645.0)</f>
        <v>292645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IFERROR(__xludf.DUMMYFUNCTION("""COMPUTED_VALUE"""),145.45)</f>
        <v>145.45</v>
      </c>
      <c r="C2321" s="1">
        <f>IFERROR(__xludf.DUMMYFUNCTION("""COMPUTED_VALUE"""),146.25)</f>
        <v>146.25</v>
      </c>
      <c r="D2321" s="1">
        <f>IFERROR(__xludf.DUMMYFUNCTION("""COMPUTED_VALUE"""),140.78)</f>
        <v>140.78</v>
      </c>
      <c r="E2321" s="1">
        <f>IFERROR(__xludf.DUMMYFUNCTION("""COMPUTED_VALUE"""),141.03)</f>
        <v>141.03</v>
      </c>
      <c r="F2321" s="1">
        <f>IFERROR(__xludf.DUMMYFUNCTION("""COMPUTED_VALUE"""),349829.0)</f>
        <v>349829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IFERROR(__xludf.DUMMYFUNCTION("""COMPUTED_VALUE"""),140.81)</f>
        <v>140.81</v>
      </c>
      <c r="C2322" s="1">
        <f>IFERROR(__xludf.DUMMYFUNCTION("""COMPUTED_VALUE"""),142.9)</f>
        <v>142.9</v>
      </c>
      <c r="D2322" s="1">
        <f>IFERROR(__xludf.DUMMYFUNCTION("""COMPUTED_VALUE"""),139.37)</f>
        <v>139.37</v>
      </c>
      <c r="E2322" s="1">
        <f>IFERROR(__xludf.DUMMYFUNCTION("""COMPUTED_VALUE"""),142.35)</f>
        <v>142.35</v>
      </c>
      <c r="F2322" s="1">
        <f>IFERROR(__xludf.DUMMYFUNCTION("""COMPUTED_VALUE"""),273441.0)</f>
        <v>273441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IFERROR(__xludf.DUMMYFUNCTION("""COMPUTED_VALUE"""),144.11)</f>
        <v>144.11</v>
      </c>
      <c r="C2323" s="1">
        <f>IFERROR(__xludf.DUMMYFUNCTION("""COMPUTED_VALUE"""),144.92)</f>
        <v>144.92</v>
      </c>
      <c r="D2323" s="1">
        <f>IFERROR(__xludf.DUMMYFUNCTION("""COMPUTED_VALUE"""),142.31)</f>
        <v>142.31</v>
      </c>
      <c r="E2323" s="1">
        <f>IFERROR(__xludf.DUMMYFUNCTION("""COMPUTED_VALUE"""),143.2)</f>
        <v>143.2</v>
      </c>
      <c r="F2323" s="1">
        <f>IFERROR(__xludf.DUMMYFUNCTION("""COMPUTED_VALUE"""),201203.0)</f>
        <v>201203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IFERROR(__xludf.DUMMYFUNCTION("""COMPUTED_VALUE"""),142.72)</f>
        <v>142.72</v>
      </c>
      <c r="C2324" s="1">
        <f>IFERROR(__xludf.DUMMYFUNCTION("""COMPUTED_VALUE"""),143.69)</f>
        <v>143.69</v>
      </c>
      <c r="D2324" s="1">
        <f>IFERROR(__xludf.DUMMYFUNCTION("""COMPUTED_VALUE"""),140.07)</f>
        <v>140.07</v>
      </c>
      <c r="E2324" s="1">
        <f>IFERROR(__xludf.DUMMYFUNCTION("""COMPUTED_VALUE"""),141.24)</f>
        <v>141.24</v>
      </c>
      <c r="F2324" s="1">
        <f>IFERROR(__xludf.DUMMYFUNCTION("""COMPUTED_VALUE"""),193721.0)</f>
        <v>193721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IFERROR(__xludf.DUMMYFUNCTION("""COMPUTED_VALUE"""),142.07)</f>
        <v>142.07</v>
      </c>
      <c r="C2325" s="1">
        <f>IFERROR(__xludf.DUMMYFUNCTION("""COMPUTED_VALUE"""),143.66)</f>
        <v>143.66</v>
      </c>
      <c r="D2325" s="1">
        <f>IFERROR(__xludf.DUMMYFUNCTION("""COMPUTED_VALUE"""),141.55)</f>
        <v>141.55</v>
      </c>
      <c r="E2325" s="1">
        <f>IFERROR(__xludf.DUMMYFUNCTION("""COMPUTED_VALUE"""),143.34)</f>
        <v>143.34</v>
      </c>
      <c r="F2325" s="1">
        <f>IFERROR(__xludf.DUMMYFUNCTION("""COMPUTED_VALUE"""),259121.0)</f>
        <v>259121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IFERROR(__xludf.DUMMYFUNCTION("""COMPUTED_VALUE"""),144.23)</f>
        <v>144.23</v>
      </c>
      <c r="C2326" s="1">
        <f>IFERROR(__xludf.DUMMYFUNCTION("""COMPUTED_VALUE"""),145.48)</f>
        <v>145.48</v>
      </c>
      <c r="D2326" s="1">
        <f>IFERROR(__xludf.DUMMYFUNCTION("""COMPUTED_VALUE"""),143.53)</f>
        <v>143.53</v>
      </c>
      <c r="E2326" s="1">
        <f>IFERROR(__xludf.DUMMYFUNCTION("""COMPUTED_VALUE"""),145.25)</f>
        <v>145.25</v>
      </c>
      <c r="F2326" s="1">
        <f>IFERROR(__xludf.DUMMYFUNCTION("""COMPUTED_VALUE"""),258055.0)</f>
        <v>258055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IFERROR(__xludf.DUMMYFUNCTION("""COMPUTED_VALUE"""),146.8)</f>
        <v>146.8</v>
      </c>
      <c r="C2327" s="1">
        <f>IFERROR(__xludf.DUMMYFUNCTION("""COMPUTED_VALUE"""),147.85)</f>
        <v>147.85</v>
      </c>
      <c r="D2327" s="1">
        <f>IFERROR(__xludf.DUMMYFUNCTION("""COMPUTED_VALUE"""),144.77)</f>
        <v>144.77</v>
      </c>
      <c r="E2327" s="1">
        <f>IFERROR(__xludf.DUMMYFUNCTION("""COMPUTED_VALUE"""),145.5)</f>
        <v>145.5</v>
      </c>
      <c r="F2327" s="1">
        <f>IFERROR(__xludf.DUMMYFUNCTION("""COMPUTED_VALUE"""),363624.0)</f>
        <v>363624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IFERROR(__xludf.DUMMYFUNCTION("""COMPUTED_VALUE"""),145.5)</f>
        <v>145.5</v>
      </c>
      <c r="C2328" s="1">
        <f>IFERROR(__xludf.DUMMYFUNCTION("""COMPUTED_VALUE"""),148.16)</f>
        <v>148.16</v>
      </c>
      <c r="D2328" s="1">
        <f>IFERROR(__xludf.DUMMYFUNCTION("""COMPUTED_VALUE"""),145.0)</f>
        <v>145</v>
      </c>
      <c r="E2328" s="1">
        <f>IFERROR(__xludf.DUMMYFUNCTION("""COMPUTED_VALUE"""),147.58)</f>
        <v>147.58</v>
      </c>
      <c r="F2328" s="1">
        <f>IFERROR(__xludf.DUMMYFUNCTION("""COMPUTED_VALUE"""),494209.0)</f>
        <v>494209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IFERROR(__xludf.DUMMYFUNCTION("""COMPUTED_VALUE"""),148.5)</f>
        <v>148.5</v>
      </c>
      <c r="C2329" s="1">
        <f>IFERROR(__xludf.DUMMYFUNCTION("""COMPUTED_VALUE"""),149.07)</f>
        <v>149.07</v>
      </c>
      <c r="D2329" s="1">
        <f>IFERROR(__xludf.DUMMYFUNCTION("""COMPUTED_VALUE"""),147.15)</f>
        <v>147.15</v>
      </c>
      <c r="E2329" s="1">
        <f>IFERROR(__xludf.DUMMYFUNCTION("""COMPUTED_VALUE"""),148.55)</f>
        <v>148.55</v>
      </c>
      <c r="F2329" s="1">
        <f>IFERROR(__xludf.DUMMYFUNCTION("""COMPUTED_VALUE"""),711886.0)</f>
        <v>711886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IFERROR(__xludf.DUMMYFUNCTION("""COMPUTED_VALUE"""),148.41)</f>
        <v>148.41</v>
      </c>
      <c r="C2330" s="1">
        <f>IFERROR(__xludf.DUMMYFUNCTION("""COMPUTED_VALUE"""),148.41)</f>
        <v>148.41</v>
      </c>
      <c r="D2330" s="1">
        <f>IFERROR(__xludf.DUMMYFUNCTION("""COMPUTED_VALUE"""),143.06)</f>
        <v>143.06</v>
      </c>
      <c r="E2330" s="1">
        <f>IFERROR(__xludf.DUMMYFUNCTION("""COMPUTED_VALUE"""),143.89)</f>
        <v>143.89</v>
      </c>
      <c r="F2330" s="1">
        <f>IFERROR(__xludf.DUMMYFUNCTION("""COMPUTED_VALUE"""),520254.0)</f>
        <v>520254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IFERROR(__xludf.DUMMYFUNCTION("""COMPUTED_VALUE"""),144.5)</f>
        <v>144.5</v>
      </c>
      <c r="C2331" s="1">
        <f>IFERROR(__xludf.DUMMYFUNCTION("""COMPUTED_VALUE"""),145.24)</f>
        <v>145.24</v>
      </c>
      <c r="D2331" s="1">
        <f>IFERROR(__xludf.DUMMYFUNCTION("""COMPUTED_VALUE"""),143.67)</f>
        <v>143.67</v>
      </c>
      <c r="E2331" s="1">
        <f>IFERROR(__xludf.DUMMYFUNCTION("""COMPUTED_VALUE"""),143.9)</f>
        <v>143.9</v>
      </c>
      <c r="F2331" s="1">
        <f>IFERROR(__xludf.DUMMYFUNCTION("""COMPUTED_VALUE"""),340555.0)</f>
        <v>340555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IFERROR(__xludf.DUMMYFUNCTION("""COMPUTED_VALUE"""),143.63)</f>
        <v>143.63</v>
      </c>
      <c r="C2332" s="1">
        <f>IFERROR(__xludf.DUMMYFUNCTION("""COMPUTED_VALUE"""),145.39)</f>
        <v>145.39</v>
      </c>
      <c r="D2332" s="1">
        <f>IFERROR(__xludf.DUMMYFUNCTION("""COMPUTED_VALUE"""),141.1)</f>
        <v>141.1</v>
      </c>
      <c r="E2332" s="1">
        <f>IFERROR(__xludf.DUMMYFUNCTION("""COMPUTED_VALUE"""),144.81)</f>
        <v>144.81</v>
      </c>
      <c r="F2332" s="1">
        <f>IFERROR(__xludf.DUMMYFUNCTION("""COMPUTED_VALUE"""),615838.0)</f>
        <v>615838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IFERROR(__xludf.DUMMYFUNCTION("""COMPUTED_VALUE"""),144.25)</f>
        <v>144.25</v>
      </c>
      <c r="C2333" s="1">
        <f>IFERROR(__xludf.DUMMYFUNCTION("""COMPUTED_VALUE"""),145.73)</f>
        <v>145.73</v>
      </c>
      <c r="D2333" s="1">
        <f>IFERROR(__xludf.DUMMYFUNCTION("""COMPUTED_VALUE"""),143.91)</f>
        <v>143.91</v>
      </c>
      <c r="E2333" s="1">
        <f>IFERROR(__xludf.DUMMYFUNCTION("""COMPUTED_VALUE"""),144.11)</f>
        <v>144.11</v>
      </c>
      <c r="F2333" s="1">
        <f>IFERROR(__xludf.DUMMYFUNCTION("""COMPUTED_VALUE"""),244143.0)</f>
        <v>244143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IFERROR(__xludf.DUMMYFUNCTION("""COMPUTED_VALUE"""),144.37)</f>
        <v>144.37</v>
      </c>
      <c r="C2334" s="1">
        <f>IFERROR(__xludf.DUMMYFUNCTION("""COMPUTED_VALUE"""),145.66)</f>
        <v>145.66</v>
      </c>
      <c r="D2334" s="1">
        <f>IFERROR(__xludf.DUMMYFUNCTION("""COMPUTED_VALUE"""),144.16)</f>
        <v>144.16</v>
      </c>
      <c r="E2334" s="1">
        <f>IFERROR(__xludf.DUMMYFUNCTION("""COMPUTED_VALUE"""),145.22)</f>
        <v>145.22</v>
      </c>
      <c r="F2334" s="1">
        <f>IFERROR(__xludf.DUMMYFUNCTION("""COMPUTED_VALUE"""),210720.0)</f>
        <v>210720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IFERROR(__xludf.DUMMYFUNCTION("""COMPUTED_VALUE"""),145.17)</f>
        <v>145.17</v>
      </c>
      <c r="C2335" s="1">
        <f>IFERROR(__xludf.DUMMYFUNCTION("""COMPUTED_VALUE"""),145.17)</f>
        <v>145.17</v>
      </c>
      <c r="D2335" s="1">
        <f>IFERROR(__xludf.DUMMYFUNCTION("""COMPUTED_VALUE"""),142.92)</f>
        <v>142.92</v>
      </c>
      <c r="E2335" s="1">
        <f>IFERROR(__xludf.DUMMYFUNCTION("""COMPUTED_VALUE"""),144.21)</f>
        <v>144.21</v>
      </c>
      <c r="F2335" s="1">
        <f>IFERROR(__xludf.DUMMYFUNCTION("""COMPUTED_VALUE"""),214966.0)</f>
        <v>214966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IFERROR(__xludf.DUMMYFUNCTION("""COMPUTED_VALUE"""),144.88)</f>
        <v>144.88</v>
      </c>
      <c r="C2336" s="1">
        <f>IFERROR(__xludf.DUMMYFUNCTION("""COMPUTED_VALUE"""),145.86)</f>
        <v>145.86</v>
      </c>
      <c r="D2336" s="1">
        <f>IFERROR(__xludf.DUMMYFUNCTION("""COMPUTED_VALUE"""),143.72)</f>
        <v>143.72</v>
      </c>
      <c r="E2336" s="1">
        <f>IFERROR(__xludf.DUMMYFUNCTION("""COMPUTED_VALUE"""),144.39)</f>
        <v>144.39</v>
      </c>
      <c r="F2336" s="1">
        <f>IFERROR(__xludf.DUMMYFUNCTION("""COMPUTED_VALUE"""),444727.0)</f>
        <v>444727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IFERROR(__xludf.DUMMYFUNCTION("""COMPUTED_VALUE"""),144.52)</f>
        <v>144.52</v>
      </c>
      <c r="C2337" s="1">
        <f>IFERROR(__xludf.DUMMYFUNCTION("""COMPUTED_VALUE"""),145.4)</f>
        <v>145.4</v>
      </c>
      <c r="D2337" s="1">
        <f>IFERROR(__xludf.DUMMYFUNCTION("""COMPUTED_VALUE"""),142.38)</f>
        <v>142.38</v>
      </c>
      <c r="E2337" s="1">
        <f>IFERROR(__xludf.DUMMYFUNCTION("""COMPUTED_VALUE"""),143.24)</f>
        <v>143.24</v>
      </c>
      <c r="F2337" s="1">
        <f>IFERROR(__xludf.DUMMYFUNCTION("""COMPUTED_VALUE"""),337100.0)</f>
        <v>337100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IFERROR(__xludf.DUMMYFUNCTION("""COMPUTED_VALUE"""),144.41)</f>
        <v>144.41</v>
      </c>
      <c r="C2338" s="1">
        <f>IFERROR(__xludf.DUMMYFUNCTION("""COMPUTED_VALUE"""),144.75)</f>
        <v>144.75</v>
      </c>
      <c r="D2338" s="1">
        <f>IFERROR(__xludf.DUMMYFUNCTION("""COMPUTED_VALUE"""),137.26)</f>
        <v>137.26</v>
      </c>
      <c r="E2338" s="1">
        <f>IFERROR(__xludf.DUMMYFUNCTION("""COMPUTED_VALUE"""),138.0)</f>
        <v>138</v>
      </c>
      <c r="F2338" s="1">
        <f>IFERROR(__xludf.DUMMYFUNCTION("""COMPUTED_VALUE"""),456548.0)</f>
        <v>456548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IFERROR(__xludf.DUMMYFUNCTION("""COMPUTED_VALUE"""),138.86)</f>
        <v>138.86</v>
      </c>
      <c r="C2339" s="1">
        <f>IFERROR(__xludf.DUMMYFUNCTION("""COMPUTED_VALUE"""),138.86)</f>
        <v>138.86</v>
      </c>
      <c r="D2339" s="1">
        <f>IFERROR(__xludf.DUMMYFUNCTION("""COMPUTED_VALUE"""),132.12)</f>
        <v>132.12</v>
      </c>
      <c r="E2339" s="1">
        <f>IFERROR(__xludf.DUMMYFUNCTION("""COMPUTED_VALUE"""),133.5)</f>
        <v>133.5</v>
      </c>
      <c r="F2339" s="1">
        <f>IFERROR(__xludf.DUMMYFUNCTION("""COMPUTED_VALUE"""),695176.0)</f>
        <v>695176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IFERROR(__xludf.DUMMYFUNCTION("""COMPUTED_VALUE"""),133.82)</f>
        <v>133.82</v>
      </c>
      <c r="C2340" s="1">
        <f>IFERROR(__xludf.DUMMYFUNCTION("""COMPUTED_VALUE"""),135.61)</f>
        <v>135.61</v>
      </c>
      <c r="D2340" s="1">
        <f>IFERROR(__xludf.DUMMYFUNCTION("""COMPUTED_VALUE"""),131.27)</f>
        <v>131.27</v>
      </c>
      <c r="E2340" s="1">
        <f>IFERROR(__xludf.DUMMYFUNCTION("""COMPUTED_VALUE"""),135.14)</f>
        <v>135.14</v>
      </c>
      <c r="F2340" s="1">
        <f>IFERROR(__xludf.DUMMYFUNCTION("""COMPUTED_VALUE"""),699332.0)</f>
        <v>699332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IFERROR(__xludf.DUMMYFUNCTION("""COMPUTED_VALUE"""),134.75)</f>
        <v>134.75</v>
      </c>
      <c r="C2341" s="1">
        <f>IFERROR(__xludf.DUMMYFUNCTION("""COMPUTED_VALUE"""),136.06)</f>
        <v>136.06</v>
      </c>
      <c r="D2341" s="1">
        <f>IFERROR(__xludf.DUMMYFUNCTION("""COMPUTED_VALUE"""),133.66)</f>
        <v>133.66</v>
      </c>
      <c r="E2341" s="1">
        <f>IFERROR(__xludf.DUMMYFUNCTION("""COMPUTED_VALUE"""),133.72)</f>
        <v>133.72</v>
      </c>
      <c r="F2341" s="1">
        <f>IFERROR(__xludf.DUMMYFUNCTION("""COMPUTED_VALUE"""),296133.0)</f>
        <v>296133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IFERROR(__xludf.DUMMYFUNCTION("""COMPUTED_VALUE"""),133.76)</f>
        <v>133.76</v>
      </c>
      <c r="C2342" s="1">
        <f>IFERROR(__xludf.DUMMYFUNCTION("""COMPUTED_VALUE"""),136.51)</f>
        <v>136.51</v>
      </c>
      <c r="D2342" s="1">
        <f>IFERROR(__xludf.DUMMYFUNCTION("""COMPUTED_VALUE"""),132.81)</f>
        <v>132.81</v>
      </c>
      <c r="E2342" s="1">
        <f>IFERROR(__xludf.DUMMYFUNCTION("""COMPUTED_VALUE"""),136.04)</f>
        <v>136.04</v>
      </c>
      <c r="F2342" s="1">
        <f>IFERROR(__xludf.DUMMYFUNCTION("""COMPUTED_VALUE"""),705536.0)</f>
        <v>705536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IFERROR(__xludf.DUMMYFUNCTION("""COMPUTED_VALUE"""),136.48)</f>
        <v>136.48</v>
      </c>
      <c r="C2343" s="1">
        <f>IFERROR(__xludf.DUMMYFUNCTION("""COMPUTED_VALUE"""),137.65)</f>
        <v>137.65</v>
      </c>
      <c r="D2343" s="1">
        <f>IFERROR(__xludf.DUMMYFUNCTION("""COMPUTED_VALUE"""),134.92)</f>
        <v>134.92</v>
      </c>
      <c r="E2343" s="1">
        <f>IFERROR(__xludf.DUMMYFUNCTION("""COMPUTED_VALUE"""),137.0)</f>
        <v>137</v>
      </c>
      <c r="F2343" s="1">
        <f>IFERROR(__xludf.DUMMYFUNCTION("""COMPUTED_VALUE"""),597600.0)</f>
        <v>597600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IFERROR(__xludf.DUMMYFUNCTION("""COMPUTED_VALUE"""),136.35)</f>
        <v>136.35</v>
      </c>
      <c r="C2344" s="1">
        <f>IFERROR(__xludf.DUMMYFUNCTION("""COMPUTED_VALUE"""),140.28)</f>
        <v>140.28</v>
      </c>
      <c r="D2344" s="1">
        <f>IFERROR(__xludf.DUMMYFUNCTION("""COMPUTED_VALUE"""),135.53)</f>
        <v>135.53</v>
      </c>
      <c r="E2344" s="1">
        <f>IFERROR(__xludf.DUMMYFUNCTION("""COMPUTED_VALUE"""),140.0)</f>
        <v>140</v>
      </c>
      <c r="F2344" s="1">
        <f>IFERROR(__xludf.DUMMYFUNCTION("""COMPUTED_VALUE"""),346912.0)</f>
        <v>346912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IFERROR(__xludf.DUMMYFUNCTION("""COMPUTED_VALUE"""),140.24)</f>
        <v>140.24</v>
      </c>
      <c r="C2345" s="1">
        <f>IFERROR(__xludf.DUMMYFUNCTION("""COMPUTED_VALUE"""),142.77)</f>
        <v>142.77</v>
      </c>
      <c r="D2345" s="1">
        <f>IFERROR(__xludf.DUMMYFUNCTION("""COMPUTED_VALUE"""),139.71)</f>
        <v>139.71</v>
      </c>
      <c r="E2345" s="1">
        <f>IFERROR(__xludf.DUMMYFUNCTION("""COMPUTED_VALUE"""),142.73)</f>
        <v>142.73</v>
      </c>
      <c r="F2345" s="1">
        <f>IFERROR(__xludf.DUMMYFUNCTION("""COMPUTED_VALUE"""),500724.0)</f>
        <v>500724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IFERROR(__xludf.DUMMYFUNCTION("""COMPUTED_VALUE"""),142.44)</f>
        <v>142.44</v>
      </c>
      <c r="C2346" s="1">
        <f>IFERROR(__xludf.DUMMYFUNCTION("""COMPUTED_VALUE"""),144.26)</f>
        <v>144.26</v>
      </c>
      <c r="D2346" s="1">
        <f>IFERROR(__xludf.DUMMYFUNCTION("""COMPUTED_VALUE"""),141.4)</f>
        <v>141.4</v>
      </c>
      <c r="E2346" s="1">
        <f>IFERROR(__xludf.DUMMYFUNCTION("""COMPUTED_VALUE"""),142.52)</f>
        <v>142.52</v>
      </c>
      <c r="F2346" s="1">
        <f>IFERROR(__xludf.DUMMYFUNCTION("""COMPUTED_VALUE"""),467116.0)</f>
        <v>467116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IFERROR(__xludf.DUMMYFUNCTION("""COMPUTED_VALUE"""),141.3)</f>
        <v>141.3</v>
      </c>
      <c r="C2347" s="1">
        <f>IFERROR(__xludf.DUMMYFUNCTION("""COMPUTED_VALUE"""),142.22)</f>
        <v>142.22</v>
      </c>
      <c r="D2347" s="1">
        <f>IFERROR(__xludf.DUMMYFUNCTION("""COMPUTED_VALUE"""),139.3)</f>
        <v>139.3</v>
      </c>
      <c r="E2347" s="1">
        <f>IFERROR(__xludf.DUMMYFUNCTION("""COMPUTED_VALUE"""),140.47)</f>
        <v>140.47</v>
      </c>
      <c r="F2347" s="1">
        <f>IFERROR(__xludf.DUMMYFUNCTION("""COMPUTED_VALUE"""),545788.0)</f>
        <v>545788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IFERROR(__xludf.DUMMYFUNCTION("""COMPUTED_VALUE"""),141.34)</f>
        <v>141.34</v>
      </c>
      <c r="C2348" s="1">
        <f>IFERROR(__xludf.DUMMYFUNCTION("""COMPUTED_VALUE"""),141.34)</f>
        <v>141.34</v>
      </c>
      <c r="D2348" s="1">
        <f>IFERROR(__xludf.DUMMYFUNCTION("""COMPUTED_VALUE"""),137.24)</f>
        <v>137.24</v>
      </c>
      <c r="E2348" s="1">
        <f>IFERROR(__xludf.DUMMYFUNCTION("""COMPUTED_VALUE"""),137.36)</f>
        <v>137.36</v>
      </c>
      <c r="F2348" s="1">
        <f>IFERROR(__xludf.DUMMYFUNCTION("""COMPUTED_VALUE"""),478321.0)</f>
        <v>478321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IFERROR(__xludf.DUMMYFUNCTION("""COMPUTED_VALUE"""),136.73)</f>
        <v>136.73</v>
      </c>
      <c r="C2349" s="1">
        <f>IFERROR(__xludf.DUMMYFUNCTION("""COMPUTED_VALUE"""),140.0)</f>
        <v>140</v>
      </c>
      <c r="D2349" s="1">
        <f>IFERROR(__xludf.DUMMYFUNCTION("""COMPUTED_VALUE"""),136.24)</f>
        <v>136.24</v>
      </c>
      <c r="E2349" s="1">
        <f>IFERROR(__xludf.DUMMYFUNCTION("""COMPUTED_VALUE"""),139.73)</f>
        <v>139.73</v>
      </c>
      <c r="F2349" s="1">
        <f>IFERROR(__xludf.DUMMYFUNCTION("""COMPUTED_VALUE"""),283760.0)</f>
        <v>283760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IFERROR(__xludf.DUMMYFUNCTION("""COMPUTED_VALUE"""),141.0)</f>
        <v>141</v>
      </c>
      <c r="C2350" s="1">
        <f>IFERROR(__xludf.DUMMYFUNCTION("""COMPUTED_VALUE"""),142.56)</f>
        <v>142.56</v>
      </c>
      <c r="D2350" s="1">
        <f>IFERROR(__xludf.DUMMYFUNCTION("""COMPUTED_VALUE"""),140.32)</f>
        <v>140.32</v>
      </c>
      <c r="E2350" s="1">
        <f>IFERROR(__xludf.DUMMYFUNCTION("""COMPUTED_VALUE"""),142.41)</f>
        <v>142.41</v>
      </c>
      <c r="F2350" s="1">
        <f>IFERROR(__xludf.DUMMYFUNCTION("""COMPUTED_VALUE"""),202028.0)</f>
        <v>202028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IFERROR(__xludf.DUMMYFUNCTION("""COMPUTED_VALUE"""),139.49)</f>
        <v>139.49</v>
      </c>
      <c r="C2351" s="1">
        <f>IFERROR(__xludf.DUMMYFUNCTION("""COMPUTED_VALUE"""),142.73)</f>
        <v>142.73</v>
      </c>
      <c r="D2351" s="1">
        <f>IFERROR(__xludf.DUMMYFUNCTION("""COMPUTED_VALUE"""),139.49)</f>
        <v>139.49</v>
      </c>
      <c r="E2351" s="1">
        <f>IFERROR(__xludf.DUMMYFUNCTION("""COMPUTED_VALUE"""),142.32)</f>
        <v>142.32</v>
      </c>
      <c r="F2351" s="1">
        <f>IFERROR(__xludf.DUMMYFUNCTION("""COMPUTED_VALUE"""),447023.0)</f>
        <v>447023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IFERROR(__xludf.DUMMYFUNCTION("""COMPUTED_VALUE"""),140.0)</f>
        <v>140</v>
      </c>
      <c r="C2352" s="1">
        <f>IFERROR(__xludf.DUMMYFUNCTION("""COMPUTED_VALUE"""),140.36)</f>
        <v>140.36</v>
      </c>
      <c r="D2352" s="1">
        <f>IFERROR(__xludf.DUMMYFUNCTION("""COMPUTED_VALUE"""),132.55)</f>
        <v>132.55</v>
      </c>
      <c r="E2352" s="1">
        <f>IFERROR(__xludf.DUMMYFUNCTION("""COMPUTED_VALUE"""),134.26)</f>
        <v>134.26</v>
      </c>
      <c r="F2352" s="1">
        <f>IFERROR(__xludf.DUMMYFUNCTION("""COMPUTED_VALUE"""),583245.0)</f>
        <v>583245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IFERROR(__xludf.DUMMYFUNCTION("""COMPUTED_VALUE"""),133.59)</f>
        <v>133.59</v>
      </c>
      <c r="C2353" s="1">
        <f>IFERROR(__xludf.DUMMYFUNCTION("""COMPUTED_VALUE"""),136.95)</f>
        <v>136.95</v>
      </c>
      <c r="D2353" s="1">
        <f>IFERROR(__xludf.DUMMYFUNCTION("""COMPUTED_VALUE"""),131.52)</f>
        <v>131.52</v>
      </c>
      <c r="E2353" s="1">
        <f>IFERROR(__xludf.DUMMYFUNCTION("""COMPUTED_VALUE"""),136.28)</f>
        <v>136.28</v>
      </c>
      <c r="F2353" s="1">
        <f>IFERROR(__xludf.DUMMYFUNCTION("""COMPUTED_VALUE"""),679618.0)</f>
        <v>679618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IFERROR(__xludf.DUMMYFUNCTION("""COMPUTED_VALUE"""),135.29)</f>
        <v>135.29</v>
      </c>
      <c r="C2354" s="1">
        <f>IFERROR(__xludf.DUMMYFUNCTION("""COMPUTED_VALUE"""),137.81)</f>
        <v>137.81</v>
      </c>
      <c r="D2354" s="1">
        <f>IFERROR(__xludf.DUMMYFUNCTION("""COMPUTED_VALUE"""),133.31)</f>
        <v>133.31</v>
      </c>
      <c r="E2354" s="1">
        <f>IFERROR(__xludf.DUMMYFUNCTION("""COMPUTED_VALUE"""),136.68)</f>
        <v>136.68</v>
      </c>
      <c r="F2354" s="1">
        <f>IFERROR(__xludf.DUMMYFUNCTION("""COMPUTED_VALUE"""),462443.0)</f>
        <v>462443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IFERROR(__xludf.DUMMYFUNCTION("""COMPUTED_VALUE"""),135.88)</f>
        <v>135.88</v>
      </c>
      <c r="C2355" s="1">
        <f>IFERROR(__xludf.DUMMYFUNCTION("""COMPUTED_VALUE"""),136.79)</f>
        <v>136.79</v>
      </c>
      <c r="D2355" s="1">
        <f>IFERROR(__xludf.DUMMYFUNCTION("""COMPUTED_VALUE"""),131.94)</f>
        <v>131.94</v>
      </c>
      <c r="E2355" s="1">
        <f>IFERROR(__xludf.DUMMYFUNCTION("""COMPUTED_VALUE"""),136.54)</f>
        <v>136.54</v>
      </c>
      <c r="F2355" s="1">
        <f>IFERROR(__xludf.DUMMYFUNCTION("""COMPUTED_VALUE"""),375165.0)</f>
        <v>375165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IFERROR(__xludf.DUMMYFUNCTION("""COMPUTED_VALUE"""),133.33)</f>
        <v>133.33</v>
      </c>
      <c r="C2356" s="1">
        <f>IFERROR(__xludf.DUMMYFUNCTION("""COMPUTED_VALUE"""),134.18)</f>
        <v>134.18</v>
      </c>
      <c r="D2356" s="1">
        <f>IFERROR(__xludf.DUMMYFUNCTION("""COMPUTED_VALUE"""),130.76)</f>
        <v>130.76</v>
      </c>
      <c r="E2356" s="1">
        <f>IFERROR(__xludf.DUMMYFUNCTION("""COMPUTED_VALUE"""),131.14)</f>
        <v>131.14</v>
      </c>
      <c r="F2356" s="1">
        <f>IFERROR(__xludf.DUMMYFUNCTION("""COMPUTED_VALUE"""),399129.0)</f>
        <v>399129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IFERROR(__xludf.DUMMYFUNCTION("""COMPUTED_VALUE"""),132.44)</f>
        <v>132.44</v>
      </c>
      <c r="C2357" s="1">
        <f>IFERROR(__xludf.DUMMYFUNCTION("""COMPUTED_VALUE"""),133.54)</f>
        <v>133.54</v>
      </c>
      <c r="D2357" s="1">
        <f>IFERROR(__xludf.DUMMYFUNCTION("""COMPUTED_VALUE"""),131.42)</f>
        <v>131.42</v>
      </c>
      <c r="E2357" s="1">
        <f>IFERROR(__xludf.DUMMYFUNCTION("""COMPUTED_VALUE"""),131.67)</f>
        <v>131.67</v>
      </c>
      <c r="F2357" s="1">
        <f>IFERROR(__xludf.DUMMYFUNCTION("""COMPUTED_VALUE"""),407147.0)</f>
        <v>407147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IFERROR(__xludf.DUMMYFUNCTION("""COMPUTED_VALUE"""),129.66)</f>
        <v>129.66</v>
      </c>
      <c r="C2358" s="1">
        <f>IFERROR(__xludf.DUMMYFUNCTION("""COMPUTED_VALUE"""),132.18)</f>
        <v>132.18</v>
      </c>
      <c r="D2358" s="1">
        <f>IFERROR(__xludf.DUMMYFUNCTION("""COMPUTED_VALUE"""),129.12)</f>
        <v>129.12</v>
      </c>
      <c r="E2358" s="1">
        <f>IFERROR(__xludf.DUMMYFUNCTION("""COMPUTED_VALUE"""),131.63)</f>
        <v>131.63</v>
      </c>
      <c r="F2358" s="1">
        <f>IFERROR(__xludf.DUMMYFUNCTION("""COMPUTED_VALUE"""),235456.0)</f>
        <v>235456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IFERROR(__xludf.DUMMYFUNCTION("""COMPUTED_VALUE"""),132.46)</f>
        <v>132.46</v>
      </c>
      <c r="C2359" s="1">
        <f>IFERROR(__xludf.DUMMYFUNCTION("""COMPUTED_VALUE"""),133.34)</f>
        <v>133.34</v>
      </c>
      <c r="D2359" s="1">
        <f>IFERROR(__xludf.DUMMYFUNCTION("""COMPUTED_VALUE"""),131.51)</f>
        <v>131.51</v>
      </c>
      <c r="E2359" s="1">
        <f>IFERROR(__xludf.DUMMYFUNCTION("""COMPUTED_VALUE"""),132.18)</f>
        <v>132.18</v>
      </c>
      <c r="F2359" s="1">
        <f>IFERROR(__xludf.DUMMYFUNCTION("""COMPUTED_VALUE"""),243487.0)</f>
        <v>243487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IFERROR(__xludf.DUMMYFUNCTION("""COMPUTED_VALUE"""),130.77)</f>
        <v>130.77</v>
      </c>
      <c r="C2360" s="1">
        <f>IFERROR(__xludf.DUMMYFUNCTION("""COMPUTED_VALUE"""),131.46)</f>
        <v>131.46</v>
      </c>
      <c r="D2360" s="1">
        <f>IFERROR(__xludf.DUMMYFUNCTION("""COMPUTED_VALUE"""),128.74)</f>
        <v>128.74</v>
      </c>
      <c r="E2360" s="1">
        <f>IFERROR(__xludf.DUMMYFUNCTION("""COMPUTED_VALUE"""),129.08)</f>
        <v>129.08</v>
      </c>
      <c r="F2360" s="1">
        <f>IFERROR(__xludf.DUMMYFUNCTION("""COMPUTED_VALUE"""),280848.0)</f>
        <v>280848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IFERROR(__xludf.DUMMYFUNCTION("""COMPUTED_VALUE"""),127.89)</f>
        <v>127.89</v>
      </c>
      <c r="C2361" s="1">
        <f>IFERROR(__xludf.DUMMYFUNCTION("""COMPUTED_VALUE"""),129.91)</f>
        <v>129.91</v>
      </c>
      <c r="D2361" s="1">
        <f>IFERROR(__xludf.DUMMYFUNCTION("""COMPUTED_VALUE"""),127.27)</f>
        <v>127.27</v>
      </c>
      <c r="E2361" s="1">
        <f>IFERROR(__xludf.DUMMYFUNCTION("""COMPUTED_VALUE"""),128.73)</f>
        <v>128.73</v>
      </c>
      <c r="F2361" s="1">
        <f>IFERROR(__xludf.DUMMYFUNCTION("""COMPUTED_VALUE"""),256583.0)</f>
        <v>256583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IFERROR(__xludf.DUMMYFUNCTION("""COMPUTED_VALUE"""),129.99)</f>
        <v>129.99</v>
      </c>
      <c r="C2362" s="1">
        <f>IFERROR(__xludf.DUMMYFUNCTION("""COMPUTED_VALUE"""),131.46)</f>
        <v>131.46</v>
      </c>
      <c r="D2362" s="1">
        <f>IFERROR(__xludf.DUMMYFUNCTION("""COMPUTED_VALUE"""),129.99)</f>
        <v>129.99</v>
      </c>
      <c r="E2362" s="1">
        <f>IFERROR(__xludf.DUMMYFUNCTION("""COMPUTED_VALUE"""),130.04)</f>
        <v>130.04</v>
      </c>
      <c r="F2362" s="1">
        <f>IFERROR(__xludf.DUMMYFUNCTION("""COMPUTED_VALUE"""),405258.0)</f>
        <v>405258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IFERROR(__xludf.DUMMYFUNCTION("""COMPUTED_VALUE"""),129.74)</f>
        <v>129.74</v>
      </c>
      <c r="C2363" s="1">
        <f>IFERROR(__xludf.DUMMYFUNCTION("""COMPUTED_VALUE"""),129.82)</f>
        <v>129.82</v>
      </c>
      <c r="D2363" s="1">
        <f>IFERROR(__xludf.DUMMYFUNCTION("""COMPUTED_VALUE"""),127.88)</f>
        <v>127.88</v>
      </c>
      <c r="E2363" s="1">
        <f>IFERROR(__xludf.DUMMYFUNCTION("""COMPUTED_VALUE"""),129.44)</f>
        <v>129.44</v>
      </c>
      <c r="F2363" s="1">
        <f>IFERROR(__xludf.DUMMYFUNCTION("""COMPUTED_VALUE"""),395088.0)</f>
        <v>395088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IFERROR(__xludf.DUMMYFUNCTION("""COMPUTED_VALUE"""),127.87)</f>
        <v>127.87</v>
      </c>
      <c r="C2364" s="1">
        <f>IFERROR(__xludf.DUMMYFUNCTION("""COMPUTED_VALUE"""),128.52)</f>
        <v>128.52</v>
      </c>
      <c r="D2364" s="1">
        <f>IFERROR(__xludf.DUMMYFUNCTION("""COMPUTED_VALUE"""),126.63)</f>
        <v>126.63</v>
      </c>
      <c r="E2364" s="1">
        <f>IFERROR(__xludf.DUMMYFUNCTION("""COMPUTED_VALUE"""),128.44)</f>
        <v>128.44</v>
      </c>
      <c r="F2364" s="1">
        <f>IFERROR(__xludf.DUMMYFUNCTION("""COMPUTED_VALUE"""),315362.0)</f>
        <v>315362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IFERROR(__xludf.DUMMYFUNCTION("""COMPUTED_VALUE"""),129.1)</f>
        <v>129.1</v>
      </c>
      <c r="C2365" s="1">
        <f>IFERROR(__xludf.DUMMYFUNCTION("""COMPUTED_VALUE"""),130.92)</f>
        <v>130.92</v>
      </c>
      <c r="D2365" s="1">
        <f>IFERROR(__xludf.DUMMYFUNCTION("""COMPUTED_VALUE"""),129.1)</f>
        <v>129.1</v>
      </c>
      <c r="E2365" s="1">
        <f>IFERROR(__xludf.DUMMYFUNCTION("""COMPUTED_VALUE"""),129.9)</f>
        <v>129.9</v>
      </c>
      <c r="F2365" s="1">
        <f>IFERROR(__xludf.DUMMYFUNCTION("""COMPUTED_VALUE"""),199164.0)</f>
        <v>199164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IFERROR(__xludf.DUMMYFUNCTION("""COMPUTED_VALUE"""),130.36)</f>
        <v>130.36</v>
      </c>
      <c r="C2366" s="1">
        <f>IFERROR(__xludf.DUMMYFUNCTION("""COMPUTED_VALUE"""),130.95)</f>
        <v>130.95</v>
      </c>
      <c r="D2366" s="1">
        <f>IFERROR(__xludf.DUMMYFUNCTION("""COMPUTED_VALUE"""),127.55)</f>
        <v>127.55</v>
      </c>
      <c r="E2366" s="1">
        <f>IFERROR(__xludf.DUMMYFUNCTION("""COMPUTED_VALUE"""),127.72)</f>
        <v>127.72</v>
      </c>
      <c r="F2366" s="1">
        <f>IFERROR(__xludf.DUMMYFUNCTION("""COMPUTED_VALUE"""),280863.0)</f>
        <v>280863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IFERROR(__xludf.DUMMYFUNCTION("""COMPUTED_VALUE"""),126.2)</f>
        <v>126.2</v>
      </c>
      <c r="C2367" s="1">
        <f>IFERROR(__xludf.DUMMYFUNCTION("""COMPUTED_VALUE"""),127.07)</f>
        <v>127.07</v>
      </c>
      <c r="D2367" s="1">
        <f>IFERROR(__xludf.DUMMYFUNCTION("""COMPUTED_VALUE"""),124.83)</f>
        <v>124.83</v>
      </c>
      <c r="E2367" s="1">
        <f>IFERROR(__xludf.DUMMYFUNCTION("""COMPUTED_VALUE"""),125.52)</f>
        <v>125.52</v>
      </c>
      <c r="F2367" s="1">
        <f>IFERROR(__xludf.DUMMYFUNCTION("""COMPUTED_VALUE"""),259389.0)</f>
        <v>259389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IFERROR(__xludf.DUMMYFUNCTION("""COMPUTED_VALUE"""),125.63)</f>
        <v>125.63</v>
      </c>
      <c r="C2368" s="1">
        <f>IFERROR(__xludf.DUMMYFUNCTION("""COMPUTED_VALUE"""),126.91)</f>
        <v>126.91</v>
      </c>
      <c r="D2368" s="1">
        <f>IFERROR(__xludf.DUMMYFUNCTION("""COMPUTED_VALUE"""),124.88)</f>
        <v>124.88</v>
      </c>
      <c r="E2368" s="1">
        <f>IFERROR(__xludf.DUMMYFUNCTION("""COMPUTED_VALUE"""),125.71)</f>
        <v>125.71</v>
      </c>
      <c r="F2368" s="1">
        <f>IFERROR(__xludf.DUMMYFUNCTION("""COMPUTED_VALUE"""),199614.0)</f>
        <v>199614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IFERROR(__xludf.DUMMYFUNCTION("""COMPUTED_VALUE"""),124.39)</f>
        <v>124.39</v>
      </c>
      <c r="C2369" s="1">
        <f>IFERROR(__xludf.DUMMYFUNCTION("""COMPUTED_VALUE"""),126.71)</f>
        <v>126.71</v>
      </c>
      <c r="D2369" s="1">
        <f>IFERROR(__xludf.DUMMYFUNCTION("""COMPUTED_VALUE"""),123.91)</f>
        <v>123.91</v>
      </c>
      <c r="E2369" s="1">
        <f>IFERROR(__xludf.DUMMYFUNCTION("""COMPUTED_VALUE"""),125.45)</f>
        <v>125.45</v>
      </c>
      <c r="F2369" s="1">
        <f>IFERROR(__xludf.DUMMYFUNCTION("""COMPUTED_VALUE"""),298719.0)</f>
        <v>298719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IFERROR(__xludf.DUMMYFUNCTION("""COMPUTED_VALUE"""),125.75)</f>
        <v>125.75</v>
      </c>
      <c r="C2370" s="1">
        <f>IFERROR(__xludf.DUMMYFUNCTION("""COMPUTED_VALUE"""),126.81)</f>
        <v>126.81</v>
      </c>
      <c r="D2370" s="1">
        <f>IFERROR(__xludf.DUMMYFUNCTION("""COMPUTED_VALUE"""),123.17)</f>
        <v>123.17</v>
      </c>
      <c r="E2370" s="1">
        <f>IFERROR(__xludf.DUMMYFUNCTION("""COMPUTED_VALUE"""),123.4)</f>
        <v>123.4</v>
      </c>
      <c r="F2370" s="1">
        <f>IFERROR(__xludf.DUMMYFUNCTION("""COMPUTED_VALUE"""),316871.0)</f>
        <v>316871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IFERROR(__xludf.DUMMYFUNCTION("""COMPUTED_VALUE"""),124.64)</f>
        <v>124.64</v>
      </c>
      <c r="C2371" s="1">
        <f>IFERROR(__xludf.DUMMYFUNCTION("""COMPUTED_VALUE"""),126.61)</f>
        <v>126.61</v>
      </c>
      <c r="D2371" s="1">
        <f>IFERROR(__xludf.DUMMYFUNCTION("""COMPUTED_VALUE"""),123.89)</f>
        <v>123.89</v>
      </c>
      <c r="E2371" s="1">
        <f>IFERROR(__xludf.DUMMYFUNCTION("""COMPUTED_VALUE"""),126.52)</f>
        <v>126.52</v>
      </c>
      <c r="F2371" s="1">
        <f>IFERROR(__xludf.DUMMYFUNCTION("""COMPUTED_VALUE"""),300986.0)</f>
        <v>300986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IFERROR(__xludf.DUMMYFUNCTION("""COMPUTED_VALUE"""),127.64)</f>
        <v>127.64</v>
      </c>
      <c r="C2372" s="1">
        <f>IFERROR(__xludf.DUMMYFUNCTION("""COMPUTED_VALUE"""),129.1)</f>
        <v>129.1</v>
      </c>
      <c r="D2372" s="1">
        <f>IFERROR(__xludf.DUMMYFUNCTION("""COMPUTED_VALUE"""),126.93)</f>
        <v>126.93</v>
      </c>
      <c r="E2372" s="1">
        <f>IFERROR(__xludf.DUMMYFUNCTION("""COMPUTED_VALUE"""),127.59)</f>
        <v>127.59</v>
      </c>
      <c r="F2372" s="1">
        <f>IFERROR(__xludf.DUMMYFUNCTION("""COMPUTED_VALUE"""),236971.0)</f>
        <v>236971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IFERROR(__xludf.DUMMYFUNCTION("""COMPUTED_VALUE"""),127.94)</f>
        <v>127.94</v>
      </c>
      <c r="C2373" s="1">
        <f>IFERROR(__xludf.DUMMYFUNCTION("""COMPUTED_VALUE"""),128.41)</f>
        <v>128.41</v>
      </c>
      <c r="D2373" s="1">
        <f>IFERROR(__xludf.DUMMYFUNCTION("""COMPUTED_VALUE"""),126.64)</f>
        <v>126.64</v>
      </c>
      <c r="E2373" s="1">
        <f>IFERROR(__xludf.DUMMYFUNCTION("""COMPUTED_VALUE"""),127.55)</f>
        <v>127.55</v>
      </c>
      <c r="F2373" s="1">
        <f>IFERROR(__xludf.DUMMYFUNCTION("""COMPUTED_VALUE"""),198593.0)</f>
        <v>198593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IFERROR(__xludf.DUMMYFUNCTION("""COMPUTED_VALUE"""),128.61)</f>
        <v>128.61</v>
      </c>
      <c r="C2374" s="1">
        <f>IFERROR(__xludf.DUMMYFUNCTION("""COMPUTED_VALUE"""),129.45)</f>
        <v>129.45</v>
      </c>
      <c r="D2374" s="1">
        <f>IFERROR(__xludf.DUMMYFUNCTION("""COMPUTED_VALUE"""),127.37)</f>
        <v>127.37</v>
      </c>
      <c r="E2374" s="1">
        <f>IFERROR(__xludf.DUMMYFUNCTION("""COMPUTED_VALUE"""),128.28)</f>
        <v>128.28</v>
      </c>
      <c r="F2374" s="1">
        <f>IFERROR(__xludf.DUMMYFUNCTION("""COMPUTED_VALUE"""),213741.0)</f>
        <v>213741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IFERROR(__xludf.DUMMYFUNCTION("""COMPUTED_VALUE"""),130.32)</f>
        <v>130.32</v>
      </c>
      <c r="C2375" s="1">
        <f>IFERROR(__xludf.DUMMYFUNCTION("""COMPUTED_VALUE"""),131.49)</f>
        <v>131.49</v>
      </c>
      <c r="D2375" s="1">
        <f>IFERROR(__xludf.DUMMYFUNCTION("""COMPUTED_VALUE"""),128.6)</f>
        <v>128.6</v>
      </c>
      <c r="E2375" s="1">
        <f>IFERROR(__xludf.DUMMYFUNCTION("""COMPUTED_VALUE"""),130.59)</f>
        <v>130.59</v>
      </c>
      <c r="F2375" s="1">
        <f>IFERROR(__xludf.DUMMYFUNCTION("""COMPUTED_VALUE"""),243802.0)</f>
        <v>243802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IFERROR(__xludf.DUMMYFUNCTION("""COMPUTED_VALUE"""),131.98)</f>
        <v>131.98</v>
      </c>
      <c r="C2376" s="1">
        <f>IFERROR(__xludf.DUMMYFUNCTION("""COMPUTED_VALUE"""),132.59)</f>
        <v>132.59</v>
      </c>
      <c r="D2376" s="1">
        <f>IFERROR(__xludf.DUMMYFUNCTION("""COMPUTED_VALUE"""),130.67)</f>
        <v>130.67</v>
      </c>
      <c r="E2376" s="1">
        <f>IFERROR(__xludf.DUMMYFUNCTION("""COMPUTED_VALUE"""),131.32)</f>
        <v>131.32</v>
      </c>
      <c r="F2376" s="1">
        <f>IFERROR(__xludf.DUMMYFUNCTION("""COMPUTED_VALUE"""),292931.0)</f>
        <v>292931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IFERROR(__xludf.DUMMYFUNCTION("""COMPUTED_VALUE"""),130.64)</f>
        <v>130.64</v>
      </c>
      <c r="C2377" s="1">
        <f>IFERROR(__xludf.DUMMYFUNCTION("""COMPUTED_VALUE"""),133.01)</f>
        <v>133.01</v>
      </c>
      <c r="D2377" s="1">
        <f>IFERROR(__xludf.DUMMYFUNCTION("""COMPUTED_VALUE"""),130.64)</f>
        <v>130.64</v>
      </c>
      <c r="E2377" s="1">
        <f>IFERROR(__xludf.DUMMYFUNCTION("""COMPUTED_VALUE"""),132.86)</f>
        <v>132.86</v>
      </c>
      <c r="F2377" s="1">
        <f>IFERROR(__xludf.DUMMYFUNCTION("""COMPUTED_VALUE"""),287137.0)</f>
        <v>287137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IFERROR(__xludf.DUMMYFUNCTION("""COMPUTED_VALUE"""),133.0)</f>
        <v>133</v>
      </c>
      <c r="C2378" s="1">
        <f>IFERROR(__xludf.DUMMYFUNCTION("""COMPUTED_VALUE"""),133.29)</f>
        <v>133.29</v>
      </c>
      <c r="D2378" s="1">
        <f>IFERROR(__xludf.DUMMYFUNCTION("""COMPUTED_VALUE"""),131.14)</f>
        <v>131.14</v>
      </c>
      <c r="E2378" s="1">
        <f>IFERROR(__xludf.DUMMYFUNCTION("""COMPUTED_VALUE"""),131.97)</f>
        <v>131.97</v>
      </c>
      <c r="F2378" s="1">
        <f>IFERROR(__xludf.DUMMYFUNCTION("""COMPUTED_VALUE"""),262886.0)</f>
        <v>262886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IFERROR(__xludf.DUMMYFUNCTION("""COMPUTED_VALUE"""),131.94)</f>
        <v>131.94</v>
      </c>
      <c r="C2379" s="1">
        <f>IFERROR(__xludf.DUMMYFUNCTION("""COMPUTED_VALUE"""),131.94)</f>
        <v>131.94</v>
      </c>
      <c r="D2379" s="1">
        <f>IFERROR(__xludf.DUMMYFUNCTION("""COMPUTED_VALUE"""),129.31)</f>
        <v>129.31</v>
      </c>
      <c r="E2379" s="1">
        <f>IFERROR(__xludf.DUMMYFUNCTION("""COMPUTED_VALUE"""),129.41)</f>
        <v>129.41</v>
      </c>
      <c r="F2379" s="1">
        <f>IFERROR(__xludf.DUMMYFUNCTION("""COMPUTED_VALUE"""),285623.0)</f>
        <v>285623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IFERROR(__xludf.DUMMYFUNCTION("""COMPUTED_VALUE"""),130.0)</f>
        <v>130</v>
      </c>
      <c r="C2380" s="1">
        <f>IFERROR(__xludf.DUMMYFUNCTION("""COMPUTED_VALUE"""),131.07)</f>
        <v>131.07</v>
      </c>
      <c r="D2380" s="1">
        <f>IFERROR(__xludf.DUMMYFUNCTION("""COMPUTED_VALUE"""),129.37)</f>
        <v>129.37</v>
      </c>
      <c r="E2380" s="1">
        <f>IFERROR(__xludf.DUMMYFUNCTION("""COMPUTED_VALUE"""),130.78)</f>
        <v>130.78</v>
      </c>
      <c r="F2380" s="1">
        <f>IFERROR(__xludf.DUMMYFUNCTION("""COMPUTED_VALUE"""),213105.0)</f>
        <v>213105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IFERROR(__xludf.DUMMYFUNCTION("""COMPUTED_VALUE"""),131.97)</f>
        <v>131.97</v>
      </c>
      <c r="C2381" s="1">
        <f>IFERROR(__xludf.DUMMYFUNCTION("""COMPUTED_VALUE"""),134.25)</f>
        <v>134.25</v>
      </c>
      <c r="D2381" s="1">
        <f>IFERROR(__xludf.DUMMYFUNCTION("""COMPUTED_VALUE"""),131.97)</f>
        <v>131.97</v>
      </c>
      <c r="E2381" s="1">
        <f>IFERROR(__xludf.DUMMYFUNCTION("""COMPUTED_VALUE"""),132.76)</f>
        <v>132.76</v>
      </c>
      <c r="F2381" s="1">
        <f>IFERROR(__xludf.DUMMYFUNCTION("""COMPUTED_VALUE"""),218716.0)</f>
        <v>218716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IFERROR(__xludf.DUMMYFUNCTION("""COMPUTED_VALUE"""),133.02)</f>
        <v>133.02</v>
      </c>
      <c r="C2382" s="1">
        <f>IFERROR(__xludf.DUMMYFUNCTION("""COMPUTED_VALUE"""),137.77)</f>
        <v>137.77</v>
      </c>
      <c r="D2382" s="1">
        <f>IFERROR(__xludf.DUMMYFUNCTION("""COMPUTED_VALUE"""),133.02)</f>
        <v>133.02</v>
      </c>
      <c r="E2382" s="1">
        <f>IFERROR(__xludf.DUMMYFUNCTION("""COMPUTED_VALUE"""),137.44)</f>
        <v>137.44</v>
      </c>
      <c r="F2382" s="1">
        <f>IFERROR(__xludf.DUMMYFUNCTION("""COMPUTED_VALUE"""),439368.0)</f>
        <v>439368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IFERROR(__xludf.DUMMYFUNCTION("""COMPUTED_VALUE"""),139.17)</f>
        <v>139.17</v>
      </c>
      <c r="C2383" s="1">
        <f>IFERROR(__xludf.DUMMYFUNCTION("""COMPUTED_VALUE"""),139.93)</f>
        <v>139.93</v>
      </c>
      <c r="D2383" s="1">
        <f>IFERROR(__xludf.DUMMYFUNCTION("""COMPUTED_VALUE"""),138.1)</f>
        <v>138.1</v>
      </c>
      <c r="E2383" s="1">
        <f>IFERROR(__xludf.DUMMYFUNCTION("""COMPUTED_VALUE"""),139.19)</f>
        <v>139.19</v>
      </c>
      <c r="F2383" s="1">
        <f>IFERROR(__xludf.DUMMYFUNCTION("""COMPUTED_VALUE"""),896192.0)</f>
        <v>896192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IFERROR(__xludf.DUMMYFUNCTION("""COMPUTED_VALUE"""),138.37)</f>
        <v>138.37</v>
      </c>
      <c r="C2384" s="1">
        <f>IFERROR(__xludf.DUMMYFUNCTION("""COMPUTED_VALUE"""),138.7)</f>
        <v>138.7</v>
      </c>
      <c r="D2384" s="1">
        <f>IFERROR(__xludf.DUMMYFUNCTION("""COMPUTED_VALUE"""),136.88)</f>
        <v>136.88</v>
      </c>
      <c r="E2384" s="1">
        <f>IFERROR(__xludf.DUMMYFUNCTION("""COMPUTED_VALUE"""),138.26)</f>
        <v>138.26</v>
      </c>
      <c r="F2384" s="1">
        <f>IFERROR(__xludf.DUMMYFUNCTION("""COMPUTED_VALUE"""),495987.0)</f>
        <v>495987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IFERROR(__xludf.DUMMYFUNCTION("""COMPUTED_VALUE"""),138.32)</f>
        <v>138.32</v>
      </c>
      <c r="C2385" s="1">
        <f>IFERROR(__xludf.DUMMYFUNCTION("""COMPUTED_VALUE"""),138.54)</f>
        <v>138.54</v>
      </c>
      <c r="D2385" s="1">
        <f>IFERROR(__xludf.DUMMYFUNCTION("""COMPUTED_VALUE"""),137.03)</f>
        <v>137.03</v>
      </c>
      <c r="E2385" s="1">
        <f>IFERROR(__xludf.DUMMYFUNCTION("""COMPUTED_VALUE"""),137.1)</f>
        <v>137.1</v>
      </c>
      <c r="F2385" s="1">
        <f>IFERROR(__xludf.DUMMYFUNCTION("""COMPUTED_VALUE"""),460828.0)</f>
        <v>460828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IFERROR(__xludf.DUMMYFUNCTION("""COMPUTED_VALUE"""),138.06)</f>
        <v>138.06</v>
      </c>
      <c r="C2386" s="1">
        <f>IFERROR(__xludf.DUMMYFUNCTION("""COMPUTED_VALUE"""),138.06)</f>
        <v>138.06</v>
      </c>
      <c r="D2386" s="1">
        <f>IFERROR(__xludf.DUMMYFUNCTION("""COMPUTED_VALUE"""),133.81)</f>
        <v>133.81</v>
      </c>
      <c r="E2386" s="1">
        <f>IFERROR(__xludf.DUMMYFUNCTION("""COMPUTED_VALUE"""),134.08)</f>
        <v>134.08</v>
      </c>
      <c r="F2386" s="1">
        <f>IFERROR(__xludf.DUMMYFUNCTION("""COMPUTED_VALUE"""),629274.0)</f>
        <v>629274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IFERROR(__xludf.DUMMYFUNCTION("""COMPUTED_VALUE"""),134.98)</f>
        <v>134.98</v>
      </c>
      <c r="C2387" s="1">
        <f>IFERROR(__xludf.DUMMYFUNCTION("""COMPUTED_VALUE"""),137.4)</f>
        <v>137.4</v>
      </c>
      <c r="D2387" s="1">
        <f>IFERROR(__xludf.DUMMYFUNCTION("""COMPUTED_VALUE"""),133.65)</f>
        <v>133.65</v>
      </c>
      <c r="E2387" s="1">
        <f>IFERROR(__xludf.DUMMYFUNCTION("""COMPUTED_VALUE"""),137.04)</f>
        <v>137.04</v>
      </c>
      <c r="F2387" s="1">
        <f>IFERROR(__xludf.DUMMYFUNCTION("""COMPUTED_VALUE"""),474930.0)</f>
        <v>474930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IFERROR(__xludf.DUMMYFUNCTION("""COMPUTED_VALUE"""),137.79)</f>
        <v>137.79</v>
      </c>
      <c r="C2388" s="1">
        <f>IFERROR(__xludf.DUMMYFUNCTION("""COMPUTED_VALUE"""),140.99)</f>
        <v>140.99</v>
      </c>
      <c r="D2388" s="1">
        <f>IFERROR(__xludf.DUMMYFUNCTION("""COMPUTED_VALUE"""),137.32)</f>
        <v>137.32</v>
      </c>
      <c r="E2388" s="1">
        <f>IFERROR(__xludf.DUMMYFUNCTION("""COMPUTED_VALUE"""),140.12)</f>
        <v>140.12</v>
      </c>
      <c r="F2388" s="1">
        <f>IFERROR(__xludf.DUMMYFUNCTION("""COMPUTED_VALUE"""),527716.0)</f>
        <v>527716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IFERROR(__xludf.DUMMYFUNCTION("""COMPUTED_VALUE"""),140.44)</f>
        <v>140.44</v>
      </c>
      <c r="C2389" s="1">
        <f>IFERROR(__xludf.DUMMYFUNCTION("""COMPUTED_VALUE"""),142.93)</f>
        <v>142.93</v>
      </c>
      <c r="D2389" s="1">
        <f>IFERROR(__xludf.DUMMYFUNCTION("""COMPUTED_VALUE"""),140.44)</f>
        <v>140.44</v>
      </c>
      <c r="E2389" s="1">
        <f>IFERROR(__xludf.DUMMYFUNCTION("""COMPUTED_VALUE"""),141.9)</f>
        <v>141.9</v>
      </c>
      <c r="F2389" s="1">
        <f>IFERROR(__xludf.DUMMYFUNCTION("""COMPUTED_VALUE"""),694399.0)</f>
        <v>694399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IFERROR(__xludf.DUMMYFUNCTION("""COMPUTED_VALUE"""),143.66)</f>
        <v>143.66</v>
      </c>
      <c r="C2390" s="1">
        <f>IFERROR(__xludf.DUMMYFUNCTION("""COMPUTED_VALUE"""),144.39)</f>
        <v>144.39</v>
      </c>
      <c r="D2390" s="1">
        <f>IFERROR(__xludf.DUMMYFUNCTION("""COMPUTED_VALUE"""),141.87)</f>
        <v>141.87</v>
      </c>
      <c r="E2390" s="1">
        <f>IFERROR(__xludf.DUMMYFUNCTION("""COMPUTED_VALUE"""),143.67)</f>
        <v>143.67</v>
      </c>
      <c r="F2390" s="1">
        <f>IFERROR(__xludf.DUMMYFUNCTION("""COMPUTED_VALUE"""),407208.0)</f>
        <v>407208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IFERROR(__xludf.DUMMYFUNCTION("""COMPUTED_VALUE"""),144.07)</f>
        <v>144.07</v>
      </c>
      <c r="C2391" s="1">
        <f>IFERROR(__xludf.DUMMYFUNCTION("""COMPUTED_VALUE"""),144.07)</f>
        <v>144.07</v>
      </c>
      <c r="D2391" s="1">
        <f>IFERROR(__xludf.DUMMYFUNCTION("""COMPUTED_VALUE"""),140.83)</f>
        <v>140.83</v>
      </c>
      <c r="E2391" s="1">
        <f>IFERROR(__xludf.DUMMYFUNCTION("""COMPUTED_VALUE"""),141.38)</f>
        <v>141.38</v>
      </c>
      <c r="F2391" s="1">
        <f>IFERROR(__xludf.DUMMYFUNCTION("""COMPUTED_VALUE"""),340292.0)</f>
        <v>340292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IFERROR(__xludf.DUMMYFUNCTION("""COMPUTED_VALUE"""),141.8)</f>
        <v>141.8</v>
      </c>
      <c r="C2392" s="1">
        <f>IFERROR(__xludf.DUMMYFUNCTION("""COMPUTED_VALUE"""),142.6)</f>
        <v>142.6</v>
      </c>
      <c r="D2392" s="1">
        <f>IFERROR(__xludf.DUMMYFUNCTION("""COMPUTED_VALUE"""),140.97)</f>
        <v>140.97</v>
      </c>
      <c r="E2392" s="1">
        <f>IFERROR(__xludf.DUMMYFUNCTION("""COMPUTED_VALUE"""),142.37)</f>
        <v>142.37</v>
      </c>
      <c r="F2392" s="1">
        <f>IFERROR(__xludf.DUMMYFUNCTION("""COMPUTED_VALUE"""),269182.0)</f>
        <v>269182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IFERROR(__xludf.DUMMYFUNCTION("""COMPUTED_VALUE"""),142.12)</f>
        <v>142.12</v>
      </c>
      <c r="C2393" s="1">
        <f>IFERROR(__xludf.DUMMYFUNCTION("""COMPUTED_VALUE"""),142.81)</f>
        <v>142.81</v>
      </c>
      <c r="D2393" s="1">
        <f>IFERROR(__xludf.DUMMYFUNCTION("""COMPUTED_VALUE"""),140.47)</f>
        <v>140.47</v>
      </c>
      <c r="E2393" s="1">
        <f>IFERROR(__xludf.DUMMYFUNCTION("""COMPUTED_VALUE"""),142.44)</f>
        <v>142.44</v>
      </c>
      <c r="F2393" s="1">
        <f>IFERROR(__xludf.DUMMYFUNCTION("""COMPUTED_VALUE"""),189483.0)</f>
        <v>189483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IFERROR(__xludf.DUMMYFUNCTION("""COMPUTED_VALUE"""),141.9)</f>
        <v>141.9</v>
      </c>
      <c r="C2394" s="1">
        <f>IFERROR(__xludf.DUMMYFUNCTION("""COMPUTED_VALUE"""),142.48)</f>
        <v>142.48</v>
      </c>
      <c r="D2394" s="1">
        <f>IFERROR(__xludf.DUMMYFUNCTION("""COMPUTED_VALUE"""),139.81)</f>
        <v>139.81</v>
      </c>
      <c r="E2394" s="1">
        <f>IFERROR(__xludf.DUMMYFUNCTION("""COMPUTED_VALUE"""),140.33)</f>
        <v>140.33</v>
      </c>
      <c r="F2394" s="1">
        <f>IFERROR(__xludf.DUMMYFUNCTION("""COMPUTED_VALUE"""),273623.0)</f>
        <v>273623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IFERROR(__xludf.DUMMYFUNCTION("""COMPUTED_VALUE"""),139.85)</f>
        <v>139.85</v>
      </c>
      <c r="C2395" s="1">
        <f>IFERROR(__xludf.DUMMYFUNCTION("""COMPUTED_VALUE"""),140.85)</f>
        <v>140.85</v>
      </c>
      <c r="D2395" s="1">
        <f>IFERROR(__xludf.DUMMYFUNCTION("""COMPUTED_VALUE"""),139.0)</f>
        <v>139</v>
      </c>
      <c r="E2395" s="1">
        <f>IFERROR(__xludf.DUMMYFUNCTION("""COMPUTED_VALUE"""),139.44)</f>
        <v>139.44</v>
      </c>
      <c r="F2395" s="1">
        <f>IFERROR(__xludf.DUMMYFUNCTION("""COMPUTED_VALUE"""),340188.0)</f>
        <v>340188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IFERROR(__xludf.DUMMYFUNCTION("""COMPUTED_VALUE"""),140.41)</f>
        <v>140.41</v>
      </c>
      <c r="C2396" s="1">
        <f>IFERROR(__xludf.DUMMYFUNCTION("""COMPUTED_VALUE"""),140.41)</f>
        <v>140.41</v>
      </c>
      <c r="D2396" s="1">
        <f>IFERROR(__xludf.DUMMYFUNCTION("""COMPUTED_VALUE"""),137.91)</f>
        <v>137.91</v>
      </c>
      <c r="E2396" s="1">
        <f>IFERROR(__xludf.DUMMYFUNCTION("""COMPUTED_VALUE"""),137.97)</f>
        <v>137.97</v>
      </c>
      <c r="F2396" s="1">
        <f>IFERROR(__xludf.DUMMYFUNCTION("""COMPUTED_VALUE"""),177816.0)</f>
        <v>177816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IFERROR(__xludf.DUMMYFUNCTION("""COMPUTED_VALUE"""),138.21)</f>
        <v>138.21</v>
      </c>
      <c r="C2397" s="1">
        <f>IFERROR(__xludf.DUMMYFUNCTION("""COMPUTED_VALUE"""),138.21)</f>
        <v>138.21</v>
      </c>
      <c r="D2397" s="1">
        <f>IFERROR(__xludf.DUMMYFUNCTION("""COMPUTED_VALUE"""),135.99)</f>
        <v>135.99</v>
      </c>
      <c r="E2397" s="1">
        <f>IFERROR(__xludf.DUMMYFUNCTION("""COMPUTED_VALUE"""),136.51)</f>
        <v>136.51</v>
      </c>
      <c r="F2397" s="1">
        <f>IFERROR(__xludf.DUMMYFUNCTION("""COMPUTED_VALUE"""),269062.0)</f>
        <v>269062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IFERROR(__xludf.DUMMYFUNCTION("""COMPUTED_VALUE"""),136.0)</f>
        <v>136</v>
      </c>
      <c r="C2398" s="1">
        <f>IFERROR(__xludf.DUMMYFUNCTION("""COMPUTED_VALUE"""),136.03)</f>
        <v>136.03</v>
      </c>
      <c r="D2398" s="1">
        <f>IFERROR(__xludf.DUMMYFUNCTION("""COMPUTED_VALUE"""),134.2)</f>
        <v>134.2</v>
      </c>
      <c r="E2398" s="1">
        <f>IFERROR(__xludf.DUMMYFUNCTION("""COMPUTED_VALUE"""),134.87)</f>
        <v>134.87</v>
      </c>
      <c r="F2398" s="1">
        <f>IFERROR(__xludf.DUMMYFUNCTION("""COMPUTED_VALUE"""),245073.0)</f>
        <v>245073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IFERROR(__xludf.DUMMYFUNCTION("""COMPUTED_VALUE"""),135.17)</f>
        <v>135.17</v>
      </c>
      <c r="C2399" s="1">
        <f>IFERROR(__xludf.DUMMYFUNCTION("""COMPUTED_VALUE"""),136.64)</f>
        <v>136.64</v>
      </c>
      <c r="D2399" s="1">
        <f>IFERROR(__xludf.DUMMYFUNCTION("""COMPUTED_VALUE"""),134.14)</f>
        <v>134.14</v>
      </c>
      <c r="E2399" s="1">
        <f>IFERROR(__xludf.DUMMYFUNCTION("""COMPUTED_VALUE"""),136.12)</f>
        <v>136.12</v>
      </c>
      <c r="F2399" s="1">
        <f>IFERROR(__xludf.DUMMYFUNCTION("""COMPUTED_VALUE"""),295145.0)</f>
        <v>295145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IFERROR(__xludf.DUMMYFUNCTION("""COMPUTED_VALUE"""),136.07)</f>
        <v>136.07</v>
      </c>
      <c r="C2400" s="1">
        <f>IFERROR(__xludf.DUMMYFUNCTION("""COMPUTED_VALUE"""),136.49)</f>
        <v>136.49</v>
      </c>
      <c r="D2400" s="1">
        <f>IFERROR(__xludf.DUMMYFUNCTION("""COMPUTED_VALUE"""),134.88)</f>
        <v>134.88</v>
      </c>
      <c r="E2400" s="1">
        <f>IFERROR(__xludf.DUMMYFUNCTION("""COMPUTED_VALUE"""),135.2)</f>
        <v>135.2</v>
      </c>
      <c r="F2400" s="1">
        <f>IFERROR(__xludf.DUMMYFUNCTION("""COMPUTED_VALUE"""),174358.0)</f>
        <v>174358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IFERROR(__xludf.DUMMYFUNCTION("""COMPUTED_VALUE"""),135.34)</f>
        <v>135.34</v>
      </c>
      <c r="C2401" s="1">
        <f>IFERROR(__xludf.DUMMYFUNCTION("""COMPUTED_VALUE"""),135.96)</f>
        <v>135.96</v>
      </c>
      <c r="D2401" s="1">
        <f>IFERROR(__xludf.DUMMYFUNCTION("""COMPUTED_VALUE"""),134.58)</f>
        <v>134.58</v>
      </c>
      <c r="E2401" s="1">
        <f>IFERROR(__xludf.DUMMYFUNCTION("""COMPUTED_VALUE"""),135.23)</f>
        <v>135.23</v>
      </c>
      <c r="F2401" s="1">
        <f>IFERROR(__xludf.DUMMYFUNCTION("""COMPUTED_VALUE"""),181614.0)</f>
        <v>181614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IFERROR(__xludf.DUMMYFUNCTION("""COMPUTED_VALUE"""),135.42)</f>
        <v>135.42</v>
      </c>
      <c r="C2402" s="1">
        <f>IFERROR(__xludf.DUMMYFUNCTION("""COMPUTED_VALUE"""),138.32)</f>
        <v>138.32</v>
      </c>
      <c r="D2402" s="1">
        <f>IFERROR(__xludf.DUMMYFUNCTION("""COMPUTED_VALUE"""),134.79)</f>
        <v>134.79</v>
      </c>
      <c r="E2402" s="1">
        <f>IFERROR(__xludf.DUMMYFUNCTION("""COMPUTED_VALUE"""),137.25)</f>
        <v>137.25</v>
      </c>
      <c r="F2402" s="1">
        <f>IFERROR(__xludf.DUMMYFUNCTION("""COMPUTED_VALUE"""),197017.0)</f>
        <v>197017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IFERROR(__xludf.DUMMYFUNCTION("""COMPUTED_VALUE"""),137.89)</f>
        <v>137.89</v>
      </c>
      <c r="C2403" s="1">
        <f>IFERROR(__xludf.DUMMYFUNCTION("""COMPUTED_VALUE"""),138.62)</f>
        <v>138.62</v>
      </c>
      <c r="D2403" s="1">
        <f>IFERROR(__xludf.DUMMYFUNCTION("""COMPUTED_VALUE"""),135.61)</f>
        <v>135.61</v>
      </c>
      <c r="E2403" s="1">
        <f>IFERROR(__xludf.DUMMYFUNCTION("""COMPUTED_VALUE"""),135.64)</f>
        <v>135.64</v>
      </c>
      <c r="F2403" s="1">
        <f>IFERROR(__xludf.DUMMYFUNCTION("""COMPUTED_VALUE"""),200338.0)</f>
        <v>200338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IFERROR(__xludf.DUMMYFUNCTION("""COMPUTED_VALUE"""),136.12)</f>
        <v>136.12</v>
      </c>
      <c r="C2404" s="1">
        <f>IFERROR(__xludf.DUMMYFUNCTION("""COMPUTED_VALUE"""),138.09)</f>
        <v>138.09</v>
      </c>
      <c r="D2404" s="1">
        <f>IFERROR(__xludf.DUMMYFUNCTION("""COMPUTED_VALUE"""),136.04)</f>
        <v>136.04</v>
      </c>
      <c r="E2404" s="1">
        <f>IFERROR(__xludf.DUMMYFUNCTION("""COMPUTED_VALUE"""),136.46)</f>
        <v>136.46</v>
      </c>
      <c r="F2404" s="1">
        <f>IFERROR(__xludf.DUMMYFUNCTION("""COMPUTED_VALUE"""),175098.0)</f>
        <v>175098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IFERROR(__xludf.DUMMYFUNCTION("""COMPUTED_VALUE"""),137.44)</f>
        <v>137.44</v>
      </c>
      <c r="C2405" s="1">
        <f>IFERROR(__xludf.DUMMYFUNCTION("""COMPUTED_VALUE"""),137.95)</f>
        <v>137.95</v>
      </c>
      <c r="D2405" s="1">
        <f>IFERROR(__xludf.DUMMYFUNCTION("""COMPUTED_VALUE"""),136.15)</f>
        <v>136.15</v>
      </c>
      <c r="E2405" s="1">
        <f>IFERROR(__xludf.DUMMYFUNCTION("""COMPUTED_VALUE"""),137.43)</f>
        <v>137.43</v>
      </c>
      <c r="F2405" s="1">
        <f>IFERROR(__xludf.DUMMYFUNCTION("""COMPUTED_VALUE"""),304151.0)</f>
        <v>304151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IFERROR(__xludf.DUMMYFUNCTION("""COMPUTED_VALUE"""),136.79)</f>
        <v>136.79</v>
      </c>
      <c r="C2406" s="1">
        <f>IFERROR(__xludf.DUMMYFUNCTION("""COMPUTED_VALUE"""),140.32)</f>
        <v>140.32</v>
      </c>
      <c r="D2406" s="1">
        <f>IFERROR(__xludf.DUMMYFUNCTION("""COMPUTED_VALUE"""),136.66)</f>
        <v>136.66</v>
      </c>
      <c r="E2406" s="1">
        <f>IFERROR(__xludf.DUMMYFUNCTION("""COMPUTED_VALUE"""),139.84)</f>
        <v>139.84</v>
      </c>
      <c r="F2406" s="1">
        <f>IFERROR(__xludf.DUMMYFUNCTION("""COMPUTED_VALUE"""),240449.0)</f>
        <v>240449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IFERROR(__xludf.DUMMYFUNCTION("""COMPUTED_VALUE"""),139.29)</f>
        <v>139.29</v>
      </c>
      <c r="C2407" s="1">
        <f>IFERROR(__xludf.DUMMYFUNCTION("""COMPUTED_VALUE"""),139.86)</f>
        <v>139.86</v>
      </c>
      <c r="D2407" s="1">
        <f>IFERROR(__xludf.DUMMYFUNCTION("""COMPUTED_VALUE"""),138.2)</f>
        <v>138.2</v>
      </c>
      <c r="E2407" s="1">
        <f>IFERROR(__xludf.DUMMYFUNCTION("""COMPUTED_VALUE"""),138.48)</f>
        <v>138.48</v>
      </c>
      <c r="F2407" s="1">
        <f>IFERROR(__xludf.DUMMYFUNCTION("""COMPUTED_VALUE"""),248884.0)</f>
        <v>248884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IFERROR(__xludf.DUMMYFUNCTION("""COMPUTED_VALUE"""),139.16)</f>
        <v>139.16</v>
      </c>
      <c r="C2408" s="1">
        <f>IFERROR(__xludf.DUMMYFUNCTION("""COMPUTED_VALUE"""),141.42)</f>
        <v>141.42</v>
      </c>
      <c r="D2408" s="1">
        <f>IFERROR(__xludf.DUMMYFUNCTION("""COMPUTED_VALUE"""),138.92)</f>
        <v>138.92</v>
      </c>
      <c r="E2408" s="1">
        <f>IFERROR(__xludf.DUMMYFUNCTION("""COMPUTED_VALUE"""),139.93)</f>
        <v>139.93</v>
      </c>
      <c r="F2408" s="1">
        <f>IFERROR(__xludf.DUMMYFUNCTION("""COMPUTED_VALUE"""),304532.0)</f>
        <v>304532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IFERROR(__xludf.DUMMYFUNCTION("""COMPUTED_VALUE"""),139.92)</f>
        <v>139.92</v>
      </c>
      <c r="C2409" s="1">
        <f>IFERROR(__xludf.DUMMYFUNCTION("""COMPUTED_VALUE"""),141.06)</f>
        <v>141.06</v>
      </c>
      <c r="D2409" s="1">
        <f>IFERROR(__xludf.DUMMYFUNCTION("""COMPUTED_VALUE"""),138.4)</f>
        <v>138.4</v>
      </c>
      <c r="E2409" s="1">
        <f>IFERROR(__xludf.DUMMYFUNCTION("""COMPUTED_VALUE"""),139.79)</f>
        <v>139.79</v>
      </c>
      <c r="F2409" s="1">
        <f>IFERROR(__xludf.DUMMYFUNCTION("""COMPUTED_VALUE"""),381956.0)</f>
        <v>381956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IFERROR(__xludf.DUMMYFUNCTION("""COMPUTED_VALUE"""),139.11)</f>
        <v>139.11</v>
      </c>
      <c r="C2410" s="1">
        <f>IFERROR(__xludf.DUMMYFUNCTION("""COMPUTED_VALUE"""),141.8)</f>
        <v>141.8</v>
      </c>
      <c r="D2410" s="1">
        <f>IFERROR(__xludf.DUMMYFUNCTION("""COMPUTED_VALUE"""),138.68)</f>
        <v>138.68</v>
      </c>
      <c r="E2410" s="1">
        <f>IFERROR(__xludf.DUMMYFUNCTION("""COMPUTED_VALUE"""),141.11)</f>
        <v>141.11</v>
      </c>
      <c r="F2410" s="1">
        <f>IFERROR(__xludf.DUMMYFUNCTION("""COMPUTED_VALUE"""),303999.0)</f>
        <v>303999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IFERROR(__xludf.DUMMYFUNCTION("""COMPUTED_VALUE"""),136.06)</f>
        <v>136.06</v>
      </c>
      <c r="C2411" s="1">
        <f>IFERROR(__xludf.DUMMYFUNCTION("""COMPUTED_VALUE"""),139.97)</f>
        <v>139.97</v>
      </c>
      <c r="D2411" s="1">
        <f>IFERROR(__xludf.DUMMYFUNCTION("""COMPUTED_VALUE"""),132.11)</f>
        <v>132.11</v>
      </c>
      <c r="E2411" s="1">
        <f>IFERROR(__xludf.DUMMYFUNCTION("""COMPUTED_VALUE"""),134.54)</f>
        <v>134.54</v>
      </c>
      <c r="F2411" s="1">
        <f>IFERROR(__xludf.DUMMYFUNCTION("""COMPUTED_VALUE"""),947157.0)</f>
        <v>947157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IFERROR(__xludf.DUMMYFUNCTION("""COMPUTED_VALUE"""),135.7)</f>
        <v>135.7</v>
      </c>
      <c r="C2412" s="1">
        <f>IFERROR(__xludf.DUMMYFUNCTION("""COMPUTED_VALUE"""),138.01)</f>
        <v>138.01</v>
      </c>
      <c r="D2412" s="1">
        <f>IFERROR(__xludf.DUMMYFUNCTION("""COMPUTED_VALUE"""),133.23)</f>
        <v>133.23</v>
      </c>
      <c r="E2412" s="1">
        <f>IFERROR(__xludf.DUMMYFUNCTION("""COMPUTED_VALUE"""),133.91)</f>
        <v>133.91</v>
      </c>
      <c r="F2412" s="1">
        <f>IFERROR(__xludf.DUMMYFUNCTION("""COMPUTED_VALUE"""),518007.0)</f>
        <v>518007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IFERROR(__xludf.DUMMYFUNCTION("""COMPUTED_VALUE"""),133.68)</f>
        <v>133.68</v>
      </c>
      <c r="C2413" s="1">
        <f>IFERROR(__xludf.DUMMYFUNCTION("""COMPUTED_VALUE"""),134.71)</f>
        <v>134.71</v>
      </c>
      <c r="D2413" s="1">
        <f>IFERROR(__xludf.DUMMYFUNCTION("""COMPUTED_VALUE"""),131.22)</f>
        <v>131.22</v>
      </c>
      <c r="E2413" s="1">
        <f>IFERROR(__xludf.DUMMYFUNCTION("""COMPUTED_VALUE"""),133.12)</f>
        <v>133.12</v>
      </c>
      <c r="F2413" s="1">
        <f>IFERROR(__xludf.DUMMYFUNCTION("""COMPUTED_VALUE"""),319978.0)</f>
        <v>319978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IFERROR(__xludf.DUMMYFUNCTION("""COMPUTED_VALUE"""),130.48)</f>
        <v>130.48</v>
      </c>
      <c r="C2414" s="1">
        <f>IFERROR(__xludf.DUMMYFUNCTION("""COMPUTED_VALUE"""),130.74)</f>
        <v>130.74</v>
      </c>
      <c r="D2414" s="1">
        <f>IFERROR(__xludf.DUMMYFUNCTION("""COMPUTED_VALUE"""),125.36)</f>
        <v>125.36</v>
      </c>
      <c r="E2414" s="1">
        <f>IFERROR(__xludf.DUMMYFUNCTION("""COMPUTED_VALUE"""),126.51)</f>
        <v>126.51</v>
      </c>
      <c r="F2414" s="1">
        <f>IFERROR(__xludf.DUMMYFUNCTION("""COMPUTED_VALUE"""),403296.0)</f>
        <v>403296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IFERROR(__xludf.DUMMYFUNCTION("""COMPUTED_VALUE"""),127.48)</f>
        <v>127.48</v>
      </c>
      <c r="C2415" s="1">
        <f>IFERROR(__xludf.DUMMYFUNCTION("""COMPUTED_VALUE"""),131.81)</f>
        <v>131.81</v>
      </c>
      <c r="D2415" s="1">
        <f>IFERROR(__xludf.DUMMYFUNCTION("""COMPUTED_VALUE"""),127.09)</f>
        <v>127.09</v>
      </c>
      <c r="E2415" s="1">
        <f>IFERROR(__xludf.DUMMYFUNCTION("""COMPUTED_VALUE"""),131.76)</f>
        <v>131.76</v>
      </c>
      <c r="F2415" s="1">
        <f>IFERROR(__xludf.DUMMYFUNCTION("""COMPUTED_VALUE"""),380259.0)</f>
        <v>380259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IFERROR(__xludf.DUMMYFUNCTION("""COMPUTED_VALUE"""),130.01)</f>
        <v>130.01</v>
      </c>
      <c r="C2416" s="1">
        <f>IFERROR(__xludf.DUMMYFUNCTION("""COMPUTED_VALUE"""),132.98)</f>
        <v>132.98</v>
      </c>
      <c r="D2416" s="1">
        <f>IFERROR(__xludf.DUMMYFUNCTION("""COMPUTED_VALUE"""),128.95)</f>
        <v>128.95</v>
      </c>
      <c r="E2416" s="1">
        <f>IFERROR(__xludf.DUMMYFUNCTION("""COMPUTED_VALUE"""),131.98)</f>
        <v>131.98</v>
      </c>
      <c r="F2416" s="1">
        <f>IFERROR(__xludf.DUMMYFUNCTION("""COMPUTED_VALUE"""),338954.0)</f>
        <v>338954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IFERROR(__xludf.DUMMYFUNCTION("""COMPUTED_VALUE"""),133.26)</f>
        <v>133.26</v>
      </c>
      <c r="C2417" s="1">
        <f>IFERROR(__xludf.DUMMYFUNCTION("""COMPUTED_VALUE"""),136.0)</f>
        <v>136</v>
      </c>
      <c r="D2417" s="1">
        <f>IFERROR(__xludf.DUMMYFUNCTION("""COMPUTED_VALUE"""),133.12)</f>
        <v>133.12</v>
      </c>
      <c r="E2417" s="1">
        <f>IFERROR(__xludf.DUMMYFUNCTION("""COMPUTED_VALUE"""),134.8)</f>
        <v>134.8</v>
      </c>
      <c r="F2417" s="1">
        <f>IFERROR(__xludf.DUMMYFUNCTION("""COMPUTED_VALUE"""),725296.0)</f>
        <v>725296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IFERROR(__xludf.DUMMYFUNCTION("""COMPUTED_VALUE"""),134.44)</f>
        <v>134.44</v>
      </c>
      <c r="C2418" s="1">
        <f>IFERROR(__xludf.DUMMYFUNCTION("""COMPUTED_VALUE"""),134.63)</f>
        <v>134.63</v>
      </c>
      <c r="D2418" s="1">
        <f>IFERROR(__xludf.DUMMYFUNCTION("""COMPUTED_VALUE"""),131.21)</f>
        <v>131.21</v>
      </c>
      <c r="E2418" s="1">
        <f>IFERROR(__xludf.DUMMYFUNCTION("""COMPUTED_VALUE"""),132.6)</f>
        <v>132.6</v>
      </c>
      <c r="F2418" s="1">
        <f>IFERROR(__xludf.DUMMYFUNCTION("""COMPUTED_VALUE"""),230629.0)</f>
        <v>230629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IFERROR(__xludf.DUMMYFUNCTION("""COMPUTED_VALUE"""),131.32)</f>
        <v>131.32</v>
      </c>
      <c r="C2419" s="1">
        <f>IFERROR(__xludf.DUMMYFUNCTION("""COMPUTED_VALUE"""),131.89)</f>
        <v>131.89</v>
      </c>
      <c r="D2419" s="1">
        <f>IFERROR(__xludf.DUMMYFUNCTION("""COMPUTED_VALUE"""),128.79)</f>
        <v>128.79</v>
      </c>
      <c r="E2419" s="1">
        <f>IFERROR(__xludf.DUMMYFUNCTION("""COMPUTED_VALUE"""),129.83)</f>
        <v>129.83</v>
      </c>
      <c r="F2419" s="1">
        <f>IFERROR(__xludf.DUMMYFUNCTION("""COMPUTED_VALUE"""),227811.0)</f>
        <v>227811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IFERROR(__xludf.DUMMYFUNCTION("""COMPUTED_VALUE"""),129.47)</f>
        <v>129.47</v>
      </c>
      <c r="C2420" s="1">
        <f>IFERROR(__xludf.DUMMYFUNCTION("""COMPUTED_VALUE"""),132.24)</f>
        <v>132.24</v>
      </c>
      <c r="D2420" s="1">
        <f>IFERROR(__xludf.DUMMYFUNCTION("""COMPUTED_VALUE"""),128.8)</f>
        <v>128.8</v>
      </c>
      <c r="E2420" s="1">
        <f>IFERROR(__xludf.DUMMYFUNCTION("""COMPUTED_VALUE"""),130.82)</f>
        <v>130.82</v>
      </c>
      <c r="F2420" s="1">
        <f>IFERROR(__xludf.DUMMYFUNCTION("""COMPUTED_VALUE"""),210684.0)</f>
        <v>210684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IFERROR(__xludf.DUMMYFUNCTION("""COMPUTED_VALUE"""),128.45)</f>
        <v>128.45</v>
      </c>
      <c r="C2421" s="1">
        <f>IFERROR(__xludf.DUMMYFUNCTION("""COMPUTED_VALUE"""),129.0)</f>
        <v>129</v>
      </c>
      <c r="D2421" s="1">
        <f>IFERROR(__xludf.DUMMYFUNCTION("""COMPUTED_VALUE"""),126.22)</f>
        <v>126.22</v>
      </c>
      <c r="E2421" s="1">
        <f>IFERROR(__xludf.DUMMYFUNCTION("""COMPUTED_VALUE"""),126.53)</f>
        <v>126.53</v>
      </c>
      <c r="F2421" s="1">
        <f>IFERROR(__xludf.DUMMYFUNCTION("""COMPUTED_VALUE"""),276409.0)</f>
        <v>276409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IFERROR(__xludf.DUMMYFUNCTION("""COMPUTED_VALUE"""),127.66)</f>
        <v>127.66</v>
      </c>
      <c r="C2422" s="1">
        <f>IFERROR(__xludf.DUMMYFUNCTION("""COMPUTED_VALUE"""),128.17)</f>
        <v>128.17</v>
      </c>
      <c r="D2422" s="1">
        <f>IFERROR(__xludf.DUMMYFUNCTION("""COMPUTED_VALUE"""),126.71)</f>
        <v>126.71</v>
      </c>
      <c r="E2422" s="1">
        <f>IFERROR(__xludf.DUMMYFUNCTION("""COMPUTED_VALUE"""),127.63)</f>
        <v>127.63</v>
      </c>
      <c r="F2422" s="1">
        <f>IFERROR(__xludf.DUMMYFUNCTION("""COMPUTED_VALUE"""),288964.0)</f>
        <v>288964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IFERROR(__xludf.DUMMYFUNCTION("""COMPUTED_VALUE"""),128.77)</f>
        <v>128.77</v>
      </c>
      <c r="C2423" s="1">
        <f>IFERROR(__xludf.DUMMYFUNCTION("""COMPUTED_VALUE"""),130.44)</f>
        <v>130.44</v>
      </c>
      <c r="D2423" s="1">
        <f>IFERROR(__xludf.DUMMYFUNCTION("""COMPUTED_VALUE"""),128.77)</f>
        <v>128.77</v>
      </c>
      <c r="E2423" s="1">
        <f>IFERROR(__xludf.DUMMYFUNCTION("""COMPUTED_VALUE"""),129.84)</f>
        <v>129.84</v>
      </c>
      <c r="F2423" s="1">
        <f>IFERROR(__xludf.DUMMYFUNCTION("""COMPUTED_VALUE"""),144577.0)</f>
        <v>144577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IFERROR(__xludf.DUMMYFUNCTION("""COMPUTED_VALUE"""),131.22)</f>
        <v>131.22</v>
      </c>
      <c r="C2424" s="1">
        <f>IFERROR(__xludf.DUMMYFUNCTION("""COMPUTED_VALUE"""),131.99)</f>
        <v>131.99</v>
      </c>
      <c r="D2424" s="1">
        <f>IFERROR(__xludf.DUMMYFUNCTION("""COMPUTED_VALUE"""),130.57)</f>
        <v>130.57</v>
      </c>
      <c r="E2424" s="1">
        <f>IFERROR(__xludf.DUMMYFUNCTION("""COMPUTED_VALUE"""),130.73)</f>
        <v>130.73</v>
      </c>
      <c r="F2424" s="1">
        <f>IFERROR(__xludf.DUMMYFUNCTION("""COMPUTED_VALUE"""),125926.0)</f>
        <v>125926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IFERROR(__xludf.DUMMYFUNCTION("""COMPUTED_VALUE"""),130.7)</f>
        <v>130.7</v>
      </c>
      <c r="C2425" s="1">
        <f>IFERROR(__xludf.DUMMYFUNCTION("""COMPUTED_VALUE"""),130.86)</f>
        <v>130.86</v>
      </c>
      <c r="D2425" s="1">
        <f>IFERROR(__xludf.DUMMYFUNCTION("""COMPUTED_VALUE"""),129.18)</f>
        <v>129.18</v>
      </c>
      <c r="E2425" s="1">
        <f>IFERROR(__xludf.DUMMYFUNCTION("""COMPUTED_VALUE"""),129.43)</f>
        <v>129.43</v>
      </c>
      <c r="F2425" s="1">
        <f>IFERROR(__xludf.DUMMYFUNCTION("""COMPUTED_VALUE"""),208007.0)</f>
        <v>208007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IFERROR(__xludf.DUMMYFUNCTION("""COMPUTED_VALUE"""),130.46)</f>
        <v>130.46</v>
      </c>
      <c r="C2426" s="1">
        <f>IFERROR(__xludf.DUMMYFUNCTION("""COMPUTED_VALUE"""),130.79)</f>
        <v>130.79</v>
      </c>
      <c r="D2426" s="1">
        <f>IFERROR(__xludf.DUMMYFUNCTION("""COMPUTED_VALUE"""),129.42)</f>
        <v>129.42</v>
      </c>
      <c r="E2426" s="1">
        <f>IFERROR(__xludf.DUMMYFUNCTION("""COMPUTED_VALUE"""),129.69)</f>
        <v>129.69</v>
      </c>
      <c r="F2426" s="1">
        <f>IFERROR(__xludf.DUMMYFUNCTION("""COMPUTED_VALUE"""),213647.0)</f>
        <v>213647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IFERROR(__xludf.DUMMYFUNCTION("""COMPUTED_VALUE"""),130.62)</f>
        <v>130.62</v>
      </c>
      <c r="C2427" s="1">
        <f>IFERROR(__xludf.DUMMYFUNCTION("""COMPUTED_VALUE"""),130.89)</f>
        <v>130.89</v>
      </c>
      <c r="D2427" s="1">
        <f>IFERROR(__xludf.DUMMYFUNCTION("""COMPUTED_VALUE"""),128.18)</f>
        <v>128.18</v>
      </c>
      <c r="E2427" s="1">
        <f>IFERROR(__xludf.DUMMYFUNCTION("""COMPUTED_VALUE"""),129.0)</f>
        <v>129</v>
      </c>
      <c r="F2427" s="1">
        <f>IFERROR(__xludf.DUMMYFUNCTION("""COMPUTED_VALUE"""),152604.0)</f>
        <v>152604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IFERROR(__xludf.DUMMYFUNCTION("""COMPUTED_VALUE"""),127.99)</f>
        <v>127.99</v>
      </c>
      <c r="C2428" s="1">
        <f>IFERROR(__xludf.DUMMYFUNCTION("""COMPUTED_VALUE"""),129.46)</f>
        <v>129.46</v>
      </c>
      <c r="D2428" s="1">
        <f>IFERROR(__xludf.DUMMYFUNCTION("""COMPUTED_VALUE"""),124.62)</f>
        <v>124.62</v>
      </c>
      <c r="E2428" s="1">
        <f>IFERROR(__xludf.DUMMYFUNCTION("""COMPUTED_VALUE"""),125.07)</f>
        <v>125.07</v>
      </c>
      <c r="F2428" s="1">
        <f>IFERROR(__xludf.DUMMYFUNCTION("""COMPUTED_VALUE"""),286712.0)</f>
        <v>286712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IFERROR(__xludf.DUMMYFUNCTION("""COMPUTED_VALUE"""),126.25)</f>
        <v>126.25</v>
      </c>
      <c r="C2429" s="1">
        <f>IFERROR(__xludf.DUMMYFUNCTION("""COMPUTED_VALUE"""),126.88)</f>
        <v>126.88</v>
      </c>
      <c r="D2429" s="1">
        <f>IFERROR(__xludf.DUMMYFUNCTION("""COMPUTED_VALUE"""),125.62)</f>
        <v>125.62</v>
      </c>
      <c r="E2429" s="1">
        <f>IFERROR(__xludf.DUMMYFUNCTION("""COMPUTED_VALUE"""),126.23)</f>
        <v>126.23</v>
      </c>
      <c r="F2429" s="1">
        <f>IFERROR(__xludf.DUMMYFUNCTION("""COMPUTED_VALUE"""),413315.0)</f>
        <v>413315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IFERROR(__xludf.DUMMYFUNCTION("""COMPUTED_VALUE"""),126.9)</f>
        <v>126.9</v>
      </c>
      <c r="C2430" s="1">
        <f>IFERROR(__xludf.DUMMYFUNCTION("""COMPUTED_VALUE"""),127.96)</f>
        <v>127.96</v>
      </c>
      <c r="D2430" s="1">
        <f>IFERROR(__xludf.DUMMYFUNCTION("""COMPUTED_VALUE"""),125.77)</f>
        <v>125.77</v>
      </c>
      <c r="E2430" s="1">
        <f>IFERROR(__xludf.DUMMYFUNCTION("""COMPUTED_VALUE"""),126.91)</f>
        <v>126.91</v>
      </c>
      <c r="F2430" s="1">
        <f>IFERROR(__xludf.DUMMYFUNCTION("""COMPUTED_VALUE"""),315840.0)</f>
        <v>315840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IFERROR(__xludf.DUMMYFUNCTION("""COMPUTED_VALUE"""),126.5)</f>
        <v>126.5</v>
      </c>
      <c r="C2431" s="1">
        <f>IFERROR(__xludf.DUMMYFUNCTION("""COMPUTED_VALUE"""),129.54)</f>
        <v>129.54</v>
      </c>
      <c r="D2431" s="1">
        <f>IFERROR(__xludf.DUMMYFUNCTION("""COMPUTED_VALUE"""),126.48)</f>
        <v>126.48</v>
      </c>
      <c r="E2431" s="1">
        <f>IFERROR(__xludf.DUMMYFUNCTION("""COMPUTED_VALUE"""),129.31)</f>
        <v>129.31</v>
      </c>
      <c r="F2431" s="1">
        <f>IFERROR(__xludf.DUMMYFUNCTION("""COMPUTED_VALUE"""),254877.0)</f>
        <v>254877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IFERROR(__xludf.DUMMYFUNCTION("""COMPUTED_VALUE"""),130.83)</f>
        <v>130.83</v>
      </c>
      <c r="C2432" s="1">
        <f>IFERROR(__xludf.DUMMYFUNCTION("""COMPUTED_VALUE"""),131.75)</f>
        <v>131.75</v>
      </c>
      <c r="D2432" s="1">
        <f>IFERROR(__xludf.DUMMYFUNCTION("""COMPUTED_VALUE"""),129.73)</f>
        <v>129.73</v>
      </c>
      <c r="E2432" s="1">
        <f>IFERROR(__xludf.DUMMYFUNCTION("""COMPUTED_VALUE"""),131.03)</f>
        <v>131.03</v>
      </c>
      <c r="F2432" s="1">
        <f>IFERROR(__xludf.DUMMYFUNCTION("""COMPUTED_VALUE"""),184209.0)</f>
        <v>184209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IFERROR(__xludf.DUMMYFUNCTION("""COMPUTED_VALUE"""),131.48)</f>
        <v>131.48</v>
      </c>
      <c r="C2433" s="1">
        <f>IFERROR(__xludf.DUMMYFUNCTION("""COMPUTED_VALUE"""),131.84)</f>
        <v>131.84</v>
      </c>
      <c r="D2433" s="1">
        <f>IFERROR(__xludf.DUMMYFUNCTION("""COMPUTED_VALUE"""),130.27)</f>
        <v>130.27</v>
      </c>
      <c r="E2433" s="1">
        <f>IFERROR(__xludf.DUMMYFUNCTION("""COMPUTED_VALUE"""),131.2)</f>
        <v>131.2</v>
      </c>
      <c r="F2433" s="1">
        <f>IFERROR(__xludf.DUMMYFUNCTION("""COMPUTED_VALUE"""),159358.0)</f>
        <v>159358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IFERROR(__xludf.DUMMYFUNCTION("""COMPUTED_VALUE"""),130.18)</f>
        <v>130.18</v>
      </c>
      <c r="C2434" s="1">
        <f>IFERROR(__xludf.DUMMYFUNCTION("""COMPUTED_VALUE"""),131.4)</f>
        <v>131.4</v>
      </c>
      <c r="D2434" s="1">
        <f>IFERROR(__xludf.DUMMYFUNCTION("""COMPUTED_VALUE"""),129.44)</f>
        <v>129.44</v>
      </c>
      <c r="E2434" s="1">
        <f>IFERROR(__xludf.DUMMYFUNCTION("""COMPUTED_VALUE"""),130.79)</f>
        <v>130.79</v>
      </c>
      <c r="F2434" s="1">
        <f>IFERROR(__xludf.DUMMYFUNCTION("""COMPUTED_VALUE"""),288290.0)</f>
        <v>288290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IFERROR(__xludf.DUMMYFUNCTION("""COMPUTED_VALUE"""),132.31)</f>
        <v>132.31</v>
      </c>
      <c r="C2435" s="1">
        <f>IFERROR(__xludf.DUMMYFUNCTION("""COMPUTED_VALUE"""),132.74)</f>
        <v>132.74</v>
      </c>
      <c r="D2435" s="1">
        <f>IFERROR(__xludf.DUMMYFUNCTION("""COMPUTED_VALUE"""),130.21)</f>
        <v>130.21</v>
      </c>
      <c r="E2435" s="1">
        <f>IFERROR(__xludf.DUMMYFUNCTION("""COMPUTED_VALUE"""),131.71)</f>
        <v>131.71</v>
      </c>
      <c r="F2435" s="1">
        <f>IFERROR(__xludf.DUMMYFUNCTION("""COMPUTED_VALUE"""),241214.0)</f>
        <v>241214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IFERROR(__xludf.DUMMYFUNCTION("""COMPUTED_VALUE"""),133.34)</f>
        <v>133.34</v>
      </c>
      <c r="C2436" s="1">
        <f>IFERROR(__xludf.DUMMYFUNCTION("""COMPUTED_VALUE"""),133.81)</f>
        <v>133.81</v>
      </c>
      <c r="D2436" s="1">
        <f>IFERROR(__xludf.DUMMYFUNCTION("""COMPUTED_VALUE"""),131.51)</f>
        <v>131.51</v>
      </c>
      <c r="E2436" s="1">
        <f>IFERROR(__xludf.DUMMYFUNCTION("""COMPUTED_VALUE"""),133.48)</f>
        <v>133.48</v>
      </c>
      <c r="F2436" s="1">
        <f>IFERROR(__xludf.DUMMYFUNCTION("""COMPUTED_VALUE"""),285126.0)</f>
        <v>285126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IFERROR(__xludf.DUMMYFUNCTION("""COMPUTED_VALUE"""),133.82)</f>
        <v>133.82</v>
      </c>
      <c r="C2437" s="1">
        <f>IFERROR(__xludf.DUMMYFUNCTION("""COMPUTED_VALUE"""),136.18)</f>
        <v>136.18</v>
      </c>
      <c r="D2437" s="1">
        <f>IFERROR(__xludf.DUMMYFUNCTION("""COMPUTED_VALUE"""),133.39)</f>
        <v>133.39</v>
      </c>
      <c r="E2437" s="1">
        <f>IFERROR(__xludf.DUMMYFUNCTION("""COMPUTED_VALUE"""),134.67)</f>
        <v>134.67</v>
      </c>
      <c r="F2437" s="1">
        <f>IFERROR(__xludf.DUMMYFUNCTION("""COMPUTED_VALUE"""),254736.0)</f>
        <v>254736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IFERROR(__xludf.DUMMYFUNCTION("""COMPUTED_VALUE"""),135.3)</f>
        <v>135.3</v>
      </c>
      <c r="C2438" s="1">
        <f>IFERROR(__xludf.DUMMYFUNCTION("""COMPUTED_VALUE"""),135.3)</f>
        <v>135.3</v>
      </c>
      <c r="D2438" s="1">
        <f>IFERROR(__xludf.DUMMYFUNCTION("""COMPUTED_VALUE"""),129.51)</f>
        <v>129.51</v>
      </c>
      <c r="E2438" s="1">
        <f>IFERROR(__xludf.DUMMYFUNCTION("""COMPUTED_VALUE"""),129.74)</f>
        <v>129.74</v>
      </c>
      <c r="F2438" s="1">
        <f>IFERROR(__xludf.DUMMYFUNCTION("""COMPUTED_VALUE"""),368564.0)</f>
        <v>368564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IFERROR(__xludf.DUMMYFUNCTION("""COMPUTED_VALUE"""),129.29)</f>
        <v>129.29</v>
      </c>
      <c r="C2439" s="1">
        <f>IFERROR(__xludf.DUMMYFUNCTION("""COMPUTED_VALUE"""),129.68)</f>
        <v>129.68</v>
      </c>
      <c r="D2439" s="1">
        <f>IFERROR(__xludf.DUMMYFUNCTION("""COMPUTED_VALUE"""),126.49)</f>
        <v>126.49</v>
      </c>
      <c r="E2439" s="1">
        <f>IFERROR(__xludf.DUMMYFUNCTION("""COMPUTED_VALUE"""),129.68)</f>
        <v>129.68</v>
      </c>
      <c r="F2439" s="1">
        <f>IFERROR(__xludf.DUMMYFUNCTION("""COMPUTED_VALUE"""),474133.0)</f>
        <v>474133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IFERROR(__xludf.DUMMYFUNCTION("""COMPUTED_VALUE"""),130.0)</f>
        <v>130</v>
      </c>
      <c r="C2440" s="1">
        <f>IFERROR(__xludf.DUMMYFUNCTION("""COMPUTED_VALUE"""),131.59)</f>
        <v>131.59</v>
      </c>
      <c r="D2440" s="1">
        <f>IFERROR(__xludf.DUMMYFUNCTION("""COMPUTED_VALUE"""),129.48)</f>
        <v>129.48</v>
      </c>
      <c r="E2440" s="1">
        <f>IFERROR(__xludf.DUMMYFUNCTION("""COMPUTED_VALUE"""),130.39)</f>
        <v>130.39</v>
      </c>
      <c r="F2440" s="1">
        <f>IFERROR(__xludf.DUMMYFUNCTION("""COMPUTED_VALUE"""),318804.0)</f>
        <v>318804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IFERROR(__xludf.DUMMYFUNCTION("""COMPUTED_VALUE"""),131.14)</f>
        <v>131.14</v>
      </c>
      <c r="C2441" s="1">
        <f>IFERROR(__xludf.DUMMYFUNCTION("""COMPUTED_VALUE"""),136.85)</f>
        <v>136.85</v>
      </c>
      <c r="D2441" s="1">
        <f>IFERROR(__xludf.DUMMYFUNCTION("""COMPUTED_VALUE"""),130.54)</f>
        <v>130.54</v>
      </c>
      <c r="E2441" s="1">
        <f>IFERROR(__xludf.DUMMYFUNCTION("""COMPUTED_VALUE"""),131.79)</f>
        <v>131.79</v>
      </c>
      <c r="F2441" s="1">
        <f>IFERROR(__xludf.DUMMYFUNCTION("""COMPUTED_VALUE"""),354538.0)</f>
        <v>354538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IFERROR(__xludf.DUMMYFUNCTION("""COMPUTED_VALUE"""),132.16)</f>
        <v>132.16</v>
      </c>
      <c r="C2442" s="1">
        <f>IFERROR(__xludf.DUMMYFUNCTION("""COMPUTED_VALUE"""),133.01)</f>
        <v>133.01</v>
      </c>
      <c r="D2442" s="1">
        <f>IFERROR(__xludf.DUMMYFUNCTION("""COMPUTED_VALUE"""),130.82)</f>
        <v>130.82</v>
      </c>
      <c r="E2442" s="1">
        <f>IFERROR(__xludf.DUMMYFUNCTION("""COMPUTED_VALUE"""),132.25)</f>
        <v>132.25</v>
      </c>
      <c r="F2442" s="1">
        <f>IFERROR(__xludf.DUMMYFUNCTION("""COMPUTED_VALUE"""),511829.0)</f>
        <v>511829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IFERROR(__xludf.DUMMYFUNCTION("""COMPUTED_VALUE"""),131.26)</f>
        <v>131.26</v>
      </c>
      <c r="C2443" s="1">
        <f>IFERROR(__xludf.DUMMYFUNCTION("""COMPUTED_VALUE"""),135.24)</f>
        <v>135.24</v>
      </c>
      <c r="D2443" s="1">
        <f>IFERROR(__xludf.DUMMYFUNCTION("""COMPUTED_VALUE"""),130.73)</f>
        <v>130.73</v>
      </c>
      <c r="E2443" s="1">
        <f>IFERROR(__xludf.DUMMYFUNCTION("""COMPUTED_VALUE"""),134.3)</f>
        <v>134.3</v>
      </c>
      <c r="F2443" s="1">
        <f>IFERROR(__xludf.DUMMYFUNCTION("""COMPUTED_VALUE"""),336493.0)</f>
        <v>336493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IFERROR(__xludf.DUMMYFUNCTION("""COMPUTED_VALUE"""),134.23)</f>
        <v>134.23</v>
      </c>
      <c r="C2444" s="1">
        <f>IFERROR(__xludf.DUMMYFUNCTION("""COMPUTED_VALUE"""),136.19)</f>
        <v>136.19</v>
      </c>
      <c r="D2444" s="1">
        <f>IFERROR(__xludf.DUMMYFUNCTION("""COMPUTED_VALUE"""),133.57)</f>
        <v>133.57</v>
      </c>
      <c r="E2444" s="1">
        <f>IFERROR(__xludf.DUMMYFUNCTION("""COMPUTED_VALUE"""),134.35)</f>
        <v>134.35</v>
      </c>
      <c r="F2444" s="1">
        <f>IFERROR(__xludf.DUMMYFUNCTION("""COMPUTED_VALUE"""),255831.0)</f>
        <v>255831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IFERROR(__xludf.DUMMYFUNCTION("""COMPUTED_VALUE"""),133.93)</f>
        <v>133.93</v>
      </c>
      <c r="C2445" s="1">
        <f>IFERROR(__xludf.DUMMYFUNCTION("""COMPUTED_VALUE"""),136.16)</f>
        <v>136.16</v>
      </c>
      <c r="D2445" s="1">
        <f>IFERROR(__xludf.DUMMYFUNCTION("""COMPUTED_VALUE"""),132.7)</f>
        <v>132.7</v>
      </c>
      <c r="E2445" s="1">
        <f>IFERROR(__xludf.DUMMYFUNCTION("""COMPUTED_VALUE"""),135.82)</f>
        <v>135.82</v>
      </c>
      <c r="F2445" s="1">
        <f>IFERROR(__xludf.DUMMYFUNCTION("""COMPUTED_VALUE"""),350850.0)</f>
        <v>350850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IFERROR(__xludf.DUMMYFUNCTION("""COMPUTED_VALUE"""),135.95)</f>
        <v>135.95</v>
      </c>
      <c r="C2446" s="1">
        <f>IFERROR(__xludf.DUMMYFUNCTION("""COMPUTED_VALUE"""),138.51)</f>
        <v>138.51</v>
      </c>
      <c r="D2446" s="1">
        <f>IFERROR(__xludf.DUMMYFUNCTION("""COMPUTED_VALUE"""),135.95)</f>
        <v>135.95</v>
      </c>
      <c r="E2446" s="1">
        <f>IFERROR(__xludf.DUMMYFUNCTION("""COMPUTED_VALUE"""),137.96)</f>
        <v>137.96</v>
      </c>
      <c r="F2446" s="1">
        <f>IFERROR(__xludf.DUMMYFUNCTION("""COMPUTED_VALUE"""),389229.0)</f>
        <v>389229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IFERROR(__xludf.DUMMYFUNCTION("""COMPUTED_VALUE"""),138.64)</f>
        <v>138.64</v>
      </c>
      <c r="C2447" s="1">
        <f>IFERROR(__xludf.DUMMYFUNCTION("""COMPUTED_VALUE"""),140.1)</f>
        <v>140.1</v>
      </c>
      <c r="D2447" s="1">
        <f>IFERROR(__xludf.DUMMYFUNCTION("""COMPUTED_VALUE"""),138.39)</f>
        <v>138.39</v>
      </c>
      <c r="E2447" s="1">
        <f>IFERROR(__xludf.DUMMYFUNCTION("""COMPUTED_VALUE"""),138.64)</f>
        <v>138.64</v>
      </c>
      <c r="F2447" s="1">
        <f>IFERROR(__xludf.DUMMYFUNCTION("""COMPUTED_VALUE"""),600802.0)</f>
        <v>600802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IFERROR(__xludf.DUMMYFUNCTION("""COMPUTED_VALUE"""),137.82)</f>
        <v>137.82</v>
      </c>
      <c r="C2448" s="1">
        <f>IFERROR(__xludf.DUMMYFUNCTION("""COMPUTED_VALUE"""),138.46)</f>
        <v>138.46</v>
      </c>
      <c r="D2448" s="1">
        <f>IFERROR(__xludf.DUMMYFUNCTION("""COMPUTED_VALUE"""),137.65)</f>
        <v>137.65</v>
      </c>
      <c r="E2448" s="1">
        <f>IFERROR(__xludf.DUMMYFUNCTION("""COMPUTED_VALUE"""),138.0)</f>
        <v>138</v>
      </c>
      <c r="F2448" s="1">
        <f>IFERROR(__xludf.DUMMYFUNCTION("""COMPUTED_VALUE"""),236893.0)</f>
        <v>236893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IFERROR(__xludf.DUMMYFUNCTION("""COMPUTED_VALUE"""),138.59)</f>
        <v>138.59</v>
      </c>
      <c r="C2449" s="1">
        <f>IFERROR(__xludf.DUMMYFUNCTION("""COMPUTED_VALUE"""),139.47)</f>
        <v>139.47</v>
      </c>
      <c r="D2449" s="1">
        <f>IFERROR(__xludf.DUMMYFUNCTION("""COMPUTED_VALUE"""),135.68)</f>
        <v>135.68</v>
      </c>
      <c r="E2449" s="1">
        <f>IFERROR(__xludf.DUMMYFUNCTION("""COMPUTED_VALUE"""),136.99)</f>
        <v>136.99</v>
      </c>
      <c r="F2449" s="1">
        <f>IFERROR(__xludf.DUMMYFUNCTION("""COMPUTED_VALUE"""),518668.0)</f>
        <v>518668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IFERROR(__xludf.DUMMYFUNCTION("""COMPUTED_VALUE"""),136.99)</f>
        <v>136.99</v>
      </c>
      <c r="C2450" s="1">
        <f>IFERROR(__xludf.DUMMYFUNCTION("""COMPUTED_VALUE"""),137.2)</f>
        <v>137.2</v>
      </c>
      <c r="D2450" s="1">
        <f>IFERROR(__xludf.DUMMYFUNCTION("""COMPUTED_VALUE"""),133.68)</f>
        <v>133.68</v>
      </c>
      <c r="E2450" s="1">
        <f>IFERROR(__xludf.DUMMYFUNCTION("""COMPUTED_VALUE"""),136.15)</f>
        <v>136.15</v>
      </c>
      <c r="F2450" s="1">
        <f>IFERROR(__xludf.DUMMYFUNCTION("""COMPUTED_VALUE"""),318693.0)</f>
        <v>318693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IFERROR(__xludf.DUMMYFUNCTION("""COMPUTED_VALUE"""),136.27)</f>
        <v>136.27</v>
      </c>
      <c r="C2451" s="1">
        <f>IFERROR(__xludf.DUMMYFUNCTION("""COMPUTED_VALUE"""),136.89)</f>
        <v>136.89</v>
      </c>
      <c r="D2451" s="1">
        <f>IFERROR(__xludf.DUMMYFUNCTION("""COMPUTED_VALUE"""),134.21)</f>
        <v>134.21</v>
      </c>
      <c r="E2451" s="1">
        <f>IFERROR(__xludf.DUMMYFUNCTION("""COMPUTED_VALUE"""),135.23)</f>
        <v>135.23</v>
      </c>
      <c r="F2451" s="1">
        <f>IFERROR(__xludf.DUMMYFUNCTION("""COMPUTED_VALUE"""),348305.0)</f>
        <v>348305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IFERROR(__xludf.DUMMYFUNCTION("""COMPUTED_VALUE"""),135.8)</f>
        <v>135.8</v>
      </c>
      <c r="C2452" s="1">
        <f>IFERROR(__xludf.DUMMYFUNCTION("""COMPUTED_VALUE"""),136.05)</f>
        <v>136.05</v>
      </c>
      <c r="D2452" s="1">
        <f>IFERROR(__xludf.DUMMYFUNCTION("""COMPUTED_VALUE"""),131.85)</f>
        <v>131.85</v>
      </c>
      <c r="E2452" s="1">
        <f>IFERROR(__xludf.DUMMYFUNCTION("""COMPUTED_VALUE"""),132.62)</f>
        <v>132.62</v>
      </c>
      <c r="F2452" s="1">
        <f>IFERROR(__xludf.DUMMYFUNCTION("""COMPUTED_VALUE"""),441711.0)</f>
        <v>441711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IFERROR(__xludf.DUMMYFUNCTION("""COMPUTED_VALUE"""),133.0)</f>
        <v>133</v>
      </c>
      <c r="C2453" s="1">
        <f>IFERROR(__xludf.DUMMYFUNCTION("""COMPUTED_VALUE"""),133.85)</f>
        <v>133.85</v>
      </c>
      <c r="D2453" s="1">
        <f>IFERROR(__xludf.DUMMYFUNCTION("""COMPUTED_VALUE"""),131.66)</f>
        <v>131.66</v>
      </c>
      <c r="E2453" s="1">
        <f>IFERROR(__xludf.DUMMYFUNCTION("""COMPUTED_VALUE"""),132.37)</f>
        <v>132.37</v>
      </c>
      <c r="F2453" s="1">
        <f>IFERROR(__xludf.DUMMYFUNCTION("""COMPUTED_VALUE"""),305919.0)</f>
        <v>305919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IFERROR(__xludf.DUMMYFUNCTION("""COMPUTED_VALUE"""),133.2)</f>
        <v>133.2</v>
      </c>
      <c r="C2454" s="1">
        <f>IFERROR(__xludf.DUMMYFUNCTION("""COMPUTED_VALUE"""),133.37)</f>
        <v>133.37</v>
      </c>
      <c r="D2454" s="1">
        <f>IFERROR(__xludf.DUMMYFUNCTION("""COMPUTED_VALUE"""),127.94)</f>
        <v>127.94</v>
      </c>
      <c r="E2454" s="1">
        <f>IFERROR(__xludf.DUMMYFUNCTION("""COMPUTED_VALUE"""),128.16)</f>
        <v>128.16</v>
      </c>
      <c r="F2454" s="1">
        <f>IFERROR(__xludf.DUMMYFUNCTION("""COMPUTED_VALUE"""),415364.0)</f>
        <v>415364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IFERROR(__xludf.DUMMYFUNCTION("""COMPUTED_VALUE"""),126.56)</f>
        <v>126.56</v>
      </c>
      <c r="C2455" s="1">
        <f>IFERROR(__xludf.DUMMYFUNCTION("""COMPUTED_VALUE"""),127.18)</f>
        <v>127.18</v>
      </c>
      <c r="D2455" s="1">
        <f>IFERROR(__xludf.DUMMYFUNCTION("""COMPUTED_VALUE"""),123.61)</f>
        <v>123.61</v>
      </c>
      <c r="E2455" s="1">
        <f>IFERROR(__xludf.DUMMYFUNCTION("""COMPUTED_VALUE"""),126.55)</f>
        <v>126.55</v>
      </c>
      <c r="F2455" s="1">
        <f>IFERROR(__xludf.DUMMYFUNCTION("""COMPUTED_VALUE"""),512659.0)</f>
        <v>512659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IFERROR(__xludf.DUMMYFUNCTION("""COMPUTED_VALUE"""),126.15)</f>
        <v>126.15</v>
      </c>
      <c r="C2456" s="1">
        <f>IFERROR(__xludf.DUMMYFUNCTION("""COMPUTED_VALUE"""),129.18)</f>
        <v>129.18</v>
      </c>
      <c r="D2456" s="1">
        <f>IFERROR(__xludf.DUMMYFUNCTION("""COMPUTED_VALUE"""),124.37)</f>
        <v>124.37</v>
      </c>
      <c r="E2456" s="1">
        <f>IFERROR(__xludf.DUMMYFUNCTION("""COMPUTED_VALUE"""),129.09)</f>
        <v>129.09</v>
      </c>
      <c r="F2456" s="1">
        <f>IFERROR(__xludf.DUMMYFUNCTION("""COMPUTED_VALUE"""),451479.0)</f>
        <v>451479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IFERROR(__xludf.DUMMYFUNCTION("""COMPUTED_VALUE"""),129.12)</f>
        <v>129.12</v>
      </c>
      <c r="C2457" s="1">
        <f>IFERROR(__xludf.DUMMYFUNCTION("""COMPUTED_VALUE"""),132.03)</f>
        <v>132.03</v>
      </c>
      <c r="D2457" s="1">
        <f>IFERROR(__xludf.DUMMYFUNCTION("""COMPUTED_VALUE"""),129.12)</f>
        <v>129.12</v>
      </c>
      <c r="E2457" s="1">
        <f>IFERROR(__xludf.DUMMYFUNCTION("""COMPUTED_VALUE"""),131.78)</f>
        <v>131.78</v>
      </c>
      <c r="F2457" s="1">
        <f>IFERROR(__xludf.DUMMYFUNCTION("""COMPUTED_VALUE"""),323491.0)</f>
        <v>323491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IFERROR(__xludf.DUMMYFUNCTION("""COMPUTED_VALUE"""),131.24)</f>
        <v>131.24</v>
      </c>
      <c r="C2458" s="1">
        <f>IFERROR(__xludf.DUMMYFUNCTION("""COMPUTED_VALUE"""),133.51)</f>
        <v>133.51</v>
      </c>
      <c r="D2458" s="1">
        <f>IFERROR(__xludf.DUMMYFUNCTION("""COMPUTED_VALUE"""),131.09)</f>
        <v>131.09</v>
      </c>
      <c r="E2458" s="1">
        <f>IFERROR(__xludf.DUMMYFUNCTION("""COMPUTED_VALUE"""),131.88)</f>
        <v>131.88</v>
      </c>
      <c r="F2458" s="1">
        <f>IFERROR(__xludf.DUMMYFUNCTION("""COMPUTED_VALUE"""),233071.0)</f>
        <v>233071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IFERROR(__xludf.DUMMYFUNCTION("""COMPUTED_VALUE"""),130.12)</f>
        <v>130.12</v>
      </c>
      <c r="C2459" s="1">
        <f>IFERROR(__xludf.DUMMYFUNCTION("""COMPUTED_VALUE"""),131.01)</f>
        <v>131.01</v>
      </c>
      <c r="D2459" s="1">
        <f>IFERROR(__xludf.DUMMYFUNCTION("""COMPUTED_VALUE"""),129.01)</f>
        <v>129.01</v>
      </c>
      <c r="E2459" s="1">
        <f>IFERROR(__xludf.DUMMYFUNCTION("""COMPUTED_VALUE"""),129.48)</f>
        <v>129.48</v>
      </c>
      <c r="F2459" s="1">
        <f>IFERROR(__xludf.DUMMYFUNCTION("""COMPUTED_VALUE"""),624539.0)</f>
        <v>624539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IFERROR(__xludf.DUMMYFUNCTION("""COMPUTED_VALUE"""),131.04)</f>
        <v>131.04</v>
      </c>
      <c r="C2460" s="1">
        <f>IFERROR(__xludf.DUMMYFUNCTION("""COMPUTED_VALUE"""),131.92)</f>
        <v>131.92</v>
      </c>
      <c r="D2460" s="1">
        <f>IFERROR(__xludf.DUMMYFUNCTION("""COMPUTED_VALUE"""),129.85)</f>
        <v>129.85</v>
      </c>
      <c r="E2460" s="1">
        <f>IFERROR(__xludf.DUMMYFUNCTION("""COMPUTED_VALUE"""),131.39)</f>
        <v>131.39</v>
      </c>
      <c r="F2460" s="1">
        <f>IFERROR(__xludf.DUMMYFUNCTION("""COMPUTED_VALUE"""),160419.0)</f>
        <v>160419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IFERROR(__xludf.DUMMYFUNCTION("""COMPUTED_VALUE"""),130.98)</f>
        <v>130.98</v>
      </c>
      <c r="C2461" s="1">
        <f>IFERROR(__xludf.DUMMYFUNCTION("""COMPUTED_VALUE"""),132.44)</f>
        <v>132.44</v>
      </c>
      <c r="D2461" s="1">
        <f>IFERROR(__xludf.DUMMYFUNCTION("""COMPUTED_VALUE"""),129.87)</f>
        <v>129.87</v>
      </c>
      <c r="E2461" s="1">
        <f>IFERROR(__xludf.DUMMYFUNCTION("""COMPUTED_VALUE"""),130.81)</f>
        <v>130.81</v>
      </c>
      <c r="F2461" s="1">
        <f>IFERROR(__xludf.DUMMYFUNCTION("""COMPUTED_VALUE"""),221985.0)</f>
        <v>221985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IFERROR(__xludf.DUMMYFUNCTION("""COMPUTED_VALUE"""),132.56)</f>
        <v>132.56</v>
      </c>
      <c r="C2462" s="1">
        <f>IFERROR(__xludf.DUMMYFUNCTION("""COMPUTED_VALUE"""),134.31)</f>
        <v>134.31</v>
      </c>
      <c r="D2462" s="1">
        <f>IFERROR(__xludf.DUMMYFUNCTION("""COMPUTED_VALUE"""),132.05)</f>
        <v>132.05</v>
      </c>
      <c r="E2462" s="1">
        <f>IFERROR(__xludf.DUMMYFUNCTION("""COMPUTED_VALUE"""),133.11)</f>
        <v>133.11</v>
      </c>
      <c r="F2462" s="1">
        <f>IFERROR(__xludf.DUMMYFUNCTION("""COMPUTED_VALUE"""),197663.0)</f>
        <v>197663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IFERROR(__xludf.DUMMYFUNCTION("""COMPUTED_VALUE"""),132.96)</f>
        <v>132.96</v>
      </c>
      <c r="C2463" s="1">
        <f>IFERROR(__xludf.DUMMYFUNCTION("""COMPUTED_VALUE"""),134.27)</f>
        <v>134.27</v>
      </c>
      <c r="D2463" s="1">
        <f>IFERROR(__xludf.DUMMYFUNCTION("""COMPUTED_VALUE"""),132.0)</f>
        <v>132</v>
      </c>
      <c r="E2463" s="1">
        <f>IFERROR(__xludf.DUMMYFUNCTION("""COMPUTED_VALUE"""),133.9)</f>
        <v>133.9</v>
      </c>
      <c r="F2463" s="1">
        <f>IFERROR(__xludf.DUMMYFUNCTION("""COMPUTED_VALUE"""),121616.0)</f>
        <v>121616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IFERROR(__xludf.DUMMYFUNCTION("""COMPUTED_VALUE"""),134.6)</f>
        <v>134.6</v>
      </c>
      <c r="C2464" s="1">
        <f>IFERROR(__xludf.DUMMYFUNCTION("""COMPUTED_VALUE"""),134.79)</f>
        <v>134.79</v>
      </c>
      <c r="D2464" s="1">
        <f>IFERROR(__xludf.DUMMYFUNCTION("""COMPUTED_VALUE"""),133.25)</f>
        <v>133.25</v>
      </c>
      <c r="E2464" s="1">
        <f>IFERROR(__xludf.DUMMYFUNCTION("""COMPUTED_VALUE"""),134.07)</f>
        <v>134.07</v>
      </c>
      <c r="F2464" s="1">
        <f>IFERROR(__xludf.DUMMYFUNCTION("""COMPUTED_VALUE"""),195696.0)</f>
        <v>195696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IFERROR(__xludf.DUMMYFUNCTION("""COMPUTED_VALUE"""),134.13)</f>
        <v>134.13</v>
      </c>
      <c r="C2465" s="1">
        <f>IFERROR(__xludf.DUMMYFUNCTION("""COMPUTED_VALUE"""),135.57)</f>
        <v>135.57</v>
      </c>
      <c r="D2465" s="1">
        <f>IFERROR(__xludf.DUMMYFUNCTION("""COMPUTED_VALUE"""),133.78)</f>
        <v>133.78</v>
      </c>
      <c r="E2465" s="1">
        <f>IFERROR(__xludf.DUMMYFUNCTION("""COMPUTED_VALUE"""),134.76)</f>
        <v>134.76</v>
      </c>
      <c r="F2465" s="1">
        <f>IFERROR(__xludf.DUMMYFUNCTION("""COMPUTED_VALUE"""),324422.0)</f>
        <v>324422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IFERROR(__xludf.DUMMYFUNCTION("""COMPUTED_VALUE"""),135.0)</f>
        <v>135</v>
      </c>
      <c r="C2466" s="1">
        <f>IFERROR(__xludf.DUMMYFUNCTION("""COMPUTED_VALUE"""),136.29)</f>
        <v>136.29</v>
      </c>
      <c r="D2466" s="1">
        <f>IFERROR(__xludf.DUMMYFUNCTION("""COMPUTED_VALUE"""),134.65)</f>
        <v>134.65</v>
      </c>
      <c r="E2466" s="1">
        <f>IFERROR(__xludf.DUMMYFUNCTION("""COMPUTED_VALUE"""),136.07)</f>
        <v>136.07</v>
      </c>
      <c r="F2466" s="1">
        <f>IFERROR(__xludf.DUMMYFUNCTION("""COMPUTED_VALUE"""),349203.0)</f>
        <v>349203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IFERROR(__xludf.DUMMYFUNCTION("""COMPUTED_VALUE"""),133.5)</f>
        <v>133.5</v>
      </c>
      <c r="C2467" s="1">
        <f>IFERROR(__xludf.DUMMYFUNCTION("""COMPUTED_VALUE"""),135.63)</f>
        <v>135.63</v>
      </c>
      <c r="D2467" s="1">
        <f>IFERROR(__xludf.DUMMYFUNCTION("""COMPUTED_VALUE"""),133.5)</f>
        <v>133.5</v>
      </c>
      <c r="E2467" s="1">
        <f>IFERROR(__xludf.DUMMYFUNCTION("""COMPUTED_VALUE"""),134.28)</f>
        <v>134.28</v>
      </c>
      <c r="F2467" s="1">
        <f>IFERROR(__xludf.DUMMYFUNCTION("""COMPUTED_VALUE"""),455783.0)</f>
        <v>455783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IFERROR(__xludf.DUMMYFUNCTION("""COMPUTED_VALUE"""),133.0)</f>
        <v>133</v>
      </c>
      <c r="C2468" s="1">
        <f>IFERROR(__xludf.DUMMYFUNCTION("""COMPUTED_VALUE"""),133.5)</f>
        <v>133.5</v>
      </c>
      <c r="D2468" s="1">
        <f>IFERROR(__xludf.DUMMYFUNCTION("""COMPUTED_VALUE"""),127.24)</f>
        <v>127.24</v>
      </c>
      <c r="E2468" s="1">
        <f>IFERROR(__xludf.DUMMYFUNCTION("""COMPUTED_VALUE"""),128.66)</f>
        <v>128.66</v>
      </c>
      <c r="F2468" s="1">
        <f>IFERROR(__xludf.DUMMYFUNCTION("""COMPUTED_VALUE"""),857404.0)</f>
        <v>857404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IFERROR(__xludf.DUMMYFUNCTION("""COMPUTED_VALUE"""),129.5)</f>
        <v>129.5</v>
      </c>
      <c r="C2469" s="1">
        <f>IFERROR(__xludf.DUMMYFUNCTION("""COMPUTED_VALUE"""),129.74)</f>
        <v>129.74</v>
      </c>
      <c r="D2469" s="1">
        <f>IFERROR(__xludf.DUMMYFUNCTION("""COMPUTED_VALUE"""),126.16)</f>
        <v>126.16</v>
      </c>
      <c r="E2469" s="1">
        <f>IFERROR(__xludf.DUMMYFUNCTION("""COMPUTED_VALUE"""),126.38)</f>
        <v>126.38</v>
      </c>
      <c r="F2469" s="1">
        <f>IFERROR(__xludf.DUMMYFUNCTION("""COMPUTED_VALUE"""),301145.0)</f>
        <v>301145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IFERROR(__xludf.DUMMYFUNCTION("""COMPUTED_VALUE"""),126.73)</f>
        <v>126.73</v>
      </c>
      <c r="C2470" s="1">
        <f>IFERROR(__xludf.DUMMYFUNCTION("""COMPUTED_VALUE"""),128.67)</f>
        <v>128.67</v>
      </c>
      <c r="D2470" s="1">
        <f>IFERROR(__xludf.DUMMYFUNCTION("""COMPUTED_VALUE"""),125.52)</f>
        <v>125.52</v>
      </c>
      <c r="E2470" s="1">
        <f>IFERROR(__xludf.DUMMYFUNCTION("""COMPUTED_VALUE"""),126.05)</f>
        <v>126.05</v>
      </c>
      <c r="F2470" s="1">
        <f>IFERROR(__xludf.DUMMYFUNCTION("""COMPUTED_VALUE"""),252370.0)</f>
        <v>252370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IFERROR(__xludf.DUMMYFUNCTION("""COMPUTED_VALUE"""),126.0)</f>
        <v>126</v>
      </c>
      <c r="C2471" s="1">
        <f>IFERROR(__xludf.DUMMYFUNCTION("""COMPUTED_VALUE"""),127.8)</f>
        <v>127.8</v>
      </c>
      <c r="D2471" s="1">
        <f>IFERROR(__xludf.DUMMYFUNCTION("""COMPUTED_VALUE"""),125.39)</f>
        <v>125.39</v>
      </c>
      <c r="E2471" s="1">
        <f>IFERROR(__xludf.DUMMYFUNCTION("""COMPUTED_VALUE"""),127.62)</f>
        <v>127.62</v>
      </c>
      <c r="F2471" s="1">
        <f>IFERROR(__xludf.DUMMYFUNCTION("""COMPUTED_VALUE"""),385780.0)</f>
        <v>385780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IFERROR(__xludf.DUMMYFUNCTION("""COMPUTED_VALUE"""),127.69)</f>
        <v>127.69</v>
      </c>
      <c r="C2472" s="1">
        <f>IFERROR(__xludf.DUMMYFUNCTION("""COMPUTED_VALUE"""),130.0)</f>
        <v>130</v>
      </c>
      <c r="D2472" s="1">
        <f>IFERROR(__xludf.DUMMYFUNCTION("""COMPUTED_VALUE"""),127.12)</f>
        <v>127.12</v>
      </c>
      <c r="E2472" s="1">
        <f>IFERROR(__xludf.DUMMYFUNCTION("""COMPUTED_VALUE"""),129.06)</f>
        <v>129.06</v>
      </c>
      <c r="F2472" s="1">
        <f>IFERROR(__xludf.DUMMYFUNCTION("""COMPUTED_VALUE"""),148460.0)</f>
        <v>148460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IFERROR(__xludf.DUMMYFUNCTION("""COMPUTED_VALUE"""),129.41)</f>
        <v>129.41</v>
      </c>
      <c r="C2473" s="1">
        <f>IFERROR(__xludf.DUMMYFUNCTION("""COMPUTED_VALUE"""),131.67)</f>
        <v>131.67</v>
      </c>
      <c r="D2473" s="1">
        <f>IFERROR(__xludf.DUMMYFUNCTION("""COMPUTED_VALUE"""),129.41)</f>
        <v>129.41</v>
      </c>
      <c r="E2473" s="1">
        <f>IFERROR(__xludf.DUMMYFUNCTION("""COMPUTED_VALUE"""),131.18)</f>
        <v>131.18</v>
      </c>
      <c r="F2473" s="1">
        <f>IFERROR(__xludf.DUMMYFUNCTION("""COMPUTED_VALUE"""),251000.0)</f>
        <v>251000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IFERROR(__xludf.DUMMYFUNCTION("""COMPUTED_VALUE"""),130.86)</f>
        <v>130.86</v>
      </c>
      <c r="C2474" s="1">
        <f>IFERROR(__xludf.DUMMYFUNCTION("""COMPUTED_VALUE"""),133.17)</f>
        <v>133.17</v>
      </c>
      <c r="D2474" s="1">
        <f>IFERROR(__xludf.DUMMYFUNCTION("""COMPUTED_VALUE"""),130.03)</f>
        <v>130.03</v>
      </c>
      <c r="E2474" s="1">
        <f>IFERROR(__xludf.DUMMYFUNCTION("""COMPUTED_VALUE"""),132.42)</f>
        <v>132.42</v>
      </c>
      <c r="F2474" s="1">
        <f>IFERROR(__xludf.DUMMYFUNCTION("""COMPUTED_VALUE"""),171717.0)</f>
        <v>171717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IFERROR(__xludf.DUMMYFUNCTION("""COMPUTED_VALUE"""),132.03)</f>
        <v>132.03</v>
      </c>
      <c r="C2475" s="1">
        <f>IFERROR(__xludf.DUMMYFUNCTION("""COMPUTED_VALUE"""),133.21)</f>
        <v>133.21</v>
      </c>
      <c r="D2475" s="1">
        <f>IFERROR(__xludf.DUMMYFUNCTION("""COMPUTED_VALUE"""),130.85)</f>
        <v>130.85</v>
      </c>
      <c r="E2475" s="1">
        <f>IFERROR(__xludf.DUMMYFUNCTION("""COMPUTED_VALUE"""),132.56)</f>
        <v>132.56</v>
      </c>
      <c r="F2475" s="1">
        <f>IFERROR(__xludf.DUMMYFUNCTION("""COMPUTED_VALUE"""),181115.0)</f>
        <v>181115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IFERROR(__xludf.DUMMYFUNCTION("""COMPUTED_VALUE"""),132.23)</f>
        <v>132.23</v>
      </c>
      <c r="C2476" s="1">
        <f>IFERROR(__xludf.DUMMYFUNCTION("""COMPUTED_VALUE"""),132.65)</f>
        <v>132.65</v>
      </c>
      <c r="D2476" s="1">
        <f>IFERROR(__xludf.DUMMYFUNCTION("""COMPUTED_VALUE"""),128.59)</f>
        <v>128.59</v>
      </c>
      <c r="E2476" s="1">
        <f>IFERROR(__xludf.DUMMYFUNCTION("""COMPUTED_VALUE"""),129.98)</f>
        <v>129.98</v>
      </c>
      <c r="F2476" s="1">
        <f>IFERROR(__xludf.DUMMYFUNCTION("""COMPUTED_VALUE"""),395150.0)</f>
        <v>395150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IFERROR(__xludf.DUMMYFUNCTION("""COMPUTED_VALUE"""),131.22)</f>
        <v>131.22</v>
      </c>
      <c r="C2477" s="1">
        <f>IFERROR(__xludf.DUMMYFUNCTION("""COMPUTED_VALUE"""),133.7)</f>
        <v>133.7</v>
      </c>
      <c r="D2477" s="1">
        <f>IFERROR(__xludf.DUMMYFUNCTION("""COMPUTED_VALUE"""),130.54)</f>
        <v>130.54</v>
      </c>
      <c r="E2477" s="1">
        <f>IFERROR(__xludf.DUMMYFUNCTION("""COMPUTED_VALUE"""),132.72)</f>
        <v>132.72</v>
      </c>
      <c r="F2477" s="1">
        <f>IFERROR(__xludf.DUMMYFUNCTION("""COMPUTED_VALUE"""),417011.0)</f>
        <v>417011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IFERROR(__xludf.DUMMYFUNCTION("""COMPUTED_VALUE"""),133.9)</f>
        <v>133.9</v>
      </c>
      <c r="C2478" s="1">
        <f>IFERROR(__xludf.DUMMYFUNCTION("""COMPUTED_VALUE"""),133.9)</f>
        <v>133.9</v>
      </c>
      <c r="D2478" s="1">
        <f>IFERROR(__xludf.DUMMYFUNCTION("""COMPUTED_VALUE"""),131.09)</f>
        <v>131.09</v>
      </c>
      <c r="E2478" s="1">
        <f>IFERROR(__xludf.DUMMYFUNCTION("""COMPUTED_VALUE"""),131.86)</f>
        <v>131.86</v>
      </c>
      <c r="F2478" s="1">
        <f>IFERROR(__xludf.DUMMYFUNCTION("""COMPUTED_VALUE"""),328016.0)</f>
        <v>328016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IFERROR(__xludf.DUMMYFUNCTION("""COMPUTED_VALUE"""),132.15)</f>
        <v>132.15</v>
      </c>
      <c r="C2479" s="1">
        <f>IFERROR(__xludf.DUMMYFUNCTION("""COMPUTED_VALUE"""),132.84)</f>
        <v>132.84</v>
      </c>
      <c r="D2479" s="1">
        <f>IFERROR(__xludf.DUMMYFUNCTION("""COMPUTED_VALUE"""),130.57)</f>
        <v>130.57</v>
      </c>
      <c r="E2479" s="1">
        <f>IFERROR(__xludf.DUMMYFUNCTION("""COMPUTED_VALUE"""),130.57)</f>
        <v>130.57</v>
      </c>
      <c r="F2479" s="1">
        <f>IFERROR(__xludf.DUMMYFUNCTION("""COMPUTED_VALUE"""),371541.0)</f>
        <v>371541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IFERROR(__xludf.DUMMYFUNCTION("""COMPUTED_VALUE"""),133.41)</f>
        <v>133.41</v>
      </c>
      <c r="C2480" s="1">
        <f>IFERROR(__xludf.DUMMYFUNCTION("""COMPUTED_VALUE"""),134.0)</f>
        <v>134</v>
      </c>
      <c r="D2480" s="1">
        <f>IFERROR(__xludf.DUMMYFUNCTION("""COMPUTED_VALUE"""),126.06)</f>
        <v>126.06</v>
      </c>
      <c r="E2480" s="1">
        <f>IFERROR(__xludf.DUMMYFUNCTION("""COMPUTED_VALUE"""),128.74)</f>
        <v>128.74</v>
      </c>
      <c r="F2480" s="1">
        <f>IFERROR(__xludf.DUMMYFUNCTION("""COMPUTED_VALUE"""),438506.0)</f>
        <v>438506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IFERROR(__xludf.DUMMYFUNCTION("""COMPUTED_VALUE"""),128.74)</f>
        <v>128.74</v>
      </c>
      <c r="C2481" s="1">
        <f>IFERROR(__xludf.DUMMYFUNCTION("""COMPUTED_VALUE"""),130.87)</f>
        <v>130.87</v>
      </c>
      <c r="D2481" s="1">
        <f>IFERROR(__xludf.DUMMYFUNCTION("""COMPUTED_VALUE"""),126.27)</f>
        <v>126.27</v>
      </c>
      <c r="E2481" s="1">
        <f>IFERROR(__xludf.DUMMYFUNCTION("""COMPUTED_VALUE"""),127.37)</f>
        <v>127.37</v>
      </c>
      <c r="F2481" s="1">
        <f>IFERROR(__xludf.DUMMYFUNCTION("""COMPUTED_VALUE"""),486588.0)</f>
        <v>486588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IFERROR(__xludf.DUMMYFUNCTION("""COMPUTED_VALUE"""),127.33)</f>
        <v>127.33</v>
      </c>
      <c r="C2482" s="1">
        <f>IFERROR(__xludf.DUMMYFUNCTION("""COMPUTED_VALUE"""),130.54)</f>
        <v>130.54</v>
      </c>
      <c r="D2482" s="1">
        <f>IFERROR(__xludf.DUMMYFUNCTION("""COMPUTED_VALUE"""),126.56)</f>
        <v>126.56</v>
      </c>
      <c r="E2482" s="1">
        <f>IFERROR(__xludf.DUMMYFUNCTION("""COMPUTED_VALUE"""),130.51)</f>
        <v>130.51</v>
      </c>
      <c r="F2482" s="1">
        <f>IFERROR(__xludf.DUMMYFUNCTION("""COMPUTED_VALUE"""),321134.0)</f>
        <v>321134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IFERROR(__xludf.DUMMYFUNCTION("""COMPUTED_VALUE"""),129.72)</f>
        <v>129.72</v>
      </c>
      <c r="C2483" s="1">
        <f>IFERROR(__xludf.DUMMYFUNCTION("""COMPUTED_VALUE"""),132.18)</f>
        <v>132.18</v>
      </c>
      <c r="D2483" s="1">
        <f>IFERROR(__xludf.DUMMYFUNCTION("""COMPUTED_VALUE"""),129.09)</f>
        <v>129.09</v>
      </c>
      <c r="E2483" s="1">
        <f>IFERROR(__xludf.DUMMYFUNCTION("""COMPUTED_VALUE"""),132.01)</f>
        <v>132.01</v>
      </c>
      <c r="F2483" s="1">
        <f>IFERROR(__xludf.DUMMYFUNCTION("""COMPUTED_VALUE"""),298281.0)</f>
        <v>298281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IFERROR(__xludf.DUMMYFUNCTION("""COMPUTED_VALUE"""),132.14)</f>
        <v>132.14</v>
      </c>
      <c r="C2484" s="1">
        <f>IFERROR(__xludf.DUMMYFUNCTION("""COMPUTED_VALUE"""),135.16)</f>
        <v>135.16</v>
      </c>
      <c r="D2484" s="1">
        <f>IFERROR(__xludf.DUMMYFUNCTION("""COMPUTED_VALUE"""),131.6)</f>
        <v>131.6</v>
      </c>
      <c r="E2484" s="1">
        <f>IFERROR(__xludf.DUMMYFUNCTION("""COMPUTED_VALUE"""),135.12)</f>
        <v>135.12</v>
      </c>
      <c r="F2484" s="1">
        <f>IFERROR(__xludf.DUMMYFUNCTION("""COMPUTED_VALUE"""),354357.0)</f>
        <v>354357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IFERROR(__xludf.DUMMYFUNCTION("""COMPUTED_VALUE"""),134.44)</f>
        <v>134.44</v>
      </c>
      <c r="C2485" s="1">
        <f>IFERROR(__xludf.DUMMYFUNCTION("""COMPUTED_VALUE"""),138.09)</f>
        <v>138.09</v>
      </c>
      <c r="D2485" s="1">
        <f>IFERROR(__xludf.DUMMYFUNCTION("""COMPUTED_VALUE"""),134.08)</f>
        <v>134.08</v>
      </c>
      <c r="E2485" s="1">
        <f>IFERROR(__xludf.DUMMYFUNCTION("""COMPUTED_VALUE"""),137.12)</f>
        <v>137.12</v>
      </c>
      <c r="F2485" s="1">
        <f>IFERROR(__xludf.DUMMYFUNCTION("""COMPUTED_VALUE"""),395624.0)</f>
        <v>395624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IFERROR(__xludf.DUMMYFUNCTION("""COMPUTED_VALUE"""),137.12)</f>
        <v>137.12</v>
      </c>
      <c r="C2486" s="1">
        <f>IFERROR(__xludf.DUMMYFUNCTION("""COMPUTED_VALUE"""),137.68)</f>
        <v>137.68</v>
      </c>
      <c r="D2486" s="1">
        <f>IFERROR(__xludf.DUMMYFUNCTION("""COMPUTED_VALUE"""),135.97)</f>
        <v>135.97</v>
      </c>
      <c r="E2486" s="1">
        <f>IFERROR(__xludf.DUMMYFUNCTION("""COMPUTED_VALUE"""),137.59)</f>
        <v>137.59</v>
      </c>
      <c r="F2486" s="1">
        <f>IFERROR(__xludf.DUMMYFUNCTION("""COMPUTED_VALUE"""),315871.0)</f>
        <v>315871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IFERROR(__xludf.DUMMYFUNCTION("""COMPUTED_VALUE"""),138.0)</f>
        <v>138</v>
      </c>
      <c r="C2487" s="1">
        <f>IFERROR(__xludf.DUMMYFUNCTION("""COMPUTED_VALUE"""),139.18)</f>
        <v>139.18</v>
      </c>
      <c r="D2487" s="1">
        <f>IFERROR(__xludf.DUMMYFUNCTION("""COMPUTED_VALUE"""),137.04)</f>
        <v>137.04</v>
      </c>
      <c r="E2487" s="1">
        <f>IFERROR(__xludf.DUMMYFUNCTION("""COMPUTED_VALUE"""),139.07)</f>
        <v>139.07</v>
      </c>
      <c r="F2487" s="1">
        <f>IFERROR(__xludf.DUMMYFUNCTION("""COMPUTED_VALUE"""),317456.0)</f>
        <v>317456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IFERROR(__xludf.DUMMYFUNCTION("""COMPUTED_VALUE"""),138.8)</f>
        <v>138.8</v>
      </c>
      <c r="C2488" s="1">
        <f>IFERROR(__xludf.DUMMYFUNCTION("""COMPUTED_VALUE"""),138.91)</f>
        <v>138.91</v>
      </c>
      <c r="D2488" s="1">
        <f>IFERROR(__xludf.DUMMYFUNCTION("""COMPUTED_VALUE"""),136.41)</f>
        <v>136.41</v>
      </c>
      <c r="E2488" s="1">
        <f>IFERROR(__xludf.DUMMYFUNCTION("""COMPUTED_VALUE"""),136.94)</f>
        <v>136.94</v>
      </c>
      <c r="F2488" s="1">
        <f>IFERROR(__xludf.DUMMYFUNCTION("""COMPUTED_VALUE"""),346966.0)</f>
        <v>346966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IFERROR(__xludf.DUMMYFUNCTION("""COMPUTED_VALUE"""),137.5)</f>
        <v>137.5</v>
      </c>
      <c r="C2489" s="1">
        <f>IFERROR(__xludf.DUMMYFUNCTION("""COMPUTED_VALUE"""),139.06)</f>
        <v>139.06</v>
      </c>
      <c r="D2489" s="1">
        <f>IFERROR(__xludf.DUMMYFUNCTION("""COMPUTED_VALUE"""),137.14)</f>
        <v>137.14</v>
      </c>
      <c r="E2489" s="1">
        <f>IFERROR(__xludf.DUMMYFUNCTION("""COMPUTED_VALUE"""),138.26)</f>
        <v>138.26</v>
      </c>
      <c r="F2489" s="1">
        <f>IFERROR(__xludf.DUMMYFUNCTION("""COMPUTED_VALUE"""),403544.0)</f>
        <v>403544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IFERROR(__xludf.DUMMYFUNCTION("""COMPUTED_VALUE"""),138.25)</f>
        <v>138.25</v>
      </c>
      <c r="C2490" s="1">
        <f>IFERROR(__xludf.DUMMYFUNCTION("""COMPUTED_VALUE"""),141.08)</f>
        <v>141.08</v>
      </c>
      <c r="D2490" s="1">
        <f>IFERROR(__xludf.DUMMYFUNCTION("""COMPUTED_VALUE"""),138.12)</f>
        <v>138.12</v>
      </c>
      <c r="E2490" s="1">
        <f>IFERROR(__xludf.DUMMYFUNCTION("""COMPUTED_VALUE"""),139.53)</f>
        <v>139.53</v>
      </c>
      <c r="F2490" s="1">
        <f>IFERROR(__xludf.DUMMYFUNCTION("""COMPUTED_VALUE"""),374316.0)</f>
        <v>374316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IFERROR(__xludf.DUMMYFUNCTION("""COMPUTED_VALUE"""),140.1)</f>
        <v>140.1</v>
      </c>
      <c r="C2491" s="1">
        <f>IFERROR(__xludf.DUMMYFUNCTION("""COMPUTED_VALUE"""),140.41)</f>
        <v>140.41</v>
      </c>
      <c r="D2491" s="1">
        <f>IFERROR(__xludf.DUMMYFUNCTION("""COMPUTED_VALUE"""),138.04)</f>
        <v>138.04</v>
      </c>
      <c r="E2491" s="1">
        <f>IFERROR(__xludf.DUMMYFUNCTION("""COMPUTED_VALUE"""),140.07)</f>
        <v>140.07</v>
      </c>
      <c r="F2491" s="1">
        <f>IFERROR(__xludf.DUMMYFUNCTION("""COMPUTED_VALUE"""),296699.0)</f>
        <v>296699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IFERROR(__xludf.DUMMYFUNCTION("""COMPUTED_VALUE"""),140.79)</f>
        <v>140.79</v>
      </c>
      <c r="C2492" s="1">
        <f>IFERROR(__xludf.DUMMYFUNCTION("""COMPUTED_VALUE"""),141.74)</f>
        <v>141.74</v>
      </c>
      <c r="D2492" s="1">
        <f>IFERROR(__xludf.DUMMYFUNCTION("""COMPUTED_VALUE"""),139.95)</f>
        <v>139.95</v>
      </c>
      <c r="E2492" s="1">
        <f>IFERROR(__xludf.DUMMYFUNCTION("""COMPUTED_VALUE"""),140.77)</f>
        <v>140.77</v>
      </c>
      <c r="F2492" s="1">
        <f>IFERROR(__xludf.DUMMYFUNCTION("""COMPUTED_VALUE"""),273719.0)</f>
        <v>273719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IFERROR(__xludf.DUMMYFUNCTION("""COMPUTED_VALUE"""),141.69)</f>
        <v>141.69</v>
      </c>
      <c r="C2493" s="1">
        <f>IFERROR(__xludf.DUMMYFUNCTION("""COMPUTED_VALUE"""),144.85)</f>
        <v>144.85</v>
      </c>
      <c r="D2493" s="1">
        <f>IFERROR(__xludf.DUMMYFUNCTION("""COMPUTED_VALUE"""),141.48)</f>
        <v>141.48</v>
      </c>
      <c r="E2493" s="1">
        <f>IFERROR(__xludf.DUMMYFUNCTION("""COMPUTED_VALUE"""),144.8)</f>
        <v>144.8</v>
      </c>
      <c r="F2493" s="1">
        <f>IFERROR(__xludf.DUMMYFUNCTION("""COMPUTED_VALUE"""),402649.0)</f>
        <v>402649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IFERROR(__xludf.DUMMYFUNCTION("""COMPUTED_VALUE"""),144.45)</f>
        <v>144.45</v>
      </c>
      <c r="C2494" s="1">
        <f>IFERROR(__xludf.DUMMYFUNCTION("""COMPUTED_VALUE"""),145.85)</f>
        <v>145.85</v>
      </c>
      <c r="D2494" s="1">
        <f>IFERROR(__xludf.DUMMYFUNCTION("""COMPUTED_VALUE"""),143.45)</f>
        <v>143.45</v>
      </c>
      <c r="E2494" s="1">
        <f>IFERROR(__xludf.DUMMYFUNCTION("""COMPUTED_VALUE"""),145.54)</f>
        <v>145.54</v>
      </c>
      <c r="F2494" s="1">
        <f>IFERROR(__xludf.DUMMYFUNCTION("""COMPUTED_VALUE"""),226579.0)</f>
        <v>226579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IFERROR(__xludf.DUMMYFUNCTION("""COMPUTED_VALUE"""),146.0)</f>
        <v>146</v>
      </c>
      <c r="C2495" s="1">
        <f>IFERROR(__xludf.DUMMYFUNCTION("""COMPUTED_VALUE"""),147.16)</f>
        <v>147.16</v>
      </c>
      <c r="D2495" s="1">
        <f>IFERROR(__xludf.DUMMYFUNCTION("""COMPUTED_VALUE"""),145.07)</f>
        <v>145.07</v>
      </c>
      <c r="E2495" s="1">
        <f>IFERROR(__xludf.DUMMYFUNCTION("""COMPUTED_VALUE"""),146.88)</f>
        <v>146.88</v>
      </c>
      <c r="F2495" s="1">
        <f>IFERROR(__xludf.DUMMYFUNCTION("""COMPUTED_VALUE"""),161006.0)</f>
        <v>161006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IFERROR(__xludf.DUMMYFUNCTION("""COMPUTED_VALUE"""),146.79)</f>
        <v>146.79</v>
      </c>
      <c r="C2496" s="1">
        <f>IFERROR(__xludf.DUMMYFUNCTION("""COMPUTED_VALUE"""),147.54)</f>
        <v>147.54</v>
      </c>
      <c r="D2496" s="1">
        <f>IFERROR(__xludf.DUMMYFUNCTION("""COMPUTED_VALUE"""),145.07)</f>
        <v>145.07</v>
      </c>
      <c r="E2496" s="1">
        <f>IFERROR(__xludf.DUMMYFUNCTION("""COMPUTED_VALUE"""),145.25)</f>
        <v>145.25</v>
      </c>
      <c r="F2496" s="1">
        <f>IFERROR(__xludf.DUMMYFUNCTION("""COMPUTED_VALUE"""),94315.0)</f>
        <v>94315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IFERROR(__xludf.DUMMYFUNCTION("""COMPUTED_VALUE"""),146.41)</f>
        <v>146.41</v>
      </c>
      <c r="C2497" s="1">
        <f>IFERROR(__xludf.DUMMYFUNCTION("""COMPUTED_VALUE"""),146.41)</f>
        <v>146.41</v>
      </c>
      <c r="D2497" s="1">
        <f>IFERROR(__xludf.DUMMYFUNCTION("""COMPUTED_VALUE"""),144.21)</f>
        <v>144.21</v>
      </c>
      <c r="E2497" s="1">
        <f>IFERROR(__xludf.DUMMYFUNCTION("""COMPUTED_VALUE"""),144.71)</f>
        <v>144.71</v>
      </c>
      <c r="F2497" s="1">
        <f>IFERROR(__xludf.DUMMYFUNCTION("""COMPUTED_VALUE"""),234123.0)</f>
        <v>234123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IFERROR(__xludf.DUMMYFUNCTION("""COMPUTED_VALUE"""),143.4)</f>
        <v>143.4</v>
      </c>
      <c r="C2498" s="1">
        <f>IFERROR(__xludf.DUMMYFUNCTION("""COMPUTED_VALUE"""),144.11)</f>
        <v>144.11</v>
      </c>
      <c r="D2498" s="1">
        <f>IFERROR(__xludf.DUMMYFUNCTION("""COMPUTED_VALUE"""),142.76)</f>
        <v>142.76</v>
      </c>
      <c r="E2498" s="1">
        <f>IFERROR(__xludf.DUMMYFUNCTION("""COMPUTED_VALUE"""),143.73)</f>
        <v>143.73</v>
      </c>
      <c r="F2498" s="1">
        <f>IFERROR(__xludf.DUMMYFUNCTION("""COMPUTED_VALUE"""),199628.0)</f>
        <v>199628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IFERROR(__xludf.DUMMYFUNCTION("""COMPUTED_VALUE"""),144.58)</f>
        <v>144.58</v>
      </c>
      <c r="C2499" s="1">
        <f>IFERROR(__xludf.DUMMYFUNCTION("""COMPUTED_VALUE"""),146.1)</f>
        <v>146.1</v>
      </c>
      <c r="D2499" s="1">
        <f>IFERROR(__xludf.DUMMYFUNCTION("""COMPUTED_VALUE"""),143.78)</f>
        <v>143.78</v>
      </c>
      <c r="E2499" s="1">
        <f>IFERROR(__xludf.DUMMYFUNCTION("""COMPUTED_VALUE"""),145.39)</f>
        <v>145.39</v>
      </c>
      <c r="F2499" s="1">
        <f>IFERROR(__xludf.DUMMYFUNCTION("""COMPUTED_VALUE"""),276195.0)</f>
        <v>276195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IFERROR(__xludf.DUMMYFUNCTION("""COMPUTED_VALUE"""),145.84)</f>
        <v>145.84</v>
      </c>
      <c r="C2500" s="1">
        <f>IFERROR(__xludf.DUMMYFUNCTION("""COMPUTED_VALUE"""),145.98)</f>
        <v>145.98</v>
      </c>
      <c r="D2500" s="1">
        <f>IFERROR(__xludf.DUMMYFUNCTION("""COMPUTED_VALUE"""),143.09)</f>
        <v>143.09</v>
      </c>
      <c r="E2500" s="1">
        <f>IFERROR(__xludf.DUMMYFUNCTION("""COMPUTED_VALUE"""),144.7)</f>
        <v>144.7</v>
      </c>
      <c r="F2500" s="1">
        <f>IFERROR(__xludf.DUMMYFUNCTION("""COMPUTED_VALUE"""),340022.0)</f>
        <v>340022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IFERROR(__xludf.DUMMYFUNCTION("""COMPUTED_VALUE"""),146.02)</f>
        <v>146.02</v>
      </c>
      <c r="C2501" s="1">
        <f>IFERROR(__xludf.DUMMYFUNCTION("""COMPUTED_VALUE"""),146.94)</f>
        <v>146.94</v>
      </c>
      <c r="D2501" s="1">
        <f>IFERROR(__xludf.DUMMYFUNCTION("""COMPUTED_VALUE"""),145.76)</f>
        <v>145.76</v>
      </c>
      <c r="E2501" s="1">
        <f>IFERROR(__xludf.DUMMYFUNCTION("""COMPUTED_VALUE"""),146.23)</f>
        <v>146.23</v>
      </c>
      <c r="F2501" s="1">
        <f>IFERROR(__xludf.DUMMYFUNCTION("""COMPUTED_VALUE"""),284970.0)</f>
        <v>284970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IFERROR(__xludf.DUMMYFUNCTION("""COMPUTED_VALUE"""),146.79)</f>
        <v>146.79</v>
      </c>
      <c r="C2502" s="1">
        <f>IFERROR(__xludf.DUMMYFUNCTION("""COMPUTED_VALUE"""),146.79)</f>
        <v>146.79</v>
      </c>
      <c r="D2502" s="1">
        <f>IFERROR(__xludf.DUMMYFUNCTION("""COMPUTED_VALUE"""),143.18)</f>
        <v>143.18</v>
      </c>
      <c r="E2502" s="1">
        <f>IFERROR(__xludf.DUMMYFUNCTION("""COMPUTED_VALUE"""),144.71)</f>
        <v>144.71</v>
      </c>
      <c r="F2502" s="1">
        <f>IFERROR(__xludf.DUMMYFUNCTION("""COMPUTED_VALUE"""),355977.0)</f>
        <v>355977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IFERROR(__xludf.DUMMYFUNCTION("""COMPUTED_VALUE"""),145.15)</f>
        <v>145.15</v>
      </c>
      <c r="C2503" s="1">
        <f>IFERROR(__xludf.DUMMYFUNCTION("""COMPUTED_VALUE"""),146.42)</f>
        <v>146.42</v>
      </c>
      <c r="D2503" s="1">
        <f>IFERROR(__xludf.DUMMYFUNCTION("""COMPUTED_VALUE"""),143.92)</f>
        <v>143.92</v>
      </c>
      <c r="E2503" s="1">
        <f>IFERROR(__xludf.DUMMYFUNCTION("""COMPUTED_VALUE"""),146.23)</f>
        <v>146.23</v>
      </c>
      <c r="F2503" s="1">
        <f>IFERROR(__xludf.DUMMYFUNCTION("""COMPUTED_VALUE"""),299255.0)</f>
        <v>299255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IFERROR(__xludf.DUMMYFUNCTION("""COMPUTED_VALUE"""),145.83)</f>
        <v>145.83</v>
      </c>
      <c r="C2504" s="1">
        <f>IFERROR(__xludf.DUMMYFUNCTION("""COMPUTED_VALUE"""),146.41)</f>
        <v>146.41</v>
      </c>
      <c r="D2504" s="1">
        <f>IFERROR(__xludf.DUMMYFUNCTION("""COMPUTED_VALUE"""),144.98)</f>
        <v>144.98</v>
      </c>
      <c r="E2504" s="1">
        <f>IFERROR(__xludf.DUMMYFUNCTION("""COMPUTED_VALUE"""),146.24)</f>
        <v>146.24</v>
      </c>
      <c r="F2504" s="1">
        <f>IFERROR(__xludf.DUMMYFUNCTION("""COMPUTED_VALUE"""),289294.0)</f>
        <v>289294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IFERROR(__xludf.DUMMYFUNCTION("""COMPUTED_VALUE"""),146.44)</f>
        <v>146.44</v>
      </c>
      <c r="C2505" s="1">
        <f>IFERROR(__xludf.DUMMYFUNCTION("""COMPUTED_VALUE"""),149.22)</f>
        <v>149.22</v>
      </c>
      <c r="D2505" s="1">
        <f>IFERROR(__xludf.DUMMYFUNCTION("""COMPUTED_VALUE"""),145.82)</f>
        <v>145.82</v>
      </c>
      <c r="E2505" s="1">
        <f>IFERROR(__xludf.DUMMYFUNCTION("""COMPUTED_VALUE"""),147.07)</f>
        <v>147.07</v>
      </c>
      <c r="F2505" s="1">
        <f>IFERROR(__xludf.DUMMYFUNCTION("""COMPUTED_VALUE"""),242683.0)</f>
        <v>242683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IFERROR(__xludf.DUMMYFUNCTION("""COMPUTED_VALUE"""),147.4)</f>
        <v>147.4</v>
      </c>
      <c r="C2506" s="1">
        <f>IFERROR(__xludf.DUMMYFUNCTION("""COMPUTED_VALUE"""),147.8)</f>
        <v>147.8</v>
      </c>
      <c r="D2506" s="1">
        <f>IFERROR(__xludf.DUMMYFUNCTION("""COMPUTED_VALUE"""),145.49)</f>
        <v>145.49</v>
      </c>
      <c r="E2506" s="1">
        <f>IFERROR(__xludf.DUMMYFUNCTION("""COMPUTED_VALUE"""),145.83)</f>
        <v>145.83</v>
      </c>
      <c r="F2506" s="1">
        <f>IFERROR(__xludf.DUMMYFUNCTION("""COMPUTED_VALUE"""),323667.0)</f>
        <v>323667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IFERROR(__xludf.DUMMYFUNCTION("""COMPUTED_VALUE"""),148.01)</f>
        <v>148.01</v>
      </c>
      <c r="C2507" s="1">
        <f>IFERROR(__xludf.DUMMYFUNCTION("""COMPUTED_VALUE"""),150.46)</f>
        <v>150.46</v>
      </c>
      <c r="D2507" s="1">
        <f>IFERROR(__xludf.DUMMYFUNCTION("""COMPUTED_VALUE"""),146.45)</f>
        <v>146.45</v>
      </c>
      <c r="E2507" s="1">
        <f>IFERROR(__xludf.DUMMYFUNCTION("""COMPUTED_VALUE"""),147.71)</f>
        <v>147.71</v>
      </c>
      <c r="F2507" s="1">
        <f>IFERROR(__xludf.DUMMYFUNCTION("""COMPUTED_VALUE"""),355432.0)</f>
        <v>355432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IFERROR(__xludf.DUMMYFUNCTION("""COMPUTED_VALUE"""),148.64)</f>
        <v>148.64</v>
      </c>
      <c r="C2508" s="1">
        <f>IFERROR(__xludf.DUMMYFUNCTION("""COMPUTED_VALUE"""),149.85)</f>
        <v>149.85</v>
      </c>
      <c r="D2508" s="1">
        <f>IFERROR(__xludf.DUMMYFUNCTION("""COMPUTED_VALUE"""),147.12)</f>
        <v>147.12</v>
      </c>
      <c r="E2508" s="1">
        <f>IFERROR(__xludf.DUMMYFUNCTION("""COMPUTED_VALUE"""),148.9)</f>
        <v>148.9</v>
      </c>
      <c r="F2508" s="1">
        <f>IFERROR(__xludf.DUMMYFUNCTION("""COMPUTED_VALUE"""),404491.0)</f>
        <v>404491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IFERROR(__xludf.DUMMYFUNCTION("""COMPUTED_VALUE"""),148.56)</f>
        <v>148.56</v>
      </c>
      <c r="C2509" s="1">
        <f>IFERROR(__xludf.DUMMYFUNCTION("""COMPUTED_VALUE"""),149.82)</f>
        <v>149.82</v>
      </c>
      <c r="D2509" s="1">
        <f>IFERROR(__xludf.DUMMYFUNCTION("""COMPUTED_VALUE"""),146.74)</f>
        <v>146.74</v>
      </c>
      <c r="E2509" s="1">
        <f>IFERROR(__xludf.DUMMYFUNCTION("""COMPUTED_VALUE"""),147.74)</f>
        <v>147.74</v>
      </c>
      <c r="F2509" s="1">
        <f>IFERROR(__xludf.DUMMYFUNCTION("""COMPUTED_VALUE"""),415436.0)</f>
        <v>415436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IFERROR(__xludf.DUMMYFUNCTION("""COMPUTED_VALUE"""),147.98)</f>
        <v>147.98</v>
      </c>
      <c r="C2510" s="1">
        <f>IFERROR(__xludf.DUMMYFUNCTION("""COMPUTED_VALUE"""),149.92)</f>
        <v>149.92</v>
      </c>
      <c r="D2510" s="1">
        <f>IFERROR(__xludf.DUMMYFUNCTION("""COMPUTED_VALUE"""),147.57)</f>
        <v>147.57</v>
      </c>
      <c r="E2510" s="1">
        <f>IFERROR(__xludf.DUMMYFUNCTION("""COMPUTED_VALUE"""),149.39)</f>
        <v>149.39</v>
      </c>
      <c r="F2510" s="1">
        <f>IFERROR(__xludf.DUMMYFUNCTION("""COMPUTED_VALUE"""),179522.0)</f>
        <v>179522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IFERROR(__xludf.DUMMYFUNCTION("""COMPUTED_VALUE"""),150.5)</f>
        <v>150.5</v>
      </c>
      <c r="C2511" s="1">
        <f>IFERROR(__xludf.DUMMYFUNCTION("""COMPUTED_VALUE"""),151.81)</f>
        <v>151.81</v>
      </c>
      <c r="D2511" s="1">
        <f>IFERROR(__xludf.DUMMYFUNCTION("""COMPUTED_VALUE"""),149.78)</f>
        <v>149.78</v>
      </c>
      <c r="E2511" s="1">
        <f>IFERROR(__xludf.DUMMYFUNCTION("""COMPUTED_VALUE"""),151.67)</f>
        <v>151.67</v>
      </c>
      <c r="F2511" s="1">
        <f>IFERROR(__xludf.DUMMYFUNCTION("""COMPUTED_VALUE"""),744034.0)</f>
        <v>744034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IFERROR(__xludf.DUMMYFUNCTION("""COMPUTED_VALUE"""),152.2)</f>
        <v>152.2</v>
      </c>
      <c r="C2512" s="1">
        <f>IFERROR(__xludf.DUMMYFUNCTION("""COMPUTED_VALUE"""),152.2)</f>
        <v>152.2</v>
      </c>
      <c r="D2512" s="1">
        <f>IFERROR(__xludf.DUMMYFUNCTION("""COMPUTED_VALUE"""),150.05)</f>
        <v>150.05</v>
      </c>
      <c r="E2512" s="1">
        <f>IFERROR(__xludf.DUMMYFUNCTION("""COMPUTED_VALUE"""),151.34)</f>
        <v>151.34</v>
      </c>
      <c r="F2512" s="1">
        <f>IFERROR(__xludf.DUMMYFUNCTION("""COMPUTED_VALUE"""),215977.0)</f>
        <v>215977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IFERROR(__xludf.DUMMYFUNCTION("""COMPUTED_VALUE"""),151.96)</f>
        <v>151.96</v>
      </c>
      <c r="C2513" s="1">
        <f>IFERROR(__xludf.DUMMYFUNCTION("""COMPUTED_VALUE"""),152.15)</f>
        <v>152.15</v>
      </c>
      <c r="D2513" s="1">
        <f>IFERROR(__xludf.DUMMYFUNCTION("""COMPUTED_VALUE"""),151.0)</f>
        <v>151</v>
      </c>
      <c r="E2513" s="1">
        <f>IFERROR(__xludf.DUMMYFUNCTION("""COMPUTED_VALUE"""),151.31)</f>
        <v>151.31</v>
      </c>
      <c r="F2513" s="1">
        <f>IFERROR(__xludf.DUMMYFUNCTION("""COMPUTED_VALUE"""),92763.0)</f>
        <v>92763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IFERROR(__xludf.DUMMYFUNCTION("""COMPUTED_VALUE"""),151.3)</f>
        <v>151.3</v>
      </c>
      <c r="C2514" s="1">
        <f>IFERROR(__xludf.DUMMYFUNCTION("""COMPUTED_VALUE"""),152.2)</f>
        <v>152.2</v>
      </c>
      <c r="D2514" s="1">
        <f>IFERROR(__xludf.DUMMYFUNCTION("""COMPUTED_VALUE"""),151.3)</f>
        <v>151.3</v>
      </c>
      <c r="E2514" s="1">
        <f>IFERROR(__xludf.DUMMYFUNCTION("""COMPUTED_VALUE"""),151.9)</f>
        <v>151.9</v>
      </c>
      <c r="F2514" s="1">
        <f>IFERROR(__xludf.DUMMYFUNCTION("""COMPUTED_VALUE"""),151186.0)</f>
        <v>151186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IFERROR(__xludf.DUMMYFUNCTION("""COMPUTED_VALUE"""),152.55)</f>
        <v>152.55</v>
      </c>
      <c r="C2515" s="1">
        <f>IFERROR(__xludf.DUMMYFUNCTION("""COMPUTED_VALUE"""),152.91)</f>
        <v>152.91</v>
      </c>
      <c r="D2515" s="1">
        <f>IFERROR(__xludf.DUMMYFUNCTION("""COMPUTED_VALUE"""),150.98)</f>
        <v>150.98</v>
      </c>
      <c r="E2515" s="1">
        <f>IFERROR(__xludf.DUMMYFUNCTION("""COMPUTED_VALUE"""),151.93)</f>
        <v>151.93</v>
      </c>
      <c r="F2515" s="1">
        <f>IFERROR(__xludf.DUMMYFUNCTION("""COMPUTED_VALUE"""),234055.0)</f>
        <v>234055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IFERROR(__xludf.DUMMYFUNCTION("""COMPUTED_VALUE"""),151.5)</f>
        <v>151.5</v>
      </c>
      <c r="C2516" s="1">
        <f>IFERROR(__xludf.DUMMYFUNCTION("""COMPUTED_VALUE"""),152.19)</f>
        <v>152.19</v>
      </c>
      <c r="D2516" s="1">
        <f>IFERROR(__xludf.DUMMYFUNCTION("""COMPUTED_VALUE"""),150.59)</f>
        <v>150.59</v>
      </c>
      <c r="E2516" s="1">
        <f>IFERROR(__xludf.DUMMYFUNCTION("""COMPUTED_VALUE"""),151.84)</f>
        <v>151.84</v>
      </c>
      <c r="F2516" s="1">
        <f>IFERROR(__xludf.DUMMYFUNCTION("""COMPUTED_VALUE"""),176666.0)</f>
        <v>176666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IFERROR(__xludf.DUMMYFUNCTION("""COMPUTED_VALUE"""),151.51)</f>
        <v>151.51</v>
      </c>
      <c r="C2517" s="1">
        <f>IFERROR(__xludf.DUMMYFUNCTION("""COMPUTED_VALUE"""),153.39)</f>
        <v>153.39</v>
      </c>
      <c r="D2517" s="1">
        <f>IFERROR(__xludf.DUMMYFUNCTION("""COMPUTED_VALUE"""),151.51)</f>
        <v>151.51</v>
      </c>
      <c r="E2517" s="1">
        <f>IFERROR(__xludf.DUMMYFUNCTION("""COMPUTED_VALUE"""),152.76)</f>
        <v>152.76</v>
      </c>
      <c r="F2517" s="1">
        <f>IFERROR(__xludf.DUMMYFUNCTION("""COMPUTED_VALUE"""),234251.0)</f>
        <v>234251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IFERROR(__xludf.DUMMYFUNCTION("""COMPUTED_VALUE"""),154.27)</f>
        <v>154.27</v>
      </c>
      <c r="C2518" s="1">
        <f>IFERROR(__xludf.DUMMYFUNCTION("""COMPUTED_VALUE"""),154.84)</f>
        <v>154.84</v>
      </c>
      <c r="D2518" s="1">
        <f>IFERROR(__xludf.DUMMYFUNCTION("""COMPUTED_VALUE"""),151.38)</f>
        <v>151.38</v>
      </c>
      <c r="E2518" s="1">
        <f>IFERROR(__xludf.DUMMYFUNCTION("""COMPUTED_VALUE"""),153.89)</f>
        <v>153.89</v>
      </c>
      <c r="F2518" s="1">
        <f>IFERROR(__xludf.DUMMYFUNCTION("""COMPUTED_VALUE"""),335841.0)</f>
        <v>335841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IFERROR(__xludf.DUMMYFUNCTION("""COMPUTED_VALUE"""),151.69)</f>
        <v>151.69</v>
      </c>
      <c r="C2519" s="1">
        <f>IFERROR(__xludf.DUMMYFUNCTION("""COMPUTED_VALUE"""),153.28)</f>
        <v>153.28</v>
      </c>
      <c r="D2519" s="1">
        <f>IFERROR(__xludf.DUMMYFUNCTION("""COMPUTED_VALUE"""),150.73)</f>
        <v>150.73</v>
      </c>
      <c r="E2519" s="1">
        <f>IFERROR(__xludf.DUMMYFUNCTION("""COMPUTED_VALUE"""),152.7)</f>
        <v>152.7</v>
      </c>
      <c r="F2519" s="1">
        <f>IFERROR(__xludf.DUMMYFUNCTION("""COMPUTED_VALUE"""),291205.0)</f>
        <v>291205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IFERROR(__xludf.DUMMYFUNCTION("""COMPUTED_VALUE"""),151.38)</f>
        <v>151.38</v>
      </c>
      <c r="C2520" s="1">
        <f>IFERROR(__xludf.DUMMYFUNCTION("""COMPUTED_VALUE"""),153.55)</f>
        <v>153.55</v>
      </c>
      <c r="D2520" s="1">
        <f>IFERROR(__xludf.DUMMYFUNCTION("""COMPUTED_VALUE"""),151.24)</f>
        <v>151.24</v>
      </c>
      <c r="E2520" s="1">
        <f>IFERROR(__xludf.DUMMYFUNCTION("""COMPUTED_VALUE"""),153.45)</f>
        <v>153.45</v>
      </c>
      <c r="F2520" s="1">
        <f>IFERROR(__xludf.DUMMYFUNCTION("""COMPUTED_VALUE"""),393810.0)</f>
        <v>393810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IFERROR(__xludf.DUMMYFUNCTION("""COMPUTED_VALUE"""),154.0)</f>
        <v>154</v>
      </c>
      <c r="C2521" s="1">
        <f>IFERROR(__xludf.DUMMYFUNCTION("""COMPUTED_VALUE"""),155.04)</f>
        <v>155.04</v>
      </c>
      <c r="D2521" s="1">
        <f>IFERROR(__xludf.DUMMYFUNCTION("""COMPUTED_VALUE"""),153.31)</f>
        <v>153.31</v>
      </c>
      <c r="E2521" s="1">
        <f>IFERROR(__xludf.DUMMYFUNCTION("""COMPUTED_VALUE"""),154.69)</f>
        <v>154.69</v>
      </c>
      <c r="F2521" s="1">
        <f>IFERROR(__xludf.DUMMYFUNCTION("""COMPUTED_VALUE"""),308531.0)</f>
        <v>308531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IFERROR(__xludf.DUMMYFUNCTION("""COMPUTED_VALUE"""),155.35)</f>
        <v>155.35</v>
      </c>
      <c r="C2522" s="1">
        <f>IFERROR(__xludf.DUMMYFUNCTION("""COMPUTED_VALUE"""),157.04)</f>
        <v>157.04</v>
      </c>
      <c r="D2522" s="1">
        <f>IFERROR(__xludf.DUMMYFUNCTION("""COMPUTED_VALUE"""),154.67)</f>
        <v>154.67</v>
      </c>
      <c r="E2522" s="1">
        <f>IFERROR(__xludf.DUMMYFUNCTION("""COMPUTED_VALUE"""),154.93)</f>
        <v>154.93</v>
      </c>
      <c r="F2522" s="1">
        <f>IFERROR(__xludf.DUMMYFUNCTION("""COMPUTED_VALUE"""),384502.0)</f>
        <v>384502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IFERROR(__xludf.DUMMYFUNCTION("""COMPUTED_VALUE"""),156.23)</f>
        <v>156.23</v>
      </c>
      <c r="C2523" s="1">
        <f>IFERROR(__xludf.DUMMYFUNCTION("""COMPUTED_VALUE"""),157.69)</f>
        <v>157.69</v>
      </c>
      <c r="D2523" s="1">
        <f>IFERROR(__xludf.DUMMYFUNCTION("""COMPUTED_VALUE"""),155.3)</f>
        <v>155.3</v>
      </c>
      <c r="E2523" s="1">
        <f>IFERROR(__xludf.DUMMYFUNCTION("""COMPUTED_VALUE"""),157.05)</f>
        <v>157.05</v>
      </c>
      <c r="F2523" s="1">
        <f>IFERROR(__xludf.DUMMYFUNCTION("""COMPUTED_VALUE"""),280166.0)</f>
        <v>280166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IFERROR(__xludf.DUMMYFUNCTION("""COMPUTED_VALUE"""),159.6)</f>
        <v>159.6</v>
      </c>
      <c r="C2524" s="1">
        <f>IFERROR(__xludf.DUMMYFUNCTION("""COMPUTED_VALUE"""),160.26)</f>
        <v>160.26</v>
      </c>
      <c r="D2524" s="1">
        <f>IFERROR(__xludf.DUMMYFUNCTION("""COMPUTED_VALUE"""),157.47)</f>
        <v>157.47</v>
      </c>
      <c r="E2524" s="1">
        <f>IFERROR(__xludf.DUMMYFUNCTION("""COMPUTED_VALUE"""),157.89)</f>
        <v>157.89</v>
      </c>
      <c r="F2524" s="1">
        <f>IFERROR(__xludf.DUMMYFUNCTION("""COMPUTED_VALUE"""),519918.0)</f>
        <v>519918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IFERROR(__xludf.DUMMYFUNCTION("""COMPUTED_VALUE"""),159.0)</f>
        <v>159</v>
      </c>
      <c r="C2525" s="1">
        <f>IFERROR(__xludf.DUMMYFUNCTION("""COMPUTED_VALUE"""),159.31)</f>
        <v>159.31</v>
      </c>
      <c r="D2525" s="1">
        <f>IFERROR(__xludf.DUMMYFUNCTION("""COMPUTED_VALUE"""),157.78)</f>
        <v>157.78</v>
      </c>
      <c r="E2525" s="1">
        <f>IFERROR(__xludf.DUMMYFUNCTION("""COMPUTED_VALUE"""),159.1)</f>
        <v>159.1</v>
      </c>
      <c r="F2525" s="1">
        <f>IFERROR(__xludf.DUMMYFUNCTION("""COMPUTED_VALUE"""),240619.0)</f>
        <v>240619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IFERROR(__xludf.DUMMYFUNCTION("""COMPUTED_VALUE"""),158.65)</f>
        <v>158.65</v>
      </c>
      <c r="C2526" s="1">
        <f>IFERROR(__xludf.DUMMYFUNCTION("""COMPUTED_VALUE"""),161.39)</f>
        <v>161.39</v>
      </c>
      <c r="D2526" s="1">
        <f>IFERROR(__xludf.DUMMYFUNCTION("""COMPUTED_VALUE"""),158.01)</f>
        <v>158.01</v>
      </c>
      <c r="E2526" s="1">
        <f>IFERROR(__xludf.DUMMYFUNCTION("""COMPUTED_VALUE"""),159.61)</f>
        <v>159.61</v>
      </c>
      <c r="F2526" s="1">
        <f>IFERROR(__xludf.DUMMYFUNCTION("""COMPUTED_VALUE"""),325246.0)</f>
        <v>325246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IFERROR(__xludf.DUMMYFUNCTION("""COMPUTED_VALUE"""),159.6)</f>
        <v>159.6</v>
      </c>
      <c r="C2527" s="1">
        <f>IFERROR(__xludf.DUMMYFUNCTION("""COMPUTED_VALUE"""),160.87)</f>
        <v>160.87</v>
      </c>
      <c r="D2527" s="1">
        <f>IFERROR(__xludf.DUMMYFUNCTION("""COMPUTED_VALUE"""),157.84)</f>
        <v>157.84</v>
      </c>
      <c r="E2527" s="1">
        <f>IFERROR(__xludf.DUMMYFUNCTION("""COMPUTED_VALUE"""),158.84)</f>
        <v>158.84</v>
      </c>
      <c r="F2527" s="1">
        <f>IFERROR(__xludf.DUMMYFUNCTION("""COMPUTED_VALUE"""),367294.0)</f>
        <v>367294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IFERROR(__xludf.DUMMYFUNCTION("""COMPUTED_VALUE"""),159.69)</f>
        <v>159.69</v>
      </c>
      <c r="C2528" s="1">
        <f>IFERROR(__xludf.DUMMYFUNCTION("""COMPUTED_VALUE"""),160.28)</f>
        <v>160.28</v>
      </c>
      <c r="D2528" s="1">
        <f>IFERROR(__xludf.DUMMYFUNCTION("""COMPUTED_VALUE"""),157.57)</f>
        <v>157.57</v>
      </c>
      <c r="E2528" s="1">
        <f>IFERROR(__xludf.DUMMYFUNCTION("""COMPUTED_VALUE"""),159.96)</f>
        <v>159.96</v>
      </c>
      <c r="F2528" s="1">
        <f>IFERROR(__xludf.DUMMYFUNCTION("""COMPUTED_VALUE"""),329353.0)</f>
        <v>329353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IFERROR(__xludf.DUMMYFUNCTION("""COMPUTED_VALUE"""),160.08)</f>
        <v>160.08</v>
      </c>
      <c r="C2529" s="1">
        <f>IFERROR(__xludf.DUMMYFUNCTION("""COMPUTED_VALUE"""),160.84)</f>
        <v>160.84</v>
      </c>
      <c r="D2529" s="1">
        <f>IFERROR(__xludf.DUMMYFUNCTION("""COMPUTED_VALUE"""),158.07)</f>
        <v>158.07</v>
      </c>
      <c r="E2529" s="1">
        <f>IFERROR(__xludf.DUMMYFUNCTION("""COMPUTED_VALUE"""),159.78)</f>
        <v>159.78</v>
      </c>
      <c r="F2529" s="1">
        <f>IFERROR(__xludf.DUMMYFUNCTION("""COMPUTED_VALUE"""),497565.0)</f>
        <v>497565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IFERROR(__xludf.DUMMYFUNCTION("""COMPUTED_VALUE"""),159.44)</f>
        <v>159.44</v>
      </c>
      <c r="C2530" s="1">
        <f>IFERROR(__xludf.DUMMYFUNCTION("""COMPUTED_VALUE"""),161.03)</f>
        <v>161.03</v>
      </c>
      <c r="D2530" s="1">
        <f>IFERROR(__xludf.DUMMYFUNCTION("""COMPUTED_VALUE"""),157.81)</f>
        <v>157.81</v>
      </c>
      <c r="E2530" s="1">
        <f>IFERROR(__xludf.DUMMYFUNCTION("""COMPUTED_VALUE"""),158.0)</f>
        <v>158</v>
      </c>
      <c r="F2530" s="1">
        <f>IFERROR(__xludf.DUMMYFUNCTION("""COMPUTED_VALUE"""),332969.0)</f>
        <v>332969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IFERROR(__xludf.DUMMYFUNCTION("""COMPUTED_VALUE"""),158.18)</f>
        <v>158.18</v>
      </c>
      <c r="C2531" s="1">
        <f>IFERROR(__xludf.DUMMYFUNCTION("""COMPUTED_VALUE"""),159.2)</f>
        <v>159.2</v>
      </c>
      <c r="D2531" s="1">
        <f>IFERROR(__xludf.DUMMYFUNCTION("""COMPUTED_VALUE"""),158.02)</f>
        <v>158.02</v>
      </c>
      <c r="E2531" s="1">
        <f>IFERROR(__xludf.DUMMYFUNCTION("""COMPUTED_VALUE"""),158.83)</f>
        <v>158.83</v>
      </c>
      <c r="F2531" s="1">
        <f>IFERROR(__xludf.DUMMYFUNCTION("""COMPUTED_VALUE"""),308710.0)</f>
        <v>308710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IFERROR(__xludf.DUMMYFUNCTION("""COMPUTED_VALUE"""),158.38)</f>
        <v>158.38</v>
      </c>
      <c r="C2532" s="1">
        <f>IFERROR(__xludf.DUMMYFUNCTION("""COMPUTED_VALUE"""),159.13)</f>
        <v>159.13</v>
      </c>
      <c r="D2532" s="1">
        <f>IFERROR(__xludf.DUMMYFUNCTION("""COMPUTED_VALUE"""),156.57)</f>
        <v>156.57</v>
      </c>
      <c r="E2532" s="1">
        <f>IFERROR(__xludf.DUMMYFUNCTION("""COMPUTED_VALUE"""),156.7)</f>
        <v>156.7</v>
      </c>
      <c r="F2532" s="1">
        <f>IFERROR(__xludf.DUMMYFUNCTION("""COMPUTED_VALUE"""),275473.0)</f>
        <v>275473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IFERROR(__xludf.DUMMYFUNCTION("""COMPUTED_VALUE"""),157.17)</f>
        <v>157.17</v>
      </c>
      <c r="C2533" s="1">
        <f>IFERROR(__xludf.DUMMYFUNCTION("""COMPUTED_VALUE"""),157.55)</f>
        <v>157.55</v>
      </c>
      <c r="D2533" s="1">
        <f>IFERROR(__xludf.DUMMYFUNCTION("""COMPUTED_VALUE"""),154.66)</f>
        <v>154.66</v>
      </c>
      <c r="E2533" s="1">
        <f>IFERROR(__xludf.DUMMYFUNCTION("""COMPUTED_VALUE"""),155.3)</f>
        <v>155.3</v>
      </c>
      <c r="F2533" s="1">
        <f>IFERROR(__xludf.DUMMYFUNCTION("""COMPUTED_VALUE"""),283740.0)</f>
        <v>283740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IFERROR(__xludf.DUMMYFUNCTION("""COMPUTED_VALUE"""),153.48)</f>
        <v>153.48</v>
      </c>
      <c r="C2534" s="1">
        <f>IFERROR(__xludf.DUMMYFUNCTION("""COMPUTED_VALUE"""),156.01)</f>
        <v>156.01</v>
      </c>
      <c r="D2534" s="1">
        <f>IFERROR(__xludf.DUMMYFUNCTION("""COMPUTED_VALUE"""),152.32)</f>
        <v>152.32</v>
      </c>
      <c r="E2534" s="1">
        <f>IFERROR(__xludf.DUMMYFUNCTION("""COMPUTED_VALUE"""),154.57)</f>
        <v>154.57</v>
      </c>
      <c r="F2534" s="1">
        <f>IFERROR(__xludf.DUMMYFUNCTION("""COMPUTED_VALUE"""),292481.0)</f>
        <v>292481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IFERROR(__xludf.DUMMYFUNCTION("""COMPUTED_VALUE"""),155.3)</f>
        <v>155.3</v>
      </c>
      <c r="C2535" s="1">
        <f>IFERROR(__xludf.DUMMYFUNCTION("""COMPUTED_VALUE"""),157.22)</f>
        <v>157.22</v>
      </c>
      <c r="D2535" s="1">
        <f>IFERROR(__xludf.DUMMYFUNCTION("""COMPUTED_VALUE"""),154.03)</f>
        <v>154.03</v>
      </c>
      <c r="E2535" s="1">
        <f>IFERROR(__xludf.DUMMYFUNCTION("""COMPUTED_VALUE"""),156.93)</f>
        <v>156.93</v>
      </c>
      <c r="F2535" s="1">
        <f>IFERROR(__xludf.DUMMYFUNCTION("""COMPUTED_VALUE"""),297135.0)</f>
        <v>297135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IFERROR(__xludf.DUMMYFUNCTION("""COMPUTED_VALUE"""),157.37)</f>
        <v>157.37</v>
      </c>
      <c r="C2536" s="1">
        <f>IFERROR(__xludf.DUMMYFUNCTION("""COMPUTED_VALUE"""),159.02)</f>
        <v>159.02</v>
      </c>
      <c r="D2536" s="1">
        <f>IFERROR(__xludf.DUMMYFUNCTION("""COMPUTED_VALUE"""),157.07)</f>
        <v>157.07</v>
      </c>
      <c r="E2536" s="1">
        <f>IFERROR(__xludf.DUMMYFUNCTION("""COMPUTED_VALUE"""),157.71)</f>
        <v>157.71</v>
      </c>
      <c r="F2536" s="1">
        <f>IFERROR(__xludf.DUMMYFUNCTION("""COMPUTED_VALUE"""),221967.0)</f>
        <v>221967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IFERROR(__xludf.DUMMYFUNCTION("""COMPUTED_VALUE"""),156.41)</f>
        <v>156.41</v>
      </c>
      <c r="C2537" s="1">
        <f>IFERROR(__xludf.DUMMYFUNCTION("""COMPUTED_VALUE"""),157.03)</f>
        <v>157.03</v>
      </c>
      <c r="D2537" s="1">
        <f>IFERROR(__xludf.DUMMYFUNCTION("""COMPUTED_VALUE"""),155.24)</f>
        <v>155.24</v>
      </c>
      <c r="E2537" s="1">
        <f>IFERROR(__xludf.DUMMYFUNCTION("""COMPUTED_VALUE"""),156.91)</f>
        <v>156.91</v>
      </c>
      <c r="F2537" s="1">
        <f>IFERROR(__xludf.DUMMYFUNCTION("""COMPUTED_VALUE"""),253170.0)</f>
        <v>253170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IFERROR(__xludf.DUMMYFUNCTION("""COMPUTED_VALUE"""),156.3)</f>
        <v>156.3</v>
      </c>
      <c r="C2538" s="1">
        <f>IFERROR(__xludf.DUMMYFUNCTION("""COMPUTED_VALUE"""),156.54)</f>
        <v>156.54</v>
      </c>
      <c r="D2538" s="1">
        <f>IFERROR(__xludf.DUMMYFUNCTION("""COMPUTED_VALUE"""),153.82)</f>
        <v>153.82</v>
      </c>
      <c r="E2538" s="1">
        <f>IFERROR(__xludf.DUMMYFUNCTION("""COMPUTED_VALUE"""),154.58)</f>
        <v>154.58</v>
      </c>
      <c r="F2538" s="1">
        <f>IFERROR(__xludf.DUMMYFUNCTION("""COMPUTED_VALUE"""),208480.0)</f>
        <v>208480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IFERROR(__xludf.DUMMYFUNCTION("""COMPUTED_VALUE"""),155.68)</f>
        <v>155.68</v>
      </c>
      <c r="C2539" s="1">
        <f>IFERROR(__xludf.DUMMYFUNCTION("""COMPUTED_VALUE"""),156.89)</f>
        <v>156.89</v>
      </c>
      <c r="D2539" s="1">
        <f>IFERROR(__xludf.DUMMYFUNCTION("""COMPUTED_VALUE"""),155.09)</f>
        <v>155.09</v>
      </c>
      <c r="E2539" s="1">
        <f>IFERROR(__xludf.DUMMYFUNCTION("""COMPUTED_VALUE"""),155.3)</f>
        <v>155.3</v>
      </c>
      <c r="F2539" s="1">
        <f>IFERROR(__xludf.DUMMYFUNCTION("""COMPUTED_VALUE"""),261664.0)</f>
        <v>261664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IFERROR(__xludf.DUMMYFUNCTION("""COMPUTED_VALUE"""),157.25)</f>
        <v>157.25</v>
      </c>
      <c r="C2540" s="1">
        <f>IFERROR(__xludf.DUMMYFUNCTION("""COMPUTED_VALUE"""),158.19)</f>
        <v>158.19</v>
      </c>
      <c r="D2540" s="1">
        <f>IFERROR(__xludf.DUMMYFUNCTION("""COMPUTED_VALUE"""),156.69)</f>
        <v>156.69</v>
      </c>
      <c r="E2540" s="1">
        <f>IFERROR(__xludf.DUMMYFUNCTION("""COMPUTED_VALUE"""),156.75)</f>
        <v>156.75</v>
      </c>
      <c r="F2540" s="1">
        <f>IFERROR(__xludf.DUMMYFUNCTION("""COMPUTED_VALUE"""),219294.0)</f>
        <v>219294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IFERROR(__xludf.DUMMYFUNCTION("""COMPUTED_VALUE"""),158.71)</f>
        <v>158.71</v>
      </c>
      <c r="C2541" s="1">
        <f>IFERROR(__xludf.DUMMYFUNCTION("""COMPUTED_VALUE"""),159.72)</f>
        <v>159.72</v>
      </c>
      <c r="D2541" s="1">
        <f>IFERROR(__xludf.DUMMYFUNCTION("""COMPUTED_VALUE"""),157.66)</f>
        <v>157.66</v>
      </c>
      <c r="E2541" s="1">
        <f>IFERROR(__xludf.DUMMYFUNCTION("""COMPUTED_VALUE"""),157.81)</f>
        <v>157.81</v>
      </c>
      <c r="F2541" s="1">
        <f>IFERROR(__xludf.DUMMYFUNCTION("""COMPUTED_VALUE"""),294385.0)</f>
        <v>294385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IFERROR(__xludf.DUMMYFUNCTION("""COMPUTED_VALUE"""),158.64)</f>
        <v>158.64</v>
      </c>
      <c r="C2542" s="1">
        <f>IFERROR(__xludf.DUMMYFUNCTION("""COMPUTED_VALUE"""),159.74)</f>
        <v>159.74</v>
      </c>
      <c r="D2542" s="1">
        <f>IFERROR(__xludf.DUMMYFUNCTION("""COMPUTED_VALUE"""),157.61)</f>
        <v>157.61</v>
      </c>
      <c r="E2542" s="1">
        <f>IFERROR(__xludf.DUMMYFUNCTION("""COMPUTED_VALUE"""),159.07)</f>
        <v>159.07</v>
      </c>
      <c r="F2542" s="1">
        <f>IFERROR(__xludf.DUMMYFUNCTION("""COMPUTED_VALUE"""),242885.0)</f>
        <v>242885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IFERROR(__xludf.DUMMYFUNCTION("""COMPUTED_VALUE"""),158.49)</f>
        <v>158.49</v>
      </c>
      <c r="C2543" s="1">
        <f>IFERROR(__xludf.DUMMYFUNCTION("""COMPUTED_VALUE"""),159.35)</f>
        <v>159.35</v>
      </c>
      <c r="D2543" s="1">
        <f>IFERROR(__xludf.DUMMYFUNCTION("""COMPUTED_VALUE"""),155.04)</f>
        <v>155.04</v>
      </c>
      <c r="E2543" s="1">
        <f>IFERROR(__xludf.DUMMYFUNCTION("""COMPUTED_VALUE"""),155.99)</f>
        <v>155.99</v>
      </c>
      <c r="F2543" s="1">
        <f>IFERROR(__xludf.DUMMYFUNCTION("""COMPUTED_VALUE"""),238463.0)</f>
        <v>238463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IFERROR(__xludf.DUMMYFUNCTION("""COMPUTED_VALUE"""),155.86)</f>
        <v>155.86</v>
      </c>
      <c r="C2544" s="1">
        <f>IFERROR(__xludf.DUMMYFUNCTION("""COMPUTED_VALUE"""),157.82)</f>
        <v>157.82</v>
      </c>
      <c r="D2544" s="1">
        <f>IFERROR(__xludf.DUMMYFUNCTION("""COMPUTED_VALUE"""),155.86)</f>
        <v>155.86</v>
      </c>
      <c r="E2544" s="1">
        <f>IFERROR(__xludf.DUMMYFUNCTION("""COMPUTED_VALUE"""),157.74)</f>
        <v>157.74</v>
      </c>
      <c r="F2544" s="1">
        <f>IFERROR(__xludf.DUMMYFUNCTION("""COMPUTED_VALUE"""),409080.0)</f>
        <v>409080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IFERROR(__xludf.DUMMYFUNCTION("""COMPUTED_VALUE"""),166.57)</f>
        <v>166.57</v>
      </c>
      <c r="C2545" s="1">
        <f>IFERROR(__xludf.DUMMYFUNCTION("""COMPUTED_VALUE"""),175.25)</f>
        <v>175.25</v>
      </c>
      <c r="D2545" s="1">
        <f>IFERROR(__xludf.DUMMYFUNCTION("""COMPUTED_VALUE"""),166.57)</f>
        <v>166.57</v>
      </c>
      <c r="E2545" s="1">
        <f>IFERROR(__xludf.DUMMYFUNCTION("""COMPUTED_VALUE"""),173.32)</f>
        <v>173.32</v>
      </c>
      <c r="F2545" s="1">
        <f>IFERROR(__xludf.DUMMYFUNCTION("""COMPUTED_VALUE"""),1244775.0)</f>
        <v>1244775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IFERROR(__xludf.DUMMYFUNCTION("""COMPUTED_VALUE"""),173.33)</f>
        <v>173.33</v>
      </c>
      <c r="C2546" s="1">
        <f>IFERROR(__xludf.DUMMYFUNCTION("""COMPUTED_VALUE"""),174.36)</f>
        <v>174.36</v>
      </c>
      <c r="D2546" s="1">
        <f>IFERROR(__xludf.DUMMYFUNCTION("""COMPUTED_VALUE"""),168.51)</f>
        <v>168.51</v>
      </c>
      <c r="E2546" s="1">
        <f>IFERROR(__xludf.DUMMYFUNCTION("""COMPUTED_VALUE"""),171.33)</f>
        <v>171.33</v>
      </c>
      <c r="F2546" s="1">
        <f>IFERROR(__xludf.DUMMYFUNCTION("""COMPUTED_VALUE"""),956308.0)</f>
        <v>956308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IFERROR(__xludf.DUMMYFUNCTION("""COMPUTED_VALUE"""),170.13)</f>
        <v>170.13</v>
      </c>
      <c r="C2547" s="1">
        <f>IFERROR(__xludf.DUMMYFUNCTION("""COMPUTED_VALUE"""),173.01)</f>
        <v>173.01</v>
      </c>
      <c r="D2547" s="1">
        <f>IFERROR(__xludf.DUMMYFUNCTION("""COMPUTED_VALUE"""),169.63)</f>
        <v>169.63</v>
      </c>
      <c r="E2547" s="1">
        <f>IFERROR(__xludf.DUMMYFUNCTION("""COMPUTED_VALUE"""),172.3)</f>
        <v>172.3</v>
      </c>
      <c r="F2547" s="1">
        <f>IFERROR(__xludf.DUMMYFUNCTION("""COMPUTED_VALUE"""),421599.0)</f>
        <v>421599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IFERROR(__xludf.DUMMYFUNCTION("""COMPUTED_VALUE"""),172.77)</f>
        <v>172.77</v>
      </c>
      <c r="C2548" s="1">
        <f>IFERROR(__xludf.DUMMYFUNCTION("""COMPUTED_VALUE"""),176.89)</f>
        <v>176.89</v>
      </c>
      <c r="D2548" s="1">
        <f>IFERROR(__xludf.DUMMYFUNCTION("""COMPUTED_VALUE"""),171.35)</f>
        <v>171.35</v>
      </c>
      <c r="E2548" s="1">
        <f>IFERROR(__xludf.DUMMYFUNCTION("""COMPUTED_VALUE"""),176.48)</f>
        <v>176.48</v>
      </c>
      <c r="F2548" s="1">
        <f>IFERROR(__xludf.DUMMYFUNCTION("""COMPUTED_VALUE"""),458436.0)</f>
        <v>458436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IFERROR(__xludf.DUMMYFUNCTION("""COMPUTED_VALUE"""),175.61)</f>
        <v>175.61</v>
      </c>
      <c r="C2549" s="1">
        <f>IFERROR(__xludf.DUMMYFUNCTION("""COMPUTED_VALUE"""),176.51)</f>
        <v>176.51</v>
      </c>
      <c r="D2549" s="1">
        <f>IFERROR(__xludf.DUMMYFUNCTION("""COMPUTED_VALUE"""),174.35)</f>
        <v>174.35</v>
      </c>
      <c r="E2549" s="1">
        <f>IFERROR(__xludf.DUMMYFUNCTION("""COMPUTED_VALUE"""),175.92)</f>
        <v>175.92</v>
      </c>
      <c r="F2549" s="1">
        <f>IFERROR(__xludf.DUMMYFUNCTION("""COMPUTED_VALUE"""),314959.0)</f>
        <v>314959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IFERROR(__xludf.DUMMYFUNCTION("""COMPUTED_VALUE"""),176.49)</f>
        <v>176.49</v>
      </c>
      <c r="C2550" s="1">
        <f>IFERROR(__xludf.DUMMYFUNCTION("""COMPUTED_VALUE"""),179.38)</f>
        <v>179.38</v>
      </c>
      <c r="D2550" s="1">
        <f>IFERROR(__xludf.DUMMYFUNCTION("""COMPUTED_VALUE"""),175.74)</f>
        <v>175.74</v>
      </c>
      <c r="E2550" s="1">
        <f>IFERROR(__xludf.DUMMYFUNCTION("""COMPUTED_VALUE"""),178.34)</f>
        <v>178.34</v>
      </c>
      <c r="F2550" s="1">
        <f>IFERROR(__xludf.DUMMYFUNCTION("""COMPUTED_VALUE"""),309096.0)</f>
        <v>309096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IFERROR(__xludf.DUMMYFUNCTION("""COMPUTED_VALUE"""),177.85)</f>
        <v>177.85</v>
      </c>
      <c r="C2551" s="1">
        <f>IFERROR(__xludf.DUMMYFUNCTION("""COMPUTED_VALUE"""),178.54)</f>
        <v>178.54</v>
      </c>
      <c r="D2551" s="1">
        <f>IFERROR(__xludf.DUMMYFUNCTION("""COMPUTED_VALUE"""),174.2)</f>
        <v>174.2</v>
      </c>
      <c r="E2551" s="1">
        <f>IFERROR(__xludf.DUMMYFUNCTION("""COMPUTED_VALUE"""),175.43)</f>
        <v>175.43</v>
      </c>
      <c r="F2551" s="1">
        <f>IFERROR(__xludf.DUMMYFUNCTION("""COMPUTED_VALUE"""),242628.0)</f>
        <v>242628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IFERROR(__xludf.DUMMYFUNCTION("""COMPUTED_VALUE"""),174.77)</f>
        <v>174.77</v>
      </c>
      <c r="C2552" s="1">
        <f>IFERROR(__xludf.DUMMYFUNCTION("""COMPUTED_VALUE"""),174.77)</f>
        <v>174.77</v>
      </c>
      <c r="D2552" s="1">
        <f>IFERROR(__xludf.DUMMYFUNCTION("""COMPUTED_VALUE"""),173.06)</f>
        <v>173.06</v>
      </c>
      <c r="E2552" s="1">
        <f>IFERROR(__xludf.DUMMYFUNCTION("""COMPUTED_VALUE"""),173.64)</f>
        <v>173.64</v>
      </c>
      <c r="F2552" s="1">
        <f>IFERROR(__xludf.DUMMYFUNCTION("""COMPUTED_VALUE"""),313700.0)</f>
        <v>313700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IFERROR(__xludf.DUMMYFUNCTION("""COMPUTED_VALUE"""),167.83)</f>
        <v>167.83</v>
      </c>
      <c r="C2553" s="1">
        <f>IFERROR(__xludf.DUMMYFUNCTION("""COMPUTED_VALUE"""),168.79)</f>
        <v>168.79</v>
      </c>
      <c r="D2553" s="1">
        <f>IFERROR(__xludf.DUMMYFUNCTION("""COMPUTED_VALUE"""),166.04)</f>
        <v>166.04</v>
      </c>
      <c r="E2553" s="1">
        <f>IFERROR(__xludf.DUMMYFUNCTION("""COMPUTED_VALUE"""),167.51)</f>
        <v>167.51</v>
      </c>
      <c r="F2553" s="1">
        <f>IFERROR(__xludf.DUMMYFUNCTION("""COMPUTED_VALUE"""),412737.0)</f>
        <v>412737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IFERROR(__xludf.DUMMYFUNCTION("""COMPUTED_VALUE"""),167.98)</f>
        <v>167.98</v>
      </c>
      <c r="C2554" s="1">
        <f>IFERROR(__xludf.DUMMYFUNCTION("""COMPUTED_VALUE"""),168.52)</f>
        <v>168.52</v>
      </c>
      <c r="D2554" s="1">
        <f>IFERROR(__xludf.DUMMYFUNCTION("""COMPUTED_VALUE"""),161.04)</f>
        <v>161.04</v>
      </c>
      <c r="E2554" s="1">
        <f>IFERROR(__xludf.DUMMYFUNCTION("""COMPUTED_VALUE"""),162.46)</f>
        <v>162.46</v>
      </c>
      <c r="F2554" s="1">
        <f>IFERROR(__xludf.DUMMYFUNCTION("""COMPUTED_VALUE"""),606518.0)</f>
        <v>606518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IFERROR(__xludf.DUMMYFUNCTION("""COMPUTED_VALUE"""),162.59)</f>
        <v>162.59</v>
      </c>
      <c r="C2555" s="1">
        <f>IFERROR(__xludf.DUMMYFUNCTION("""COMPUTED_VALUE"""),164.87)</f>
        <v>164.87</v>
      </c>
      <c r="D2555" s="1">
        <f>IFERROR(__xludf.DUMMYFUNCTION("""COMPUTED_VALUE"""),159.88)</f>
        <v>159.88</v>
      </c>
      <c r="E2555" s="1">
        <f>IFERROR(__xludf.DUMMYFUNCTION("""COMPUTED_VALUE"""),161.05)</f>
        <v>161.05</v>
      </c>
      <c r="F2555" s="1">
        <f>IFERROR(__xludf.DUMMYFUNCTION("""COMPUTED_VALUE"""),412933.0)</f>
        <v>412933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IFERROR(__xludf.DUMMYFUNCTION("""COMPUTED_VALUE"""),158.25)</f>
        <v>158.25</v>
      </c>
      <c r="C2556" s="1">
        <f>IFERROR(__xludf.DUMMYFUNCTION("""COMPUTED_VALUE"""),164.0)</f>
        <v>164</v>
      </c>
      <c r="D2556" s="1">
        <f>IFERROR(__xludf.DUMMYFUNCTION("""COMPUTED_VALUE"""),154.48)</f>
        <v>154.48</v>
      </c>
      <c r="E2556" s="1">
        <f>IFERROR(__xludf.DUMMYFUNCTION("""COMPUTED_VALUE"""),158.39)</f>
        <v>158.39</v>
      </c>
      <c r="F2556" s="1">
        <f>IFERROR(__xludf.DUMMYFUNCTION("""COMPUTED_VALUE"""),673872.0)</f>
        <v>673872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IFERROR(__xludf.DUMMYFUNCTION("""COMPUTED_VALUE"""),153.25)</f>
        <v>153.25</v>
      </c>
      <c r="C2557" s="1">
        <f>IFERROR(__xludf.DUMMYFUNCTION("""COMPUTED_VALUE"""),157.01)</f>
        <v>157.01</v>
      </c>
      <c r="D2557" s="1">
        <f>IFERROR(__xludf.DUMMYFUNCTION("""COMPUTED_VALUE"""),152.55)</f>
        <v>152.55</v>
      </c>
      <c r="E2557" s="1">
        <f>IFERROR(__xludf.DUMMYFUNCTION("""COMPUTED_VALUE"""),155.57)</f>
        <v>155.57</v>
      </c>
      <c r="F2557" s="1">
        <f>IFERROR(__xludf.DUMMYFUNCTION("""COMPUTED_VALUE"""),773008.0)</f>
        <v>773008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IFERROR(__xludf.DUMMYFUNCTION("""COMPUTED_VALUE"""),156.79)</f>
        <v>156.79</v>
      </c>
      <c r="C2558" s="1">
        <f>IFERROR(__xludf.DUMMYFUNCTION("""COMPUTED_VALUE"""),164.48)</f>
        <v>164.48</v>
      </c>
      <c r="D2558" s="1">
        <f>IFERROR(__xludf.DUMMYFUNCTION("""COMPUTED_VALUE"""),154.19)</f>
        <v>154.19</v>
      </c>
      <c r="E2558" s="1">
        <f>IFERROR(__xludf.DUMMYFUNCTION("""COMPUTED_VALUE"""),164.3)</f>
        <v>164.3</v>
      </c>
      <c r="F2558" s="1">
        <f>IFERROR(__xludf.DUMMYFUNCTION("""COMPUTED_VALUE"""),790428.0)</f>
        <v>790428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IFERROR(__xludf.DUMMYFUNCTION("""COMPUTED_VALUE"""),165.05)</f>
        <v>165.05</v>
      </c>
      <c r="C2559" s="1">
        <f>IFERROR(__xludf.DUMMYFUNCTION("""COMPUTED_VALUE"""),167.94)</f>
        <v>167.94</v>
      </c>
      <c r="D2559" s="1">
        <f>IFERROR(__xludf.DUMMYFUNCTION("""COMPUTED_VALUE"""),159.76)</f>
        <v>159.76</v>
      </c>
      <c r="E2559" s="1">
        <f>IFERROR(__xludf.DUMMYFUNCTION("""COMPUTED_VALUE"""),161.51)</f>
        <v>161.51</v>
      </c>
      <c r="F2559" s="1">
        <f>IFERROR(__xludf.DUMMYFUNCTION("""COMPUTED_VALUE"""),373750.0)</f>
        <v>373750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IFERROR(__xludf.DUMMYFUNCTION("""COMPUTED_VALUE"""),164.9)</f>
        <v>164.9</v>
      </c>
      <c r="C2560" s="1">
        <f>IFERROR(__xludf.DUMMYFUNCTION("""COMPUTED_VALUE"""),168.24)</f>
        <v>168.24</v>
      </c>
      <c r="D2560" s="1">
        <f>IFERROR(__xludf.DUMMYFUNCTION("""COMPUTED_VALUE"""),163.59)</f>
        <v>163.59</v>
      </c>
      <c r="E2560" s="1">
        <f>IFERROR(__xludf.DUMMYFUNCTION("""COMPUTED_VALUE"""),168.0)</f>
        <v>168</v>
      </c>
      <c r="F2560" s="1">
        <f>IFERROR(__xludf.DUMMYFUNCTION("""COMPUTED_VALUE"""),484844.0)</f>
        <v>484844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IFERROR(__xludf.DUMMYFUNCTION("""COMPUTED_VALUE"""),164.65)</f>
        <v>164.65</v>
      </c>
      <c r="C2561" s="1">
        <f>IFERROR(__xludf.DUMMYFUNCTION("""COMPUTED_VALUE"""),165.24)</f>
        <v>165.24</v>
      </c>
      <c r="D2561" s="1">
        <f>IFERROR(__xludf.DUMMYFUNCTION("""COMPUTED_VALUE"""),160.48)</f>
        <v>160.48</v>
      </c>
      <c r="E2561" s="1">
        <f>IFERROR(__xludf.DUMMYFUNCTION("""COMPUTED_VALUE"""),161.63)</f>
        <v>161.63</v>
      </c>
      <c r="F2561" s="1">
        <f>IFERROR(__xludf.DUMMYFUNCTION("""COMPUTED_VALUE"""),370620.0)</f>
        <v>370620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IFERROR(__xludf.DUMMYFUNCTION("""COMPUTED_VALUE"""),157.29)</f>
        <v>157.29</v>
      </c>
      <c r="C2562" s="1">
        <f>IFERROR(__xludf.DUMMYFUNCTION("""COMPUTED_VALUE"""),158.35)</f>
        <v>158.35</v>
      </c>
      <c r="D2562" s="1">
        <f>IFERROR(__xludf.DUMMYFUNCTION("""COMPUTED_VALUE"""),150.97)</f>
        <v>150.97</v>
      </c>
      <c r="E2562" s="1">
        <f>IFERROR(__xludf.DUMMYFUNCTION("""COMPUTED_VALUE"""),155.09)</f>
        <v>155.09</v>
      </c>
      <c r="F2562" s="1">
        <f>IFERROR(__xludf.DUMMYFUNCTION("""COMPUTED_VALUE"""),482298.0)</f>
        <v>482298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IFERROR(__xludf.DUMMYFUNCTION("""COMPUTED_VALUE"""),148.43)</f>
        <v>148.43</v>
      </c>
      <c r="C2563" s="1">
        <f>IFERROR(__xludf.DUMMYFUNCTION("""COMPUTED_VALUE"""),148.43)</f>
        <v>148.43</v>
      </c>
      <c r="D2563" s="1">
        <f>IFERROR(__xludf.DUMMYFUNCTION("""COMPUTED_VALUE"""),140.0)</f>
        <v>140</v>
      </c>
      <c r="E2563" s="1">
        <f>IFERROR(__xludf.DUMMYFUNCTION("""COMPUTED_VALUE"""),142.81)</f>
        <v>142.81</v>
      </c>
      <c r="F2563" s="1">
        <f>IFERROR(__xludf.DUMMYFUNCTION("""COMPUTED_VALUE"""),554072.0)</f>
        <v>554072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IFERROR(__xludf.DUMMYFUNCTION("""COMPUTED_VALUE"""),146.92)</f>
        <v>146.92</v>
      </c>
      <c r="C2564" s="1">
        <f>IFERROR(__xludf.DUMMYFUNCTION("""COMPUTED_VALUE"""),149.15)</f>
        <v>149.15</v>
      </c>
      <c r="D2564" s="1">
        <f>IFERROR(__xludf.DUMMYFUNCTION("""COMPUTED_VALUE"""),142.1)</f>
        <v>142.1</v>
      </c>
      <c r="E2564" s="1">
        <f>IFERROR(__xludf.DUMMYFUNCTION("""COMPUTED_VALUE"""),147.33)</f>
        <v>147.33</v>
      </c>
      <c r="F2564" s="1">
        <f>IFERROR(__xludf.DUMMYFUNCTION("""COMPUTED_VALUE"""),614025.0)</f>
        <v>614025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IFERROR(__xludf.DUMMYFUNCTION("""COMPUTED_VALUE"""),143.43)</f>
        <v>143.43</v>
      </c>
      <c r="C2565" s="1">
        <f>IFERROR(__xludf.DUMMYFUNCTION("""COMPUTED_VALUE"""),143.5)</f>
        <v>143.5</v>
      </c>
      <c r="D2565" s="1">
        <f>IFERROR(__xludf.DUMMYFUNCTION("""COMPUTED_VALUE"""),135.58)</f>
        <v>135.58</v>
      </c>
      <c r="E2565" s="1">
        <f>IFERROR(__xludf.DUMMYFUNCTION("""COMPUTED_VALUE"""),136.6)</f>
        <v>136.6</v>
      </c>
      <c r="F2565" s="1">
        <f>IFERROR(__xludf.DUMMYFUNCTION("""COMPUTED_VALUE"""),564351.0)</f>
        <v>564351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IFERROR(__xludf.DUMMYFUNCTION("""COMPUTED_VALUE"""),127.85)</f>
        <v>127.85</v>
      </c>
      <c r="C2566" s="1">
        <f>IFERROR(__xludf.DUMMYFUNCTION("""COMPUTED_VALUE"""),132.56)</f>
        <v>132.56</v>
      </c>
      <c r="D2566" s="1">
        <f>IFERROR(__xludf.DUMMYFUNCTION("""COMPUTED_VALUE"""),118.9)</f>
        <v>118.9</v>
      </c>
      <c r="E2566" s="1">
        <f>IFERROR(__xludf.DUMMYFUNCTION("""COMPUTED_VALUE"""),124.1)</f>
        <v>124.1</v>
      </c>
      <c r="F2566" s="1">
        <f>IFERROR(__xludf.DUMMYFUNCTION("""COMPUTED_VALUE"""),1128228.0)</f>
        <v>1128228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IFERROR(__xludf.DUMMYFUNCTION("""COMPUTED_VALUE"""),130.83)</f>
        <v>130.83</v>
      </c>
      <c r="C2567" s="1">
        <f>IFERROR(__xludf.DUMMYFUNCTION("""COMPUTED_VALUE"""),132.06)</f>
        <v>132.06</v>
      </c>
      <c r="D2567" s="1">
        <f>IFERROR(__xludf.DUMMYFUNCTION("""COMPUTED_VALUE"""),117.84)</f>
        <v>117.84</v>
      </c>
      <c r="E2567" s="1">
        <f>IFERROR(__xludf.DUMMYFUNCTION("""COMPUTED_VALUE"""),128.93)</f>
        <v>128.93</v>
      </c>
      <c r="F2567" s="1">
        <f>IFERROR(__xludf.DUMMYFUNCTION("""COMPUTED_VALUE"""),622411.0)</f>
        <v>622411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IFERROR(__xludf.DUMMYFUNCTION("""COMPUTED_VALUE"""),119.68)</f>
        <v>119.68</v>
      </c>
      <c r="C2568" s="1">
        <f>IFERROR(__xludf.DUMMYFUNCTION("""COMPUTED_VALUE"""),119.68)</f>
        <v>119.68</v>
      </c>
      <c r="D2568" s="1">
        <f>IFERROR(__xludf.DUMMYFUNCTION("""COMPUTED_VALUE"""),103.72)</f>
        <v>103.72</v>
      </c>
      <c r="E2568" s="1">
        <f>IFERROR(__xludf.DUMMYFUNCTION("""COMPUTED_VALUE"""),104.66)</f>
        <v>104.66</v>
      </c>
      <c r="F2568" s="1">
        <f>IFERROR(__xludf.DUMMYFUNCTION("""COMPUTED_VALUE"""),675094.0)</f>
        <v>675094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IFERROR(__xludf.DUMMYFUNCTION("""COMPUTED_VALUE"""),106.1)</f>
        <v>106.1</v>
      </c>
      <c r="C2569" s="1">
        <f>IFERROR(__xludf.DUMMYFUNCTION("""COMPUTED_VALUE"""),119.04)</f>
        <v>119.04</v>
      </c>
      <c r="D2569" s="1">
        <f>IFERROR(__xludf.DUMMYFUNCTION("""COMPUTED_VALUE"""),99.73)</f>
        <v>99.73</v>
      </c>
      <c r="E2569" s="1">
        <f>IFERROR(__xludf.DUMMYFUNCTION("""COMPUTED_VALUE"""),112.0)</f>
        <v>112</v>
      </c>
      <c r="F2569" s="1">
        <f>IFERROR(__xludf.DUMMYFUNCTION("""COMPUTED_VALUE"""),1057625.0)</f>
        <v>1057625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IFERROR(__xludf.DUMMYFUNCTION("""COMPUTED_VALUE"""),103.37)</f>
        <v>103.37</v>
      </c>
      <c r="C2570" s="1">
        <f>IFERROR(__xludf.DUMMYFUNCTION("""COMPUTED_VALUE"""),109.05)</f>
        <v>109.05</v>
      </c>
      <c r="D2570" s="1">
        <f>IFERROR(__xludf.DUMMYFUNCTION("""COMPUTED_VALUE"""),97.59)</f>
        <v>97.59</v>
      </c>
      <c r="E2570" s="1">
        <f>IFERROR(__xludf.DUMMYFUNCTION("""COMPUTED_VALUE"""),98.9)</f>
        <v>98.9</v>
      </c>
      <c r="F2570" s="1">
        <f>IFERROR(__xludf.DUMMYFUNCTION("""COMPUTED_VALUE"""),1138824.0)</f>
        <v>1138824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IFERROR(__xludf.DUMMYFUNCTION("""COMPUTED_VALUE"""),98.01)</f>
        <v>98.01</v>
      </c>
      <c r="C2571" s="1">
        <f>IFERROR(__xludf.DUMMYFUNCTION("""COMPUTED_VALUE"""),110.59)</f>
        <v>110.59</v>
      </c>
      <c r="D2571" s="1">
        <f>IFERROR(__xludf.DUMMYFUNCTION("""COMPUTED_VALUE"""),95.58)</f>
        <v>95.58</v>
      </c>
      <c r="E2571" s="1">
        <f>IFERROR(__xludf.DUMMYFUNCTION("""COMPUTED_VALUE"""),108.76)</f>
        <v>108.76</v>
      </c>
      <c r="F2571" s="1">
        <f>IFERROR(__xludf.DUMMYFUNCTION("""COMPUTED_VALUE"""),594058.0)</f>
        <v>594058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IFERROR(__xludf.DUMMYFUNCTION("""COMPUTED_VALUE"""),111.97)</f>
        <v>111.97</v>
      </c>
      <c r="C2572" s="1">
        <f>IFERROR(__xludf.DUMMYFUNCTION("""COMPUTED_VALUE"""),113.5)</f>
        <v>113.5</v>
      </c>
      <c r="D2572" s="1">
        <f>IFERROR(__xludf.DUMMYFUNCTION("""COMPUTED_VALUE"""),103.03)</f>
        <v>103.03</v>
      </c>
      <c r="E2572" s="1">
        <f>IFERROR(__xludf.DUMMYFUNCTION("""COMPUTED_VALUE"""),105.78)</f>
        <v>105.78</v>
      </c>
      <c r="F2572" s="1">
        <f>IFERROR(__xludf.DUMMYFUNCTION("""COMPUTED_VALUE"""),650802.0)</f>
        <v>650802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IFERROR(__xludf.DUMMYFUNCTION("""COMPUTED_VALUE"""),104.07)</f>
        <v>104.07</v>
      </c>
      <c r="C2573" s="1">
        <f>IFERROR(__xludf.DUMMYFUNCTION("""COMPUTED_VALUE"""),104.53)</f>
        <v>104.53</v>
      </c>
      <c r="D2573" s="1">
        <f>IFERROR(__xludf.DUMMYFUNCTION("""COMPUTED_VALUE"""),97.23)</f>
        <v>97.23</v>
      </c>
      <c r="E2573" s="1">
        <f>IFERROR(__xludf.DUMMYFUNCTION("""COMPUTED_VALUE"""),100.5)</f>
        <v>100.5</v>
      </c>
      <c r="F2573" s="1">
        <f>IFERROR(__xludf.DUMMYFUNCTION("""COMPUTED_VALUE"""),647068.0)</f>
        <v>647068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IFERROR(__xludf.DUMMYFUNCTION("""COMPUTED_VALUE"""),105.5)</f>
        <v>105.5</v>
      </c>
      <c r="C2574" s="1">
        <f>IFERROR(__xludf.DUMMYFUNCTION("""COMPUTED_VALUE"""),111.97)</f>
        <v>111.97</v>
      </c>
      <c r="D2574" s="1">
        <f>IFERROR(__xludf.DUMMYFUNCTION("""COMPUTED_VALUE"""),105.5)</f>
        <v>105.5</v>
      </c>
      <c r="E2574" s="1">
        <f>IFERROR(__xludf.DUMMYFUNCTION("""COMPUTED_VALUE"""),110.12)</f>
        <v>110.12</v>
      </c>
      <c r="F2574" s="1">
        <f>IFERROR(__xludf.DUMMYFUNCTION("""COMPUTED_VALUE"""),438866.0)</f>
        <v>438866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IFERROR(__xludf.DUMMYFUNCTION("""COMPUTED_VALUE"""),109.67)</f>
        <v>109.67</v>
      </c>
      <c r="C2575" s="1">
        <f>IFERROR(__xludf.DUMMYFUNCTION("""COMPUTED_VALUE"""),122.36)</f>
        <v>122.36</v>
      </c>
      <c r="D2575" s="1">
        <f>IFERROR(__xludf.DUMMYFUNCTION("""COMPUTED_VALUE"""),108.96)</f>
        <v>108.96</v>
      </c>
      <c r="E2575" s="1">
        <f>IFERROR(__xludf.DUMMYFUNCTION("""COMPUTED_VALUE"""),119.35)</f>
        <v>119.35</v>
      </c>
      <c r="F2575" s="1">
        <f>IFERROR(__xludf.DUMMYFUNCTION("""COMPUTED_VALUE"""),669225.0)</f>
        <v>669225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IFERROR(__xludf.DUMMYFUNCTION("""COMPUTED_VALUE"""),121.03)</f>
        <v>121.03</v>
      </c>
      <c r="C2576" s="1">
        <f>IFERROR(__xludf.DUMMYFUNCTION("""COMPUTED_VALUE"""),130.23)</f>
        <v>130.23</v>
      </c>
      <c r="D2576" s="1">
        <f>IFERROR(__xludf.DUMMYFUNCTION("""COMPUTED_VALUE"""),121.03)</f>
        <v>121.03</v>
      </c>
      <c r="E2576" s="1">
        <f>IFERROR(__xludf.DUMMYFUNCTION("""COMPUTED_VALUE"""),130.01)</f>
        <v>130.01</v>
      </c>
      <c r="F2576" s="1">
        <f>IFERROR(__xludf.DUMMYFUNCTION("""COMPUTED_VALUE"""),523027.0)</f>
        <v>523027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IFERROR(__xludf.DUMMYFUNCTION("""COMPUTED_VALUE"""),130.0)</f>
        <v>130</v>
      </c>
      <c r="C2577" s="1">
        <f>IFERROR(__xludf.DUMMYFUNCTION("""COMPUTED_VALUE"""),130.0)</f>
        <v>130</v>
      </c>
      <c r="D2577" s="1">
        <f>IFERROR(__xludf.DUMMYFUNCTION("""COMPUTED_VALUE"""),121.39)</f>
        <v>121.39</v>
      </c>
      <c r="E2577" s="1">
        <f>IFERROR(__xludf.DUMMYFUNCTION("""COMPUTED_VALUE"""),126.23)</f>
        <v>126.23</v>
      </c>
      <c r="F2577" s="1">
        <f>IFERROR(__xludf.DUMMYFUNCTION("""COMPUTED_VALUE"""),538288.0)</f>
        <v>538288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IFERROR(__xludf.DUMMYFUNCTION("""COMPUTED_VALUE"""),132.0)</f>
        <v>132</v>
      </c>
      <c r="C2578" s="1">
        <f>IFERROR(__xludf.DUMMYFUNCTION("""COMPUTED_VALUE"""),132.0)</f>
        <v>132</v>
      </c>
      <c r="D2578" s="1">
        <f>IFERROR(__xludf.DUMMYFUNCTION("""COMPUTED_VALUE"""),124.14)</f>
        <v>124.14</v>
      </c>
      <c r="E2578" s="1">
        <f>IFERROR(__xludf.DUMMYFUNCTION("""COMPUTED_VALUE"""),129.99)</f>
        <v>129.99</v>
      </c>
      <c r="F2578" s="1">
        <f>IFERROR(__xludf.DUMMYFUNCTION("""COMPUTED_VALUE"""),497680.0)</f>
        <v>497680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IFERROR(__xludf.DUMMYFUNCTION("""COMPUTED_VALUE"""),131.89)</f>
        <v>131.89</v>
      </c>
      <c r="C2579" s="1">
        <f>IFERROR(__xludf.DUMMYFUNCTION("""COMPUTED_VALUE"""),131.89)</f>
        <v>131.89</v>
      </c>
      <c r="D2579" s="1">
        <f>IFERROR(__xludf.DUMMYFUNCTION("""COMPUTED_VALUE"""),124.36)</f>
        <v>124.36</v>
      </c>
      <c r="E2579" s="1">
        <f>IFERROR(__xludf.DUMMYFUNCTION("""COMPUTED_VALUE"""),126.21)</f>
        <v>126.21</v>
      </c>
      <c r="F2579" s="1">
        <f>IFERROR(__xludf.DUMMYFUNCTION("""COMPUTED_VALUE"""),450066.0)</f>
        <v>450066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IFERROR(__xludf.DUMMYFUNCTION("""COMPUTED_VALUE"""),121.01)</f>
        <v>121.01</v>
      </c>
      <c r="C2580" s="1">
        <f>IFERROR(__xludf.DUMMYFUNCTION("""COMPUTED_VALUE"""),123.44)</f>
        <v>123.44</v>
      </c>
      <c r="D2580" s="1">
        <f>IFERROR(__xludf.DUMMYFUNCTION("""COMPUTED_VALUE"""),117.21)</f>
        <v>117.21</v>
      </c>
      <c r="E2580" s="1">
        <f>IFERROR(__xludf.DUMMYFUNCTION("""COMPUTED_VALUE"""),119.61)</f>
        <v>119.61</v>
      </c>
      <c r="F2580" s="1">
        <f>IFERROR(__xludf.DUMMYFUNCTION("""COMPUTED_VALUE"""),378159.0)</f>
        <v>378159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IFERROR(__xludf.DUMMYFUNCTION("""COMPUTED_VALUE"""),118.01)</f>
        <v>118.01</v>
      </c>
      <c r="C2581" s="1">
        <f>IFERROR(__xludf.DUMMYFUNCTION("""COMPUTED_VALUE"""),122.76)</f>
        <v>122.76</v>
      </c>
      <c r="D2581" s="1">
        <f>IFERROR(__xludf.DUMMYFUNCTION("""COMPUTED_VALUE"""),116.42)</f>
        <v>116.42</v>
      </c>
      <c r="E2581" s="1">
        <f>IFERROR(__xludf.DUMMYFUNCTION("""COMPUTED_VALUE"""),121.58)</f>
        <v>121.58</v>
      </c>
      <c r="F2581" s="1">
        <f>IFERROR(__xludf.DUMMYFUNCTION("""COMPUTED_VALUE"""),568872.0)</f>
        <v>568872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IFERROR(__xludf.DUMMYFUNCTION("""COMPUTED_VALUE"""),121.11)</f>
        <v>121.11</v>
      </c>
      <c r="C2582" s="1">
        <f>IFERROR(__xludf.DUMMYFUNCTION("""COMPUTED_VALUE"""),122.63)</f>
        <v>122.63</v>
      </c>
      <c r="D2582" s="1">
        <f>IFERROR(__xludf.DUMMYFUNCTION("""COMPUTED_VALUE"""),117.93)</f>
        <v>117.93</v>
      </c>
      <c r="E2582" s="1">
        <f>IFERROR(__xludf.DUMMYFUNCTION("""COMPUTED_VALUE"""),118.84)</f>
        <v>118.84</v>
      </c>
      <c r="F2582" s="1">
        <f>IFERROR(__xludf.DUMMYFUNCTION("""COMPUTED_VALUE"""),687757.0)</f>
        <v>687757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IFERROR(__xludf.DUMMYFUNCTION("""COMPUTED_VALUE"""),125.84)</f>
        <v>125.84</v>
      </c>
      <c r="C2583" s="1">
        <f>IFERROR(__xludf.DUMMYFUNCTION("""COMPUTED_VALUE"""),132.99)</f>
        <v>132.99</v>
      </c>
      <c r="D2583" s="1">
        <f>IFERROR(__xludf.DUMMYFUNCTION("""COMPUTED_VALUE"""),125.46)</f>
        <v>125.46</v>
      </c>
      <c r="E2583" s="1">
        <f>IFERROR(__xludf.DUMMYFUNCTION("""COMPUTED_VALUE"""),132.81)</f>
        <v>132.81</v>
      </c>
      <c r="F2583" s="1">
        <f>IFERROR(__xludf.DUMMYFUNCTION("""COMPUTED_VALUE"""),645118.0)</f>
        <v>645118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IFERROR(__xludf.DUMMYFUNCTION("""COMPUTED_VALUE"""),137.83)</f>
        <v>137.83</v>
      </c>
      <c r="C2584" s="1">
        <f>IFERROR(__xludf.DUMMYFUNCTION("""COMPUTED_VALUE"""),137.92)</f>
        <v>137.92</v>
      </c>
      <c r="D2584" s="1">
        <f>IFERROR(__xludf.DUMMYFUNCTION("""COMPUTED_VALUE"""),132.42)</f>
        <v>132.42</v>
      </c>
      <c r="E2584" s="1">
        <f>IFERROR(__xludf.DUMMYFUNCTION("""COMPUTED_VALUE"""),133.33)</f>
        <v>133.33</v>
      </c>
      <c r="F2584" s="1">
        <f>IFERROR(__xludf.DUMMYFUNCTION("""COMPUTED_VALUE"""),376058.0)</f>
        <v>376058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IFERROR(__xludf.DUMMYFUNCTION("""COMPUTED_VALUE"""),135.66)</f>
        <v>135.66</v>
      </c>
      <c r="C2585" s="1">
        <f>IFERROR(__xludf.DUMMYFUNCTION("""COMPUTED_VALUE"""),142.49)</f>
        <v>142.49</v>
      </c>
      <c r="D2585" s="1">
        <f>IFERROR(__xludf.DUMMYFUNCTION("""COMPUTED_VALUE"""),133.69)</f>
        <v>133.69</v>
      </c>
      <c r="E2585" s="1">
        <f>IFERROR(__xludf.DUMMYFUNCTION("""COMPUTED_VALUE"""),141.43)</f>
        <v>141.43</v>
      </c>
      <c r="F2585" s="1">
        <f>IFERROR(__xludf.DUMMYFUNCTION("""COMPUTED_VALUE"""),620246.0)</f>
        <v>620246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IFERROR(__xludf.DUMMYFUNCTION("""COMPUTED_VALUE"""),144.71)</f>
        <v>144.71</v>
      </c>
      <c r="C2586" s="1">
        <f>IFERROR(__xludf.DUMMYFUNCTION("""COMPUTED_VALUE"""),147.06)</f>
        <v>147.06</v>
      </c>
      <c r="D2586" s="1">
        <f>IFERROR(__xludf.DUMMYFUNCTION("""COMPUTED_VALUE"""),137.52)</f>
        <v>137.52</v>
      </c>
      <c r="E2586" s="1">
        <f>IFERROR(__xludf.DUMMYFUNCTION("""COMPUTED_VALUE"""),138.96)</f>
        <v>138.96</v>
      </c>
      <c r="F2586" s="1">
        <f>IFERROR(__xludf.DUMMYFUNCTION("""COMPUTED_VALUE"""),462718.0)</f>
        <v>462718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IFERROR(__xludf.DUMMYFUNCTION("""COMPUTED_VALUE"""),138.08)</f>
        <v>138.08</v>
      </c>
      <c r="C2587" s="1">
        <f>IFERROR(__xludf.DUMMYFUNCTION("""COMPUTED_VALUE"""),140.81)</f>
        <v>140.81</v>
      </c>
      <c r="D2587" s="1">
        <f>IFERROR(__xludf.DUMMYFUNCTION("""COMPUTED_VALUE"""),135.32)</f>
        <v>135.32</v>
      </c>
      <c r="E2587" s="1">
        <f>IFERROR(__xludf.DUMMYFUNCTION("""COMPUTED_VALUE"""),139.61)</f>
        <v>139.61</v>
      </c>
      <c r="F2587" s="1">
        <f>IFERROR(__xludf.DUMMYFUNCTION("""COMPUTED_VALUE"""),416502.0)</f>
        <v>416502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IFERROR(__xludf.DUMMYFUNCTION("""COMPUTED_VALUE"""),142.77)</f>
        <v>142.77</v>
      </c>
      <c r="C2588" s="1">
        <f>IFERROR(__xludf.DUMMYFUNCTION("""COMPUTED_VALUE"""),143.97)</f>
        <v>143.97</v>
      </c>
      <c r="D2588" s="1">
        <f>IFERROR(__xludf.DUMMYFUNCTION("""COMPUTED_VALUE"""),141.01)</f>
        <v>141.01</v>
      </c>
      <c r="E2588" s="1">
        <f>IFERROR(__xludf.DUMMYFUNCTION("""COMPUTED_VALUE"""),142.59)</f>
        <v>142.59</v>
      </c>
      <c r="F2588" s="1">
        <f>IFERROR(__xludf.DUMMYFUNCTION("""COMPUTED_VALUE"""),252457.0)</f>
        <v>252457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IFERROR(__xludf.DUMMYFUNCTION("""COMPUTED_VALUE"""),138.72)</f>
        <v>138.72</v>
      </c>
      <c r="C2589" s="1">
        <f>IFERROR(__xludf.DUMMYFUNCTION("""COMPUTED_VALUE"""),141.51)</f>
        <v>141.51</v>
      </c>
      <c r="D2589" s="1">
        <f>IFERROR(__xludf.DUMMYFUNCTION("""COMPUTED_VALUE"""),136.98)</f>
        <v>136.98</v>
      </c>
      <c r="E2589" s="1">
        <f>IFERROR(__xludf.DUMMYFUNCTION("""COMPUTED_VALUE"""),139.43)</f>
        <v>139.43</v>
      </c>
      <c r="F2589" s="1">
        <f>IFERROR(__xludf.DUMMYFUNCTION("""COMPUTED_VALUE"""),285251.0)</f>
        <v>285251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IFERROR(__xludf.DUMMYFUNCTION("""COMPUTED_VALUE"""),140.64)</f>
        <v>140.64</v>
      </c>
      <c r="C2590" s="1">
        <f>IFERROR(__xludf.DUMMYFUNCTION("""COMPUTED_VALUE"""),141.52)</f>
        <v>141.52</v>
      </c>
      <c r="D2590" s="1">
        <f>IFERROR(__xludf.DUMMYFUNCTION("""COMPUTED_VALUE"""),136.51)</f>
        <v>136.51</v>
      </c>
      <c r="E2590" s="1">
        <f>IFERROR(__xludf.DUMMYFUNCTION("""COMPUTED_VALUE"""),139.56)</f>
        <v>139.56</v>
      </c>
      <c r="F2590" s="1">
        <f>IFERROR(__xludf.DUMMYFUNCTION("""COMPUTED_VALUE"""),298801.0)</f>
        <v>298801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IFERROR(__xludf.DUMMYFUNCTION("""COMPUTED_VALUE"""),143.98)</f>
        <v>143.98</v>
      </c>
      <c r="C2591" s="1">
        <f>IFERROR(__xludf.DUMMYFUNCTION("""COMPUTED_VALUE"""),147.47)</f>
        <v>147.47</v>
      </c>
      <c r="D2591" s="1">
        <f>IFERROR(__xludf.DUMMYFUNCTION("""COMPUTED_VALUE"""),142.45)</f>
        <v>142.45</v>
      </c>
      <c r="E2591" s="1">
        <f>IFERROR(__xludf.DUMMYFUNCTION("""COMPUTED_VALUE"""),144.98)</f>
        <v>144.98</v>
      </c>
      <c r="F2591" s="1">
        <f>IFERROR(__xludf.DUMMYFUNCTION("""COMPUTED_VALUE"""),399996.0)</f>
        <v>399996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IFERROR(__xludf.DUMMYFUNCTION("""COMPUTED_VALUE"""),142.5)</f>
        <v>142.5</v>
      </c>
      <c r="C2592" s="1">
        <f>IFERROR(__xludf.DUMMYFUNCTION("""COMPUTED_VALUE"""),147.1)</f>
        <v>147.1</v>
      </c>
      <c r="D2592" s="1">
        <f>IFERROR(__xludf.DUMMYFUNCTION("""COMPUTED_VALUE"""),142.5)</f>
        <v>142.5</v>
      </c>
      <c r="E2592" s="1">
        <f>IFERROR(__xludf.DUMMYFUNCTION("""COMPUTED_VALUE"""),144.26)</f>
        <v>144.26</v>
      </c>
      <c r="F2592" s="1">
        <f>IFERROR(__xludf.DUMMYFUNCTION("""COMPUTED_VALUE"""),301557.0)</f>
        <v>301557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IFERROR(__xludf.DUMMYFUNCTION("""COMPUTED_VALUE"""),135.3)</f>
        <v>135.3</v>
      </c>
      <c r="C2593" s="1">
        <f>IFERROR(__xludf.DUMMYFUNCTION("""COMPUTED_VALUE"""),137.93)</f>
        <v>137.93</v>
      </c>
      <c r="D2593" s="1">
        <f>IFERROR(__xludf.DUMMYFUNCTION("""COMPUTED_VALUE"""),133.88)</f>
        <v>133.88</v>
      </c>
      <c r="E2593" s="1">
        <f>IFERROR(__xludf.DUMMYFUNCTION("""COMPUTED_VALUE"""),135.06)</f>
        <v>135.06</v>
      </c>
      <c r="F2593" s="1">
        <f>IFERROR(__xludf.DUMMYFUNCTION("""COMPUTED_VALUE"""),577788.0)</f>
        <v>577788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IFERROR(__xludf.DUMMYFUNCTION("""COMPUTED_VALUE"""),138.25)</f>
        <v>138.25</v>
      </c>
      <c r="C2594" s="1">
        <f>IFERROR(__xludf.DUMMYFUNCTION("""COMPUTED_VALUE"""),138.44)</f>
        <v>138.44</v>
      </c>
      <c r="D2594" s="1">
        <f>IFERROR(__xludf.DUMMYFUNCTION("""COMPUTED_VALUE"""),135.53)</f>
        <v>135.53</v>
      </c>
      <c r="E2594" s="1">
        <f>IFERROR(__xludf.DUMMYFUNCTION("""COMPUTED_VALUE"""),137.12)</f>
        <v>137.12</v>
      </c>
      <c r="F2594" s="1">
        <f>IFERROR(__xludf.DUMMYFUNCTION("""COMPUTED_VALUE"""),266752.0)</f>
        <v>266752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IFERROR(__xludf.DUMMYFUNCTION("""COMPUTED_VALUE"""),138.68)</f>
        <v>138.68</v>
      </c>
      <c r="C2595" s="1">
        <f>IFERROR(__xludf.DUMMYFUNCTION("""COMPUTED_VALUE"""),142.04)</f>
        <v>142.04</v>
      </c>
      <c r="D2595" s="1">
        <f>IFERROR(__xludf.DUMMYFUNCTION("""COMPUTED_VALUE"""),135.31)</f>
        <v>135.31</v>
      </c>
      <c r="E2595" s="1">
        <f>IFERROR(__xludf.DUMMYFUNCTION("""COMPUTED_VALUE"""),135.45)</f>
        <v>135.45</v>
      </c>
      <c r="F2595" s="1">
        <f>IFERROR(__xludf.DUMMYFUNCTION("""COMPUTED_VALUE"""),312819.0)</f>
        <v>312819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IFERROR(__xludf.DUMMYFUNCTION("""COMPUTED_VALUE"""),136.46)</f>
        <v>136.46</v>
      </c>
      <c r="C2596" s="1">
        <f>IFERROR(__xludf.DUMMYFUNCTION("""COMPUTED_VALUE"""),137.52)</f>
        <v>137.52</v>
      </c>
      <c r="D2596" s="1">
        <f>IFERROR(__xludf.DUMMYFUNCTION("""COMPUTED_VALUE"""),133.57)</f>
        <v>133.57</v>
      </c>
      <c r="E2596" s="1">
        <f>IFERROR(__xludf.DUMMYFUNCTION("""COMPUTED_VALUE"""),136.95)</f>
        <v>136.95</v>
      </c>
      <c r="F2596" s="1">
        <f>IFERROR(__xludf.DUMMYFUNCTION("""COMPUTED_VALUE"""),252577.0)</f>
        <v>252577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IFERROR(__xludf.DUMMYFUNCTION("""COMPUTED_VALUE"""),138.48)</f>
        <v>138.48</v>
      </c>
      <c r="C2597" s="1">
        <f>IFERROR(__xludf.DUMMYFUNCTION("""COMPUTED_VALUE"""),141.63)</f>
        <v>141.63</v>
      </c>
      <c r="D2597" s="1">
        <f>IFERROR(__xludf.DUMMYFUNCTION("""COMPUTED_VALUE"""),136.67)</f>
        <v>136.67</v>
      </c>
      <c r="E2597" s="1">
        <f>IFERROR(__xludf.DUMMYFUNCTION("""COMPUTED_VALUE"""),140.23)</f>
        <v>140.23</v>
      </c>
      <c r="F2597" s="1">
        <f>IFERROR(__xludf.DUMMYFUNCTION("""COMPUTED_VALUE"""),260015.0)</f>
        <v>260015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IFERROR(__xludf.DUMMYFUNCTION("""COMPUTED_VALUE"""),141.94)</f>
        <v>141.94</v>
      </c>
      <c r="C2598" s="1">
        <f>IFERROR(__xludf.DUMMYFUNCTION("""COMPUTED_VALUE"""),142.45)</f>
        <v>142.45</v>
      </c>
      <c r="D2598" s="1">
        <f>IFERROR(__xludf.DUMMYFUNCTION("""COMPUTED_VALUE"""),136.81)</f>
        <v>136.81</v>
      </c>
      <c r="E2598" s="1">
        <f>IFERROR(__xludf.DUMMYFUNCTION("""COMPUTED_VALUE"""),139.95)</f>
        <v>139.95</v>
      </c>
      <c r="F2598" s="1">
        <f>IFERROR(__xludf.DUMMYFUNCTION("""COMPUTED_VALUE"""),272957.0)</f>
        <v>272957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IFERROR(__xludf.DUMMYFUNCTION("""COMPUTED_VALUE"""),143.55)</f>
        <v>143.55</v>
      </c>
      <c r="C2599" s="1">
        <f>IFERROR(__xludf.DUMMYFUNCTION("""COMPUTED_VALUE"""),147.21)</f>
        <v>147.21</v>
      </c>
      <c r="D2599" s="1">
        <f>IFERROR(__xludf.DUMMYFUNCTION("""COMPUTED_VALUE"""),141.43)</f>
        <v>141.43</v>
      </c>
      <c r="E2599" s="1">
        <f>IFERROR(__xludf.DUMMYFUNCTION("""COMPUTED_VALUE"""),145.96)</f>
        <v>145.96</v>
      </c>
      <c r="F2599" s="1">
        <f>IFERROR(__xludf.DUMMYFUNCTION("""COMPUTED_VALUE"""),241481.0)</f>
        <v>241481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IFERROR(__xludf.DUMMYFUNCTION("""COMPUTED_VALUE"""),144.84)</f>
        <v>144.84</v>
      </c>
      <c r="C2600" s="1">
        <f>IFERROR(__xludf.DUMMYFUNCTION("""COMPUTED_VALUE"""),146.31)</f>
        <v>146.31</v>
      </c>
      <c r="D2600" s="1">
        <f>IFERROR(__xludf.DUMMYFUNCTION("""COMPUTED_VALUE"""),142.59)</f>
        <v>142.59</v>
      </c>
      <c r="E2600" s="1">
        <f>IFERROR(__xludf.DUMMYFUNCTION("""COMPUTED_VALUE"""),144.67)</f>
        <v>144.67</v>
      </c>
      <c r="F2600" s="1">
        <f>IFERROR(__xludf.DUMMYFUNCTION("""COMPUTED_VALUE"""),279359.0)</f>
        <v>279359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IFERROR(__xludf.DUMMYFUNCTION("""COMPUTED_VALUE"""),141.51)</f>
        <v>141.51</v>
      </c>
      <c r="C2601" s="1">
        <f>IFERROR(__xludf.DUMMYFUNCTION("""COMPUTED_VALUE"""),141.56)</f>
        <v>141.56</v>
      </c>
      <c r="D2601" s="1">
        <f>IFERROR(__xludf.DUMMYFUNCTION("""COMPUTED_VALUE"""),137.41)</f>
        <v>137.41</v>
      </c>
      <c r="E2601" s="1">
        <f>IFERROR(__xludf.DUMMYFUNCTION("""COMPUTED_VALUE"""),138.59)</f>
        <v>138.59</v>
      </c>
      <c r="F2601" s="1">
        <f>IFERROR(__xludf.DUMMYFUNCTION("""COMPUTED_VALUE"""),355502.0)</f>
        <v>355502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IFERROR(__xludf.DUMMYFUNCTION("""COMPUTED_VALUE"""),137.43)</f>
        <v>137.43</v>
      </c>
      <c r="C2602" s="1">
        <f>IFERROR(__xludf.DUMMYFUNCTION("""COMPUTED_VALUE"""),139.12)</f>
        <v>139.12</v>
      </c>
      <c r="D2602" s="1">
        <f>IFERROR(__xludf.DUMMYFUNCTION("""COMPUTED_VALUE"""),136.0)</f>
        <v>136</v>
      </c>
      <c r="E2602" s="1">
        <f>IFERROR(__xludf.DUMMYFUNCTION("""COMPUTED_VALUE"""),138.35)</f>
        <v>138.35</v>
      </c>
      <c r="F2602" s="1">
        <f>IFERROR(__xludf.DUMMYFUNCTION("""COMPUTED_VALUE"""),275164.0)</f>
        <v>275164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IFERROR(__xludf.DUMMYFUNCTION("""COMPUTED_VALUE"""),140.47)</f>
        <v>140.47</v>
      </c>
      <c r="C2603" s="1">
        <f>IFERROR(__xludf.DUMMYFUNCTION("""COMPUTED_VALUE"""),143.07)</f>
        <v>143.07</v>
      </c>
      <c r="D2603" s="1">
        <f>IFERROR(__xludf.DUMMYFUNCTION("""COMPUTED_VALUE"""),139.76)</f>
        <v>139.76</v>
      </c>
      <c r="E2603" s="1">
        <f>IFERROR(__xludf.DUMMYFUNCTION("""COMPUTED_VALUE"""),141.04)</f>
        <v>141.04</v>
      </c>
      <c r="F2603" s="1">
        <f>IFERROR(__xludf.DUMMYFUNCTION("""COMPUTED_VALUE"""),258265.0)</f>
        <v>258265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IFERROR(__xludf.DUMMYFUNCTION("""COMPUTED_VALUE"""),141.94)</f>
        <v>141.94</v>
      </c>
      <c r="C2604" s="1">
        <f>IFERROR(__xludf.DUMMYFUNCTION("""COMPUTED_VALUE"""),144.54)</f>
        <v>144.54</v>
      </c>
      <c r="D2604" s="1">
        <f>IFERROR(__xludf.DUMMYFUNCTION("""COMPUTED_VALUE"""),140.55)</f>
        <v>140.55</v>
      </c>
      <c r="E2604" s="1">
        <f>IFERROR(__xludf.DUMMYFUNCTION("""COMPUTED_VALUE"""),143.66)</f>
        <v>143.66</v>
      </c>
      <c r="F2604" s="1">
        <f>IFERROR(__xludf.DUMMYFUNCTION("""COMPUTED_VALUE"""),262052.0)</f>
        <v>262052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IFERROR(__xludf.DUMMYFUNCTION("""COMPUTED_VALUE"""),144.33)</f>
        <v>144.33</v>
      </c>
      <c r="C2605" s="1">
        <f>IFERROR(__xludf.DUMMYFUNCTION("""COMPUTED_VALUE"""),157.28)</f>
        <v>157.28</v>
      </c>
      <c r="D2605" s="1">
        <f>IFERROR(__xludf.DUMMYFUNCTION("""COMPUTED_VALUE"""),144.33)</f>
        <v>144.33</v>
      </c>
      <c r="E2605" s="1">
        <f>IFERROR(__xludf.DUMMYFUNCTION("""COMPUTED_VALUE"""),156.56)</f>
        <v>156.56</v>
      </c>
      <c r="F2605" s="1">
        <f>IFERROR(__xludf.DUMMYFUNCTION("""COMPUTED_VALUE"""),774611.0)</f>
        <v>774611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IFERROR(__xludf.DUMMYFUNCTION("""COMPUTED_VALUE"""),160.0)</f>
        <v>160</v>
      </c>
      <c r="C2606" s="1">
        <f>IFERROR(__xludf.DUMMYFUNCTION("""COMPUTED_VALUE"""),160.15)</f>
        <v>160.15</v>
      </c>
      <c r="D2606" s="1">
        <f>IFERROR(__xludf.DUMMYFUNCTION("""COMPUTED_VALUE"""),157.1)</f>
        <v>157.1</v>
      </c>
      <c r="E2606" s="1">
        <f>IFERROR(__xludf.DUMMYFUNCTION("""COMPUTED_VALUE"""),159.56)</f>
        <v>159.56</v>
      </c>
      <c r="F2606" s="1">
        <f>IFERROR(__xludf.DUMMYFUNCTION("""COMPUTED_VALUE"""),433602.0)</f>
        <v>433602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IFERROR(__xludf.DUMMYFUNCTION("""COMPUTED_VALUE"""),157.7)</f>
        <v>157.7</v>
      </c>
      <c r="C2607" s="1">
        <f>IFERROR(__xludf.DUMMYFUNCTION("""COMPUTED_VALUE"""),164.78)</f>
        <v>164.78</v>
      </c>
      <c r="D2607" s="1">
        <f>IFERROR(__xludf.DUMMYFUNCTION("""COMPUTED_VALUE"""),157.52)</f>
        <v>157.52</v>
      </c>
      <c r="E2607" s="1">
        <f>IFERROR(__xludf.DUMMYFUNCTION("""COMPUTED_VALUE"""),164.24)</f>
        <v>164.24</v>
      </c>
      <c r="F2607" s="1">
        <f>IFERROR(__xludf.DUMMYFUNCTION("""COMPUTED_VALUE"""),396822.0)</f>
        <v>396822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IFERROR(__xludf.DUMMYFUNCTION("""COMPUTED_VALUE"""),164.39)</f>
        <v>164.39</v>
      </c>
      <c r="C2608" s="1">
        <f>IFERROR(__xludf.DUMMYFUNCTION("""COMPUTED_VALUE"""),166.7)</f>
        <v>166.7</v>
      </c>
      <c r="D2608" s="1">
        <f>IFERROR(__xludf.DUMMYFUNCTION("""COMPUTED_VALUE"""),160.57)</f>
        <v>160.57</v>
      </c>
      <c r="E2608" s="1">
        <f>IFERROR(__xludf.DUMMYFUNCTION("""COMPUTED_VALUE"""),160.96)</f>
        <v>160.96</v>
      </c>
      <c r="F2608" s="1">
        <f>IFERROR(__xludf.DUMMYFUNCTION("""COMPUTED_VALUE"""),458534.0)</f>
        <v>458534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IFERROR(__xludf.DUMMYFUNCTION("""COMPUTED_VALUE"""),165.41)</f>
        <v>165.41</v>
      </c>
      <c r="C2609" s="1">
        <f>IFERROR(__xludf.DUMMYFUNCTION("""COMPUTED_VALUE"""),165.91)</f>
        <v>165.91</v>
      </c>
      <c r="D2609" s="1">
        <f>IFERROR(__xludf.DUMMYFUNCTION("""COMPUTED_VALUE"""),159.24)</f>
        <v>159.24</v>
      </c>
      <c r="E2609" s="1">
        <f>IFERROR(__xludf.DUMMYFUNCTION("""COMPUTED_VALUE"""),160.89)</f>
        <v>160.89</v>
      </c>
      <c r="F2609" s="1">
        <f>IFERROR(__xludf.DUMMYFUNCTION("""COMPUTED_VALUE"""),497854.0)</f>
        <v>497854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IFERROR(__xludf.DUMMYFUNCTION("""COMPUTED_VALUE"""),158.51)</f>
        <v>158.51</v>
      </c>
      <c r="C2610" s="1">
        <f>IFERROR(__xludf.DUMMYFUNCTION("""COMPUTED_VALUE"""),163.51)</f>
        <v>163.51</v>
      </c>
      <c r="D2610" s="1">
        <f>IFERROR(__xludf.DUMMYFUNCTION("""COMPUTED_VALUE"""),157.39)</f>
        <v>157.39</v>
      </c>
      <c r="E2610" s="1">
        <f>IFERROR(__xludf.DUMMYFUNCTION("""COMPUTED_VALUE"""),163.0)</f>
        <v>163</v>
      </c>
      <c r="F2610" s="1">
        <f>IFERROR(__xludf.DUMMYFUNCTION("""COMPUTED_VALUE"""),309275.0)</f>
        <v>309275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IFERROR(__xludf.DUMMYFUNCTION("""COMPUTED_VALUE"""),162.77)</f>
        <v>162.77</v>
      </c>
      <c r="C2611" s="1">
        <f>IFERROR(__xludf.DUMMYFUNCTION("""COMPUTED_VALUE"""),169.93)</f>
        <v>169.93</v>
      </c>
      <c r="D2611" s="1">
        <f>IFERROR(__xludf.DUMMYFUNCTION("""COMPUTED_VALUE"""),161.88)</f>
        <v>161.88</v>
      </c>
      <c r="E2611" s="1">
        <f>IFERROR(__xludf.DUMMYFUNCTION("""COMPUTED_VALUE"""),169.81)</f>
        <v>169.81</v>
      </c>
      <c r="F2611" s="1">
        <f>IFERROR(__xludf.DUMMYFUNCTION("""COMPUTED_VALUE"""),470988.0)</f>
        <v>470988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IFERROR(__xludf.DUMMYFUNCTION("""COMPUTED_VALUE"""),173.47)</f>
        <v>173.47</v>
      </c>
      <c r="C2612" s="1">
        <f>IFERROR(__xludf.DUMMYFUNCTION("""COMPUTED_VALUE"""),176.6)</f>
        <v>176.6</v>
      </c>
      <c r="D2612" s="1">
        <f>IFERROR(__xludf.DUMMYFUNCTION("""COMPUTED_VALUE"""),171.19)</f>
        <v>171.19</v>
      </c>
      <c r="E2612" s="1">
        <f>IFERROR(__xludf.DUMMYFUNCTION("""COMPUTED_VALUE"""),171.78)</f>
        <v>171.78</v>
      </c>
      <c r="F2612" s="1">
        <f>IFERROR(__xludf.DUMMYFUNCTION("""COMPUTED_VALUE"""),357924.0)</f>
        <v>357924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IFERROR(__xludf.DUMMYFUNCTION("""COMPUTED_VALUE"""),170.91)</f>
        <v>170.91</v>
      </c>
      <c r="C2613" s="1">
        <f>IFERROR(__xludf.DUMMYFUNCTION("""COMPUTED_VALUE"""),173.42)</f>
        <v>173.42</v>
      </c>
      <c r="D2613" s="1">
        <f>IFERROR(__xludf.DUMMYFUNCTION("""COMPUTED_VALUE"""),169.87)</f>
        <v>169.87</v>
      </c>
      <c r="E2613" s="1">
        <f>IFERROR(__xludf.DUMMYFUNCTION("""COMPUTED_VALUE"""),169.88)</f>
        <v>169.88</v>
      </c>
      <c r="F2613" s="1">
        <f>IFERROR(__xludf.DUMMYFUNCTION("""COMPUTED_VALUE"""),265629.0)</f>
        <v>265629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IFERROR(__xludf.DUMMYFUNCTION("""COMPUTED_VALUE"""),172.78)</f>
        <v>172.78</v>
      </c>
      <c r="C2614" s="1">
        <f>IFERROR(__xludf.DUMMYFUNCTION("""COMPUTED_VALUE"""),176.38)</f>
        <v>176.38</v>
      </c>
      <c r="D2614" s="1">
        <f>IFERROR(__xludf.DUMMYFUNCTION("""COMPUTED_VALUE"""),171.74)</f>
        <v>171.74</v>
      </c>
      <c r="E2614" s="1">
        <f>IFERROR(__xludf.DUMMYFUNCTION("""COMPUTED_VALUE"""),175.86)</f>
        <v>175.86</v>
      </c>
      <c r="F2614" s="1">
        <f>IFERROR(__xludf.DUMMYFUNCTION("""COMPUTED_VALUE"""),326230.0)</f>
        <v>326230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IFERROR(__xludf.DUMMYFUNCTION("""COMPUTED_VALUE"""),175.9)</f>
        <v>175.9</v>
      </c>
      <c r="C2615" s="1">
        <f>IFERROR(__xludf.DUMMYFUNCTION("""COMPUTED_VALUE"""),176.56)</f>
        <v>176.56</v>
      </c>
      <c r="D2615" s="1">
        <f>IFERROR(__xludf.DUMMYFUNCTION("""COMPUTED_VALUE"""),173.34)</f>
        <v>173.34</v>
      </c>
      <c r="E2615" s="1">
        <f>IFERROR(__xludf.DUMMYFUNCTION("""COMPUTED_VALUE"""),175.23)</f>
        <v>175.23</v>
      </c>
      <c r="F2615" s="1">
        <f>IFERROR(__xludf.DUMMYFUNCTION("""COMPUTED_VALUE"""),335954.0)</f>
        <v>335954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IFERROR(__xludf.DUMMYFUNCTION("""COMPUTED_VALUE"""),174.43)</f>
        <v>174.43</v>
      </c>
      <c r="C2616" s="1">
        <f>IFERROR(__xludf.DUMMYFUNCTION("""COMPUTED_VALUE"""),175.43)</f>
        <v>175.43</v>
      </c>
      <c r="D2616" s="1">
        <f>IFERROR(__xludf.DUMMYFUNCTION("""COMPUTED_VALUE"""),172.37)</f>
        <v>172.37</v>
      </c>
      <c r="E2616" s="1">
        <f>IFERROR(__xludf.DUMMYFUNCTION("""COMPUTED_VALUE"""),173.61)</f>
        <v>173.61</v>
      </c>
      <c r="F2616" s="1">
        <f>IFERROR(__xludf.DUMMYFUNCTION("""COMPUTED_VALUE"""),255849.0)</f>
        <v>255849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IFERROR(__xludf.DUMMYFUNCTION("""COMPUTED_VALUE"""),178.1)</f>
        <v>178.1</v>
      </c>
      <c r="C2617" s="1">
        <f>IFERROR(__xludf.DUMMYFUNCTION("""COMPUTED_VALUE"""),178.1)</f>
        <v>178.1</v>
      </c>
      <c r="D2617" s="1">
        <f>IFERROR(__xludf.DUMMYFUNCTION("""COMPUTED_VALUE"""),170.7)</f>
        <v>170.7</v>
      </c>
      <c r="E2617" s="1">
        <f>IFERROR(__xludf.DUMMYFUNCTION("""COMPUTED_VALUE"""),171.38)</f>
        <v>171.38</v>
      </c>
      <c r="F2617" s="1">
        <f>IFERROR(__xludf.DUMMYFUNCTION("""COMPUTED_VALUE"""),343177.0)</f>
        <v>343177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IFERROR(__xludf.DUMMYFUNCTION("""COMPUTED_VALUE"""),173.38)</f>
        <v>173.38</v>
      </c>
      <c r="C2618" s="1">
        <f>IFERROR(__xludf.DUMMYFUNCTION("""COMPUTED_VALUE"""),174.74)</f>
        <v>174.74</v>
      </c>
      <c r="D2618" s="1">
        <f>IFERROR(__xludf.DUMMYFUNCTION("""COMPUTED_VALUE"""),165.1)</f>
        <v>165.1</v>
      </c>
      <c r="E2618" s="1">
        <f>IFERROR(__xludf.DUMMYFUNCTION("""COMPUTED_VALUE"""),174.58)</f>
        <v>174.58</v>
      </c>
      <c r="F2618" s="1">
        <f>IFERROR(__xludf.DUMMYFUNCTION("""COMPUTED_VALUE"""),407217.0)</f>
        <v>407217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IFERROR(__xludf.DUMMYFUNCTION("""COMPUTED_VALUE"""),175.37)</f>
        <v>175.37</v>
      </c>
      <c r="C2619" s="1">
        <f>IFERROR(__xludf.DUMMYFUNCTION("""COMPUTED_VALUE"""),176.17)</f>
        <v>176.17</v>
      </c>
      <c r="D2619" s="1">
        <f>IFERROR(__xludf.DUMMYFUNCTION("""COMPUTED_VALUE"""),172.47)</f>
        <v>172.47</v>
      </c>
      <c r="E2619" s="1">
        <f>IFERROR(__xludf.DUMMYFUNCTION("""COMPUTED_VALUE"""),176.13)</f>
        <v>176.13</v>
      </c>
      <c r="F2619" s="1">
        <f>IFERROR(__xludf.DUMMYFUNCTION("""COMPUTED_VALUE"""),320304.0)</f>
        <v>320304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IFERROR(__xludf.DUMMYFUNCTION("""COMPUTED_VALUE"""),176.21)</f>
        <v>176.21</v>
      </c>
      <c r="C2620" s="1">
        <f>IFERROR(__xludf.DUMMYFUNCTION("""COMPUTED_VALUE"""),179.98)</f>
        <v>179.98</v>
      </c>
      <c r="D2620" s="1">
        <f>IFERROR(__xludf.DUMMYFUNCTION("""COMPUTED_VALUE"""),174.05)</f>
        <v>174.05</v>
      </c>
      <c r="E2620" s="1">
        <f>IFERROR(__xludf.DUMMYFUNCTION("""COMPUTED_VALUE"""),179.66)</f>
        <v>179.66</v>
      </c>
      <c r="F2620" s="1">
        <f>IFERROR(__xludf.DUMMYFUNCTION("""COMPUTED_VALUE"""),451342.0)</f>
        <v>451342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IFERROR(__xludf.DUMMYFUNCTION("""COMPUTED_VALUE"""),179.0)</f>
        <v>179</v>
      </c>
      <c r="C2621" s="1">
        <f>IFERROR(__xludf.DUMMYFUNCTION("""COMPUTED_VALUE"""),181.71)</f>
        <v>181.71</v>
      </c>
      <c r="D2621" s="1">
        <f>IFERROR(__xludf.DUMMYFUNCTION("""COMPUTED_VALUE"""),177.01)</f>
        <v>177.01</v>
      </c>
      <c r="E2621" s="1">
        <f>IFERROR(__xludf.DUMMYFUNCTION("""COMPUTED_VALUE"""),179.82)</f>
        <v>179.82</v>
      </c>
      <c r="F2621" s="1">
        <f>IFERROR(__xludf.DUMMYFUNCTION("""COMPUTED_VALUE"""),336975.0)</f>
        <v>336975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IFERROR(__xludf.DUMMYFUNCTION("""COMPUTED_VALUE"""),180.74)</f>
        <v>180.74</v>
      </c>
      <c r="C2622" s="1">
        <f>IFERROR(__xludf.DUMMYFUNCTION("""COMPUTED_VALUE"""),183.54)</f>
        <v>183.54</v>
      </c>
      <c r="D2622" s="1">
        <f>IFERROR(__xludf.DUMMYFUNCTION("""COMPUTED_VALUE"""),178.51)</f>
        <v>178.51</v>
      </c>
      <c r="E2622" s="1">
        <f>IFERROR(__xludf.DUMMYFUNCTION("""COMPUTED_VALUE"""),183.35)</f>
        <v>183.35</v>
      </c>
      <c r="F2622" s="1">
        <f>IFERROR(__xludf.DUMMYFUNCTION("""COMPUTED_VALUE"""),251482.0)</f>
        <v>251482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IFERROR(__xludf.DUMMYFUNCTION("""COMPUTED_VALUE"""),184.9)</f>
        <v>184.9</v>
      </c>
      <c r="C2623" s="1">
        <f>IFERROR(__xludf.DUMMYFUNCTION("""COMPUTED_VALUE"""),189.85)</f>
        <v>189.85</v>
      </c>
      <c r="D2623" s="1">
        <f>IFERROR(__xludf.DUMMYFUNCTION("""COMPUTED_VALUE"""),184.9)</f>
        <v>184.9</v>
      </c>
      <c r="E2623" s="1">
        <f>IFERROR(__xludf.DUMMYFUNCTION("""COMPUTED_VALUE"""),189.72)</f>
        <v>189.72</v>
      </c>
      <c r="F2623" s="1">
        <f>IFERROR(__xludf.DUMMYFUNCTION("""COMPUTED_VALUE"""),762291.0)</f>
        <v>762291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IFERROR(__xludf.DUMMYFUNCTION("""COMPUTED_VALUE"""),188.26)</f>
        <v>188.26</v>
      </c>
      <c r="C2624" s="1">
        <f>IFERROR(__xludf.DUMMYFUNCTION("""COMPUTED_VALUE"""),189.81)</f>
        <v>189.81</v>
      </c>
      <c r="D2624" s="1">
        <f>IFERROR(__xludf.DUMMYFUNCTION("""COMPUTED_VALUE"""),181.77)</f>
        <v>181.77</v>
      </c>
      <c r="E2624" s="1">
        <f>IFERROR(__xludf.DUMMYFUNCTION("""COMPUTED_VALUE"""),183.43)</f>
        <v>183.43</v>
      </c>
      <c r="F2624" s="1">
        <f>IFERROR(__xludf.DUMMYFUNCTION("""COMPUTED_VALUE"""),492033.0)</f>
        <v>492033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IFERROR(__xludf.DUMMYFUNCTION("""COMPUTED_VALUE"""),186.58)</f>
        <v>186.58</v>
      </c>
      <c r="C2625" s="1">
        <f>IFERROR(__xludf.DUMMYFUNCTION("""COMPUTED_VALUE"""),188.09)</f>
        <v>188.09</v>
      </c>
      <c r="D2625" s="1">
        <f>IFERROR(__xludf.DUMMYFUNCTION("""COMPUTED_VALUE"""),177.45)</f>
        <v>177.45</v>
      </c>
      <c r="E2625" s="1">
        <f>IFERROR(__xludf.DUMMYFUNCTION("""COMPUTED_VALUE"""),178.43)</f>
        <v>178.43</v>
      </c>
      <c r="F2625" s="1">
        <f>IFERROR(__xludf.DUMMYFUNCTION("""COMPUTED_VALUE"""),499889.0)</f>
        <v>499889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IFERROR(__xludf.DUMMYFUNCTION("""COMPUTED_VALUE"""),177.26)</f>
        <v>177.26</v>
      </c>
      <c r="C2626" s="1">
        <f>IFERROR(__xludf.DUMMYFUNCTION("""COMPUTED_VALUE"""),185.35)</f>
        <v>185.35</v>
      </c>
      <c r="D2626" s="1">
        <f>IFERROR(__xludf.DUMMYFUNCTION("""COMPUTED_VALUE"""),177.26)</f>
        <v>177.26</v>
      </c>
      <c r="E2626" s="1">
        <f>IFERROR(__xludf.DUMMYFUNCTION("""COMPUTED_VALUE"""),185.04)</f>
        <v>185.04</v>
      </c>
      <c r="F2626" s="1">
        <f>IFERROR(__xludf.DUMMYFUNCTION("""COMPUTED_VALUE"""),462098.0)</f>
        <v>462098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IFERROR(__xludf.DUMMYFUNCTION("""COMPUTED_VALUE"""),184.0)</f>
        <v>184</v>
      </c>
      <c r="C2627" s="1">
        <f>IFERROR(__xludf.DUMMYFUNCTION("""COMPUTED_VALUE"""),185.11)</f>
        <v>185.11</v>
      </c>
      <c r="D2627" s="1">
        <f>IFERROR(__xludf.DUMMYFUNCTION("""COMPUTED_VALUE"""),179.02)</f>
        <v>179.02</v>
      </c>
      <c r="E2627" s="1">
        <f>IFERROR(__xludf.DUMMYFUNCTION("""COMPUTED_VALUE"""),180.33)</f>
        <v>180.33</v>
      </c>
      <c r="F2627" s="1">
        <f>IFERROR(__xludf.DUMMYFUNCTION("""COMPUTED_VALUE"""),307741.0)</f>
        <v>307741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IFERROR(__xludf.DUMMYFUNCTION("""COMPUTED_VALUE"""),181.38)</f>
        <v>181.38</v>
      </c>
      <c r="C2628" s="1">
        <f>IFERROR(__xludf.DUMMYFUNCTION("""COMPUTED_VALUE"""),183.2)</f>
        <v>183.2</v>
      </c>
      <c r="D2628" s="1">
        <f>IFERROR(__xludf.DUMMYFUNCTION("""COMPUTED_VALUE"""),180.17)</f>
        <v>180.17</v>
      </c>
      <c r="E2628" s="1">
        <f>IFERROR(__xludf.DUMMYFUNCTION("""COMPUTED_VALUE"""),181.71)</f>
        <v>181.71</v>
      </c>
      <c r="F2628" s="1">
        <f>IFERROR(__xludf.DUMMYFUNCTION("""COMPUTED_VALUE"""),404113.0)</f>
        <v>404113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IFERROR(__xludf.DUMMYFUNCTION("""COMPUTED_VALUE"""),177.67)</f>
        <v>177.67</v>
      </c>
      <c r="C2629" s="1">
        <f>IFERROR(__xludf.DUMMYFUNCTION("""COMPUTED_VALUE"""),177.97)</f>
        <v>177.97</v>
      </c>
      <c r="D2629" s="1">
        <f>IFERROR(__xludf.DUMMYFUNCTION("""COMPUTED_VALUE"""),173.3)</f>
        <v>173.3</v>
      </c>
      <c r="E2629" s="1">
        <f>IFERROR(__xludf.DUMMYFUNCTION("""COMPUTED_VALUE"""),174.48)</f>
        <v>174.48</v>
      </c>
      <c r="F2629" s="1">
        <f>IFERROR(__xludf.DUMMYFUNCTION("""COMPUTED_VALUE"""),525269.0)</f>
        <v>525269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IFERROR(__xludf.DUMMYFUNCTION("""COMPUTED_VALUE"""),179.09)</f>
        <v>179.09</v>
      </c>
      <c r="C2630" s="1">
        <f>IFERROR(__xludf.DUMMYFUNCTION("""COMPUTED_VALUE"""),180.74)</f>
        <v>180.74</v>
      </c>
      <c r="D2630" s="1">
        <f>IFERROR(__xludf.DUMMYFUNCTION("""COMPUTED_VALUE"""),174.5)</f>
        <v>174.5</v>
      </c>
      <c r="E2630" s="1">
        <f>IFERROR(__xludf.DUMMYFUNCTION("""COMPUTED_VALUE"""),179.6)</f>
        <v>179.6</v>
      </c>
      <c r="F2630" s="1">
        <f>IFERROR(__xludf.DUMMYFUNCTION("""COMPUTED_VALUE"""),530019.0)</f>
        <v>530019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IFERROR(__xludf.DUMMYFUNCTION("""COMPUTED_VALUE"""),176.15)</f>
        <v>176.15</v>
      </c>
      <c r="C2631" s="1">
        <f>IFERROR(__xludf.DUMMYFUNCTION("""COMPUTED_VALUE"""),180.53)</f>
        <v>180.53</v>
      </c>
      <c r="D2631" s="1">
        <f>IFERROR(__xludf.DUMMYFUNCTION("""COMPUTED_VALUE"""),174.81)</f>
        <v>174.81</v>
      </c>
      <c r="E2631" s="1">
        <f>IFERROR(__xludf.DUMMYFUNCTION("""COMPUTED_VALUE"""),179.74)</f>
        <v>179.74</v>
      </c>
      <c r="F2631" s="1">
        <f>IFERROR(__xludf.DUMMYFUNCTION("""COMPUTED_VALUE"""),285986.0)</f>
        <v>285986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IFERROR(__xludf.DUMMYFUNCTION("""COMPUTED_VALUE"""),184.24)</f>
        <v>184.24</v>
      </c>
      <c r="C2632" s="1">
        <f>IFERROR(__xludf.DUMMYFUNCTION("""COMPUTED_VALUE"""),185.89)</f>
        <v>185.89</v>
      </c>
      <c r="D2632" s="1">
        <f>IFERROR(__xludf.DUMMYFUNCTION("""COMPUTED_VALUE"""),179.5)</f>
        <v>179.5</v>
      </c>
      <c r="E2632" s="1">
        <f>IFERROR(__xludf.DUMMYFUNCTION("""COMPUTED_VALUE"""),180.31)</f>
        <v>180.31</v>
      </c>
      <c r="F2632" s="1">
        <f>IFERROR(__xludf.DUMMYFUNCTION("""COMPUTED_VALUE"""),432832.0)</f>
        <v>432832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IFERROR(__xludf.DUMMYFUNCTION("""COMPUTED_VALUE"""),181.91)</f>
        <v>181.91</v>
      </c>
      <c r="C2633" s="1">
        <f>IFERROR(__xludf.DUMMYFUNCTION("""COMPUTED_VALUE"""),181.91)</f>
        <v>181.91</v>
      </c>
      <c r="D2633" s="1">
        <f>IFERROR(__xludf.DUMMYFUNCTION("""COMPUTED_VALUE"""),177.48)</f>
        <v>177.48</v>
      </c>
      <c r="E2633" s="1">
        <f>IFERROR(__xludf.DUMMYFUNCTION("""COMPUTED_VALUE"""),178.15)</f>
        <v>178.15</v>
      </c>
      <c r="F2633" s="1">
        <f>IFERROR(__xludf.DUMMYFUNCTION("""COMPUTED_VALUE"""),275292.0)</f>
        <v>275292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IFERROR(__xludf.DUMMYFUNCTION("""COMPUTED_VALUE"""),176.75)</f>
        <v>176.75</v>
      </c>
      <c r="C2634" s="1">
        <f>IFERROR(__xludf.DUMMYFUNCTION("""COMPUTED_VALUE"""),179.36)</f>
        <v>179.36</v>
      </c>
      <c r="D2634" s="1">
        <f>IFERROR(__xludf.DUMMYFUNCTION("""COMPUTED_VALUE"""),176.75)</f>
        <v>176.75</v>
      </c>
      <c r="E2634" s="1">
        <f>IFERROR(__xludf.DUMMYFUNCTION("""COMPUTED_VALUE"""),178.56)</f>
        <v>178.56</v>
      </c>
      <c r="F2634" s="1">
        <f>IFERROR(__xludf.DUMMYFUNCTION("""COMPUTED_VALUE"""),260663.0)</f>
        <v>260663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IFERROR(__xludf.DUMMYFUNCTION("""COMPUTED_VALUE"""),180.31)</f>
        <v>180.31</v>
      </c>
      <c r="C2635" s="1">
        <f>IFERROR(__xludf.DUMMYFUNCTION("""COMPUTED_VALUE"""),181.44)</f>
        <v>181.44</v>
      </c>
      <c r="D2635" s="1">
        <f>IFERROR(__xludf.DUMMYFUNCTION("""COMPUTED_VALUE"""),177.07)</f>
        <v>177.07</v>
      </c>
      <c r="E2635" s="1">
        <f>IFERROR(__xludf.DUMMYFUNCTION("""COMPUTED_VALUE"""),177.19)</f>
        <v>177.19</v>
      </c>
      <c r="F2635" s="1">
        <f>IFERROR(__xludf.DUMMYFUNCTION("""COMPUTED_VALUE"""),426839.0)</f>
        <v>426839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IFERROR(__xludf.DUMMYFUNCTION("""COMPUTED_VALUE"""),177.19)</f>
        <v>177.19</v>
      </c>
      <c r="C2636" s="1">
        <f>IFERROR(__xludf.DUMMYFUNCTION("""COMPUTED_VALUE"""),177.2)</f>
        <v>177.2</v>
      </c>
      <c r="D2636" s="1">
        <f>IFERROR(__xludf.DUMMYFUNCTION("""COMPUTED_VALUE"""),173.86)</f>
        <v>173.86</v>
      </c>
      <c r="E2636" s="1">
        <f>IFERROR(__xludf.DUMMYFUNCTION("""COMPUTED_VALUE"""),174.99)</f>
        <v>174.99</v>
      </c>
      <c r="F2636" s="1">
        <f>IFERROR(__xludf.DUMMYFUNCTION("""COMPUTED_VALUE"""),442708.0)</f>
        <v>442708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IFERROR(__xludf.DUMMYFUNCTION("""COMPUTED_VALUE"""),177.35)</f>
        <v>177.35</v>
      </c>
      <c r="C2637" s="1">
        <f>IFERROR(__xludf.DUMMYFUNCTION("""COMPUTED_VALUE"""),177.35)</f>
        <v>177.35</v>
      </c>
      <c r="D2637" s="1">
        <f>IFERROR(__xludf.DUMMYFUNCTION("""COMPUTED_VALUE"""),174.34)</f>
        <v>174.34</v>
      </c>
      <c r="E2637" s="1">
        <f>IFERROR(__xludf.DUMMYFUNCTION("""COMPUTED_VALUE"""),175.01)</f>
        <v>175.01</v>
      </c>
      <c r="F2637" s="1">
        <f>IFERROR(__xludf.DUMMYFUNCTION("""COMPUTED_VALUE"""),338608.0)</f>
        <v>338608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IFERROR(__xludf.DUMMYFUNCTION("""COMPUTED_VALUE"""),174.46)</f>
        <v>174.46</v>
      </c>
      <c r="C2638" s="1">
        <f>IFERROR(__xludf.DUMMYFUNCTION("""COMPUTED_VALUE"""),175.05)</f>
        <v>175.05</v>
      </c>
      <c r="D2638" s="1">
        <f>IFERROR(__xludf.DUMMYFUNCTION("""COMPUTED_VALUE"""),165.76)</f>
        <v>165.76</v>
      </c>
      <c r="E2638" s="1">
        <f>IFERROR(__xludf.DUMMYFUNCTION("""COMPUTED_VALUE"""),170.64)</f>
        <v>170.64</v>
      </c>
      <c r="F2638" s="1">
        <f>IFERROR(__xludf.DUMMYFUNCTION("""COMPUTED_VALUE"""),453323.0)</f>
        <v>453323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IFERROR(__xludf.DUMMYFUNCTION("""COMPUTED_VALUE"""),170.3)</f>
        <v>170.3</v>
      </c>
      <c r="C2639" s="1">
        <f>IFERROR(__xludf.DUMMYFUNCTION("""COMPUTED_VALUE"""),173.95)</f>
        <v>173.95</v>
      </c>
      <c r="D2639" s="1">
        <f>IFERROR(__xludf.DUMMYFUNCTION("""COMPUTED_VALUE"""),167.65)</f>
        <v>167.65</v>
      </c>
      <c r="E2639" s="1">
        <f>IFERROR(__xludf.DUMMYFUNCTION("""COMPUTED_VALUE"""),173.6)</f>
        <v>173.6</v>
      </c>
      <c r="F2639" s="1">
        <f>IFERROR(__xludf.DUMMYFUNCTION("""COMPUTED_VALUE"""),535790.0)</f>
        <v>535790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IFERROR(__xludf.DUMMYFUNCTION("""COMPUTED_VALUE"""),173.31)</f>
        <v>173.31</v>
      </c>
      <c r="C2640" s="1">
        <f>IFERROR(__xludf.DUMMYFUNCTION("""COMPUTED_VALUE"""),174.46)</f>
        <v>174.46</v>
      </c>
      <c r="D2640" s="1">
        <f>IFERROR(__xludf.DUMMYFUNCTION("""COMPUTED_VALUE"""),168.55)</f>
        <v>168.55</v>
      </c>
      <c r="E2640" s="1">
        <f>IFERROR(__xludf.DUMMYFUNCTION("""COMPUTED_VALUE"""),169.98)</f>
        <v>169.98</v>
      </c>
      <c r="F2640" s="1">
        <f>IFERROR(__xludf.DUMMYFUNCTION("""COMPUTED_VALUE"""),470660.0)</f>
        <v>470660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IFERROR(__xludf.DUMMYFUNCTION("""COMPUTED_VALUE"""),170.41)</f>
        <v>170.41</v>
      </c>
      <c r="C2641" s="1">
        <f>IFERROR(__xludf.DUMMYFUNCTION("""COMPUTED_VALUE"""),171.59)</f>
        <v>171.59</v>
      </c>
      <c r="D2641" s="1">
        <f>IFERROR(__xludf.DUMMYFUNCTION("""COMPUTED_VALUE"""),167.55)</f>
        <v>167.55</v>
      </c>
      <c r="E2641" s="1">
        <f>IFERROR(__xludf.DUMMYFUNCTION("""COMPUTED_VALUE"""),169.0)</f>
        <v>169</v>
      </c>
      <c r="F2641" s="1">
        <f>IFERROR(__xludf.DUMMYFUNCTION("""COMPUTED_VALUE"""),291869.0)</f>
        <v>291869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IFERROR(__xludf.DUMMYFUNCTION("""COMPUTED_VALUE"""),169.92)</f>
        <v>169.92</v>
      </c>
      <c r="C2642" s="1">
        <f>IFERROR(__xludf.DUMMYFUNCTION("""COMPUTED_VALUE"""),175.03)</f>
        <v>175.03</v>
      </c>
      <c r="D2642" s="1">
        <f>IFERROR(__xludf.DUMMYFUNCTION("""COMPUTED_VALUE"""),169.1)</f>
        <v>169.1</v>
      </c>
      <c r="E2642" s="1">
        <f>IFERROR(__xludf.DUMMYFUNCTION("""COMPUTED_VALUE"""),174.35)</f>
        <v>174.35</v>
      </c>
      <c r="F2642" s="1">
        <f>IFERROR(__xludf.DUMMYFUNCTION("""COMPUTED_VALUE"""),605495.0)</f>
        <v>605495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IFERROR(__xludf.DUMMYFUNCTION("""COMPUTED_VALUE"""),177.7)</f>
        <v>177.7</v>
      </c>
      <c r="C2643" s="1">
        <f>IFERROR(__xludf.DUMMYFUNCTION("""COMPUTED_VALUE"""),178.6)</f>
        <v>178.6</v>
      </c>
      <c r="D2643" s="1">
        <f>IFERROR(__xludf.DUMMYFUNCTION("""COMPUTED_VALUE"""),175.0)</f>
        <v>175</v>
      </c>
      <c r="E2643" s="1">
        <f>IFERROR(__xludf.DUMMYFUNCTION("""COMPUTED_VALUE"""),175.56)</f>
        <v>175.56</v>
      </c>
      <c r="F2643" s="1">
        <f>IFERROR(__xludf.DUMMYFUNCTION("""COMPUTED_VALUE"""),336748.0)</f>
        <v>336748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IFERROR(__xludf.DUMMYFUNCTION("""COMPUTED_VALUE"""),177.0)</f>
        <v>177</v>
      </c>
      <c r="C2644" s="1">
        <f>IFERROR(__xludf.DUMMYFUNCTION("""COMPUTED_VALUE"""),177.7)</f>
        <v>177.7</v>
      </c>
      <c r="D2644" s="1">
        <f>IFERROR(__xludf.DUMMYFUNCTION("""COMPUTED_VALUE"""),174.82)</f>
        <v>174.82</v>
      </c>
      <c r="E2644" s="1">
        <f>IFERROR(__xludf.DUMMYFUNCTION("""COMPUTED_VALUE"""),176.92)</f>
        <v>176.92</v>
      </c>
      <c r="F2644" s="1">
        <f>IFERROR(__xludf.DUMMYFUNCTION("""COMPUTED_VALUE"""),583159.0)</f>
        <v>583159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IFERROR(__xludf.DUMMYFUNCTION("""COMPUTED_VALUE"""),179.16)</f>
        <v>179.16</v>
      </c>
      <c r="C2645" s="1">
        <f>IFERROR(__xludf.DUMMYFUNCTION("""COMPUTED_VALUE"""),182.0)</f>
        <v>182</v>
      </c>
      <c r="D2645" s="1">
        <f>IFERROR(__xludf.DUMMYFUNCTION("""COMPUTED_VALUE"""),177.58)</f>
        <v>177.58</v>
      </c>
      <c r="E2645" s="1">
        <f>IFERROR(__xludf.DUMMYFUNCTION("""COMPUTED_VALUE"""),181.8)</f>
        <v>181.8</v>
      </c>
      <c r="F2645" s="1">
        <f>IFERROR(__xludf.DUMMYFUNCTION("""COMPUTED_VALUE"""),435326.0)</f>
        <v>435326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IFERROR(__xludf.DUMMYFUNCTION("""COMPUTED_VALUE"""),180.59)</f>
        <v>180.59</v>
      </c>
      <c r="C2646" s="1">
        <f>IFERROR(__xludf.DUMMYFUNCTION("""COMPUTED_VALUE"""),183.7)</f>
        <v>183.7</v>
      </c>
      <c r="D2646" s="1">
        <f>IFERROR(__xludf.DUMMYFUNCTION("""COMPUTED_VALUE"""),178.75)</f>
        <v>178.75</v>
      </c>
      <c r="E2646" s="1">
        <f>IFERROR(__xludf.DUMMYFUNCTION("""COMPUTED_VALUE"""),181.41)</f>
        <v>181.41</v>
      </c>
      <c r="F2646" s="1">
        <f>IFERROR(__xludf.DUMMYFUNCTION("""COMPUTED_VALUE"""),391855.0)</f>
        <v>391855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IFERROR(__xludf.DUMMYFUNCTION("""COMPUTED_VALUE"""),182.44)</f>
        <v>182.44</v>
      </c>
      <c r="C2647" s="1">
        <f>IFERROR(__xludf.DUMMYFUNCTION("""COMPUTED_VALUE"""),186.64)</f>
        <v>186.64</v>
      </c>
      <c r="D2647" s="1">
        <f>IFERROR(__xludf.DUMMYFUNCTION("""COMPUTED_VALUE"""),182.44)</f>
        <v>182.44</v>
      </c>
      <c r="E2647" s="1">
        <f>IFERROR(__xludf.DUMMYFUNCTION("""COMPUTED_VALUE"""),185.09)</f>
        <v>185.09</v>
      </c>
      <c r="F2647" s="1">
        <f>IFERROR(__xludf.DUMMYFUNCTION("""COMPUTED_VALUE"""),310013.0)</f>
        <v>310013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IFERROR(__xludf.DUMMYFUNCTION("""COMPUTED_VALUE"""),184.95)</f>
        <v>184.95</v>
      </c>
      <c r="C2648" s="1">
        <f>IFERROR(__xludf.DUMMYFUNCTION("""COMPUTED_VALUE"""),186.69)</f>
        <v>186.69</v>
      </c>
      <c r="D2648" s="1">
        <f>IFERROR(__xludf.DUMMYFUNCTION("""COMPUTED_VALUE"""),181.36)</f>
        <v>181.36</v>
      </c>
      <c r="E2648" s="1">
        <f>IFERROR(__xludf.DUMMYFUNCTION("""COMPUTED_VALUE"""),185.13)</f>
        <v>185.13</v>
      </c>
      <c r="F2648" s="1">
        <f>IFERROR(__xludf.DUMMYFUNCTION("""COMPUTED_VALUE"""),249565.0)</f>
        <v>249565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IFERROR(__xludf.DUMMYFUNCTION("""COMPUTED_VALUE"""),185.01)</f>
        <v>185.01</v>
      </c>
      <c r="C2649" s="1">
        <f>IFERROR(__xludf.DUMMYFUNCTION("""COMPUTED_VALUE"""),185.04)</f>
        <v>185.04</v>
      </c>
      <c r="D2649" s="1">
        <f>IFERROR(__xludf.DUMMYFUNCTION("""COMPUTED_VALUE"""),180.56)</f>
        <v>180.56</v>
      </c>
      <c r="E2649" s="1">
        <f>IFERROR(__xludf.DUMMYFUNCTION("""COMPUTED_VALUE"""),181.25)</f>
        <v>181.25</v>
      </c>
      <c r="F2649" s="1">
        <f>IFERROR(__xludf.DUMMYFUNCTION("""COMPUTED_VALUE"""),233554.0)</f>
        <v>233554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IFERROR(__xludf.DUMMYFUNCTION("""COMPUTED_VALUE"""),182.72)</f>
        <v>182.72</v>
      </c>
      <c r="C2650" s="1">
        <f>IFERROR(__xludf.DUMMYFUNCTION("""COMPUTED_VALUE"""),186.06)</f>
        <v>186.06</v>
      </c>
      <c r="D2650" s="1">
        <f>IFERROR(__xludf.DUMMYFUNCTION("""COMPUTED_VALUE"""),180.17)</f>
        <v>180.17</v>
      </c>
      <c r="E2650" s="1">
        <f>IFERROR(__xludf.DUMMYFUNCTION("""COMPUTED_VALUE"""),180.51)</f>
        <v>180.51</v>
      </c>
      <c r="F2650" s="1">
        <f>IFERROR(__xludf.DUMMYFUNCTION("""COMPUTED_VALUE"""),429938.0)</f>
        <v>429938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IFERROR(__xludf.DUMMYFUNCTION("""COMPUTED_VALUE"""),179.61)</f>
        <v>179.61</v>
      </c>
      <c r="C2651" s="1">
        <f>IFERROR(__xludf.DUMMYFUNCTION("""COMPUTED_VALUE"""),188.24)</f>
        <v>188.24</v>
      </c>
      <c r="D2651" s="1">
        <f>IFERROR(__xludf.DUMMYFUNCTION("""COMPUTED_VALUE"""),179.57)</f>
        <v>179.57</v>
      </c>
      <c r="E2651" s="1">
        <f>IFERROR(__xludf.DUMMYFUNCTION("""COMPUTED_VALUE"""),187.45)</f>
        <v>187.45</v>
      </c>
      <c r="F2651" s="1">
        <f>IFERROR(__xludf.DUMMYFUNCTION("""COMPUTED_VALUE"""),378159.0)</f>
        <v>378159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IFERROR(__xludf.DUMMYFUNCTION("""COMPUTED_VALUE"""),190.0)</f>
        <v>190</v>
      </c>
      <c r="C2652" s="1">
        <f>IFERROR(__xludf.DUMMYFUNCTION("""COMPUTED_VALUE"""),195.15)</f>
        <v>195.15</v>
      </c>
      <c r="D2652" s="1">
        <f>IFERROR(__xludf.DUMMYFUNCTION("""COMPUTED_VALUE"""),189.44)</f>
        <v>189.44</v>
      </c>
      <c r="E2652" s="1">
        <f>IFERROR(__xludf.DUMMYFUNCTION("""COMPUTED_VALUE"""),193.45)</f>
        <v>193.45</v>
      </c>
      <c r="F2652" s="1">
        <f>IFERROR(__xludf.DUMMYFUNCTION("""COMPUTED_VALUE"""),684418.0)</f>
        <v>684418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IFERROR(__xludf.DUMMYFUNCTION("""COMPUTED_VALUE"""),193.03)</f>
        <v>193.03</v>
      </c>
      <c r="C2653" s="1">
        <f>IFERROR(__xludf.DUMMYFUNCTION("""COMPUTED_VALUE"""),193.2)</f>
        <v>193.2</v>
      </c>
      <c r="D2653" s="1">
        <f>IFERROR(__xludf.DUMMYFUNCTION("""COMPUTED_VALUE"""),190.02)</f>
        <v>190.02</v>
      </c>
      <c r="E2653" s="1">
        <f>IFERROR(__xludf.DUMMYFUNCTION("""COMPUTED_VALUE"""),190.7)</f>
        <v>190.7</v>
      </c>
      <c r="F2653" s="1">
        <f>IFERROR(__xludf.DUMMYFUNCTION("""COMPUTED_VALUE"""),383757.0)</f>
        <v>383757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IFERROR(__xludf.DUMMYFUNCTION("""COMPUTED_VALUE"""),192.6)</f>
        <v>192.6</v>
      </c>
      <c r="C2654" s="1">
        <f>IFERROR(__xludf.DUMMYFUNCTION("""COMPUTED_VALUE"""),197.47)</f>
        <v>197.47</v>
      </c>
      <c r="D2654" s="1">
        <f>IFERROR(__xludf.DUMMYFUNCTION("""COMPUTED_VALUE"""),192.37)</f>
        <v>192.37</v>
      </c>
      <c r="E2654" s="1">
        <f>IFERROR(__xludf.DUMMYFUNCTION("""COMPUTED_VALUE"""),196.26)</f>
        <v>196.26</v>
      </c>
      <c r="F2654" s="1">
        <f>IFERROR(__xludf.DUMMYFUNCTION("""COMPUTED_VALUE"""),363149.0)</f>
        <v>363149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IFERROR(__xludf.DUMMYFUNCTION("""COMPUTED_VALUE"""),196.5)</f>
        <v>196.5</v>
      </c>
      <c r="C2655" s="1">
        <f>IFERROR(__xludf.DUMMYFUNCTION("""COMPUTED_VALUE"""),198.8)</f>
        <v>198.8</v>
      </c>
      <c r="D2655" s="1">
        <f>IFERROR(__xludf.DUMMYFUNCTION("""COMPUTED_VALUE"""),195.29)</f>
        <v>195.29</v>
      </c>
      <c r="E2655" s="1">
        <f>IFERROR(__xludf.DUMMYFUNCTION("""COMPUTED_VALUE"""),197.94)</f>
        <v>197.94</v>
      </c>
      <c r="F2655" s="1">
        <f>IFERROR(__xludf.DUMMYFUNCTION("""COMPUTED_VALUE"""),341007.0)</f>
        <v>341007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IFERROR(__xludf.DUMMYFUNCTION("""COMPUTED_VALUE"""),199.2)</f>
        <v>199.2</v>
      </c>
      <c r="C2656" s="1">
        <f>IFERROR(__xludf.DUMMYFUNCTION("""COMPUTED_VALUE"""),201.07)</f>
        <v>201.07</v>
      </c>
      <c r="D2656" s="1">
        <f>IFERROR(__xludf.DUMMYFUNCTION("""COMPUTED_VALUE"""),197.75)</f>
        <v>197.75</v>
      </c>
      <c r="E2656" s="1">
        <f>IFERROR(__xludf.DUMMYFUNCTION("""COMPUTED_VALUE"""),198.02)</f>
        <v>198.02</v>
      </c>
      <c r="F2656" s="1">
        <f>IFERROR(__xludf.DUMMYFUNCTION("""COMPUTED_VALUE"""),319845.0)</f>
        <v>319845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IFERROR(__xludf.DUMMYFUNCTION("""COMPUTED_VALUE"""),197.78)</f>
        <v>197.78</v>
      </c>
      <c r="C2657" s="1">
        <f>IFERROR(__xludf.DUMMYFUNCTION("""COMPUTED_VALUE"""),200.66)</f>
        <v>200.66</v>
      </c>
      <c r="D2657" s="1">
        <f>IFERROR(__xludf.DUMMYFUNCTION("""COMPUTED_VALUE"""),196.66)</f>
        <v>196.66</v>
      </c>
      <c r="E2657" s="1">
        <f>IFERROR(__xludf.DUMMYFUNCTION("""COMPUTED_VALUE"""),198.16)</f>
        <v>198.16</v>
      </c>
      <c r="F2657" s="1">
        <f>IFERROR(__xludf.DUMMYFUNCTION("""COMPUTED_VALUE"""),255763.0)</f>
        <v>255763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IFERROR(__xludf.DUMMYFUNCTION("""COMPUTED_VALUE"""),198.78)</f>
        <v>198.78</v>
      </c>
      <c r="C2658" s="1">
        <f>IFERROR(__xludf.DUMMYFUNCTION("""COMPUTED_VALUE"""),202.95)</f>
        <v>202.95</v>
      </c>
      <c r="D2658" s="1">
        <f>IFERROR(__xludf.DUMMYFUNCTION("""COMPUTED_VALUE"""),197.02)</f>
        <v>197.02</v>
      </c>
      <c r="E2658" s="1">
        <f>IFERROR(__xludf.DUMMYFUNCTION("""COMPUTED_VALUE"""),198.2)</f>
        <v>198.2</v>
      </c>
      <c r="F2658" s="1">
        <f>IFERROR(__xludf.DUMMYFUNCTION("""COMPUTED_VALUE"""),312366.0)</f>
        <v>312366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IFERROR(__xludf.DUMMYFUNCTION("""COMPUTED_VALUE"""),196.62)</f>
        <v>196.62</v>
      </c>
      <c r="C2659" s="1">
        <f>IFERROR(__xludf.DUMMYFUNCTION("""COMPUTED_VALUE"""),197.01)</f>
        <v>197.01</v>
      </c>
      <c r="D2659" s="1">
        <f>IFERROR(__xludf.DUMMYFUNCTION("""COMPUTED_VALUE"""),192.13)</f>
        <v>192.13</v>
      </c>
      <c r="E2659" s="1">
        <f>IFERROR(__xludf.DUMMYFUNCTION("""COMPUTED_VALUE"""),192.83)</f>
        <v>192.83</v>
      </c>
      <c r="F2659" s="1">
        <f>IFERROR(__xludf.DUMMYFUNCTION("""COMPUTED_VALUE"""),255974.0)</f>
        <v>255974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IFERROR(__xludf.DUMMYFUNCTION("""COMPUTED_VALUE"""),194.2)</f>
        <v>194.2</v>
      </c>
      <c r="C2660" s="1">
        <f>IFERROR(__xludf.DUMMYFUNCTION("""COMPUTED_VALUE"""),200.44)</f>
        <v>200.44</v>
      </c>
      <c r="D2660" s="1">
        <f>IFERROR(__xludf.DUMMYFUNCTION("""COMPUTED_VALUE"""),193.44)</f>
        <v>193.44</v>
      </c>
      <c r="E2660" s="1">
        <f>IFERROR(__xludf.DUMMYFUNCTION("""COMPUTED_VALUE"""),199.93)</f>
        <v>199.93</v>
      </c>
      <c r="F2660" s="1">
        <f>IFERROR(__xludf.DUMMYFUNCTION("""COMPUTED_VALUE"""),238221.0)</f>
        <v>238221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IFERROR(__xludf.DUMMYFUNCTION("""COMPUTED_VALUE"""),198.93)</f>
        <v>198.93</v>
      </c>
      <c r="C2661" s="1">
        <f>IFERROR(__xludf.DUMMYFUNCTION("""COMPUTED_VALUE"""),200.61)</f>
        <v>200.61</v>
      </c>
      <c r="D2661" s="1">
        <f>IFERROR(__xludf.DUMMYFUNCTION("""COMPUTED_VALUE"""),197.19)</f>
        <v>197.19</v>
      </c>
      <c r="E2661" s="1">
        <f>IFERROR(__xludf.DUMMYFUNCTION("""COMPUTED_VALUE"""),197.37)</f>
        <v>197.37</v>
      </c>
      <c r="F2661" s="1">
        <f>IFERROR(__xludf.DUMMYFUNCTION("""COMPUTED_VALUE"""),166480.0)</f>
        <v>166480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IFERROR(__xludf.DUMMYFUNCTION("""COMPUTED_VALUE"""),198.75)</f>
        <v>198.75</v>
      </c>
      <c r="C2662" s="1">
        <f>IFERROR(__xludf.DUMMYFUNCTION("""COMPUTED_VALUE"""),201.11)</f>
        <v>201.11</v>
      </c>
      <c r="D2662" s="1">
        <f>IFERROR(__xludf.DUMMYFUNCTION("""COMPUTED_VALUE"""),198.25)</f>
        <v>198.25</v>
      </c>
      <c r="E2662" s="1">
        <f>IFERROR(__xludf.DUMMYFUNCTION("""COMPUTED_VALUE"""),199.58)</f>
        <v>199.58</v>
      </c>
      <c r="F2662" s="1">
        <f>IFERROR(__xludf.DUMMYFUNCTION("""COMPUTED_VALUE"""),271479.0)</f>
        <v>271479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IFERROR(__xludf.DUMMYFUNCTION("""COMPUTED_VALUE"""),197.09)</f>
        <v>197.09</v>
      </c>
      <c r="C2663" s="1">
        <f>IFERROR(__xludf.DUMMYFUNCTION("""COMPUTED_VALUE"""),203.26)</f>
        <v>203.26</v>
      </c>
      <c r="D2663" s="1">
        <f>IFERROR(__xludf.DUMMYFUNCTION("""COMPUTED_VALUE"""),197.09)</f>
        <v>197.09</v>
      </c>
      <c r="E2663" s="1">
        <f>IFERROR(__xludf.DUMMYFUNCTION("""COMPUTED_VALUE"""),201.31)</f>
        <v>201.31</v>
      </c>
      <c r="F2663" s="1">
        <f>IFERROR(__xludf.DUMMYFUNCTION("""COMPUTED_VALUE"""),312458.0)</f>
        <v>312458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IFERROR(__xludf.DUMMYFUNCTION("""COMPUTED_VALUE"""),201.31)</f>
        <v>201.31</v>
      </c>
      <c r="C2664" s="1">
        <f>IFERROR(__xludf.DUMMYFUNCTION("""COMPUTED_VALUE"""),202.24)</f>
        <v>202.24</v>
      </c>
      <c r="D2664" s="1">
        <f>IFERROR(__xludf.DUMMYFUNCTION("""COMPUTED_VALUE"""),195.48)</f>
        <v>195.48</v>
      </c>
      <c r="E2664" s="1">
        <f>IFERROR(__xludf.DUMMYFUNCTION("""COMPUTED_VALUE"""),198.99)</f>
        <v>198.99</v>
      </c>
      <c r="F2664" s="1">
        <f>IFERROR(__xludf.DUMMYFUNCTION("""COMPUTED_VALUE"""),285977.0)</f>
        <v>285977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IFERROR(__xludf.DUMMYFUNCTION("""COMPUTED_VALUE"""),201.8)</f>
        <v>201.8</v>
      </c>
      <c r="C2665" s="1">
        <f>IFERROR(__xludf.DUMMYFUNCTION("""COMPUTED_VALUE"""),208.44)</f>
        <v>208.44</v>
      </c>
      <c r="D2665" s="1">
        <f>IFERROR(__xludf.DUMMYFUNCTION("""COMPUTED_VALUE"""),201.0)</f>
        <v>201</v>
      </c>
      <c r="E2665" s="1">
        <f>IFERROR(__xludf.DUMMYFUNCTION("""COMPUTED_VALUE"""),207.57)</f>
        <v>207.57</v>
      </c>
      <c r="F2665" s="1">
        <f>IFERROR(__xludf.DUMMYFUNCTION("""COMPUTED_VALUE"""),401736.0)</f>
        <v>401736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IFERROR(__xludf.DUMMYFUNCTION("""COMPUTED_VALUE"""),207.17)</f>
        <v>207.17</v>
      </c>
      <c r="C2666" s="1">
        <f>IFERROR(__xludf.DUMMYFUNCTION("""COMPUTED_VALUE"""),207.17)</f>
        <v>207.17</v>
      </c>
      <c r="D2666" s="1">
        <f>IFERROR(__xludf.DUMMYFUNCTION("""COMPUTED_VALUE"""),201.98)</f>
        <v>201.98</v>
      </c>
      <c r="E2666" s="1">
        <f>IFERROR(__xludf.DUMMYFUNCTION("""COMPUTED_VALUE"""),203.92)</f>
        <v>203.92</v>
      </c>
      <c r="F2666" s="1">
        <f>IFERROR(__xludf.DUMMYFUNCTION("""COMPUTED_VALUE"""),324052.0)</f>
        <v>324052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IFERROR(__xludf.DUMMYFUNCTION("""COMPUTED_VALUE"""),206.68)</f>
        <v>206.68</v>
      </c>
      <c r="C2667" s="1">
        <f>IFERROR(__xludf.DUMMYFUNCTION("""COMPUTED_VALUE"""),220.01)</f>
        <v>220.01</v>
      </c>
      <c r="D2667" s="1">
        <f>IFERROR(__xludf.DUMMYFUNCTION("""COMPUTED_VALUE"""),204.56)</f>
        <v>204.56</v>
      </c>
      <c r="E2667" s="1">
        <f>IFERROR(__xludf.DUMMYFUNCTION("""COMPUTED_VALUE"""),217.97)</f>
        <v>217.97</v>
      </c>
      <c r="F2667" s="1">
        <f>IFERROR(__xludf.DUMMYFUNCTION("""COMPUTED_VALUE"""),713262.0)</f>
        <v>713262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IFERROR(__xludf.DUMMYFUNCTION("""COMPUTED_VALUE"""),219.18)</f>
        <v>219.18</v>
      </c>
      <c r="C2668" s="1">
        <f>IFERROR(__xludf.DUMMYFUNCTION("""COMPUTED_VALUE"""),220.0)</f>
        <v>220</v>
      </c>
      <c r="D2668" s="1">
        <f>IFERROR(__xludf.DUMMYFUNCTION("""COMPUTED_VALUE"""),213.18)</f>
        <v>213.18</v>
      </c>
      <c r="E2668" s="1">
        <f>IFERROR(__xludf.DUMMYFUNCTION("""COMPUTED_VALUE"""),217.8)</f>
        <v>217.8</v>
      </c>
      <c r="F2668" s="1">
        <f>IFERROR(__xludf.DUMMYFUNCTION("""COMPUTED_VALUE"""),425994.0)</f>
        <v>425994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IFERROR(__xludf.DUMMYFUNCTION("""COMPUTED_VALUE"""),217.3)</f>
        <v>217.3</v>
      </c>
      <c r="C2669" s="1">
        <f>IFERROR(__xludf.DUMMYFUNCTION("""COMPUTED_VALUE"""),221.64)</f>
        <v>221.64</v>
      </c>
      <c r="D2669" s="1">
        <f>IFERROR(__xludf.DUMMYFUNCTION("""COMPUTED_VALUE"""),215.71)</f>
        <v>215.71</v>
      </c>
      <c r="E2669" s="1">
        <f>IFERROR(__xludf.DUMMYFUNCTION("""COMPUTED_VALUE"""),221.6)</f>
        <v>221.6</v>
      </c>
      <c r="F2669" s="1">
        <f>IFERROR(__xludf.DUMMYFUNCTION("""COMPUTED_VALUE"""),504019.0)</f>
        <v>504019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IFERROR(__xludf.DUMMYFUNCTION("""COMPUTED_VALUE"""),221.93)</f>
        <v>221.93</v>
      </c>
      <c r="C2670" s="1">
        <f>IFERROR(__xludf.DUMMYFUNCTION("""COMPUTED_VALUE"""),221.97)</f>
        <v>221.97</v>
      </c>
      <c r="D2670" s="1">
        <f>IFERROR(__xludf.DUMMYFUNCTION("""COMPUTED_VALUE"""),216.3)</f>
        <v>216.3</v>
      </c>
      <c r="E2670" s="1">
        <f>IFERROR(__xludf.DUMMYFUNCTION("""COMPUTED_VALUE"""),218.76)</f>
        <v>218.76</v>
      </c>
      <c r="F2670" s="1">
        <f>IFERROR(__xludf.DUMMYFUNCTION("""COMPUTED_VALUE"""),485375.0)</f>
        <v>485375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IFERROR(__xludf.DUMMYFUNCTION("""COMPUTED_VALUE"""),218.88)</f>
        <v>218.88</v>
      </c>
      <c r="C2671" s="1">
        <f>IFERROR(__xludf.DUMMYFUNCTION("""COMPUTED_VALUE"""),220.62)</f>
        <v>220.62</v>
      </c>
      <c r="D2671" s="1">
        <f>IFERROR(__xludf.DUMMYFUNCTION("""COMPUTED_VALUE"""),210.09)</f>
        <v>210.09</v>
      </c>
      <c r="E2671" s="1">
        <f>IFERROR(__xludf.DUMMYFUNCTION("""COMPUTED_VALUE"""),210.24)</f>
        <v>210.24</v>
      </c>
      <c r="F2671" s="1">
        <f>IFERROR(__xludf.DUMMYFUNCTION("""COMPUTED_VALUE"""),594271.0)</f>
        <v>594271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IFERROR(__xludf.DUMMYFUNCTION("""COMPUTED_VALUE"""),211.54)</f>
        <v>211.54</v>
      </c>
      <c r="C2672" s="1">
        <f>IFERROR(__xludf.DUMMYFUNCTION("""COMPUTED_VALUE"""),220.54)</f>
        <v>220.54</v>
      </c>
      <c r="D2672" s="1">
        <f>IFERROR(__xludf.DUMMYFUNCTION("""COMPUTED_VALUE"""),211.22)</f>
        <v>211.22</v>
      </c>
      <c r="E2672" s="1">
        <f>IFERROR(__xludf.DUMMYFUNCTION("""COMPUTED_VALUE"""),219.65)</f>
        <v>219.65</v>
      </c>
      <c r="F2672" s="1">
        <f>IFERROR(__xludf.DUMMYFUNCTION("""COMPUTED_VALUE"""),340807.0)</f>
        <v>340807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IFERROR(__xludf.DUMMYFUNCTION("""COMPUTED_VALUE"""),218.11)</f>
        <v>218.11</v>
      </c>
      <c r="C2673" s="1">
        <f>IFERROR(__xludf.DUMMYFUNCTION("""COMPUTED_VALUE"""),219.91)</f>
        <v>219.91</v>
      </c>
      <c r="D2673" s="1">
        <f>IFERROR(__xludf.DUMMYFUNCTION("""COMPUTED_VALUE"""),215.94)</f>
        <v>215.94</v>
      </c>
      <c r="E2673" s="1">
        <f>IFERROR(__xludf.DUMMYFUNCTION("""COMPUTED_VALUE"""),217.36)</f>
        <v>217.36</v>
      </c>
      <c r="F2673" s="1">
        <f>IFERROR(__xludf.DUMMYFUNCTION("""COMPUTED_VALUE"""),259348.0)</f>
        <v>259348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IFERROR(__xludf.DUMMYFUNCTION("""COMPUTED_VALUE"""),215.68)</f>
        <v>215.68</v>
      </c>
      <c r="C2674" s="1">
        <f>IFERROR(__xludf.DUMMYFUNCTION("""COMPUTED_VALUE"""),217.69)</f>
        <v>217.69</v>
      </c>
      <c r="D2674" s="1">
        <f>IFERROR(__xludf.DUMMYFUNCTION("""COMPUTED_VALUE"""),212.84)</f>
        <v>212.84</v>
      </c>
      <c r="E2674" s="1">
        <f>IFERROR(__xludf.DUMMYFUNCTION("""COMPUTED_VALUE"""),214.49)</f>
        <v>214.49</v>
      </c>
      <c r="F2674" s="1">
        <f>IFERROR(__xludf.DUMMYFUNCTION("""COMPUTED_VALUE"""),152590.0)</f>
        <v>152590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IFERROR(__xludf.DUMMYFUNCTION("""COMPUTED_VALUE"""),215.97)</f>
        <v>215.97</v>
      </c>
      <c r="C2675" s="1">
        <f>IFERROR(__xludf.DUMMYFUNCTION("""COMPUTED_VALUE"""),219.58)</f>
        <v>219.58</v>
      </c>
      <c r="D2675" s="1">
        <f>IFERROR(__xludf.DUMMYFUNCTION("""COMPUTED_VALUE"""),215.97)</f>
        <v>215.97</v>
      </c>
      <c r="E2675" s="1">
        <f>IFERROR(__xludf.DUMMYFUNCTION("""COMPUTED_VALUE"""),218.45)</f>
        <v>218.45</v>
      </c>
      <c r="F2675" s="1">
        <f>IFERROR(__xludf.DUMMYFUNCTION("""COMPUTED_VALUE"""),182683.0)</f>
        <v>182683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IFERROR(__xludf.DUMMYFUNCTION("""COMPUTED_VALUE"""),218.82)</f>
        <v>218.82</v>
      </c>
      <c r="C2676" s="1">
        <f>IFERROR(__xludf.DUMMYFUNCTION("""COMPUTED_VALUE"""),219.25)</f>
        <v>219.25</v>
      </c>
      <c r="D2676" s="1">
        <f>IFERROR(__xludf.DUMMYFUNCTION("""COMPUTED_VALUE"""),216.11)</f>
        <v>216.11</v>
      </c>
      <c r="E2676" s="1">
        <f>IFERROR(__xludf.DUMMYFUNCTION("""COMPUTED_VALUE"""),217.15)</f>
        <v>217.15</v>
      </c>
      <c r="F2676" s="1">
        <f>IFERROR(__xludf.DUMMYFUNCTION("""COMPUTED_VALUE"""),266726.0)</f>
        <v>266726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IFERROR(__xludf.DUMMYFUNCTION("""COMPUTED_VALUE"""),217.83)</f>
        <v>217.83</v>
      </c>
      <c r="C2677" s="1">
        <f>IFERROR(__xludf.DUMMYFUNCTION("""COMPUTED_VALUE"""),218.37)</f>
        <v>218.37</v>
      </c>
      <c r="D2677" s="1">
        <f>IFERROR(__xludf.DUMMYFUNCTION("""COMPUTED_VALUE"""),214.57)</f>
        <v>214.57</v>
      </c>
      <c r="E2677" s="1">
        <f>IFERROR(__xludf.DUMMYFUNCTION("""COMPUTED_VALUE"""),215.1)</f>
        <v>215.1</v>
      </c>
      <c r="F2677" s="1">
        <f>IFERROR(__xludf.DUMMYFUNCTION("""COMPUTED_VALUE"""),261782.0)</f>
        <v>261782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IFERROR(__xludf.DUMMYFUNCTION("""COMPUTED_VALUE"""),213.51)</f>
        <v>213.51</v>
      </c>
      <c r="C2678" s="1">
        <f>IFERROR(__xludf.DUMMYFUNCTION("""COMPUTED_VALUE"""),216.6)</f>
        <v>216.6</v>
      </c>
      <c r="D2678" s="1">
        <f>IFERROR(__xludf.DUMMYFUNCTION("""COMPUTED_VALUE"""),213.51)</f>
        <v>213.51</v>
      </c>
      <c r="E2678" s="1">
        <f>IFERROR(__xludf.DUMMYFUNCTION("""COMPUTED_VALUE"""),214.71)</f>
        <v>214.71</v>
      </c>
      <c r="F2678" s="1">
        <f>IFERROR(__xludf.DUMMYFUNCTION("""COMPUTED_VALUE"""),185232.0)</f>
        <v>185232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IFERROR(__xludf.DUMMYFUNCTION("""COMPUTED_VALUE"""),214.43)</f>
        <v>214.43</v>
      </c>
      <c r="C2679" s="1">
        <f>IFERROR(__xludf.DUMMYFUNCTION("""COMPUTED_VALUE"""),216.63)</f>
        <v>216.63</v>
      </c>
      <c r="D2679" s="1">
        <f>IFERROR(__xludf.DUMMYFUNCTION("""COMPUTED_VALUE"""),212.95)</f>
        <v>212.95</v>
      </c>
      <c r="E2679" s="1">
        <f>IFERROR(__xludf.DUMMYFUNCTION("""COMPUTED_VALUE"""),216.37)</f>
        <v>216.37</v>
      </c>
      <c r="F2679" s="1">
        <f>IFERROR(__xludf.DUMMYFUNCTION("""COMPUTED_VALUE"""),211278.0)</f>
        <v>211278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IFERROR(__xludf.DUMMYFUNCTION("""COMPUTED_VALUE"""),218.41)</f>
        <v>218.41</v>
      </c>
      <c r="C2680" s="1">
        <f>IFERROR(__xludf.DUMMYFUNCTION("""COMPUTED_VALUE"""),218.98)</f>
        <v>218.98</v>
      </c>
      <c r="D2680" s="1">
        <f>IFERROR(__xludf.DUMMYFUNCTION("""COMPUTED_VALUE"""),215.12)</f>
        <v>215.12</v>
      </c>
      <c r="E2680" s="1">
        <f>IFERROR(__xludf.DUMMYFUNCTION("""COMPUTED_VALUE"""),215.41)</f>
        <v>215.41</v>
      </c>
      <c r="F2680" s="1">
        <f>IFERROR(__xludf.DUMMYFUNCTION("""COMPUTED_VALUE"""),220248.0)</f>
        <v>220248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IFERROR(__xludf.DUMMYFUNCTION("""COMPUTED_VALUE"""),215.13)</f>
        <v>215.13</v>
      </c>
      <c r="C2681" s="1">
        <f>IFERROR(__xludf.DUMMYFUNCTION("""COMPUTED_VALUE"""),217.36)</f>
        <v>217.36</v>
      </c>
      <c r="D2681" s="1">
        <f>IFERROR(__xludf.DUMMYFUNCTION("""COMPUTED_VALUE"""),213.71)</f>
        <v>213.71</v>
      </c>
      <c r="E2681" s="1">
        <f>IFERROR(__xludf.DUMMYFUNCTION("""COMPUTED_VALUE"""),217.06)</f>
        <v>217.06</v>
      </c>
      <c r="F2681" s="1">
        <f>IFERROR(__xludf.DUMMYFUNCTION("""COMPUTED_VALUE"""),250422.0)</f>
        <v>250422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IFERROR(__xludf.DUMMYFUNCTION("""COMPUTED_VALUE"""),218.11)</f>
        <v>218.11</v>
      </c>
      <c r="C2682" s="1">
        <f>IFERROR(__xludf.DUMMYFUNCTION("""COMPUTED_VALUE"""),218.98)</f>
        <v>218.98</v>
      </c>
      <c r="D2682" s="1">
        <f>IFERROR(__xludf.DUMMYFUNCTION("""COMPUTED_VALUE"""),215.15)</f>
        <v>215.15</v>
      </c>
      <c r="E2682" s="1">
        <f>IFERROR(__xludf.DUMMYFUNCTION("""COMPUTED_VALUE"""),218.6)</f>
        <v>218.6</v>
      </c>
      <c r="F2682" s="1">
        <f>IFERROR(__xludf.DUMMYFUNCTION("""COMPUTED_VALUE"""),227179.0)</f>
        <v>227179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IFERROR(__xludf.DUMMYFUNCTION("""COMPUTED_VALUE"""),217.76)</f>
        <v>217.76</v>
      </c>
      <c r="C2683" s="1">
        <f>IFERROR(__xludf.DUMMYFUNCTION("""COMPUTED_VALUE"""),218.39)</f>
        <v>218.39</v>
      </c>
      <c r="D2683" s="1">
        <f>IFERROR(__xludf.DUMMYFUNCTION("""COMPUTED_VALUE"""),214.72)</f>
        <v>214.72</v>
      </c>
      <c r="E2683" s="1">
        <f>IFERROR(__xludf.DUMMYFUNCTION("""COMPUTED_VALUE"""),217.15)</f>
        <v>217.15</v>
      </c>
      <c r="F2683" s="1">
        <f>IFERROR(__xludf.DUMMYFUNCTION("""COMPUTED_VALUE"""),317808.0)</f>
        <v>317808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IFERROR(__xludf.DUMMYFUNCTION("""COMPUTED_VALUE"""),216.66)</f>
        <v>216.66</v>
      </c>
      <c r="C2684" s="1">
        <f>IFERROR(__xludf.DUMMYFUNCTION("""COMPUTED_VALUE"""),218.24)</f>
        <v>218.24</v>
      </c>
      <c r="D2684" s="1">
        <f>IFERROR(__xludf.DUMMYFUNCTION("""COMPUTED_VALUE"""),216.2)</f>
        <v>216.2</v>
      </c>
      <c r="E2684" s="1">
        <f>IFERROR(__xludf.DUMMYFUNCTION("""COMPUTED_VALUE"""),217.46)</f>
        <v>217.46</v>
      </c>
      <c r="F2684" s="1">
        <f>IFERROR(__xludf.DUMMYFUNCTION("""COMPUTED_VALUE"""),143336.0)</f>
        <v>143336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IFERROR(__xludf.DUMMYFUNCTION("""COMPUTED_VALUE"""),218.27)</f>
        <v>218.27</v>
      </c>
      <c r="C2685" s="1">
        <f>IFERROR(__xludf.DUMMYFUNCTION("""COMPUTED_VALUE"""),220.74)</f>
        <v>220.74</v>
      </c>
      <c r="D2685" s="1">
        <f>IFERROR(__xludf.DUMMYFUNCTION("""COMPUTED_VALUE"""),215.96)</f>
        <v>215.96</v>
      </c>
      <c r="E2685" s="1">
        <f>IFERROR(__xludf.DUMMYFUNCTION("""COMPUTED_VALUE"""),218.95)</f>
        <v>218.95</v>
      </c>
      <c r="F2685" s="1">
        <f>IFERROR(__xludf.DUMMYFUNCTION("""COMPUTED_VALUE"""),215174.0)</f>
        <v>215174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IFERROR(__xludf.DUMMYFUNCTION("""COMPUTED_VALUE"""),219.4)</f>
        <v>219.4</v>
      </c>
      <c r="C2686" s="1">
        <f>IFERROR(__xludf.DUMMYFUNCTION("""COMPUTED_VALUE"""),219.4)</f>
        <v>219.4</v>
      </c>
      <c r="D2686" s="1">
        <f>IFERROR(__xludf.DUMMYFUNCTION("""COMPUTED_VALUE"""),215.87)</f>
        <v>215.87</v>
      </c>
      <c r="E2686" s="1">
        <f>IFERROR(__xludf.DUMMYFUNCTION("""COMPUTED_VALUE"""),216.05)</f>
        <v>216.05</v>
      </c>
      <c r="F2686" s="1">
        <f>IFERROR(__xludf.DUMMYFUNCTION("""COMPUTED_VALUE"""),371063.0)</f>
        <v>371063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IFERROR(__xludf.DUMMYFUNCTION("""COMPUTED_VALUE"""),216.48)</f>
        <v>216.48</v>
      </c>
      <c r="C2687" s="1">
        <f>IFERROR(__xludf.DUMMYFUNCTION("""COMPUTED_VALUE"""),220.49)</f>
        <v>220.49</v>
      </c>
      <c r="D2687" s="1">
        <f>IFERROR(__xludf.DUMMYFUNCTION("""COMPUTED_VALUE"""),214.32)</f>
        <v>214.32</v>
      </c>
      <c r="E2687" s="1">
        <f>IFERROR(__xludf.DUMMYFUNCTION("""COMPUTED_VALUE"""),220.11)</f>
        <v>220.11</v>
      </c>
      <c r="F2687" s="1">
        <f>IFERROR(__xludf.DUMMYFUNCTION("""COMPUTED_VALUE"""),206645.0)</f>
        <v>206645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IFERROR(__xludf.DUMMYFUNCTION("""COMPUTED_VALUE"""),219.0)</f>
        <v>219</v>
      </c>
      <c r="C2688" s="1">
        <f>IFERROR(__xludf.DUMMYFUNCTION("""COMPUTED_VALUE"""),219.88)</f>
        <v>219.88</v>
      </c>
      <c r="D2688" s="1">
        <f>IFERROR(__xludf.DUMMYFUNCTION("""COMPUTED_VALUE"""),204.42)</f>
        <v>204.42</v>
      </c>
      <c r="E2688" s="1">
        <f>IFERROR(__xludf.DUMMYFUNCTION("""COMPUTED_VALUE"""),207.91)</f>
        <v>207.91</v>
      </c>
      <c r="F2688" s="1">
        <f>IFERROR(__xludf.DUMMYFUNCTION("""COMPUTED_VALUE"""),456447.0)</f>
        <v>456447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IFERROR(__xludf.DUMMYFUNCTION("""COMPUTED_VALUE"""),209.29)</f>
        <v>209.29</v>
      </c>
      <c r="C2689" s="1">
        <f>IFERROR(__xludf.DUMMYFUNCTION("""COMPUTED_VALUE"""),210.12)</f>
        <v>210.12</v>
      </c>
      <c r="D2689" s="1">
        <f>IFERROR(__xludf.DUMMYFUNCTION("""COMPUTED_VALUE"""),197.33)</f>
        <v>197.33</v>
      </c>
      <c r="E2689" s="1">
        <f>IFERROR(__xludf.DUMMYFUNCTION("""COMPUTED_VALUE"""),204.64)</f>
        <v>204.64</v>
      </c>
      <c r="F2689" s="1">
        <f>IFERROR(__xludf.DUMMYFUNCTION("""COMPUTED_VALUE"""),440424.0)</f>
        <v>440424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IFERROR(__xludf.DUMMYFUNCTION("""COMPUTED_VALUE"""),202.45)</f>
        <v>202.45</v>
      </c>
      <c r="C2690" s="1">
        <f>IFERROR(__xludf.DUMMYFUNCTION("""COMPUTED_VALUE"""),206.96)</f>
        <v>206.96</v>
      </c>
      <c r="D2690" s="1">
        <f>IFERROR(__xludf.DUMMYFUNCTION("""COMPUTED_VALUE"""),199.59)</f>
        <v>199.59</v>
      </c>
      <c r="E2690" s="1">
        <f>IFERROR(__xludf.DUMMYFUNCTION("""COMPUTED_VALUE"""),202.95)</f>
        <v>202.95</v>
      </c>
      <c r="F2690" s="1">
        <f>IFERROR(__xludf.DUMMYFUNCTION("""COMPUTED_VALUE"""),287170.0)</f>
        <v>287170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IFERROR(__xludf.DUMMYFUNCTION("""COMPUTED_VALUE"""),206.44)</f>
        <v>206.44</v>
      </c>
      <c r="C2691" s="1">
        <f>IFERROR(__xludf.DUMMYFUNCTION("""COMPUTED_VALUE"""),211.2)</f>
        <v>211.2</v>
      </c>
      <c r="D2691" s="1">
        <f>IFERROR(__xludf.DUMMYFUNCTION("""COMPUTED_VALUE"""),205.4)</f>
        <v>205.4</v>
      </c>
      <c r="E2691" s="1">
        <f>IFERROR(__xludf.DUMMYFUNCTION("""COMPUTED_VALUE"""),209.89)</f>
        <v>209.89</v>
      </c>
      <c r="F2691" s="1">
        <f>IFERROR(__xludf.DUMMYFUNCTION("""COMPUTED_VALUE"""),293201.0)</f>
        <v>293201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IFERROR(__xludf.DUMMYFUNCTION("""COMPUTED_VALUE"""),216.28)</f>
        <v>216.28</v>
      </c>
      <c r="C2692" s="1">
        <f>IFERROR(__xludf.DUMMYFUNCTION("""COMPUTED_VALUE"""),218.67)</f>
        <v>218.67</v>
      </c>
      <c r="D2692" s="1">
        <f>IFERROR(__xludf.DUMMYFUNCTION("""COMPUTED_VALUE"""),214.2)</f>
        <v>214.2</v>
      </c>
      <c r="E2692" s="1">
        <f>IFERROR(__xludf.DUMMYFUNCTION("""COMPUTED_VALUE"""),214.96)</f>
        <v>214.96</v>
      </c>
      <c r="F2692" s="1">
        <f>IFERROR(__xludf.DUMMYFUNCTION("""COMPUTED_VALUE"""),480533.0)</f>
        <v>480533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IFERROR(__xludf.DUMMYFUNCTION("""COMPUTED_VALUE"""),216.39)</f>
        <v>216.39</v>
      </c>
      <c r="C2693" s="1">
        <f>IFERROR(__xludf.DUMMYFUNCTION("""COMPUTED_VALUE"""),220.0)</f>
        <v>220</v>
      </c>
      <c r="D2693" s="1">
        <f>IFERROR(__xludf.DUMMYFUNCTION("""COMPUTED_VALUE"""),215.05)</f>
        <v>215.05</v>
      </c>
      <c r="E2693" s="1">
        <f>IFERROR(__xludf.DUMMYFUNCTION("""COMPUTED_VALUE"""),217.51)</f>
        <v>217.51</v>
      </c>
      <c r="F2693" s="1">
        <f>IFERROR(__xludf.DUMMYFUNCTION("""COMPUTED_VALUE"""),312273.0)</f>
        <v>312273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IFERROR(__xludf.DUMMYFUNCTION("""COMPUTED_VALUE"""),220.33)</f>
        <v>220.33</v>
      </c>
      <c r="C2694" s="1">
        <f>IFERROR(__xludf.DUMMYFUNCTION("""COMPUTED_VALUE"""),221.39)</f>
        <v>221.39</v>
      </c>
      <c r="D2694" s="1">
        <f>IFERROR(__xludf.DUMMYFUNCTION("""COMPUTED_VALUE"""),218.2)</f>
        <v>218.2</v>
      </c>
      <c r="E2694" s="1">
        <f>IFERROR(__xludf.DUMMYFUNCTION("""COMPUTED_VALUE"""),220.01)</f>
        <v>220.01</v>
      </c>
      <c r="F2694" s="1">
        <f>IFERROR(__xludf.DUMMYFUNCTION("""COMPUTED_VALUE"""),271352.0)</f>
        <v>271352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IFERROR(__xludf.DUMMYFUNCTION("""COMPUTED_VALUE"""),221.96)</f>
        <v>221.96</v>
      </c>
      <c r="C2695" s="1">
        <f>IFERROR(__xludf.DUMMYFUNCTION("""COMPUTED_VALUE"""),228.86)</f>
        <v>228.86</v>
      </c>
      <c r="D2695" s="1">
        <f>IFERROR(__xludf.DUMMYFUNCTION("""COMPUTED_VALUE"""),221.89)</f>
        <v>221.89</v>
      </c>
      <c r="E2695" s="1">
        <f>IFERROR(__xludf.DUMMYFUNCTION("""COMPUTED_VALUE"""),225.3)</f>
        <v>225.3</v>
      </c>
      <c r="F2695" s="1">
        <f>IFERROR(__xludf.DUMMYFUNCTION("""COMPUTED_VALUE"""),392115.0)</f>
        <v>392115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IFERROR(__xludf.DUMMYFUNCTION("""COMPUTED_VALUE"""),226.5)</f>
        <v>226.5</v>
      </c>
      <c r="C2696" s="1">
        <f>IFERROR(__xludf.DUMMYFUNCTION("""COMPUTED_VALUE"""),226.71)</f>
        <v>226.71</v>
      </c>
      <c r="D2696" s="1">
        <f>IFERROR(__xludf.DUMMYFUNCTION("""COMPUTED_VALUE"""),219.64)</f>
        <v>219.64</v>
      </c>
      <c r="E2696" s="1">
        <f>IFERROR(__xludf.DUMMYFUNCTION("""COMPUTED_VALUE"""),221.98)</f>
        <v>221.98</v>
      </c>
      <c r="F2696" s="1">
        <f>IFERROR(__xludf.DUMMYFUNCTION("""COMPUTED_VALUE"""),319406.0)</f>
        <v>319406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IFERROR(__xludf.DUMMYFUNCTION("""COMPUTED_VALUE"""),219.4)</f>
        <v>219.4</v>
      </c>
      <c r="C2697" s="1">
        <f>IFERROR(__xludf.DUMMYFUNCTION("""COMPUTED_VALUE"""),221.17)</f>
        <v>221.17</v>
      </c>
      <c r="D2697" s="1">
        <f>IFERROR(__xludf.DUMMYFUNCTION("""COMPUTED_VALUE"""),215.6)</f>
        <v>215.6</v>
      </c>
      <c r="E2697" s="1">
        <f>IFERROR(__xludf.DUMMYFUNCTION("""COMPUTED_VALUE"""),218.15)</f>
        <v>218.15</v>
      </c>
      <c r="F2697" s="1">
        <f>IFERROR(__xludf.DUMMYFUNCTION("""COMPUTED_VALUE"""),459091.0)</f>
        <v>459091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IFERROR(__xludf.DUMMYFUNCTION("""COMPUTED_VALUE"""),219.99)</f>
        <v>219.99</v>
      </c>
      <c r="C2698" s="1">
        <f>IFERROR(__xludf.DUMMYFUNCTION("""COMPUTED_VALUE"""),220.48)</f>
        <v>220.48</v>
      </c>
      <c r="D2698" s="1">
        <f>IFERROR(__xludf.DUMMYFUNCTION("""COMPUTED_VALUE"""),216.3)</f>
        <v>216.3</v>
      </c>
      <c r="E2698" s="1">
        <f>IFERROR(__xludf.DUMMYFUNCTION("""COMPUTED_VALUE"""),219.61)</f>
        <v>219.61</v>
      </c>
      <c r="F2698" s="1">
        <f>IFERROR(__xludf.DUMMYFUNCTION("""COMPUTED_VALUE"""),653318.0)</f>
        <v>653318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IFERROR(__xludf.DUMMYFUNCTION("""COMPUTED_VALUE"""),214.44)</f>
        <v>214.44</v>
      </c>
      <c r="C2699" s="1">
        <f>IFERROR(__xludf.DUMMYFUNCTION("""COMPUTED_VALUE"""),218.43)</f>
        <v>218.43</v>
      </c>
      <c r="D2699" s="1">
        <f>IFERROR(__xludf.DUMMYFUNCTION("""COMPUTED_VALUE"""),210.04)</f>
        <v>210.04</v>
      </c>
      <c r="E2699" s="1">
        <f>IFERROR(__xludf.DUMMYFUNCTION("""COMPUTED_VALUE"""),217.93)</f>
        <v>217.93</v>
      </c>
      <c r="F2699" s="1">
        <f>IFERROR(__xludf.DUMMYFUNCTION("""COMPUTED_VALUE"""),353448.0)</f>
        <v>353448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IFERROR(__xludf.DUMMYFUNCTION("""COMPUTED_VALUE"""),218.17)</f>
        <v>218.17</v>
      </c>
      <c r="C2700" s="1">
        <f>IFERROR(__xludf.DUMMYFUNCTION("""COMPUTED_VALUE"""),218.78)</f>
        <v>218.78</v>
      </c>
      <c r="D2700" s="1">
        <f>IFERROR(__xludf.DUMMYFUNCTION("""COMPUTED_VALUE"""),213.69)</f>
        <v>213.69</v>
      </c>
      <c r="E2700" s="1">
        <f>IFERROR(__xludf.DUMMYFUNCTION("""COMPUTED_VALUE"""),217.33)</f>
        <v>217.33</v>
      </c>
      <c r="F2700" s="1">
        <f>IFERROR(__xludf.DUMMYFUNCTION("""COMPUTED_VALUE"""),275037.0)</f>
        <v>275037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IFERROR(__xludf.DUMMYFUNCTION("""COMPUTED_VALUE"""),216.81)</f>
        <v>216.81</v>
      </c>
      <c r="C2701" s="1">
        <f>IFERROR(__xludf.DUMMYFUNCTION("""COMPUTED_VALUE"""),218.81)</f>
        <v>218.81</v>
      </c>
      <c r="D2701" s="1">
        <f>IFERROR(__xludf.DUMMYFUNCTION("""COMPUTED_VALUE"""),212.17)</f>
        <v>212.17</v>
      </c>
      <c r="E2701" s="1">
        <f>IFERROR(__xludf.DUMMYFUNCTION("""COMPUTED_VALUE"""),212.55)</f>
        <v>212.55</v>
      </c>
      <c r="F2701" s="1">
        <f>IFERROR(__xludf.DUMMYFUNCTION("""COMPUTED_VALUE"""),246542.0)</f>
        <v>246542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IFERROR(__xludf.DUMMYFUNCTION("""COMPUTED_VALUE"""),210.86)</f>
        <v>210.86</v>
      </c>
      <c r="C2702" s="1">
        <f>IFERROR(__xludf.DUMMYFUNCTION("""COMPUTED_VALUE"""),212.47)</f>
        <v>212.47</v>
      </c>
      <c r="D2702" s="1">
        <f>IFERROR(__xludf.DUMMYFUNCTION("""COMPUTED_VALUE"""),205.97)</f>
        <v>205.97</v>
      </c>
      <c r="E2702" s="1">
        <f>IFERROR(__xludf.DUMMYFUNCTION("""COMPUTED_VALUE"""),211.83)</f>
        <v>211.83</v>
      </c>
      <c r="F2702" s="1">
        <f>IFERROR(__xludf.DUMMYFUNCTION("""COMPUTED_VALUE"""),251209.0)</f>
        <v>251209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IFERROR(__xludf.DUMMYFUNCTION("""COMPUTED_VALUE"""),210.89)</f>
        <v>210.89</v>
      </c>
      <c r="C2703" s="1">
        <f>IFERROR(__xludf.DUMMYFUNCTION("""COMPUTED_VALUE"""),217.58)</f>
        <v>217.58</v>
      </c>
      <c r="D2703" s="1">
        <f>IFERROR(__xludf.DUMMYFUNCTION("""COMPUTED_VALUE"""),209.59)</f>
        <v>209.59</v>
      </c>
      <c r="E2703" s="1">
        <f>IFERROR(__xludf.DUMMYFUNCTION("""COMPUTED_VALUE"""),216.77)</f>
        <v>216.77</v>
      </c>
      <c r="F2703" s="1">
        <f>IFERROR(__xludf.DUMMYFUNCTION("""COMPUTED_VALUE"""),180066.0)</f>
        <v>180066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IFERROR(__xludf.DUMMYFUNCTION("""COMPUTED_VALUE"""),219.54)</f>
        <v>219.54</v>
      </c>
      <c r="C2704" s="1">
        <f>IFERROR(__xludf.DUMMYFUNCTION("""COMPUTED_VALUE"""),224.3)</f>
        <v>224.3</v>
      </c>
      <c r="D2704" s="1">
        <f>IFERROR(__xludf.DUMMYFUNCTION("""COMPUTED_VALUE"""),219.09)</f>
        <v>219.09</v>
      </c>
      <c r="E2704" s="1">
        <f>IFERROR(__xludf.DUMMYFUNCTION("""COMPUTED_VALUE"""),223.42)</f>
        <v>223.42</v>
      </c>
      <c r="F2704" s="1">
        <f>IFERROR(__xludf.DUMMYFUNCTION("""COMPUTED_VALUE"""),228807.0)</f>
        <v>228807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IFERROR(__xludf.DUMMYFUNCTION("""COMPUTED_VALUE"""),224.19)</f>
        <v>224.19</v>
      </c>
      <c r="C2705" s="1">
        <f>IFERROR(__xludf.DUMMYFUNCTION("""COMPUTED_VALUE"""),225.92)</f>
        <v>225.92</v>
      </c>
      <c r="D2705" s="1">
        <f>IFERROR(__xludf.DUMMYFUNCTION("""COMPUTED_VALUE"""),222.53)</f>
        <v>222.53</v>
      </c>
      <c r="E2705" s="1">
        <f>IFERROR(__xludf.DUMMYFUNCTION("""COMPUTED_VALUE"""),222.93)</f>
        <v>222.93</v>
      </c>
      <c r="F2705" s="1">
        <f>IFERROR(__xludf.DUMMYFUNCTION("""COMPUTED_VALUE"""),401047.0)</f>
        <v>401047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IFERROR(__xludf.DUMMYFUNCTION("""COMPUTED_VALUE"""),222.08)</f>
        <v>222.08</v>
      </c>
      <c r="C2706" s="1">
        <f>IFERROR(__xludf.DUMMYFUNCTION("""COMPUTED_VALUE"""),227.44)</f>
        <v>227.44</v>
      </c>
      <c r="D2706" s="1">
        <f>IFERROR(__xludf.DUMMYFUNCTION("""COMPUTED_VALUE"""),221.55)</f>
        <v>221.55</v>
      </c>
      <c r="E2706" s="1">
        <f>IFERROR(__xludf.DUMMYFUNCTION("""COMPUTED_VALUE"""),226.45)</f>
        <v>226.45</v>
      </c>
      <c r="F2706" s="1">
        <f>IFERROR(__xludf.DUMMYFUNCTION("""COMPUTED_VALUE"""),231579.0)</f>
        <v>231579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IFERROR(__xludf.DUMMYFUNCTION("""COMPUTED_VALUE"""),228.02)</f>
        <v>228.02</v>
      </c>
      <c r="C2707" s="1">
        <f>IFERROR(__xludf.DUMMYFUNCTION("""COMPUTED_VALUE"""),230.64)</f>
        <v>230.64</v>
      </c>
      <c r="D2707" s="1">
        <f>IFERROR(__xludf.DUMMYFUNCTION("""COMPUTED_VALUE"""),227.15)</f>
        <v>227.15</v>
      </c>
      <c r="E2707" s="1">
        <f>IFERROR(__xludf.DUMMYFUNCTION("""COMPUTED_VALUE"""),230.46)</f>
        <v>230.46</v>
      </c>
      <c r="F2707" s="1">
        <f>IFERROR(__xludf.DUMMYFUNCTION("""COMPUTED_VALUE"""),414386.0)</f>
        <v>414386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IFERROR(__xludf.DUMMYFUNCTION("""COMPUTED_VALUE"""),226.87)</f>
        <v>226.87</v>
      </c>
      <c r="C2708" s="1">
        <f>IFERROR(__xludf.DUMMYFUNCTION("""COMPUTED_VALUE"""),231.97)</f>
        <v>231.97</v>
      </c>
      <c r="D2708" s="1">
        <f>IFERROR(__xludf.DUMMYFUNCTION("""COMPUTED_VALUE"""),226.62)</f>
        <v>226.62</v>
      </c>
      <c r="E2708" s="1">
        <f>IFERROR(__xludf.DUMMYFUNCTION("""COMPUTED_VALUE"""),228.87)</f>
        <v>228.87</v>
      </c>
      <c r="F2708" s="1">
        <f>IFERROR(__xludf.DUMMYFUNCTION("""COMPUTED_VALUE"""),231012.0)</f>
        <v>231012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IFERROR(__xludf.DUMMYFUNCTION("""COMPUTED_VALUE"""),232.07)</f>
        <v>232.07</v>
      </c>
      <c r="C2709" s="1">
        <f>IFERROR(__xludf.DUMMYFUNCTION("""COMPUTED_VALUE"""),235.99)</f>
        <v>235.99</v>
      </c>
      <c r="D2709" s="1">
        <f>IFERROR(__xludf.DUMMYFUNCTION("""COMPUTED_VALUE"""),231.95)</f>
        <v>231.95</v>
      </c>
      <c r="E2709" s="1">
        <f>IFERROR(__xludf.DUMMYFUNCTION("""COMPUTED_VALUE"""),234.97)</f>
        <v>234.97</v>
      </c>
      <c r="F2709" s="1">
        <f>IFERROR(__xludf.DUMMYFUNCTION("""COMPUTED_VALUE"""),211743.0)</f>
        <v>211743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IFERROR(__xludf.DUMMYFUNCTION("""COMPUTED_VALUE"""),235.67)</f>
        <v>235.67</v>
      </c>
      <c r="C2710" s="1">
        <f>IFERROR(__xludf.DUMMYFUNCTION("""COMPUTED_VALUE"""),236.35)</f>
        <v>236.35</v>
      </c>
      <c r="D2710" s="1">
        <f>IFERROR(__xludf.DUMMYFUNCTION("""COMPUTED_VALUE"""),231.55)</f>
        <v>231.55</v>
      </c>
      <c r="E2710" s="1">
        <f>IFERROR(__xludf.DUMMYFUNCTION("""COMPUTED_VALUE"""),233.38)</f>
        <v>233.38</v>
      </c>
      <c r="F2710" s="1">
        <f>IFERROR(__xludf.DUMMYFUNCTION("""COMPUTED_VALUE"""),271228.0)</f>
        <v>271228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IFERROR(__xludf.DUMMYFUNCTION("""COMPUTED_VALUE"""),236.05)</f>
        <v>236.05</v>
      </c>
      <c r="C2711" s="1">
        <f>IFERROR(__xludf.DUMMYFUNCTION("""COMPUTED_VALUE"""),237.73)</f>
        <v>237.73</v>
      </c>
      <c r="D2711" s="1">
        <f>IFERROR(__xludf.DUMMYFUNCTION("""COMPUTED_VALUE"""),235.39)</f>
        <v>235.39</v>
      </c>
      <c r="E2711" s="1">
        <f>IFERROR(__xludf.DUMMYFUNCTION("""COMPUTED_VALUE"""),237.35)</f>
        <v>237.35</v>
      </c>
      <c r="F2711" s="1">
        <f>IFERROR(__xludf.DUMMYFUNCTION("""COMPUTED_VALUE"""),302341.0)</f>
        <v>302341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IFERROR(__xludf.DUMMYFUNCTION("""COMPUTED_VALUE"""),238.4)</f>
        <v>238.4</v>
      </c>
      <c r="C2712" s="1">
        <f>IFERROR(__xludf.DUMMYFUNCTION("""COMPUTED_VALUE"""),238.63)</f>
        <v>238.63</v>
      </c>
      <c r="D2712" s="1">
        <f>IFERROR(__xludf.DUMMYFUNCTION("""COMPUTED_VALUE"""),235.14)</f>
        <v>235.14</v>
      </c>
      <c r="E2712" s="1">
        <f>IFERROR(__xludf.DUMMYFUNCTION("""COMPUTED_VALUE"""),236.49)</f>
        <v>236.49</v>
      </c>
      <c r="F2712" s="1">
        <f>IFERROR(__xludf.DUMMYFUNCTION("""COMPUTED_VALUE"""),218349.0)</f>
        <v>218349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IFERROR(__xludf.DUMMYFUNCTION("""COMPUTED_VALUE"""),238.98)</f>
        <v>238.98</v>
      </c>
      <c r="C2713" s="1">
        <f>IFERROR(__xludf.DUMMYFUNCTION("""COMPUTED_VALUE"""),243.46)</f>
        <v>243.46</v>
      </c>
      <c r="D2713" s="1">
        <f>IFERROR(__xludf.DUMMYFUNCTION("""COMPUTED_VALUE"""),238.36)</f>
        <v>238.36</v>
      </c>
      <c r="E2713" s="1">
        <f>IFERROR(__xludf.DUMMYFUNCTION("""COMPUTED_VALUE"""),242.57)</f>
        <v>242.57</v>
      </c>
      <c r="F2713" s="1">
        <f>IFERROR(__xludf.DUMMYFUNCTION("""COMPUTED_VALUE"""),391544.0)</f>
        <v>391544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IFERROR(__xludf.DUMMYFUNCTION("""COMPUTED_VALUE"""),244.99)</f>
        <v>244.99</v>
      </c>
      <c r="C2714" s="1">
        <f>IFERROR(__xludf.DUMMYFUNCTION("""COMPUTED_VALUE"""),244.99)</f>
        <v>244.99</v>
      </c>
      <c r="D2714" s="1">
        <f>IFERROR(__xludf.DUMMYFUNCTION("""COMPUTED_VALUE"""),241.16)</f>
        <v>241.16</v>
      </c>
      <c r="E2714" s="1">
        <f>IFERROR(__xludf.DUMMYFUNCTION("""COMPUTED_VALUE"""),243.27)</f>
        <v>243.27</v>
      </c>
      <c r="F2714" s="1">
        <f>IFERROR(__xludf.DUMMYFUNCTION("""COMPUTED_VALUE"""),391845.0)</f>
        <v>391845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IFERROR(__xludf.DUMMYFUNCTION("""COMPUTED_VALUE"""),242.23)</f>
        <v>242.23</v>
      </c>
      <c r="C2715" s="1">
        <f>IFERROR(__xludf.DUMMYFUNCTION("""COMPUTED_VALUE"""),245.93)</f>
        <v>245.93</v>
      </c>
      <c r="D2715" s="1">
        <f>IFERROR(__xludf.DUMMYFUNCTION("""COMPUTED_VALUE"""),241.8)</f>
        <v>241.8</v>
      </c>
      <c r="E2715" s="1">
        <f>IFERROR(__xludf.DUMMYFUNCTION("""COMPUTED_VALUE"""),244.98)</f>
        <v>244.98</v>
      </c>
      <c r="F2715" s="1">
        <f>IFERROR(__xludf.DUMMYFUNCTION("""COMPUTED_VALUE"""),295808.0)</f>
        <v>295808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IFERROR(__xludf.DUMMYFUNCTION("""COMPUTED_VALUE"""),246.21)</f>
        <v>246.21</v>
      </c>
      <c r="C2716" s="1">
        <f>IFERROR(__xludf.DUMMYFUNCTION("""COMPUTED_VALUE"""),250.29)</f>
        <v>250.29</v>
      </c>
      <c r="D2716" s="1">
        <f>IFERROR(__xludf.DUMMYFUNCTION("""COMPUTED_VALUE"""),244.29)</f>
        <v>244.29</v>
      </c>
      <c r="E2716" s="1">
        <f>IFERROR(__xludf.DUMMYFUNCTION("""COMPUTED_VALUE"""),244.64)</f>
        <v>244.64</v>
      </c>
      <c r="F2716" s="1">
        <f>IFERROR(__xludf.DUMMYFUNCTION("""COMPUTED_VALUE"""),331114.0)</f>
        <v>331114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IFERROR(__xludf.DUMMYFUNCTION("""COMPUTED_VALUE"""),241.79)</f>
        <v>241.79</v>
      </c>
      <c r="C2717" s="1">
        <f>IFERROR(__xludf.DUMMYFUNCTION("""COMPUTED_VALUE"""),245.95)</f>
        <v>245.95</v>
      </c>
      <c r="D2717" s="1">
        <f>IFERROR(__xludf.DUMMYFUNCTION("""COMPUTED_VALUE"""),240.9)</f>
        <v>240.9</v>
      </c>
      <c r="E2717" s="1">
        <f>IFERROR(__xludf.DUMMYFUNCTION("""COMPUTED_VALUE"""),242.15)</f>
        <v>242.15</v>
      </c>
      <c r="F2717" s="1">
        <f>IFERROR(__xludf.DUMMYFUNCTION("""COMPUTED_VALUE"""),281809.0)</f>
        <v>281809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IFERROR(__xludf.DUMMYFUNCTION("""COMPUTED_VALUE"""),244.39)</f>
        <v>244.39</v>
      </c>
      <c r="C2718" s="1">
        <f>IFERROR(__xludf.DUMMYFUNCTION("""COMPUTED_VALUE"""),246.03)</f>
        <v>246.03</v>
      </c>
      <c r="D2718" s="1">
        <f>IFERROR(__xludf.DUMMYFUNCTION("""COMPUTED_VALUE"""),239.93)</f>
        <v>239.93</v>
      </c>
      <c r="E2718" s="1">
        <f>IFERROR(__xludf.DUMMYFUNCTION("""COMPUTED_VALUE"""),240.29)</f>
        <v>240.29</v>
      </c>
      <c r="F2718" s="1">
        <f>IFERROR(__xludf.DUMMYFUNCTION("""COMPUTED_VALUE"""),540977.0)</f>
        <v>540977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IFERROR(__xludf.DUMMYFUNCTION("""COMPUTED_VALUE"""),241.2)</f>
        <v>241.2</v>
      </c>
      <c r="C2719" s="1">
        <f>IFERROR(__xludf.DUMMYFUNCTION("""COMPUTED_VALUE"""),242.79)</f>
        <v>242.79</v>
      </c>
      <c r="D2719" s="1">
        <f>IFERROR(__xludf.DUMMYFUNCTION("""COMPUTED_VALUE"""),232.56)</f>
        <v>232.56</v>
      </c>
      <c r="E2719" s="1">
        <f>IFERROR(__xludf.DUMMYFUNCTION("""COMPUTED_VALUE"""),233.13)</f>
        <v>233.13</v>
      </c>
      <c r="F2719" s="1">
        <f>IFERROR(__xludf.DUMMYFUNCTION("""COMPUTED_VALUE"""),534916.0)</f>
        <v>534916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IFERROR(__xludf.DUMMYFUNCTION("""COMPUTED_VALUE"""),234.42)</f>
        <v>234.42</v>
      </c>
      <c r="C2720" s="1">
        <f>IFERROR(__xludf.DUMMYFUNCTION("""COMPUTED_VALUE"""),238.51)</f>
        <v>238.51</v>
      </c>
      <c r="D2720" s="1">
        <f>IFERROR(__xludf.DUMMYFUNCTION("""COMPUTED_VALUE"""),233.41)</f>
        <v>233.41</v>
      </c>
      <c r="E2720" s="1">
        <f>IFERROR(__xludf.DUMMYFUNCTION("""COMPUTED_VALUE"""),233.53)</f>
        <v>233.53</v>
      </c>
      <c r="F2720" s="1">
        <f>IFERROR(__xludf.DUMMYFUNCTION("""COMPUTED_VALUE"""),314341.0)</f>
        <v>314341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IFERROR(__xludf.DUMMYFUNCTION("""COMPUTED_VALUE"""),234.9)</f>
        <v>234.9</v>
      </c>
      <c r="C2721" s="1">
        <f>IFERROR(__xludf.DUMMYFUNCTION("""COMPUTED_VALUE"""),235.12)</f>
        <v>235.12</v>
      </c>
      <c r="D2721" s="1">
        <f>IFERROR(__xludf.DUMMYFUNCTION("""COMPUTED_VALUE"""),228.94)</f>
        <v>228.94</v>
      </c>
      <c r="E2721" s="1">
        <f>IFERROR(__xludf.DUMMYFUNCTION("""COMPUTED_VALUE"""),229.09)</f>
        <v>229.09</v>
      </c>
      <c r="F2721" s="1">
        <f>IFERROR(__xludf.DUMMYFUNCTION("""COMPUTED_VALUE"""),286628.0)</f>
        <v>286628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IFERROR(__xludf.DUMMYFUNCTION("""COMPUTED_VALUE"""),229.49)</f>
        <v>229.49</v>
      </c>
      <c r="C2722" s="1">
        <f>IFERROR(__xludf.DUMMYFUNCTION("""COMPUTED_VALUE"""),234.8)</f>
        <v>234.8</v>
      </c>
      <c r="D2722" s="1">
        <f>IFERROR(__xludf.DUMMYFUNCTION("""COMPUTED_VALUE"""),229.49)</f>
        <v>229.49</v>
      </c>
      <c r="E2722" s="1">
        <f>IFERROR(__xludf.DUMMYFUNCTION("""COMPUTED_VALUE"""),233.93)</f>
        <v>233.93</v>
      </c>
      <c r="F2722" s="1">
        <f>IFERROR(__xludf.DUMMYFUNCTION("""COMPUTED_VALUE"""),316484.0)</f>
        <v>316484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IFERROR(__xludf.DUMMYFUNCTION("""COMPUTED_VALUE"""),234.28)</f>
        <v>234.28</v>
      </c>
      <c r="C2723" s="1">
        <f>IFERROR(__xludf.DUMMYFUNCTION("""COMPUTED_VALUE"""),235.6)</f>
        <v>235.6</v>
      </c>
      <c r="D2723" s="1">
        <f>IFERROR(__xludf.DUMMYFUNCTION("""COMPUTED_VALUE"""),230.2)</f>
        <v>230.2</v>
      </c>
      <c r="E2723" s="1">
        <f>IFERROR(__xludf.DUMMYFUNCTION("""COMPUTED_VALUE"""),232.81)</f>
        <v>232.81</v>
      </c>
      <c r="F2723" s="1">
        <f>IFERROR(__xludf.DUMMYFUNCTION("""COMPUTED_VALUE"""),245249.0)</f>
        <v>245249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IFERROR(__xludf.DUMMYFUNCTION("""COMPUTED_VALUE"""),229.98)</f>
        <v>229.98</v>
      </c>
      <c r="C2724" s="1">
        <f>IFERROR(__xludf.DUMMYFUNCTION("""COMPUTED_VALUE"""),232.03)</f>
        <v>232.03</v>
      </c>
      <c r="D2724" s="1">
        <f>IFERROR(__xludf.DUMMYFUNCTION("""COMPUTED_VALUE"""),227.4)</f>
        <v>227.4</v>
      </c>
      <c r="E2724" s="1">
        <f>IFERROR(__xludf.DUMMYFUNCTION("""COMPUTED_VALUE"""),230.18)</f>
        <v>230.18</v>
      </c>
      <c r="F2724" s="1">
        <f>IFERROR(__xludf.DUMMYFUNCTION("""COMPUTED_VALUE"""),142659.0)</f>
        <v>142659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IFERROR(__xludf.DUMMYFUNCTION("""COMPUTED_VALUE"""),231.04)</f>
        <v>231.04</v>
      </c>
      <c r="C2725" s="1">
        <f>IFERROR(__xludf.DUMMYFUNCTION("""COMPUTED_VALUE"""),234.19)</f>
        <v>234.19</v>
      </c>
      <c r="D2725" s="1">
        <f>IFERROR(__xludf.DUMMYFUNCTION("""COMPUTED_VALUE"""),228.75)</f>
        <v>228.75</v>
      </c>
      <c r="E2725" s="1">
        <f>IFERROR(__xludf.DUMMYFUNCTION("""COMPUTED_VALUE"""),229.26)</f>
        <v>229.26</v>
      </c>
      <c r="F2725" s="1">
        <f>IFERROR(__xludf.DUMMYFUNCTION("""COMPUTED_VALUE"""),471664.0)</f>
        <v>471664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IFERROR(__xludf.DUMMYFUNCTION("""COMPUTED_VALUE"""),225.0)</f>
        <v>225</v>
      </c>
      <c r="C2726" s="1">
        <f>IFERROR(__xludf.DUMMYFUNCTION("""COMPUTED_VALUE"""),225.25)</f>
        <v>225.25</v>
      </c>
      <c r="D2726" s="1">
        <f>IFERROR(__xludf.DUMMYFUNCTION("""COMPUTED_VALUE"""),221.9)</f>
        <v>221.9</v>
      </c>
      <c r="E2726" s="1">
        <f>IFERROR(__xludf.DUMMYFUNCTION("""COMPUTED_VALUE"""),222.0)</f>
        <v>222</v>
      </c>
      <c r="F2726" s="1">
        <f>IFERROR(__xludf.DUMMYFUNCTION("""COMPUTED_VALUE"""),338400.0)</f>
        <v>338400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IFERROR(__xludf.DUMMYFUNCTION("""COMPUTED_VALUE"""),221.2)</f>
        <v>221.2</v>
      </c>
      <c r="C2727" s="1">
        <f>IFERROR(__xludf.DUMMYFUNCTION("""COMPUTED_VALUE"""),234.71)</f>
        <v>234.71</v>
      </c>
      <c r="D2727" s="1">
        <f>IFERROR(__xludf.DUMMYFUNCTION("""COMPUTED_VALUE"""),219.79)</f>
        <v>219.79</v>
      </c>
      <c r="E2727" s="1">
        <f>IFERROR(__xludf.DUMMYFUNCTION("""COMPUTED_VALUE"""),228.94)</f>
        <v>228.94</v>
      </c>
      <c r="F2727" s="1">
        <f>IFERROR(__xludf.DUMMYFUNCTION("""COMPUTED_VALUE"""),578505.0)</f>
        <v>578505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IFERROR(__xludf.DUMMYFUNCTION("""COMPUTED_VALUE"""),228.8)</f>
        <v>228.8</v>
      </c>
      <c r="C2728" s="1">
        <f>IFERROR(__xludf.DUMMYFUNCTION("""COMPUTED_VALUE"""),229.74)</f>
        <v>229.74</v>
      </c>
      <c r="D2728" s="1">
        <f>IFERROR(__xludf.DUMMYFUNCTION("""COMPUTED_VALUE"""),220.87)</f>
        <v>220.87</v>
      </c>
      <c r="E2728" s="1">
        <f>IFERROR(__xludf.DUMMYFUNCTION("""COMPUTED_VALUE"""),227.7)</f>
        <v>227.7</v>
      </c>
      <c r="F2728" s="1">
        <f>IFERROR(__xludf.DUMMYFUNCTION("""COMPUTED_VALUE"""),488724.0)</f>
        <v>488724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IFERROR(__xludf.DUMMYFUNCTION("""COMPUTED_VALUE"""),230.56)</f>
        <v>230.56</v>
      </c>
      <c r="C2729" s="1">
        <f>IFERROR(__xludf.DUMMYFUNCTION("""COMPUTED_VALUE"""),234.98)</f>
        <v>234.98</v>
      </c>
      <c r="D2729" s="1">
        <f>IFERROR(__xludf.DUMMYFUNCTION("""COMPUTED_VALUE"""),230.56)</f>
        <v>230.56</v>
      </c>
      <c r="E2729" s="1">
        <f>IFERROR(__xludf.DUMMYFUNCTION("""COMPUTED_VALUE"""),232.82)</f>
        <v>232.82</v>
      </c>
      <c r="F2729" s="1">
        <f>IFERROR(__xludf.DUMMYFUNCTION("""COMPUTED_VALUE"""),474751.0)</f>
        <v>474751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IFERROR(__xludf.DUMMYFUNCTION("""COMPUTED_VALUE"""),234.99)</f>
        <v>234.99</v>
      </c>
      <c r="C2730" s="1">
        <f>IFERROR(__xludf.DUMMYFUNCTION("""COMPUTED_VALUE"""),238.42)</f>
        <v>238.42</v>
      </c>
      <c r="D2730" s="1">
        <f>IFERROR(__xludf.DUMMYFUNCTION("""COMPUTED_VALUE"""),234.0)</f>
        <v>234</v>
      </c>
      <c r="E2730" s="1">
        <f>IFERROR(__xludf.DUMMYFUNCTION("""COMPUTED_VALUE"""),237.45)</f>
        <v>237.45</v>
      </c>
      <c r="F2730" s="1">
        <f>IFERROR(__xludf.DUMMYFUNCTION("""COMPUTED_VALUE"""),351564.0)</f>
        <v>351564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IFERROR(__xludf.DUMMYFUNCTION("""COMPUTED_VALUE"""),240.5)</f>
        <v>240.5</v>
      </c>
      <c r="C2731" s="1">
        <f>IFERROR(__xludf.DUMMYFUNCTION("""COMPUTED_VALUE"""),252.12)</f>
        <v>252.12</v>
      </c>
      <c r="D2731" s="1">
        <f>IFERROR(__xludf.DUMMYFUNCTION("""COMPUTED_VALUE"""),240.5)</f>
        <v>240.5</v>
      </c>
      <c r="E2731" s="1">
        <f>IFERROR(__xludf.DUMMYFUNCTION("""COMPUTED_VALUE"""),249.27)</f>
        <v>249.27</v>
      </c>
      <c r="F2731" s="1">
        <f>IFERROR(__xludf.DUMMYFUNCTION("""COMPUTED_VALUE"""),680384.0)</f>
        <v>680384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IFERROR(__xludf.DUMMYFUNCTION("""COMPUTED_VALUE"""),253.79)</f>
        <v>253.79</v>
      </c>
      <c r="C2732" s="1">
        <f>IFERROR(__xludf.DUMMYFUNCTION("""COMPUTED_VALUE"""),254.45)</f>
        <v>254.45</v>
      </c>
      <c r="D2732" s="1">
        <f>IFERROR(__xludf.DUMMYFUNCTION("""COMPUTED_VALUE"""),249.8)</f>
        <v>249.8</v>
      </c>
      <c r="E2732" s="1">
        <f>IFERROR(__xludf.DUMMYFUNCTION("""COMPUTED_VALUE"""),251.58)</f>
        <v>251.58</v>
      </c>
      <c r="F2732" s="1">
        <f>IFERROR(__xludf.DUMMYFUNCTION("""COMPUTED_VALUE"""),370399.0)</f>
        <v>370399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IFERROR(__xludf.DUMMYFUNCTION("""COMPUTED_VALUE"""),252.0)</f>
        <v>252</v>
      </c>
      <c r="C2733" s="1">
        <f>IFERROR(__xludf.DUMMYFUNCTION("""COMPUTED_VALUE"""),252.7)</f>
        <v>252.7</v>
      </c>
      <c r="D2733" s="1">
        <f>IFERROR(__xludf.DUMMYFUNCTION("""COMPUTED_VALUE"""),248.77)</f>
        <v>248.77</v>
      </c>
      <c r="E2733" s="1">
        <f>IFERROR(__xludf.DUMMYFUNCTION("""COMPUTED_VALUE"""),250.66)</f>
        <v>250.66</v>
      </c>
      <c r="F2733" s="1">
        <f>IFERROR(__xludf.DUMMYFUNCTION("""COMPUTED_VALUE"""),208431.0)</f>
        <v>208431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IFERROR(__xludf.DUMMYFUNCTION("""COMPUTED_VALUE"""),256.83)</f>
        <v>256.83</v>
      </c>
      <c r="C2734" s="1">
        <f>IFERROR(__xludf.DUMMYFUNCTION("""COMPUTED_VALUE"""),257.88)</f>
        <v>257.88</v>
      </c>
      <c r="D2734" s="1">
        <f>IFERROR(__xludf.DUMMYFUNCTION("""COMPUTED_VALUE"""),235.97)</f>
        <v>235.97</v>
      </c>
      <c r="E2734" s="1">
        <f>IFERROR(__xludf.DUMMYFUNCTION("""COMPUTED_VALUE"""),237.26)</f>
        <v>237.26</v>
      </c>
      <c r="F2734" s="1">
        <f>IFERROR(__xludf.DUMMYFUNCTION("""COMPUTED_VALUE"""),523954.0)</f>
        <v>523954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IFERROR(__xludf.DUMMYFUNCTION("""COMPUTED_VALUE"""),236.0)</f>
        <v>236</v>
      </c>
      <c r="C2735" s="1">
        <f>IFERROR(__xludf.DUMMYFUNCTION("""COMPUTED_VALUE"""),236.0)</f>
        <v>236</v>
      </c>
      <c r="D2735" s="1">
        <f>IFERROR(__xludf.DUMMYFUNCTION("""COMPUTED_VALUE"""),224.31)</f>
        <v>224.31</v>
      </c>
      <c r="E2735" s="1">
        <f>IFERROR(__xludf.DUMMYFUNCTION("""COMPUTED_VALUE"""),228.74)</f>
        <v>228.74</v>
      </c>
      <c r="F2735" s="1">
        <f>IFERROR(__xludf.DUMMYFUNCTION("""COMPUTED_VALUE"""),437959.0)</f>
        <v>437959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IFERROR(__xludf.DUMMYFUNCTION("""COMPUTED_VALUE"""),231.97)</f>
        <v>231.97</v>
      </c>
      <c r="C2736" s="1">
        <f>IFERROR(__xludf.DUMMYFUNCTION("""COMPUTED_VALUE"""),235.86)</f>
        <v>235.86</v>
      </c>
      <c r="D2736" s="1">
        <f>IFERROR(__xludf.DUMMYFUNCTION("""COMPUTED_VALUE"""),230.92)</f>
        <v>230.92</v>
      </c>
      <c r="E2736" s="1">
        <f>IFERROR(__xludf.DUMMYFUNCTION("""COMPUTED_VALUE"""),235.66)</f>
        <v>235.66</v>
      </c>
      <c r="F2736" s="1">
        <f>IFERROR(__xludf.DUMMYFUNCTION("""COMPUTED_VALUE"""),314871.0)</f>
        <v>314871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IFERROR(__xludf.DUMMYFUNCTION("""COMPUTED_VALUE"""),236.58)</f>
        <v>236.58</v>
      </c>
      <c r="C2737" s="1">
        <f>IFERROR(__xludf.DUMMYFUNCTION("""COMPUTED_VALUE"""),238.14)</f>
        <v>238.14</v>
      </c>
      <c r="D2737" s="1">
        <f>IFERROR(__xludf.DUMMYFUNCTION("""COMPUTED_VALUE"""),235.56)</f>
        <v>235.56</v>
      </c>
      <c r="E2737" s="1">
        <f>IFERROR(__xludf.DUMMYFUNCTION("""COMPUTED_VALUE"""),237.46)</f>
        <v>237.46</v>
      </c>
      <c r="F2737" s="1">
        <f>IFERROR(__xludf.DUMMYFUNCTION("""COMPUTED_VALUE"""),386735.0)</f>
        <v>386735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IFERROR(__xludf.DUMMYFUNCTION("""COMPUTED_VALUE"""),238.42)</f>
        <v>238.42</v>
      </c>
      <c r="C2738" s="1">
        <f>IFERROR(__xludf.DUMMYFUNCTION("""COMPUTED_VALUE"""),240.17)</f>
        <v>240.17</v>
      </c>
      <c r="D2738" s="1">
        <f>IFERROR(__xludf.DUMMYFUNCTION("""COMPUTED_VALUE"""),234.31)</f>
        <v>234.31</v>
      </c>
      <c r="E2738" s="1">
        <f>IFERROR(__xludf.DUMMYFUNCTION("""COMPUTED_VALUE"""),239.01)</f>
        <v>239.01</v>
      </c>
      <c r="F2738" s="1">
        <f>IFERROR(__xludf.DUMMYFUNCTION("""COMPUTED_VALUE"""),264605.0)</f>
        <v>264605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IFERROR(__xludf.DUMMYFUNCTION("""COMPUTED_VALUE"""),238.18)</f>
        <v>238.18</v>
      </c>
      <c r="C2739" s="1">
        <f>IFERROR(__xludf.DUMMYFUNCTION("""COMPUTED_VALUE"""),242.0)</f>
        <v>242</v>
      </c>
      <c r="D2739" s="1">
        <f>IFERROR(__xludf.DUMMYFUNCTION("""COMPUTED_VALUE"""),236.73)</f>
        <v>236.73</v>
      </c>
      <c r="E2739" s="1">
        <f>IFERROR(__xludf.DUMMYFUNCTION("""COMPUTED_VALUE"""),238.0)</f>
        <v>238</v>
      </c>
      <c r="F2739" s="1">
        <f>IFERROR(__xludf.DUMMYFUNCTION("""COMPUTED_VALUE"""),260630.0)</f>
        <v>260630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IFERROR(__xludf.DUMMYFUNCTION("""COMPUTED_VALUE"""),237.39)</f>
        <v>237.39</v>
      </c>
      <c r="C2740" s="1">
        <f>IFERROR(__xludf.DUMMYFUNCTION("""COMPUTED_VALUE"""),237.8)</f>
        <v>237.8</v>
      </c>
      <c r="D2740" s="1">
        <f>IFERROR(__xludf.DUMMYFUNCTION("""COMPUTED_VALUE"""),233.2)</f>
        <v>233.2</v>
      </c>
      <c r="E2740" s="1">
        <f>IFERROR(__xludf.DUMMYFUNCTION("""COMPUTED_VALUE"""),235.98)</f>
        <v>235.98</v>
      </c>
      <c r="F2740" s="1">
        <f>IFERROR(__xludf.DUMMYFUNCTION("""COMPUTED_VALUE"""),209443.0)</f>
        <v>209443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IFERROR(__xludf.DUMMYFUNCTION("""COMPUTED_VALUE"""),236.5)</f>
        <v>236.5</v>
      </c>
      <c r="C2741" s="1">
        <f>IFERROR(__xludf.DUMMYFUNCTION("""COMPUTED_VALUE"""),237.29)</f>
        <v>237.29</v>
      </c>
      <c r="D2741" s="1">
        <f>IFERROR(__xludf.DUMMYFUNCTION("""COMPUTED_VALUE"""),233.83)</f>
        <v>233.83</v>
      </c>
      <c r="E2741" s="1">
        <f>IFERROR(__xludf.DUMMYFUNCTION("""COMPUTED_VALUE"""),234.11)</f>
        <v>234.11</v>
      </c>
      <c r="F2741" s="1">
        <f>IFERROR(__xludf.DUMMYFUNCTION("""COMPUTED_VALUE"""),208323.0)</f>
        <v>208323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IFERROR(__xludf.DUMMYFUNCTION("""COMPUTED_VALUE"""),234.47)</f>
        <v>234.47</v>
      </c>
      <c r="C2742" s="1">
        <f>IFERROR(__xludf.DUMMYFUNCTION("""COMPUTED_VALUE"""),235.88)</f>
        <v>235.88</v>
      </c>
      <c r="D2742" s="1">
        <f>IFERROR(__xludf.DUMMYFUNCTION("""COMPUTED_VALUE"""),232.6)</f>
        <v>232.6</v>
      </c>
      <c r="E2742" s="1">
        <f>IFERROR(__xludf.DUMMYFUNCTION("""COMPUTED_VALUE"""),233.46)</f>
        <v>233.46</v>
      </c>
      <c r="F2742" s="1">
        <f>IFERROR(__xludf.DUMMYFUNCTION("""COMPUTED_VALUE"""),190291.0)</f>
        <v>190291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IFERROR(__xludf.DUMMYFUNCTION("""COMPUTED_VALUE"""),232.81)</f>
        <v>232.81</v>
      </c>
      <c r="C2743" s="1">
        <f>IFERROR(__xludf.DUMMYFUNCTION("""COMPUTED_VALUE"""),235.74)</f>
        <v>235.74</v>
      </c>
      <c r="D2743" s="1">
        <f>IFERROR(__xludf.DUMMYFUNCTION("""COMPUTED_VALUE"""),231.44)</f>
        <v>231.44</v>
      </c>
      <c r="E2743" s="1">
        <f>IFERROR(__xludf.DUMMYFUNCTION("""COMPUTED_VALUE"""),232.54)</f>
        <v>232.54</v>
      </c>
      <c r="F2743" s="1">
        <f>IFERROR(__xludf.DUMMYFUNCTION("""COMPUTED_VALUE"""),288038.0)</f>
        <v>288038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IFERROR(__xludf.DUMMYFUNCTION("""COMPUTED_VALUE"""),232.67)</f>
        <v>232.67</v>
      </c>
      <c r="C2744" s="1">
        <f>IFERROR(__xludf.DUMMYFUNCTION("""COMPUTED_VALUE"""),233.95)</f>
        <v>233.95</v>
      </c>
      <c r="D2744" s="1">
        <f>IFERROR(__xludf.DUMMYFUNCTION("""COMPUTED_VALUE"""),230.5)</f>
        <v>230.5</v>
      </c>
      <c r="E2744" s="1">
        <f>IFERROR(__xludf.DUMMYFUNCTION("""COMPUTED_VALUE"""),232.01)</f>
        <v>232.01</v>
      </c>
      <c r="F2744" s="1">
        <f>IFERROR(__xludf.DUMMYFUNCTION("""COMPUTED_VALUE"""),220668.0)</f>
        <v>220668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IFERROR(__xludf.DUMMYFUNCTION("""COMPUTED_VALUE"""),232.09)</f>
        <v>232.09</v>
      </c>
      <c r="C2745" s="1">
        <f>IFERROR(__xludf.DUMMYFUNCTION("""COMPUTED_VALUE"""),232.28)</f>
        <v>232.28</v>
      </c>
      <c r="D2745" s="1">
        <f>IFERROR(__xludf.DUMMYFUNCTION("""COMPUTED_VALUE"""),224.06)</f>
        <v>224.06</v>
      </c>
      <c r="E2745" s="1">
        <f>IFERROR(__xludf.DUMMYFUNCTION("""COMPUTED_VALUE"""),224.68)</f>
        <v>224.68</v>
      </c>
      <c r="F2745" s="1">
        <f>IFERROR(__xludf.DUMMYFUNCTION("""COMPUTED_VALUE"""),265393.0)</f>
        <v>265393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IFERROR(__xludf.DUMMYFUNCTION("""COMPUTED_VALUE"""),225.25)</f>
        <v>225.25</v>
      </c>
      <c r="C2746" s="1">
        <f>IFERROR(__xludf.DUMMYFUNCTION("""COMPUTED_VALUE"""),226.85)</f>
        <v>226.85</v>
      </c>
      <c r="D2746" s="1">
        <f>IFERROR(__xludf.DUMMYFUNCTION("""COMPUTED_VALUE"""),224.52)</f>
        <v>224.52</v>
      </c>
      <c r="E2746" s="1">
        <f>IFERROR(__xludf.DUMMYFUNCTION("""COMPUTED_VALUE"""),226.35)</f>
        <v>226.35</v>
      </c>
      <c r="F2746" s="1">
        <f>IFERROR(__xludf.DUMMYFUNCTION("""COMPUTED_VALUE"""),188973.0)</f>
        <v>188973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IFERROR(__xludf.DUMMYFUNCTION("""COMPUTED_VALUE"""),226.35)</f>
        <v>226.35</v>
      </c>
      <c r="C2747" s="1">
        <f>IFERROR(__xludf.DUMMYFUNCTION("""COMPUTED_VALUE"""),230.16)</f>
        <v>230.16</v>
      </c>
      <c r="D2747" s="1">
        <f>IFERROR(__xludf.DUMMYFUNCTION("""COMPUTED_VALUE"""),226.07)</f>
        <v>226.07</v>
      </c>
      <c r="E2747" s="1">
        <f>IFERROR(__xludf.DUMMYFUNCTION("""COMPUTED_VALUE"""),230.16)</f>
        <v>230.16</v>
      </c>
      <c r="F2747" s="1">
        <f>IFERROR(__xludf.DUMMYFUNCTION("""COMPUTED_VALUE"""),73048.0)</f>
        <v>73048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IFERROR(__xludf.DUMMYFUNCTION("""COMPUTED_VALUE"""),232.19)</f>
        <v>232.19</v>
      </c>
      <c r="C2748" s="1">
        <f>IFERROR(__xludf.DUMMYFUNCTION("""COMPUTED_VALUE"""),236.17)</f>
        <v>236.17</v>
      </c>
      <c r="D2748" s="1">
        <f>IFERROR(__xludf.DUMMYFUNCTION("""COMPUTED_VALUE"""),230.48)</f>
        <v>230.48</v>
      </c>
      <c r="E2748" s="1">
        <f>IFERROR(__xludf.DUMMYFUNCTION("""COMPUTED_VALUE"""),234.52)</f>
        <v>234.52</v>
      </c>
      <c r="F2748" s="1">
        <f>IFERROR(__xludf.DUMMYFUNCTION("""COMPUTED_VALUE"""),316380.0)</f>
        <v>316380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IFERROR(__xludf.DUMMYFUNCTION("""COMPUTED_VALUE"""),236.65)</f>
        <v>236.65</v>
      </c>
      <c r="C2749" s="1">
        <f>IFERROR(__xludf.DUMMYFUNCTION("""COMPUTED_VALUE"""),238.17)</f>
        <v>238.17</v>
      </c>
      <c r="D2749" s="1">
        <f>IFERROR(__xludf.DUMMYFUNCTION("""COMPUTED_VALUE"""),234.23)</f>
        <v>234.23</v>
      </c>
      <c r="E2749" s="1">
        <f>IFERROR(__xludf.DUMMYFUNCTION("""COMPUTED_VALUE"""),237.26)</f>
        <v>237.26</v>
      </c>
      <c r="F2749" s="1">
        <f>IFERROR(__xludf.DUMMYFUNCTION("""COMPUTED_VALUE"""),224889.0)</f>
        <v>224889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IFERROR(__xludf.DUMMYFUNCTION("""COMPUTED_VALUE"""),236.07)</f>
        <v>236.07</v>
      </c>
      <c r="C2750" s="1">
        <f>IFERROR(__xludf.DUMMYFUNCTION("""COMPUTED_VALUE"""),236.86)</f>
        <v>236.86</v>
      </c>
      <c r="D2750" s="1">
        <f>IFERROR(__xludf.DUMMYFUNCTION("""COMPUTED_VALUE"""),232.82)</f>
        <v>232.82</v>
      </c>
      <c r="E2750" s="1">
        <f>IFERROR(__xludf.DUMMYFUNCTION("""COMPUTED_VALUE"""),235.46)</f>
        <v>235.46</v>
      </c>
      <c r="F2750" s="1">
        <f>IFERROR(__xludf.DUMMYFUNCTION("""COMPUTED_VALUE"""),198715.0)</f>
        <v>198715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IFERROR(__xludf.DUMMYFUNCTION("""COMPUTED_VALUE"""),235.09)</f>
        <v>235.09</v>
      </c>
      <c r="C2751" s="1">
        <f>IFERROR(__xludf.DUMMYFUNCTION("""COMPUTED_VALUE"""),238.78)</f>
        <v>238.78</v>
      </c>
      <c r="D2751" s="1">
        <f>IFERROR(__xludf.DUMMYFUNCTION("""COMPUTED_VALUE"""),234.54)</f>
        <v>234.54</v>
      </c>
      <c r="E2751" s="1">
        <f>IFERROR(__xludf.DUMMYFUNCTION("""COMPUTED_VALUE"""),234.99)</f>
        <v>234.99</v>
      </c>
      <c r="F2751" s="1">
        <f>IFERROR(__xludf.DUMMYFUNCTION("""COMPUTED_VALUE"""),203751.0)</f>
        <v>203751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IFERROR(__xludf.DUMMYFUNCTION("""COMPUTED_VALUE"""),235.26)</f>
        <v>235.26</v>
      </c>
      <c r="C2752" s="1">
        <f>IFERROR(__xludf.DUMMYFUNCTION("""COMPUTED_VALUE"""),238.45)</f>
        <v>238.45</v>
      </c>
      <c r="D2752" s="1">
        <f>IFERROR(__xludf.DUMMYFUNCTION("""COMPUTED_VALUE"""),234.11)</f>
        <v>234.11</v>
      </c>
      <c r="E2752" s="1">
        <f>IFERROR(__xludf.DUMMYFUNCTION("""COMPUTED_VALUE"""),237.42)</f>
        <v>237.42</v>
      </c>
      <c r="F2752" s="1">
        <f>IFERROR(__xludf.DUMMYFUNCTION("""COMPUTED_VALUE"""),215226.0)</f>
        <v>215226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IFERROR(__xludf.DUMMYFUNCTION("""COMPUTED_VALUE"""),238.07)</f>
        <v>238.07</v>
      </c>
      <c r="C2753" s="1">
        <f>IFERROR(__xludf.DUMMYFUNCTION("""COMPUTED_VALUE"""),240.29)</f>
        <v>240.29</v>
      </c>
      <c r="D2753" s="1">
        <f>IFERROR(__xludf.DUMMYFUNCTION("""COMPUTED_VALUE"""),235.9)</f>
        <v>235.9</v>
      </c>
      <c r="E2753" s="1">
        <f>IFERROR(__xludf.DUMMYFUNCTION("""COMPUTED_VALUE"""),236.37)</f>
        <v>236.37</v>
      </c>
      <c r="F2753" s="1">
        <f>IFERROR(__xludf.DUMMYFUNCTION("""COMPUTED_VALUE"""),208258.0)</f>
        <v>208258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IFERROR(__xludf.DUMMYFUNCTION("""COMPUTED_VALUE"""),237.41)</f>
        <v>237.41</v>
      </c>
      <c r="C2754" s="1">
        <f>IFERROR(__xludf.DUMMYFUNCTION("""COMPUTED_VALUE"""),242.8)</f>
        <v>242.8</v>
      </c>
      <c r="D2754" s="1">
        <f>IFERROR(__xludf.DUMMYFUNCTION("""COMPUTED_VALUE"""),235.01)</f>
        <v>235.01</v>
      </c>
      <c r="E2754" s="1">
        <f>IFERROR(__xludf.DUMMYFUNCTION("""COMPUTED_VALUE"""),242.09)</f>
        <v>242.09</v>
      </c>
      <c r="F2754" s="1">
        <f>IFERROR(__xludf.DUMMYFUNCTION("""COMPUTED_VALUE"""),306667.0)</f>
        <v>306667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IFERROR(__xludf.DUMMYFUNCTION("""COMPUTED_VALUE"""),241.63)</f>
        <v>241.63</v>
      </c>
      <c r="C2755" s="1">
        <f>IFERROR(__xludf.DUMMYFUNCTION("""COMPUTED_VALUE"""),242.57)</f>
        <v>242.57</v>
      </c>
      <c r="D2755" s="1">
        <f>IFERROR(__xludf.DUMMYFUNCTION("""COMPUTED_VALUE"""),239.0)</f>
        <v>239</v>
      </c>
      <c r="E2755" s="1">
        <f>IFERROR(__xludf.DUMMYFUNCTION("""COMPUTED_VALUE"""),240.34)</f>
        <v>240.34</v>
      </c>
      <c r="F2755" s="1">
        <f>IFERROR(__xludf.DUMMYFUNCTION("""COMPUTED_VALUE"""),341965.0)</f>
        <v>341965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IFERROR(__xludf.DUMMYFUNCTION("""COMPUTED_VALUE"""),239.5)</f>
        <v>239.5</v>
      </c>
      <c r="C2756" s="1">
        <f>IFERROR(__xludf.DUMMYFUNCTION("""COMPUTED_VALUE"""),243.1)</f>
        <v>243.1</v>
      </c>
      <c r="D2756" s="1">
        <f>IFERROR(__xludf.DUMMYFUNCTION("""COMPUTED_VALUE"""),238.16)</f>
        <v>238.16</v>
      </c>
      <c r="E2756" s="1">
        <f>IFERROR(__xludf.DUMMYFUNCTION("""COMPUTED_VALUE"""),239.77)</f>
        <v>239.77</v>
      </c>
      <c r="F2756" s="1">
        <f>IFERROR(__xludf.DUMMYFUNCTION("""COMPUTED_VALUE"""),260954.0)</f>
        <v>260954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IFERROR(__xludf.DUMMYFUNCTION("""COMPUTED_VALUE"""),239.35)</f>
        <v>239.35</v>
      </c>
      <c r="C2757" s="1">
        <f>IFERROR(__xludf.DUMMYFUNCTION("""COMPUTED_VALUE"""),239.53)</f>
        <v>239.53</v>
      </c>
      <c r="D2757" s="1">
        <f>IFERROR(__xludf.DUMMYFUNCTION("""COMPUTED_VALUE"""),233.78)</f>
        <v>233.78</v>
      </c>
      <c r="E2757" s="1">
        <f>IFERROR(__xludf.DUMMYFUNCTION("""COMPUTED_VALUE"""),236.27)</f>
        <v>236.27</v>
      </c>
      <c r="F2757" s="1">
        <f>IFERROR(__xludf.DUMMYFUNCTION("""COMPUTED_VALUE"""),294928.0)</f>
        <v>294928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IFERROR(__xludf.DUMMYFUNCTION("""COMPUTED_VALUE"""),237.27)</f>
        <v>237.27</v>
      </c>
      <c r="C2758" s="1">
        <f>IFERROR(__xludf.DUMMYFUNCTION("""COMPUTED_VALUE"""),242.34)</f>
        <v>242.34</v>
      </c>
      <c r="D2758" s="1">
        <f>IFERROR(__xludf.DUMMYFUNCTION("""COMPUTED_VALUE"""),237.27)</f>
        <v>237.27</v>
      </c>
      <c r="E2758" s="1">
        <f>IFERROR(__xludf.DUMMYFUNCTION("""COMPUTED_VALUE"""),240.07)</f>
        <v>240.07</v>
      </c>
      <c r="F2758" s="1">
        <f>IFERROR(__xludf.DUMMYFUNCTION("""COMPUTED_VALUE"""),253722.0)</f>
        <v>253722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IFERROR(__xludf.DUMMYFUNCTION("""COMPUTED_VALUE"""),242.27)</f>
        <v>242.27</v>
      </c>
      <c r="C2759" s="1">
        <f>IFERROR(__xludf.DUMMYFUNCTION("""COMPUTED_VALUE"""),243.12)</f>
        <v>243.12</v>
      </c>
      <c r="D2759" s="1">
        <f>IFERROR(__xludf.DUMMYFUNCTION("""COMPUTED_VALUE"""),238.14)</f>
        <v>238.14</v>
      </c>
      <c r="E2759" s="1">
        <f>IFERROR(__xludf.DUMMYFUNCTION("""COMPUTED_VALUE"""),243.08)</f>
        <v>243.08</v>
      </c>
      <c r="F2759" s="1">
        <f>IFERROR(__xludf.DUMMYFUNCTION("""COMPUTED_VALUE"""),320793.0)</f>
        <v>320793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IFERROR(__xludf.DUMMYFUNCTION("""COMPUTED_VALUE"""),242.18)</f>
        <v>242.18</v>
      </c>
      <c r="C2760" s="1">
        <f>IFERROR(__xludf.DUMMYFUNCTION("""COMPUTED_VALUE"""),242.43)</f>
        <v>242.43</v>
      </c>
      <c r="D2760" s="1">
        <f>IFERROR(__xludf.DUMMYFUNCTION("""COMPUTED_VALUE"""),237.3)</f>
        <v>237.3</v>
      </c>
      <c r="E2760" s="1">
        <f>IFERROR(__xludf.DUMMYFUNCTION("""COMPUTED_VALUE"""),240.16)</f>
        <v>240.16</v>
      </c>
      <c r="F2760" s="1">
        <f>IFERROR(__xludf.DUMMYFUNCTION("""COMPUTED_VALUE"""),278723.0)</f>
        <v>278723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IFERROR(__xludf.DUMMYFUNCTION("""COMPUTED_VALUE"""),242.03)</f>
        <v>242.03</v>
      </c>
      <c r="C2761" s="1">
        <f>IFERROR(__xludf.DUMMYFUNCTION("""COMPUTED_VALUE"""),247.23)</f>
        <v>247.23</v>
      </c>
      <c r="D2761" s="1">
        <f>IFERROR(__xludf.DUMMYFUNCTION("""COMPUTED_VALUE"""),241.48)</f>
        <v>241.48</v>
      </c>
      <c r="E2761" s="1">
        <f>IFERROR(__xludf.DUMMYFUNCTION("""COMPUTED_VALUE"""),247.06)</f>
        <v>247.06</v>
      </c>
      <c r="F2761" s="1">
        <f>IFERROR(__xludf.DUMMYFUNCTION("""COMPUTED_VALUE"""),263956.0)</f>
        <v>263956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IFERROR(__xludf.DUMMYFUNCTION("""COMPUTED_VALUE"""),249.89)</f>
        <v>249.89</v>
      </c>
      <c r="C2762" s="1">
        <f>IFERROR(__xludf.DUMMYFUNCTION("""COMPUTED_VALUE"""),250.58)</f>
        <v>250.58</v>
      </c>
      <c r="D2762" s="1">
        <f>IFERROR(__xludf.DUMMYFUNCTION("""COMPUTED_VALUE"""),246.62)</f>
        <v>246.62</v>
      </c>
      <c r="E2762" s="1">
        <f>IFERROR(__xludf.DUMMYFUNCTION("""COMPUTED_VALUE"""),248.97)</f>
        <v>248.97</v>
      </c>
      <c r="F2762" s="1">
        <f>IFERROR(__xludf.DUMMYFUNCTION("""COMPUTED_VALUE"""),717878.0)</f>
        <v>717878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IFERROR(__xludf.DUMMYFUNCTION("""COMPUTED_VALUE"""),245.01)</f>
        <v>245.01</v>
      </c>
      <c r="C2763" s="1">
        <f>IFERROR(__xludf.DUMMYFUNCTION("""COMPUTED_VALUE"""),250.74)</f>
        <v>250.74</v>
      </c>
      <c r="D2763" s="1">
        <f>IFERROR(__xludf.DUMMYFUNCTION("""COMPUTED_VALUE"""),240.16)</f>
        <v>240.16</v>
      </c>
      <c r="E2763" s="1">
        <f>IFERROR(__xludf.DUMMYFUNCTION("""COMPUTED_VALUE"""),250.72)</f>
        <v>250.72</v>
      </c>
      <c r="F2763" s="1">
        <f>IFERROR(__xludf.DUMMYFUNCTION("""COMPUTED_VALUE"""),397304.0)</f>
        <v>397304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IFERROR(__xludf.DUMMYFUNCTION("""COMPUTED_VALUE"""),250.72)</f>
        <v>250.72</v>
      </c>
      <c r="C2764" s="1">
        <f>IFERROR(__xludf.DUMMYFUNCTION("""COMPUTED_VALUE"""),254.28)</f>
        <v>254.28</v>
      </c>
      <c r="D2764" s="1">
        <f>IFERROR(__xludf.DUMMYFUNCTION("""COMPUTED_VALUE"""),246.81)</f>
        <v>246.81</v>
      </c>
      <c r="E2764" s="1">
        <f>IFERROR(__xludf.DUMMYFUNCTION("""COMPUTED_VALUE"""),252.62)</f>
        <v>252.62</v>
      </c>
      <c r="F2764" s="1">
        <f>IFERROR(__xludf.DUMMYFUNCTION("""COMPUTED_VALUE"""),215956.0)</f>
        <v>215956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IFERROR(__xludf.DUMMYFUNCTION("""COMPUTED_VALUE"""),253.7)</f>
        <v>253.7</v>
      </c>
      <c r="C2765" s="1">
        <f>IFERROR(__xludf.DUMMYFUNCTION("""COMPUTED_VALUE"""),254.25)</f>
        <v>254.25</v>
      </c>
      <c r="D2765" s="1">
        <f>IFERROR(__xludf.DUMMYFUNCTION("""COMPUTED_VALUE"""),249.3)</f>
        <v>249.3</v>
      </c>
      <c r="E2765" s="1">
        <f>IFERROR(__xludf.DUMMYFUNCTION("""COMPUTED_VALUE"""),251.8)</f>
        <v>251.8</v>
      </c>
      <c r="F2765" s="1">
        <f>IFERROR(__xludf.DUMMYFUNCTION("""COMPUTED_VALUE"""),277115.0)</f>
        <v>277115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IFERROR(__xludf.DUMMYFUNCTION("""COMPUTED_VALUE"""),251.79)</f>
        <v>251.79</v>
      </c>
      <c r="C2766" s="1">
        <f>IFERROR(__xludf.DUMMYFUNCTION("""COMPUTED_VALUE"""),252.78)</f>
        <v>252.78</v>
      </c>
      <c r="D2766" s="1">
        <f>IFERROR(__xludf.DUMMYFUNCTION("""COMPUTED_VALUE"""),250.07)</f>
        <v>250.07</v>
      </c>
      <c r="E2766" s="1">
        <f>IFERROR(__xludf.DUMMYFUNCTION("""COMPUTED_VALUE"""),251.71)</f>
        <v>251.71</v>
      </c>
      <c r="F2766" s="1">
        <f>IFERROR(__xludf.DUMMYFUNCTION("""COMPUTED_VALUE"""),150771.0)</f>
        <v>150771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IFERROR(__xludf.DUMMYFUNCTION("""COMPUTED_VALUE"""),254.94)</f>
        <v>254.94</v>
      </c>
      <c r="C2767" s="1">
        <f>IFERROR(__xludf.DUMMYFUNCTION("""COMPUTED_VALUE"""),254.94)</f>
        <v>254.94</v>
      </c>
      <c r="D2767" s="1">
        <f>IFERROR(__xludf.DUMMYFUNCTION("""COMPUTED_VALUE"""),246.45)</f>
        <v>246.45</v>
      </c>
      <c r="E2767" s="1">
        <f>IFERROR(__xludf.DUMMYFUNCTION("""COMPUTED_VALUE"""),247.17)</f>
        <v>247.17</v>
      </c>
      <c r="F2767" s="1">
        <f>IFERROR(__xludf.DUMMYFUNCTION("""COMPUTED_VALUE"""),248999.0)</f>
        <v>248999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IFERROR(__xludf.DUMMYFUNCTION("""COMPUTED_VALUE"""),249.1)</f>
        <v>249.1</v>
      </c>
      <c r="C2768" s="1">
        <f>IFERROR(__xludf.DUMMYFUNCTION("""COMPUTED_VALUE"""),250.19)</f>
        <v>250.19</v>
      </c>
      <c r="D2768" s="1">
        <f>IFERROR(__xludf.DUMMYFUNCTION("""COMPUTED_VALUE"""),243.87)</f>
        <v>243.87</v>
      </c>
      <c r="E2768" s="1">
        <f>IFERROR(__xludf.DUMMYFUNCTION("""COMPUTED_VALUE"""),248.64)</f>
        <v>248.64</v>
      </c>
      <c r="F2768" s="1">
        <f>IFERROR(__xludf.DUMMYFUNCTION("""COMPUTED_VALUE"""),160736.0)</f>
        <v>160736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IFERROR(__xludf.DUMMYFUNCTION("""COMPUTED_VALUE"""),250.47)</f>
        <v>250.47</v>
      </c>
      <c r="C2769" s="1">
        <f>IFERROR(__xludf.DUMMYFUNCTION("""COMPUTED_VALUE"""),253.13)</f>
        <v>253.13</v>
      </c>
      <c r="D2769" s="1">
        <f>IFERROR(__xludf.DUMMYFUNCTION("""COMPUTED_VALUE"""),246.83)</f>
        <v>246.83</v>
      </c>
      <c r="E2769" s="1">
        <f>IFERROR(__xludf.DUMMYFUNCTION("""COMPUTED_VALUE"""),248.59)</f>
        <v>248.59</v>
      </c>
      <c r="F2769" s="1">
        <f>IFERROR(__xludf.DUMMYFUNCTION("""COMPUTED_VALUE"""),198002.0)</f>
        <v>198002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IFERROR(__xludf.DUMMYFUNCTION("""COMPUTED_VALUE"""),248.58)</f>
        <v>248.58</v>
      </c>
      <c r="C2770" s="1">
        <f>IFERROR(__xludf.DUMMYFUNCTION("""COMPUTED_VALUE"""),250.93)</f>
        <v>250.93</v>
      </c>
      <c r="D2770" s="1">
        <f>IFERROR(__xludf.DUMMYFUNCTION("""COMPUTED_VALUE"""),245.51)</f>
        <v>245.51</v>
      </c>
      <c r="E2770" s="1">
        <f>IFERROR(__xludf.DUMMYFUNCTION("""COMPUTED_VALUE"""),249.86)</f>
        <v>249.86</v>
      </c>
      <c r="F2770" s="1">
        <f>IFERROR(__xludf.DUMMYFUNCTION("""COMPUTED_VALUE"""),184141.0)</f>
        <v>184141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IFERROR(__xludf.DUMMYFUNCTION("""COMPUTED_VALUE"""),251.81)</f>
        <v>251.81</v>
      </c>
      <c r="C2771" s="1">
        <f>IFERROR(__xludf.DUMMYFUNCTION("""COMPUTED_VALUE"""),255.45)</f>
        <v>255.45</v>
      </c>
      <c r="D2771" s="1">
        <f>IFERROR(__xludf.DUMMYFUNCTION("""COMPUTED_VALUE"""),243.37)</f>
        <v>243.37</v>
      </c>
      <c r="E2771" s="1">
        <f>IFERROR(__xludf.DUMMYFUNCTION("""COMPUTED_VALUE"""),249.67)</f>
        <v>249.67</v>
      </c>
      <c r="F2771" s="1">
        <f>IFERROR(__xludf.DUMMYFUNCTION("""COMPUTED_VALUE"""),351040.0)</f>
        <v>351040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IFERROR(__xludf.DUMMYFUNCTION("""COMPUTED_VALUE"""),249.69)</f>
        <v>249.69</v>
      </c>
      <c r="C2772" s="1">
        <f>IFERROR(__xludf.DUMMYFUNCTION("""COMPUTED_VALUE"""),255.25)</f>
        <v>255.25</v>
      </c>
      <c r="D2772" s="1">
        <f>IFERROR(__xludf.DUMMYFUNCTION("""COMPUTED_VALUE"""),248.14)</f>
        <v>248.14</v>
      </c>
      <c r="E2772" s="1">
        <f>IFERROR(__xludf.DUMMYFUNCTION("""COMPUTED_VALUE"""),252.59)</f>
        <v>252.59</v>
      </c>
      <c r="F2772" s="1">
        <f>IFERROR(__xludf.DUMMYFUNCTION("""COMPUTED_VALUE"""),219798.0)</f>
        <v>219798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IFERROR(__xludf.DUMMYFUNCTION("""COMPUTED_VALUE"""),249.6)</f>
        <v>249.6</v>
      </c>
      <c r="C2773" s="1">
        <f>IFERROR(__xludf.DUMMYFUNCTION("""COMPUTED_VALUE"""),256.68)</f>
        <v>256.68</v>
      </c>
      <c r="D2773" s="1">
        <f>IFERROR(__xludf.DUMMYFUNCTION("""COMPUTED_VALUE"""),249.6)</f>
        <v>249.6</v>
      </c>
      <c r="E2773" s="1">
        <f>IFERROR(__xludf.DUMMYFUNCTION("""COMPUTED_VALUE"""),254.76)</f>
        <v>254.76</v>
      </c>
      <c r="F2773" s="1">
        <f>IFERROR(__xludf.DUMMYFUNCTION("""COMPUTED_VALUE"""),393422.0)</f>
        <v>393422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IFERROR(__xludf.DUMMYFUNCTION("""COMPUTED_VALUE"""),257.54)</f>
        <v>257.54</v>
      </c>
      <c r="C2774" s="1">
        <f>IFERROR(__xludf.DUMMYFUNCTION("""COMPUTED_VALUE"""),263.37)</f>
        <v>263.37</v>
      </c>
      <c r="D2774" s="1">
        <f>IFERROR(__xludf.DUMMYFUNCTION("""COMPUTED_VALUE"""),256.65)</f>
        <v>256.65</v>
      </c>
      <c r="E2774" s="1">
        <f>IFERROR(__xludf.DUMMYFUNCTION("""COMPUTED_VALUE"""),263.16)</f>
        <v>263.16</v>
      </c>
      <c r="F2774" s="1">
        <f>IFERROR(__xludf.DUMMYFUNCTION("""COMPUTED_VALUE"""),339419.0)</f>
        <v>339419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IFERROR(__xludf.DUMMYFUNCTION("""COMPUTED_VALUE"""),263.19)</f>
        <v>263.19</v>
      </c>
      <c r="C2775" s="1">
        <f>IFERROR(__xludf.DUMMYFUNCTION("""COMPUTED_VALUE"""),271.73)</f>
        <v>271.73</v>
      </c>
      <c r="D2775" s="1">
        <f>IFERROR(__xludf.DUMMYFUNCTION("""COMPUTED_VALUE"""),263.19)</f>
        <v>263.19</v>
      </c>
      <c r="E2775" s="1">
        <f>IFERROR(__xludf.DUMMYFUNCTION("""COMPUTED_VALUE"""),271.01)</f>
        <v>271.01</v>
      </c>
      <c r="F2775" s="1">
        <f>IFERROR(__xludf.DUMMYFUNCTION("""COMPUTED_VALUE"""),428038.0)</f>
        <v>428038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IFERROR(__xludf.DUMMYFUNCTION("""COMPUTED_VALUE"""),270.34)</f>
        <v>270.34</v>
      </c>
      <c r="C2776" s="1">
        <f>IFERROR(__xludf.DUMMYFUNCTION("""COMPUTED_VALUE"""),276.87)</f>
        <v>276.87</v>
      </c>
      <c r="D2776" s="1">
        <f>IFERROR(__xludf.DUMMYFUNCTION("""COMPUTED_VALUE"""),268.2)</f>
        <v>268.2</v>
      </c>
      <c r="E2776" s="1">
        <f>IFERROR(__xludf.DUMMYFUNCTION("""COMPUTED_VALUE"""),276.31)</f>
        <v>276.31</v>
      </c>
      <c r="F2776" s="1">
        <f>IFERROR(__xludf.DUMMYFUNCTION("""COMPUTED_VALUE"""),298606.0)</f>
        <v>298606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IFERROR(__xludf.DUMMYFUNCTION("""COMPUTED_VALUE"""),277.08)</f>
        <v>277.08</v>
      </c>
      <c r="C2777" s="1">
        <f>IFERROR(__xludf.DUMMYFUNCTION("""COMPUTED_VALUE"""),278.08)</f>
        <v>278.08</v>
      </c>
      <c r="D2777" s="1">
        <f>IFERROR(__xludf.DUMMYFUNCTION("""COMPUTED_VALUE"""),265.94)</f>
        <v>265.94</v>
      </c>
      <c r="E2777" s="1">
        <f>IFERROR(__xludf.DUMMYFUNCTION("""COMPUTED_VALUE"""),268.24)</f>
        <v>268.24</v>
      </c>
      <c r="F2777" s="1">
        <f>IFERROR(__xludf.DUMMYFUNCTION("""COMPUTED_VALUE"""),336372.0)</f>
        <v>336372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IFERROR(__xludf.DUMMYFUNCTION("""COMPUTED_VALUE"""),267.31)</f>
        <v>267.31</v>
      </c>
      <c r="C2778" s="1">
        <f>IFERROR(__xludf.DUMMYFUNCTION("""COMPUTED_VALUE"""),268.55)</f>
        <v>268.55</v>
      </c>
      <c r="D2778" s="1">
        <f>IFERROR(__xludf.DUMMYFUNCTION("""COMPUTED_VALUE"""),264.19)</f>
        <v>264.19</v>
      </c>
      <c r="E2778" s="1">
        <f>IFERROR(__xludf.DUMMYFUNCTION("""COMPUTED_VALUE"""),267.49)</f>
        <v>267.49</v>
      </c>
      <c r="F2778" s="1">
        <f>IFERROR(__xludf.DUMMYFUNCTION("""COMPUTED_VALUE"""),253234.0)</f>
        <v>253234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IFERROR(__xludf.DUMMYFUNCTION("""COMPUTED_VALUE"""),267.09)</f>
        <v>267.09</v>
      </c>
      <c r="C2779" s="1">
        <f>IFERROR(__xludf.DUMMYFUNCTION("""COMPUTED_VALUE"""),273.03)</f>
        <v>273.03</v>
      </c>
      <c r="D2779" s="1">
        <f>IFERROR(__xludf.DUMMYFUNCTION("""COMPUTED_VALUE"""),266.5)</f>
        <v>266.5</v>
      </c>
      <c r="E2779" s="1">
        <f>IFERROR(__xludf.DUMMYFUNCTION("""COMPUTED_VALUE"""),266.91)</f>
        <v>266.91</v>
      </c>
      <c r="F2779" s="1">
        <f>IFERROR(__xludf.DUMMYFUNCTION("""COMPUTED_VALUE"""),369085.0)</f>
        <v>369085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IFERROR(__xludf.DUMMYFUNCTION("""COMPUTED_VALUE"""),266.27)</f>
        <v>266.27</v>
      </c>
      <c r="C2780" s="1">
        <f>IFERROR(__xludf.DUMMYFUNCTION("""COMPUTED_VALUE"""),273.99)</f>
        <v>273.99</v>
      </c>
      <c r="D2780" s="1">
        <f>IFERROR(__xludf.DUMMYFUNCTION("""COMPUTED_VALUE"""),265.01)</f>
        <v>265.01</v>
      </c>
      <c r="E2780" s="1">
        <f>IFERROR(__xludf.DUMMYFUNCTION("""COMPUTED_VALUE"""),273.72)</f>
        <v>273.72</v>
      </c>
      <c r="F2780" s="1">
        <f>IFERROR(__xludf.DUMMYFUNCTION("""COMPUTED_VALUE"""),330960.0)</f>
        <v>330960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IFERROR(__xludf.DUMMYFUNCTION("""COMPUTED_VALUE"""),275.72)</f>
        <v>275.72</v>
      </c>
      <c r="C2781" s="1">
        <f>IFERROR(__xludf.DUMMYFUNCTION("""COMPUTED_VALUE"""),280.1)</f>
        <v>280.1</v>
      </c>
      <c r="D2781" s="1">
        <f>IFERROR(__xludf.DUMMYFUNCTION("""COMPUTED_VALUE"""),274.14)</f>
        <v>274.14</v>
      </c>
      <c r="E2781" s="1">
        <f>IFERROR(__xludf.DUMMYFUNCTION("""COMPUTED_VALUE"""),278.89)</f>
        <v>278.89</v>
      </c>
      <c r="F2781" s="1">
        <f>IFERROR(__xludf.DUMMYFUNCTION("""COMPUTED_VALUE"""),376014.0)</f>
        <v>376014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IFERROR(__xludf.DUMMYFUNCTION("""COMPUTED_VALUE"""),279.63)</f>
        <v>279.63</v>
      </c>
      <c r="C2782" s="1">
        <f>IFERROR(__xludf.DUMMYFUNCTION("""COMPUTED_VALUE"""),283.6)</f>
        <v>283.6</v>
      </c>
      <c r="D2782" s="1">
        <f>IFERROR(__xludf.DUMMYFUNCTION("""COMPUTED_VALUE"""),278.38)</f>
        <v>278.38</v>
      </c>
      <c r="E2782" s="1">
        <f>IFERROR(__xludf.DUMMYFUNCTION("""COMPUTED_VALUE"""),282.94)</f>
        <v>282.94</v>
      </c>
      <c r="F2782" s="1">
        <f>IFERROR(__xludf.DUMMYFUNCTION("""COMPUTED_VALUE"""),413073.0)</f>
        <v>413073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IFERROR(__xludf.DUMMYFUNCTION("""COMPUTED_VALUE"""),284.6)</f>
        <v>284.6</v>
      </c>
      <c r="C2783" s="1">
        <f>IFERROR(__xludf.DUMMYFUNCTION("""COMPUTED_VALUE"""),284.6)</f>
        <v>284.6</v>
      </c>
      <c r="D2783" s="1">
        <f>IFERROR(__xludf.DUMMYFUNCTION("""COMPUTED_VALUE"""),279.97)</f>
        <v>279.97</v>
      </c>
      <c r="E2783" s="1">
        <f>IFERROR(__xludf.DUMMYFUNCTION("""COMPUTED_VALUE"""),281.24)</f>
        <v>281.24</v>
      </c>
      <c r="F2783" s="1">
        <f>IFERROR(__xludf.DUMMYFUNCTION("""COMPUTED_VALUE"""),275189.0)</f>
        <v>275189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IFERROR(__xludf.DUMMYFUNCTION("""COMPUTED_VALUE"""),280.21)</f>
        <v>280.21</v>
      </c>
      <c r="C2784" s="1">
        <f>IFERROR(__xludf.DUMMYFUNCTION("""COMPUTED_VALUE"""),282.09)</f>
        <v>282.09</v>
      </c>
      <c r="D2784" s="1">
        <f>IFERROR(__xludf.DUMMYFUNCTION("""COMPUTED_VALUE"""),277.36)</f>
        <v>277.36</v>
      </c>
      <c r="E2784" s="1">
        <f>IFERROR(__xludf.DUMMYFUNCTION("""COMPUTED_VALUE"""),280.18)</f>
        <v>280.18</v>
      </c>
      <c r="F2784" s="1">
        <f>IFERROR(__xludf.DUMMYFUNCTION("""COMPUTED_VALUE"""),169585.0)</f>
        <v>169585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IFERROR(__xludf.DUMMYFUNCTION("""COMPUTED_VALUE"""),281.52)</f>
        <v>281.52</v>
      </c>
      <c r="C2785" s="1">
        <f>IFERROR(__xludf.DUMMYFUNCTION("""COMPUTED_VALUE"""),283.25)</f>
        <v>283.25</v>
      </c>
      <c r="D2785" s="1">
        <f>IFERROR(__xludf.DUMMYFUNCTION("""COMPUTED_VALUE"""),271.85)</f>
        <v>271.85</v>
      </c>
      <c r="E2785" s="1">
        <f>IFERROR(__xludf.DUMMYFUNCTION("""COMPUTED_VALUE"""),273.54)</f>
        <v>273.54</v>
      </c>
      <c r="F2785" s="1">
        <f>IFERROR(__xludf.DUMMYFUNCTION("""COMPUTED_VALUE"""),307143.0)</f>
        <v>307143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IFERROR(__xludf.DUMMYFUNCTION("""COMPUTED_VALUE"""),273.06)</f>
        <v>273.06</v>
      </c>
      <c r="C2786" s="1">
        <f>IFERROR(__xludf.DUMMYFUNCTION("""COMPUTED_VALUE"""),273.91)</f>
        <v>273.91</v>
      </c>
      <c r="D2786" s="1">
        <f>IFERROR(__xludf.DUMMYFUNCTION("""COMPUTED_VALUE"""),265.06)</f>
        <v>265.06</v>
      </c>
      <c r="E2786" s="1">
        <f>IFERROR(__xludf.DUMMYFUNCTION("""COMPUTED_VALUE"""),265.48)</f>
        <v>265.48</v>
      </c>
      <c r="F2786" s="1">
        <f>IFERROR(__xludf.DUMMYFUNCTION("""COMPUTED_VALUE"""),219200.0)</f>
        <v>219200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IFERROR(__xludf.DUMMYFUNCTION("""COMPUTED_VALUE"""),260.26)</f>
        <v>260.26</v>
      </c>
      <c r="C2787" s="1">
        <f>IFERROR(__xludf.DUMMYFUNCTION("""COMPUTED_VALUE"""),261.97)</f>
        <v>261.97</v>
      </c>
      <c r="D2787" s="1">
        <f>IFERROR(__xludf.DUMMYFUNCTION("""COMPUTED_VALUE"""),249.48)</f>
        <v>249.48</v>
      </c>
      <c r="E2787" s="1">
        <f>IFERROR(__xludf.DUMMYFUNCTION("""COMPUTED_VALUE"""),252.87)</f>
        <v>252.87</v>
      </c>
      <c r="F2787" s="1">
        <f>IFERROR(__xludf.DUMMYFUNCTION("""COMPUTED_VALUE"""),360201.0)</f>
        <v>360201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IFERROR(__xludf.DUMMYFUNCTION("""COMPUTED_VALUE"""),256.6)</f>
        <v>256.6</v>
      </c>
      <c r="C2788" s="1">
        <f>IFERROR(__xludf.DUMMYFUNCTION("""COMPUTED_VALUE"""),265.05)</f>
        <v>265.05</v>
      </c>
      <c r="D2788" s="1">
        <f>IFERROR(__xludf.DUMMYFUNCTION("""COMPUTED_VALUE"""),253.04)</f>
        <v>253.04</v>
      </c>
      <c r="E2788" s="1">
        <f>IFERROR(__xludf.DUMMYFUNCTION("""COMPUTED_VALUE"""),260.88)</f>
        <v>260.88</v>
      </c>
      <c r="F2788" s="1">
        <f>IFERROR(__xludf.DUMMYFUNCTION("""COMPUTED_VALUE"""),252551.0)</f>
        <v>252551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IFERROR(__xludf.DUMMYFUNCTION("""COMPUTED_VALUE"""),260.77)</f>
        <v>260.77</v>
      </c>
      <c r="C2789" s="1">
        <f>IFERROR(__xludf.DUMMYFUNCTION("""COMPUTED_VALUE"""),262.54)</f>
        <v>262.54</v>
      </c>
      <c r="D2789" s="1">
        <f>IFERROR(__xludf.DUMMYFUNCTION("""COMPUTED_VALUE"""),257.02)</f>
        <v>257.02</v>
      </c>
      <c r="E2789" s="1">
        <f>IFERROR(__xludf.DUMMYFUNCTION("""COMPUTED_VALUE"""),259.05)</f>
        <v>259.05</v>
      </c>
      <c r="F2789" s="1">
        <f>IFERROR(__xludf.DUMMYFUNCTION("""COMPUTED_VALUE"""),229291.0)</f>
        <v>229291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IFERROR(__xludf.DUMMYFUNCTION("""COMPUTED_VALUE"""),262.11)</f>
        <v>262.11</v>
      </c>
      <c r="C2790" s="1">
        <f>IFERROR(__xludf.DUMMYFUNCTION("""COMPUTED_VALUE"""),267.62)</f>
        <v>267.62</v>
      </c>
      <c r="D2790" s="1">
        <f>IFERROR(__xludf.DUMMYFUNCTION("""COMPUTED_VALUE"""),260.11)</f>
        <v>260.11</v>
      </c>
      <c r="E2790" s="1">
        <f>IFERROR(__xludf.DUMMYFUNCTION("""COMPUTED_VALUE"""),266.0)</f>
        <v>266</v>
      </c>
      <c r="F2790" s="1">
        <f>IFERROR(__xludf.DUMMYFUNCTION("""COMPUTED_VALUE"""),510649.0)</f>
        <v>510649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IFERROR(__xludf.DUMMYFUNCTION("""COMPUTED_VALUE"""),269.83)</f>
        <v>269.83</v>
      </c>
      <c r="C2791" s="1">
        <f>IFERROR(__xludf.DUMMYFUNCTION("""COMPUTED_VALUE"""),274.76)</f>
        <v>274.76</v>
      </c>
      <c r="D2791" s="1">
        <f>IFERROR(__xludf.DUMMYFUNCTION("""COMPUTED_VALUE"""),269.74)</f>
        <v>269.74</v>
      </c>
      <c r="E2791" s="1">
        <f>IFERROR(__xludf.DUMMYFUNCTION("""COMPUTED_VALUE"""),272.4)</f>
        <v>272.4</v>
      </c>
      <c r="F2791" s="1">
        <f>IFERROR(__xludf.DUMMYFUNCTION("""COMPUTED_VALUE"""),288052.0)</f>
        <v>288052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IFERROR(__xludf.DUMMYFUNCTION("""COMPUTED_VALUE"""),271.57)</f>
        <v>271.57</v>
      </c>
      <c r="C2792" s="1">
        <f>IFERROR(__xludf.DUMMYFUNCTION("""COMPUTED_VALUE"""),272.41)</f>
        <v>272.41</v>
      </c>
      <c r="D2792" s="1">
        <f>IFERROR(__xludf.DUMMYFUNCTION("""COMPUTED_VALUE"""),265.07)</f>
        <v>265.07</v>
      </c>
      <c r="E2792" s="1">
        <f>IFERROR(__xludf.DUMMYFUNCTION("""COMPUTED_VALUE"""),267.85)</f>
        <v>267.85</v>
      </c>
      <c r="F2792" s="1">
        <f>IFERROR(__xludf.DUMMYFUNCTION("""COMPUTED_VALUE"""),195831.0)</f>
        <v>195831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IFERROR(__xludf.DUMMYFUNCTION("""COMPUTED_VALUE"""),267.76)</f>
        <v>267.76</v>
      </c>
      <c r="C2793" s="1">
        <f>IFERROR(__xludf.DUMMYFUNCTION("""COMPUTED_VALUE"""),271.98)</f>
        <v>271.98</v>
      </c>
      <c r="D2793" s="1">
        <f>IFERROR(__xludf.DUMMYFUNCTION("""COMPUTED_VALUE"""),265.9)</f>
        <v>265.9</v>
      </c>
      <c r="E2793" s="1">
        <f>IFERROR(__xludf.DUMMYFUNCTION("""COMPUTED_VALUE"""),269.96)</f>
        <v>269.96</v>
      </c>
      <c r="F2793" s="1">
        <f>IFERROR(__xludf.DUMMYFUNCTION("""COMPUTED_VALUE"""),226738.0)</f>
        <v>226738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IFERROR(__xludf.DUMMYFUNCTION("""COMPUTED_VALUE"""),273.13)</f>
        <v>273.13</v>
      </c>
      <c r="C2794" s="1">
        <f>IFERROR(__xludf.DUMMYFUNCTION("""COMPUTED_VALUE"""),275.96)</f>
        <v>275.96</v>
      </c>
      <c r="D2794" s="1">
        <f>IFERROR(__xludf.DUMMYFUNCTION("""COMPUTED_VALUE"""),271.17)</f>
        <v>271.17</v>
      </c>
      <c r="E2794" s="1">
        <f>IFERROR(__xludf.DUMMYFUNCTION("""COMPUTED_VALUE"""),275.76)</f>
        <v>275.76</v>
      </c>
      <c r="F2794" s="1">
        <f>IFERROR(__xludf.DUMMYFUNCTION("""COMPUTED_VALUE"""),308044.0)</f>
        <v>308044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IFERROR(__xludf.DUMMYFUNCTION("""COMPUTED_VALUE"""),278.15)</f>
        <v>278.15</v>
      </c>
      <c r="C2795" s="1">
        <f>IFERROR(__xludf.DUMMYFUNCTION("""COMPUTED_VALUE"""),278.78)</f>
        <v>278.78</v>
      </c>
      <c r="D2795" s="1">
        <f>IFERROR(__xludf.DUMMYFUNCTION("""COMPUTED_VALUE"""),273.54)</f>
        <v>273.54</v>
      </c>
      <c r="E2795" s="1">
        <f>IFERROR(__xludf.DUMMYFUNCTION("""COMPUTED_VALUE"""),276.65)</f>
        <v>276.65</v>
      </c>
      <c r="F2795" s="1">
        <f>IFERROR(__xludf.DUMMYFUNCTION("""COMPUTED_VALUE"""),225919.0)</f>
        <v>225919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IFERROR(__xludf.DUMMYFUNCTION("""COMPUTED_VALUE"""),276.64)</f>
        <v>276.64</v>
      </c>
      <c r="C2796" s="1">
        <f>IFERROR(__xludf.DUMMYFUNCTION("""COMPUTED_VALUE"""),280.48)</f>
        <v>280.48</v>
      </c>
      <c r="D2796" s="1">
        <f>IFERROR(__xludf.DUMMYFUNCTION("""COMPUTED_VALUE"""),275.62)</f>
        <v>275.62</v>
      </c>
      <c r="E2796" s="1">
        <f>IFERROR(__xludf.DUMMYFUNCTION("""COMPUTED_VALUE"""),277.85)</f>
        <v>277.85</v>
      </c>
      <c r="F2796" s="1">
        <f>IFERROR(__xludf.DUMMYFUNCTION("""COMPUTED_VALUE"""),307718.0)</f>
        <v>307718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IFERROR(__xludf.DUMMYFUNCTION("""COMPUTED_VALUE"""),280.7)</f>
        <v>280.7</v>
      </c>
      <c r="C2797" s="1">
        <f>IFERROR(__xludf.DUMMYFUNCTION("""COMPUTED_VALUE"""),286.87)</f>
        <v>286.87</v>
      </c>
      <c r="D2797" s="1">
        <f>IFERROR(__xludf.DUMMYFUNCTION("""COMPUTED_VALUE"""),280.23)</f>
        <v>280.23</v>
      </c>
      <c r="E2797" s="1">
        <f>IFERROR(__xludf.DUMMYFUNCTION("""COMPUTED_VALUE"""),280.55)</f>
        <v>280.55</v>
      </c>
      <c r="F2797" s="1">
        <f>IFERROR(__xludf.DUMMYFUNCTION("""COMPUTED_VALUE"""),328911.0)</f>
        <v>328911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IFERROR(__xludf.DUMMYFUNCTION("""COMPUTED_VALUE"""),282.02)</f>
        <v>282.02</v>
      </c>
      <c r="C2798" s="1">
        <f>IFERROR(__xludf.DUMMYFUNCTION("""COMPUTED_VALUE"""),289.59)</f>
        <v>289.59</v>
      </c>
      <c r="D2798" s="1">
        <f>IFERROR(__xludf.DUMMYFUNCTION("""COMPUTED_VALUE"""),280.49)</f>
        <v>280.49</v>
      </c>
      <c r="E2798" s="1">
        <f>IFERROR(__xludf.DUMMYFUNCTION("""COMPUTED_VALUE"""),289.25)</f>
        <v>289.25</v>
      </c>
      <c r="F2798" s="1">
        <f>IFERROR(__xludf.DUMMYFUNCTION("""COMPUTED_VALUE"""),461251.0)</f>
        <v>461251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IFERROR(__xludf.DUMMYFUNCTION("""COMPUTED_VALUE"""),289.84)</f>
        <v>289.84</v>
      </c>
      <c r="C2799" s="1">
        <f>IFERROR(__xludf.DUMMYFUNCTION("""COMPUTED_VALUE"""),294.25)</f>
        <v>294.25</v>
      </c>
      <c r="D2799" s="1">
        <f>IFERROR(__xludf.DUMMYFUNCTION("""COMPUTED_VALUE"""),287.98)</f>
        <v>287.98</v>
      </c>
      <c r="E2799" s="1">
        <f>IFERROR(__xludf.DUMMYFUNCTION("""COMPUTED_VALUE"""),292.8)</f>
        <v>292.8</v>
      </c>
      <c r="F2799" s="1">
        <f>IFERROR(__xludf.DUMMYFUNCTION("""COMPUTED_VALUE"""),328840.0)</f>
        <v>328840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IFERROR(__xludf.DUMMYFUNCTION("""COMPUTED_VALUE"""),293.41)</f>
        <v>293.41</v>
      </c>
      <c r="C2800" s="1">
        <f>IFERROR(__xludf.DUMMYFUNCTION("""COMPUTED_VALUE"""),295.77)</f>
        <v>295.77</v>
      </c>
      <c r="D2800" s="1">
        <f>IFERROR(__xludf.DUMMYFUNCTION("""COMPUTED_VALUE"""),285.55)</f>
        <v>285.55</v>
      </c>
      <c r="E2800" s="1">
        <f>IFERROR(__xludf.DUMMYFUNCTION("""COMPUTED_VALUE"""),286.74)</f>
        <v>286.74</v>
      </c>
      <c r="F2800" s="1">
        <f>IFERROR(__xludf.DUMMYFUNCTION("""COMPUTED_VALUE"""),465305.0)</f>
        <v>465305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IFERROR(__xludf.DUMMYFUNCTION("""COMPUTED_VALUE"""),285.96)</f>
        <v>285.96</v>
      </c>
      <c r="C2801" s="1">
        <f>IFERROR(__xludf.DUMMYFUNCTION("""COMPUTED_VALUE"""),303.79)</f>
        <v>303.79</v>
      </c>
      <c r="D2801" s="1">
        <f>IFERROR(__xludf.DUMMYFUNCTION("""COMPUTED_VALUE"""),284.97)</f>
        <v>284.97</v>
      </c>
      <c r="E2801" s="1">
        <f>IFERROR(__xludf.DUMMYFUNCTION("""COMPUTED_VALUE"""),299.48)</f>
        <v>299.48</v>
      </c>
      <c r="F2801" s="1">
        <f>IFERROR(__xludf.DUMMYFUNCTION("""COMPUTED_VALUE"""),753180.0)</f>
        <v>753180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IFERROR(__xludf.DUMMYFUNCTION("""COMPUTED_VALUE"""),297.67)</f>
        <v>297.67</v>
      </c>
      <c r="C2802" s="1">
        <f>IFERROR(__xludf.DUMMYFUNCTION("""COMPUTED_VALUE"""),297.67)</f>
        <v>297.67</v>
      </c>
      <c r="D2802" s="1">
        <f>IFERROR(__xludf.DUMMYFUNCTION("""COMPUTED_VALUE"""),287.31)</f>
        <v>287.31</v>
      </c>
      <c r="E2802" s="1">
        <f>IFERROR(__xludf.DUMMYFUNCTION("""COMPUTED_VALUE"""),292.51)</f>
        <v>292.51</v>
      </c>
      <c r="F2802" s="1">
        <f>IFERROR(__xludf.DUMMYFUNCTION("""COMPUTED_VALUE"""),512255.0)</f>
        <v>512255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IFERROR(__xludf.DUMMYFUNCTION("""COMPUTED_VALUE"""),293.25)</f>
        <v>293.25</v>
      </c>
      <c r="C2803" s="1">
        <f>IFERROR(__xludf.DUMMYFUNCTION("""COMPUTED_VALUE"""),295.4)</f>
        <v>295.4</v>
      </c>
      <c r="D2803" s="1">
        <f>IFERROR(__xludf.DUMMYFUNCTION("""COMPUTED_VALUE"""),286.85)</f>
        <v>286.85</v>
      </c>
      <c r="E2803" s="1">
        <f>IFERROR(__xludf.DUMMYFUNCTION("""COMPUTED_VALUE"""),289.55)</f>
        <v>289.55</v>
      </c>
      <c r="F2803" s="1">
        <f>IFERROR(__xludf.DUMMYFUNCTION("""COMPUTED_VALUE"""),474332.0)</f>
        <v>474332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IFERROR(__xludf.DUMMYFUNCTION("""COMPUTED_VALUE"""),285.79)</f>
        <v>285.79</v>
      </c>
      <c r="C2804" s="1">
        <f>IFERROR(__xludf.DUMMYFUNCTION("""COMPUTED_VALUE"""),286.09)</f>
        <v>286.09</v>
      </c>
      <c r="D2804" s="1">
        <f>IFERROR(__xludf.DUMMYFUNCTION("""COMPUTED_VALUE"""),279.12)</f>
        <v>279.12</v>
      </c>
      <c r="E2804" s="1">
        <f>IFERROR(__xludf.DUMMYFUNCTION("""COMPUTED_VALUE"""),283.59)</f>
        <v>283.59</v>
      </c>
      <c r="F2804" s="1">
        <f>IFERROR(__xludf.DUMMYFUNCTION("""COMPUTED_VALUE"""),353179.0)</f>
        <v>353179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IFERROR(__xludf.DUMMYFUNCTION("""COMPUTED_VALUE"""),280.2)</f>
        <v>280.2</v>
      </c>
      <c r="C2805" s="1">
        <f>IFERROR(__xludf.DUMMYFUNCTION("""COMPUTED_VALUE"""),284.83)</f>
        <v>284.83</v>
      </c>
      <c r="D2805" s="1">
        <f>IFERROR(__xludf.DUMMYFUNCTION("""COMPUTED_VALUE"""),274.51)</f>
        <v>274.51</v>
      </c>
      <c r="E2805" s="1">
        <f>IFERROR(__xludf.DUMMYFUNCTION("""COMPUTED_VALUE"""),282.98)</f>
        <v>282.98</v>
      </c>
      <c r="F2805" s="1">
        <f>IFERROR(__xludf.DUMMYFUNCTION("""COMPUTED_VALUE"""),380367.0)</f>
        <v>380367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IFERROR(__xludf.DUMMYFUNCTION("""COMPUTED_VALUE"""),282.39)</f>
        <v>282.39</v>
      </c>
      <c r="C2806" s="1">
        <f>IFERROR(__xludf.DUMMYFUNCTION("""COMPUTED_VALUE"""),289.18)</f>
        <v>289.18</v>
      </c>
      <c r="D2806" s="1">
        <f>IFERROR(__xludf.DUMMYFUNCTION("""COMPUTED_VALUE"""),278.83)</f>
        <v>278.83</v>
      </c>
      <c r="E2806" s="1">
        <f>IFERROR(__xludf.DUMMYFUNCTION("""COMPUTED_VALUE"""),288.22)</f>
        <v>288.22</v>
      </c>
      <c r="F2806" s="1">
        <f>IFERROR(__xludf.DUMMYFUNCTION("""COMPUTED_VALUE"""),255300.0)</f>
        <v>255300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IFERROR(__xludf.DUMMYFUNCTION("""COMPUTED_VALUE"""),289.0)</f>
        <v>289</v>
      </c>
      <c r="C2807" s="1">
        <f>IFERROR(__xludf.DUMMYFUNCTION("""COMPUTED_VALUE"""),289.63)</f>
        <v>289.63</v>
      </c>
      <c r="D2807" s="1">
        <f>IFERROR(__xludf.DUMMYFUNCTION("""COMPUTED_VALUE"""),278.23)</f>
        <v>278.23</v>
      </c>
      <c r="E2807" s="1">
        <f>IFERROR(__xludf.DUMMYFUNCTION("""COMPUTED_VALUE"""),280.18)</f>
        <v>280.18</v>
      </c>
      <c r="F2807" s="1">
        <f>IFERROR(__xludf.DUMMYFUNCTION("""COMPUTED_VALUE"""),295314.0)</f>
        <v>295314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IFERROR(__xludf.DUMMYFUNCTION("""COMPUTED_VALUE"""),282.05)</f>
        <v>282.05</v>
      </c>
      <c r="C2808" s="1">
        <f>IFERROR(__xludf.DUMMYFUNCTION("""COMPUTED_VALUE"""),288.12)</f>
        <v>288.12</v>
      </c>
      <c r="D2808" s="1">
        <f>IFERROR(__xludf.DUMMYFUNCTION("""COMPUTED_VALUE"""),277.34)</f>
        <v>277.34</v>
      </c>
      <c r="E2808" s="1">
        <f>IFERROR(__xludf.DUMMYFUNCTION("""COMPUTED_VALUE"""),286.14)</f>
        <v>286.14</v>
      </c>
      <c r="F2808" s="1">
        <f>IFERROR(__xludf.DUMMYFUNCTION("""COMPUTED_VALUE"""),336401.0)</f>
        <v>336401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IFERROR(__xludf.DUMMYFUNCTION("""COMPUTED_VALUE"""),290.0)</f>
        <v>290</v>
      </c>
      <c r="C2809" s="1">
        <f>IFERROR(__xludf.DUMMYFUNCTION("""COMPUTED_VALUE"""),290.9)</f>
        <v>290.9</v>
      </c>
      <c r="D2809" s="1">
        <f>IFERROR(__xludf.DUMMYFUNCTION("""COMPUTED_VALUE"""),287.61)</f>
        <v>287.61</v>
      </c>
      <c r="E2809" s="1">
        <f>IFERROR(__xludf.DUMMYFUNCTION("""COMPUTED_VALUE"""),289.61)</f>
        <v>289.61</v>
      </c>
      <c r="F2809" s="1">
        <f>IFERROR(__xludf.DUMMYFUNCTION("""COMPUTED_VALUE"""),299405.0)</f>
        <v>299405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IFERROR(__xludf.DUMMYFUNCTION("""COMPUTED_VALUE"""),290.0)</f>
        <v>290</v>
      </c>
      <c r="C2810" s="1">
        <f>IFERROR(__xludf.DUMMYFUNCTION("""COMPUTED_VALUE"""),291.46)</f>
        <v>291.46</v>
      </c>
      <c r="D2810" s="1">
        <f>IFERROR(__xludf.DUMMYFUNCTION("""COMPUTED_VALUE"""),286.81)</f>
        <v>286.81</v>
      </c>
      <c r="E2810" s="1">
        <f>IFERROR(__xludf.DUMMYFUNCTION("""COMPUTED_VALUE"""),287.46)</f>
        <v>287.46</v>
      </c>
      <c r="F2810" s="1">
        <f>IFERROR(__xludf.DUMMYFUNCTION("""COMPUTED_VALUE"""),215604.0)</f>
        <v>215604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IFERROR(__xludf.DUMMYFUNCTION("""COMPUTED_VALUE"""),285.88)</f>
        <v>285.88</v>
      </c>
      <c r="C2811" s="1">
        <f>IFERROR(__xludf.DUMMYFUNCTION("""COMPUTED_VALUE"""),286.14)</f>
        <v>286.14</v>
      </c>
      <c r="D2811" s="1">
        <f>IFERROR(__xludf.DUMMYFUNCTION("""COMPUTED_VALUE"""),276.71)</f>
        <v>276.71</v>
      </c>
      <c r="E2811" s="1">
        <f>IFERROR(__xludf.DUMMYFUNCTION("""COMPUTED_VALUE"""),278.27)</f>
        <v>278.27</v>
      </c>
      <c r="F2811" s="1">
        <f>IFERROR(__xludf.DUMMYFUNCTION("""COMPUTED_VALUE"""),286259.0)</f>
        <v>286259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IFERROR(__xludf.DUMMYFUNCTION("""COMPUTED_VALUE"""),276.25)</f>
        <v>276.25</v>
      </c>
      <c r="C2812" s="1">
        <f>IFERROR(__xludf.DUMMYFUNCTION("""COMPUTED_VALUE"""),279.1)</f>
        <v>279.1</v>
      </c>
      <c r="D2812" s="1">
        <f>IFERROR(__xludf.DUMMYFUNCTION("""COMPUTED_VALUE"""),264.25)</f>
        <v>264.25</v>
      </c>
      <c r="E2812" s="1">
        <f>IFERROR(__xludf.DUMMYFUNCTION("""COMPUTED_VALUE"""),268.16)</f>
        <v>268.16</v>
      </c>
      <c r="F2812" s="1">
        <f>IFERROR(__xludf.DUMMYFUNCTION("""COMPUTED_VALUE"""),302283.0)</f>
        <v>302283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IFERROR(__xludf.DUMMYFUNCTION("""COMPUTED_VALUE"""),269.59)</f>
        <v>269.59</v>
      </c>
      <c r="C2813" s="1">
        <f>IFERROR(__xludf.DUMMYFUNCTION("""COMPUTED_VALUE"""),274.81)</f>
        <v>274.81</v>
      </c>
      <c r="D2813" s="1">
        <f>IFERROR(__xludf.DUMMYFUNCTION("""COMPUTED_VALUE"""),259.02)</f>
        <v>259.02</v>
      </c>
      <c r="E2813" s="1">
        <f>IFERROR(__xludf.DUMMYFUNCTION("""COMPUTED_VALUE"""),273.82)</f>
        <v>273.82</v>
      </c>
      <c r="F2813" s="1">
        <f>IFERROR(__xludf.DUMMYFUNCTION("""COMPUTED_VALUE"""),354114.0)</f>
        <v>354114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IFERROR(__xludf.DUMMYFUNCTION("""COMPUTED_VALUE"""),273.71)</f>
        <v>273.71</v>
      </c>
      <c r="C2814" s="1">
        <f>IFERROR(__xludf.DUMMYFUNCTION("""COMPUTED_VALUE"""),278.91)</f>
        <v>278.91</v>
      </c>
      <c r="D2814" s="1">
        <f>IFERROR(__xludf.DUMMYFUNCTION("""COMPUTED_VALUE"""),270.05)</f>
        <v>270.05</v>
      </c>
      <c r="E2814" s="1">
        <f>IFERROR(__xludf.DUMMYFUNCTION("""COMPUTED_VALUE"""),270.97)</f>
        <v>270.97</v>
      </c>
      <c r="F2814" s="1">
        <f>IFERROR(__xludf.DUMMYFUNCTION("""COMPUTED_VALUE"""),257010.0)</f>
        <v>257010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IFERROR(__xludf.DUMMYFUNCTION("""COMPUTED_VALUE"""),276.59)</f>
        <v>276.59</v>
      </c>
      <c r="C2815" s="1">
        <f>IFERROR(__xludf.DUMMYFUNCTION("""COMPUTED_VALUE"""),280.0)</f>
        <v>280</v>
      </c>
      <c r="D2815" s="1">
        <f>IFERROR(__xludf.DUMMYFUNCTION("""COMPUTED_VALUE"""),276.35)</f>
        <v>276.35</v>
      </c>
      <c r="E2815" s="1">
        <f>IFERROR(__xludf.DUMMYFUNCTION("""COMPUTED_VALUE"""),278.44)</f>
        <v>278.44</v>
      </c>
      <c r="F2815" s="1">
        <f>IFERROR(__xludf.DUMMYFUNCTION("""COMPUTED_VALUE"""),229446.0)</f>
        <v>229446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IFERROR(__xludf.DUMMYFUNCTION("""COMPUTED_VALUE"""),281.61)</f>
        <v>281.61</v>
      </c>
      <c r="C2816" s="1">
        <f>IFERROR(__xludf.DUMMYFUNCTION("""COMPUTED_VALUE"""),284.53)</f>
        <v>284.53</v>
      </c>
      <c r="D2816" s="1">
        <f>IFERROR(__xludf.DUMMYFUNCTION("""COMPUTED_VALUE"""),276.06)</f>
        <v>276.06</v>
      </c>
      <c r="E2816" s="1">
        <f>IFERROR(__xludf.DUMMYFUNCTION("""COMPUTED_VALUE"""),276.59)</f>
        <v>276.59</v>
      </c>
      <c r="F2816" s="1">
        <f>IFERROR(__xludf.DUMMYFUNCTION("""COMPUTED_VALUE"""),231031.0)</f>
        <v>231031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IFERROR(__xludf.DUMMYFUNCTION("""COMPUTED_VALUE"""),280.05)</f>
        <v>280.05</v>
      </c>
      <c r="C2817" s="1">
        <f>IFERROR(__xludf.DUMMYFUNCTION("""COMPUTED_VALUE"""),287.0)</f>
        <v>287</v>
      </c>
      <c r="D2817" s="1">
        <f>IFERROR(__xludf.DUMMYFUNCTION("""COMPUTED_VALUE"""),279.61)</f>
        <v>279.61</v>
      </c>
      <c r="E2817" s="1">
        <f>IFERROR(__xludf.DUMMYFUNCTION("""COMPUTED_VALUE"""),285.0)</f>
        <v>285</v>
      </c>
      <c r="F2817" s="1">
        <f>IFERROR(__xludf.DUMMYFUNCTION("""COMPUTED_VALUE"""),217680.0)</f>
        <v>217680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IFERROR(__xludf.DUMMYFUNCTION("""COMPUTED_VALUE"""),282.35)</f>
        <v>282.35</v>
      </c>
      <c r="C2818" s="1">
        <f>IFERROR(__xludf.DUMMYFUNCTION("""COMPUTED_VALUE"""),286.93)</f>
        <v>286.93</v>
      </c>
      <c r="D2818" s="1">
        <f>IFERROR(__xludf.DUMMYFUNCTION("""COMPUTED_VALUE"""),279.66)</f>
        <v>279.66</v>
      </c>
      <c r="E2818" s="1">
        <f>IFERROR(__xludf.DUMMYFUNCTION("""COMPUTED_VALUE"""),286.79)</f>
        <v>286.79</v>
      </c>
      <c r="F2818" s="1">
        <f>IFERROR(__xludf.DUMMYFUNCTION("""COMPUTED_VALUE"""),156960.0)</f>
        <v>156960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IFERROR(__xludf.DUMMYFUNCTION("""COMPUTED_VALUE"""),285.88)</f>
        <v>285.88</v>
      </c>
      <c r="C2819" s="1">
        <f>IFERROR(__xludf.DUMMYFUNCTION("""COMPUTED_VALUE"""),294.29)</f>
        <v>294.29</v>
      </c>
      <c r="D2819" s="1">
        <f>IFERROR(__xludf.DUMMYFUNCTION("""COMPUTED_VALUE"""),285.88)</f>
        <v>285.88</v>
      </c>
      <c r="E2819" s="1">
        <f>IFERROR(__xludf.DUMMYFUNCTION("""COMPUTED_VALUE"""),292.09)</f>
        <v>292.09</v>
      </c>
      <c r="F2819" s="1">
        <f>IFERROR(__xludf.DUMMYFUNCTION("""COMPUTED_VALUE"""),211833.0)</f>
        <v>211833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IFERROR(__xludf.DUMMYFUNCTION("""COMPUTED_VALUE"""),293.75)</f>
        <v>293.75</v>
      </c>
      <c r="C2820" s="1">
        <f>IFERROR(__xludf.DUMMYFUNCTION("""COMPUTED_VALUE"""),294.69)</f>
        <v>294.69</v>
      </c>
      <c r="D2820" s="1">
        <f>IFERROR(__xludf.DUMMYFUNCTION("""COMPUTED_VALUE"""),285.3)</f>
        <v>285.3</v>
      </c>
      <c r="E2820" s="1">
        <f>IFERROR(__xludf.DUMMYFUNCTION("""COMPUTED_VALUE"""),288.53)</f>
        <v>288.53</v>
      </c>
      <c r="F2820" s="1">
        <f>IFERROR(__xludf.DUMMYFUNCTION("""COMPUTED_VALUE"""),236080.0)</f>
        <v>236080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IFERROR(__xludf.DUMMYFUNCTION("""COMPUTED_VALUE"""),286.36)</f>
        <v>286.36</v>
      </c>
      <c r="C2821" s="1">
        <f>IFERROR(__xludf.DUMMYFUNCTION("""COMPUTED_VALUE"""),294.06)</f>
        <v>294.06</v>
      </c>
      <c r="D2821" s="1">
        <f>IFERROR(__xludf.DUMMYFUNCTION("""COMPUTED_VALUE"""),284.42)</f>
        <v>284.42</v>
      </c>
      <c r="E2821" s="1">
        <f>IFERROR(__xludf.DUMMYFUNCTION("""COMPUTED_VALUE"""),292.7)</f>
        <v>292.7</v>
      </c>
      <c r="F2821" s="1">
        <f>IFERROR(__xludf.DUMMYFUNCTION("""COMPUTED_VALUE"""),221930.0)</f>
        <v>221930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IFERROR(__xludf.DUMMYFUNCTION("""COMPUTED_VALUE"""),291.02)</f>
        <v>291.02</v>
      </c>
      <c r="C2822" s="1">
        <f>IFERROR(__xludf.DUMMYFUNCTION("""COMPUTED_VALUE"""),293.03)</f>
        <v>293.03</v>
      </c>
      <c r="D2822" s="1">
        <f>IFERROR(__xludf.DUMMYFUNCTION("""COMPUTED_VALUE"""),287.19)</f>
        <v>287.19</v>
      </c>
      <c r="E2822" s="1">
        <f>IFERROR(__xludf.DUMMYFUNCTION("""COMPUTED_VALUE"""),288.28)</f>
        <v>288.28</v>
      </c>
      <c r="F2822" s="1">
        <f>IFERROR(__xludf.DUMMYFUNCTION("""COMPUTED_VALUE"""),210535.0)</f>
        <v>210535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IFERROR(__xludf.DUMMYFUNCTION("""COMPUTED_VALUE"""),287.98)</f>
        <v>287.98</v>
      </c>
      <c r="C2823" s="1">
        <f>IFERROR(__xludf.DUMMYFUNCTION("""COMPUTED_VALUE"""),292.0)</f>
        <v>292</v>
      </c>
      <c r="D2823" s="1">
        <f>IFERROR(__xludf.DUMMYFUNCTION("""COMPUTED_VALUE"""),286.03)</f>
        <v>286.03</v>
      </c>
      <c r="E2823" s="1">
        <f>IFERROR(__xludf.DUMMYFUNCTION("""COMPUTED_VALUE"""),286.68)</f>
        <v>286.68</v>
      </c>
      <c r="F2823" s="1">
        <f>IFERROR(__xludf.DUMMYFUNCTION("""COMPUTED_VALUE"""),480110.0)</f>
        <v>480110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IFERROR(__xludf.DUMMYFUNCTION("""COMPUTED_VALUE"""),285.97)</f>
        <v>285.97</v>
      </c>
      <c r="C2824" s="1">
        <f>IFERROR(__xludf.DUMMYFUNCTION("""COMPUTED_VALUE"""),291.7)</f>
        <v>291.7</v>
      </c>
      <c r="D2824" s="1">
        <f>IFERROR(__xludf.DUMMYFUNCTION("""COMPUTED_VALUE"""),285.23)</f>
        <v>285.23</v>
      </c>
      <c r="E2824" s="1">
        <f>IFERROR(__xludf.DUMMYFUNCTION("""COMPUTED_VALUE"""),288.13)</f>
        <v>288.13</v>
      </c>
      <c r="F2824" s="1">
        <f>IFERROR(__xludf.DUMMYFUNCTION("""COMPUTED_VALUE"""),345185.0)</f>
        <v>345185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IFERROR(__xludf.DUMMYFUNCTION("""COMPUTED_VALUE"""),288.18)</f>
        <v>288.18</v>
      </c>
      <c r="C2825" s="1">
        <f>IFERROR(__xludf.DUMMYFUNCTION("""COMPUTED_VALUE"""),289.91)</f>
        <v>289.91</v>
      </c>
      <c r="D2825" s="1">
        <f>IFERROR(__xludf.DUMMYFUNCTION("""COMPUTED_VALUE"""),279.93)</f>
        <v>279.93</v>
      </c>
      <c r="E2825" s="1">
        <f>IFERROR(__xludf.DUMMYFUNCTION("""COMPUTED_VALUE"""),280.31)</f>
        <v>280.31</v>
      </c>
      <c r="F2825" s="1">
        <f>IFERROR(__xludf.DUMMYFUNCTION("""COMPUTED_VALUE"""),294549.0)</f>
        <v>294549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IFERROR(__xludf.DUMMYFUNCTION("""COMPUTED_VALUE"""),279.83)</f>
        <v>279.83</v>
      </c>
      <c r="C2826" s="1">
        <f>IFERROR(__xludf.DUMMYFUNCTION("""COMPUTED_VALUE"""),281.64)</f>
        <v>281.64</v>
      </c>
      <c r="D2826" s="1">
        <f>IFERROR(__xludf.DUMMYFUNCTION("""COMPUTED_VALUE"""),275.76)</f>
        <v>275.76</v>
      </c>
      <c r="E2826" s="1">
        <f>IFERROR(__xludf.DUMMYFUNCTION("""COMPUTED_VALUE"""),276.21)</f>
        <v>276.21</v>
      </c>
      <c r="F2826" s="1">
        <f>IFERROR(__xludf.DUMMYFUNCTION("""COMPUTED_VALUE"""),284697.0)</f>
        <v>284697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IFERROR(__xludf.DUMMYFUNCTION("""COMPUTED_VALUE"""),274.83)</f>
        <v>274.83</v>
      </c>
      <c r="C2827" s="1">
        <f>IFERROR(__xludf.DUMMYFUNCTION("""COMPUTED_VALUE"""),283.79)</f>
        <v>283.79</v>
      </c>
      <c r="D2827" s="1">
        <f>IFERROR(__xludf.DUMMYFUNCTION("""COMPUTED_VALUE"""),273.52)</f>
        <v>273.52</v>
      </c>
      <c r="E2827" s="1">
        <f>IFERROR(__xludf.DUMMYFUNCTION("""COMPUTED_VALUE"""),281.95)</f>
        <v>281.95</v>
      </c>
      <c r="F2827" s="1">
        <f>IFERROR(__xludf.DUMMYFUNCTION("""COMPUTED_VALUE"""),263060.0)</f>
        <v>263060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IFERROR(__xludf.DUMMYFUNCTION("""COMPUTED_VALUE"""),284.54)</f>
        <v>284.54</v>
      </c>
      <c r="C2828" s="1">
        <f>IFERROR(__xludf.DUMMYFUNCTION("""COMPUTED_VALUE"""),288.31)</f>
        <v>288.31</v>
      </c>
      <c r="D2828" s="1">
        <f>IFERROR(__xludf.DUMMYFUNCTION("""COMPUTED_VALUE"""),277.61)</f>
        <v>277.61</v>
      </c>
      <c r="E2828" s="1">
        <f>IFERROR(__xludf.DUMMYFUNCTION("""COMPUTED_VALUE"""),288.04)</f>
        <v>288.04</v>
      </c>
      <c r="F2828" s="1">
        <f>IFERROR(__xludf.DUMMYFUNCTION("""COMPUTED_VALUE"""),301813.0)</f>
        <v>301813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IFERROR(__xludf.DUMMYFUNCTION("""COMPUTED_VALUE"""),285.95)</f>
        <v>285.95</v>
      </c>
      <c r="C2829" s="1">
        <f>IFERROR(__xludf.DUMMYFUNCTION("""COMPUTED_VALUE"""),289.56)</f>
        <v>289.56</v>
      </c>
      <c r="D2829" s="1">
        <f>IFERROR(__xludf.DUMMYFUNCTION("""COMPUTED_VALUE"""),282.54)</f>
        <v>282.54</v>
      </c>
      <c r="E2829" s="1">
        <f>IFERROR(__xludf.DUMMYFUNCTION("""COMPUTED_VALUE"""),282.95)</f>
        <v>282.95</v>
      </c>
      <c r="F2829" s="1">
        <f>IFERROR(__xludf.DUMMYFUNCTION("""COMPUTED_VALUE"""),235465.0)</f>
        <v>235465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IFERROR(__xludf.DUMMYFUNCTION("""COMPUTED_VALUE"""),281.64)</f>
        <v>281.64</v>
      </c>
      <c r="C2830" s="1">
        <f>IFERROR(__xludf.DUMMYFUNCTION("""COMPUTED_VALUE"""),288.94)</f>
        <v>288.94</v>
      </c>
      <c r="D2830" s="1">
        <f>IFERROR(__xludf.DUMMYFUNCTION("""COMPUTED_VALUE"""),279.58)</f>
        <v>279.58</v>
      </c>
      <c r="E2830" s="1">
        <f>IFERROR(__xludf.DUMMYFUNCTION("""COMPUTED_VALUE"""),287.96)</f>
        <v>287.96</v>
      </c>
      <c r="F2830" s="1">
        <f>IFERROR(__xludf.DUMMYFUNCTION("""COMPUTED_VALUE"""),323558.0)</f>
        <v>323558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IFERROR(__xludf.DUMMYFUNCTION("""COMPUTED_VALUE"""),291.02)</f>
        <v>291.02</v>
      </c>
      <c r="C2831" s="1">
        <f>IFERROR(__xludf.DUMMYFUNCTION("""COMPUTED_VALUE"""),296.5)</f>
        <v>296.5</v>
      </c>
      <c r="D2831" s="1">
        <f>IFERROR(__xludf.DUMMYFUNCTION("""COMPUTED_VALUE"""),288.72)</f>
        <v>288.72</v>
      </c>
      <c r="E2831" s="1">
        <f>IFERROR(__xludf.DUMMYFUNCTION("""COMPUTED_VALUE"""),289.83)</f>
        <v>289.83</v>
      </c>
      <c r="F2831" s="1">
        <f>IFERROR(__xludf.DUMMYFUNCTION("""COMPUTED_VALUE"""),549924.0)</f>
        <v>549924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IFERROR(__xludf.DUMMYFUNCTION("""COMPUTED_VALUE"""),292.01)</f>
        <v>292.01</v>
      </c>
      <c r="C2832" s="1">
        <f>IFERROR(__xludf.DUMMYFUNCTION("""COMPUTED_VALUE"""),295.69)</f>
        <v>295.69</v>
      </c>
      <c r="D2832" s="1">
        <f>IFERROR(__xludf.DUMMYFUNCTION("""COMPUTED_VALUE"""),290.31)</f>
        <v>290.31</v>
      </c>
      <c r="E2832" s="1">
        <f>IFERROR(__xludf.DUMMYFUNCTION("""COMPUTED_VALUE"""),294.17)</f>
        <v>294.17</v>
      </c>
      <c r="F2832" s="1">
        <f>IFERROR(__xludf.DUMMYFUNCTION("""COMPUTED_VALUE"""),295711.0)</f>
        <v>295711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IFERROR(__xludf.DUMMYFUNCTION("""COMPUTED_VALUE"""),296.49)</f>
        <v>296.49</v>
      </c>
      <c r="C2833" s="1">
        <f>IFERROR(__xludf.DUMMYFUNCTION("""COMPUTED_VALUE"""),298.0)</f>
        <v>298</v>
      </c>
      <c r="D2833" s="1">
        <f>IFERROR(__xludf.DUMMYFUNCTION("""COMPUTED_VALUE"""),293.46)</f>
        <v>293.46</v>
      </c>
      <c r="E2833" s="1">
        <f>IFERROR(__xludf.DUMMYFUNCTION("""COMPUTED_VALUE"""),297.89)</f>
        <v>297.89</v>
      </c>
      <c r="F2833" s="1">
        <f>IFERROR(__xludf.DUMMYFUNCTION("""COMPUTED_VALUE"""),276323.0)</f>
        <v>276323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IFERROR(__xludf.DUMMYFUNCTION("""COMPUTED_VALUE"""),298.0)</f>
        <v>298</v>
      </c>
      <c r="C2834" s="1">
        <f>IFERROR(__xludf.DUMMYFUNCTION("""COMPUTED_VALUE"""),307.44)</f>
        <v>307.44</v>
      </c>
      <c r="D2834" s="1">
        <f>IFERROR(__xludf.DUMMYFUNCTION("""COMPUTED_VALUE"""),297.47)</f>
        <v>297.47</v>
      </c>
      <c r="E2834" s="1">
        <f>IFERROR(__xludf.DUMMYFUNCTION("""COMPUTED_VALUE"""),302.19)</f>
        <v>302.19</v>
      </c>
      <c r="F2834" s="1">
        <f>IFERROR(__xludf.DUMMYFUNCTION("""COMPUTED_VALUE"""),384407.0)</f>
        <v>384407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IFERROR(__xludf.DUMMYFUNCTION("""COMPUTED_VALUE"""),300.43)</f>
        <v>300.43</v>
      </c>
      <c r="C2835" s="1">
        <f>IFERROR(__xludf.DUMMYFUNCTION("""COMPUTED_VALUE"""),302.95)</f>
        <v>302.95</v>
      </c>
      <c r="D2835" s="1">
        <f>IFERROR(__xludf.DUMMYFUNCTION("""COMPUTED_VALUE"""),292.55)</f>
        <v>292.55</v>
      </c>
      <c r="E2835" s="1">
        <f>IFERROR(__xludf.DUMMYFUNCTION("""COMPUTED_VALUE"""),296.53)</f>
        <v>296.53</v>
      </c>
      <c r="F2835" s="1">
        <f>IFERROR(__xludf.DUMMYFUNCTION("""COMPUTED_VALUE"""),451764.0)</f>
        <v>451764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IFERROR(__xludf.DUMMYFUNCTION("""COMPUTED_VALUE"""),298.48)</f>
        <v>298.48</v>
      </c>
      <c r="C2836" s="1">
        <f>IFERROR(__xludf.DUMMYFUNCTION("""COMPUTED_VALUE"""),307.01)</f>
        <v>307.01</v>
      </c>
      <c r="D2836" s="1">
        <f>IFERROR(__xludf.DUMMYFUNCTION("""COMPUTED_VALUE"""),298.48)</f>
        <v>298.48</v>
      </c>
      <c r="E2836" s="1">
        <f>IFERROR(__xludf.DUMMYFUNCTION("""COMPUTED_VALUE"""),305.2)</f>
        <v>305.2</v>
      </c>
      <c r="F2836" s="1">
        <f>IFERROR(__xludf.DUMMYFUNCTION("""COMPUTED_VALUE"""),489279.0)</f>
        <v>489279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IFERROR(__xludf.DUMMYFUNCTION("""COMPUTED_VALUE"""),306.56)</f>
        <v>306.56</v>
      </c>
      <c r="C2837" s="1">
        <f>IFERROR(__xludf.DUMMYFUNCTION("""COMPUTED_VALUE"""),306.56)</f>
        <v>306.56</v>
      </c>
      <c r="D2837" s="1">
        <f>IFERROR(__xludf.DUMMYFUNCTION("""COMPUTED_VALUE"""),300.73)</f>
        <v>300.73</v>
      </c>
      <c r="E2837" s="1">
        <f>IFERROR(__xludf.DUMMYFUNCTION("""COMPUTED_VALUE"""),306.4)</f>
        <v>306.4</v>
      </c>
      <c r="F2837" s="1">
        <f>IFERROR(__xludf.DUMMYFUNCTION("""COMPUTED_VALUE"""),263242.0)</f>
        <v>263242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IFERROR(__xludf.DUMMYFUNCTION("""COMPUTED_VALUE"""),304.69)</f>
        <v>304.69</v>
      </c>
      <c r="C2838" s="1">
        <f>IFERROR(__xludf.DUMMYFUNCTION("""COMPUTED_VALUE"""),306.82)</f>
        <v>306.82</v>
      </c>
      <c r="D2838" s="1">
        <f>IFERROR(__xludf.DUMMYFUNCTION("""COMPUTED_VALUE"""),302.8)</f>
        <v>302.8</v>
      </c>
      <c r="E2838" s="1">
        <f>IFERROR(__xludf.DUMMYFUNCTION("""COMPUTED_VALUE"""),305.23)</f>
        <v>305.23</v>
      </c>
      <c r="F2838" s="1">
        <f>IFERROR(__xludf.DUMMYFUNCTION("""COMPUTED_VALUE"""),198585.0)</f>
        <v>198585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IFERROR(__xludf.DUMMYFUNCTION("""COMPUTED_VALUE"""),306.34)</f>
        <v>306.34</v>
      </c>
      <c r="C2839" s="1">
        <f>IFERROR(__xludf.DUMMYFUNCTION("""COMPUTED_VALUE"""),309.99)</f>
        <v>309.99</v>
      </c>
      <c r="D2839" s="1">
        <f>IFERROR(__xludf.DUMMYFUNCTION("""COMPUTED_VALUE"""),304.68)</f>
        <v>304.68</v>
      </c>
      <c r="E2839" s="1">
        <f>IFERROR(__xludf.DUMMYFUNCTION("""COMPUTED_VALUE"""),309.82)</f>
        <v>309.82</v>
      </c>
      <c r="F2839" s="1">
        <f>IFERROR(__xludf.DUMMYFUNCTION("""COMPUTED_VALUE"""),274005.0)</f>
        <v>274005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IFERROR(__xludf.DUMMYFUNCTION("""COMPUTED_VALUE"""),309.96)</f>
        <v>309.96</v>
      </c>
      <c r="C2840" s="1">
        <f>IFERROR(__xludf.DUMMYFUNCTION("""COMPUTED_VALUE"""),313.88)</f>
        <v>313.88</v>
      </c>
      <c r="D2840" s="1">
        <f>IFERROR(__xludf.DUMMYFUNCTION("""COMPUTED_VALUE"""),306.91)</f>
        <v>306.91</v>
      </c>
      <c r="E2840" s="1">
        <f>IFERROR(__xludf.DUMMYFUNCTION("""COMPUTED_VALUE"""),309.17)</f>
        <v>309.17</v>
      </c>
      <c r="F2840" s="1">
        <f>IFERROR(__xludf.DUMMYFUNCTION("""COMPUTED_VALUE"""),225576.0)</f>
        <v>225576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IFERROR(__xludf.DUMMYFUNCTION("""COMPUTED_VALUE"""),313.38)</f>
        <v>313.38</v>
      </c>
      <c r="C2841" s="1">
        <f>IFERROR(__xludf.DUMMYFUNCTION("""COMPUTED_VALUE"""),320.95)</f>
        <v>320.95</v>
      </c>
      <c r="D2841" s="1">
        <f>IFERROR(__xludf.DUMMYFUNCTION("""COMPUTED_VALUE"""),312.67)</f>
        <v>312.67</v>
      </c>
      <c r="E2841" s="1">
        <f>IFERROR(__xludf.DUMMYFUNCTION("""COMPUTED_VALUE"""),320.37)</f>
        <v>320.37</v>
      </c>
      <c r="F2841" s="1">
        <f>IFERROR(__xludf.DUMMYFUNCTION("""COMPUTED_VALUE"""),330683.0)</f>
        <v>330683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IFERROR(__xludf.DUMMYFUNCTION("""COMPUTED_VALUE"""),322.08)</f>
        <v>322.08</v>
      </c>
      <c r="C2842" s="1">
        <f>IFERROR(__xludf.DUMMYFUNCTION("""COMPUTED_VALUE"""),323.89)</f>
        <v>323.89</v>
      </c>
      <c r="D2842" s="1">
        <f>IFERROR(__xludf.DUMMYFUNCTION("""COMPUTED_VALUE"""),316.37)</f>
        <v>316.37</v>
      </c>
      <c r="E2842" s="1">
        <f>IFERROR(__xludf.DUMMYFUNCTION("""COMPUTED_VALUE"""),323.38)</f>
        <v>323.38</v>
      </c>
      <c r="F2842" s="1">
        <f>IFERROR(__xludf.DUMMYFUNCTION("""COMPUTED_VALUE"""),384364.0)</f>
        <v>384364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IFERROR(__xludf.DUMMYFUNCTION("""COMPUTED_VALUE"""),321.95)</f>
        <v>321.95</v>
      </c>
      <c r="C2843" s="1">
        <f>IFERROR(__xludf.DUMMYFUNCTION("""COMPUTED_VALUE"""),324.96)</f>
        <v>324.96</v>
      </c>
      <c r="D2843" s="1">
        <f>IFERROR(__xludf.DUMMYFUNCTION("""COMPUTED_VALUE"""),321.3)</f>
        <v>321.3</v>
      </c>
      <c r="E2843" s="1">
        <f>IFERROR(__xludf.DUMMYFUNCTION("""COMPUTED_VALUE"""),324.59)</f>
        <v>324.59</v>
      </c>
      <c r="F2843" s="1">
        <f>IFERROR(__xludf.DUMMYFUNCTION("""COMPUTED_VALUE"""),379220.0)</f>
        <v>379220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IFERROR(__xludf.DUMMYFUNCTION("""COMPUTED_VALUE"""),324.13)</f>
        <v>324.13</v>
      </c>
      <c r="C2844" s="1">
        <f>IFERROR(__xludf.DUMMYFUNCTION("""COMPUTED_VALUE"""),327.72)</f>
        <v>327.72</v>
      </c>
      <c r="D2844" s="1">
        <f>IFERROR(__xludf.DUMMYFUNCTION("""COMPUTED_VALUE"""),320.71)</f>
        <v>320.71</v>
      </c>
      <c r="E2844" s="1">
        <f>IFERROR(__xludf.DUMMYFUNCTION("""COMPUTED_VALUE"""),322.37)</f>
        <v>322.37</v>
      </c>
      <c r="F2844" s="1">
        <f>IFERROR(__xludf.DUMMYFUNCTION("""COMPUTED_VALUE"""),275515.0)</f>
        <v>275515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IFERROR(__xludf.DUMMYFUNCTION("""COMPUTED_VALUE"""),321.55)</f>
        <v>321.55</v>
      </c>
      <c r="C2845" s="1">
        <f>IFERROR(__xludf.DUMMYFUNCTION("""COMPUTED_VALUE"""),325.61)</f>
        <v>325.61</v>
      </c>
      <c r="D2845" s="1">
        <f>IFERROR(__xludf.DUMMYFUNCTION("""COMPUTED_VALUE"""),318.59)</f>
        <v>318.59</v>
      </c>
      <c r="E2845" s="1">
        <f>IFERROR(__xludf.DUMMYFUNCTION("""COMPUTED_VALUE"""),324.02)</f>
        <v>324.02</v>
      </c>
      <c r="F2845" s="1">
        <f>IFERROR(__xludf.DUMMYFUNCTION("""COMPUTED_VALUE"""),282423.0)</f>
        <v>282423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IFERROR(__xludf.DUMMYFUNCTION("""COMPUTED_VALUE"""),323.01)</f>
        <v>323.01</v>
      </c>
      <c r="C2846" s="1">
        <f>IFERROR(__xludf.DUMMYFUNCTION("""COMPUTED_VALUE"""),331.16)</f>
        <v>331.16</v>
      </c>
      <c r="D2846" s="1">
        <f>IFERROR(__xludf.DUMMYFUNCTION("""COMPUTED_VALUE"""),322.85)</f>
        <v>322.85</v>
      </c>
      <c r="E2846" s="1">
        <f>IFERROR(__xludf.DUMMYFUNCTION("""COMPUTED_VALUE"""),327.7)</f>
        <v>327.7</v>
      </c>
      <c r="F2846" s="1">
        <f>IFERROR(__xludf.DUMMYFUNCTION("""COMPUTED_VALUE"""),369448.0)</f>
        <v>369448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IFERROR(__xludf.DUMMYFUNCTION("""COMPUTED_VALUE"""),327.64)</f>
        <v>327.64</v>
      </c>
      <c r="C2847" s="1">
        <f>IFERROR(__xludf.DUMMYFUNCTION("""COMPUTED_VALUE"""),336.56)</f>
        <v>336.56</v>
      </c>
      <c r="D2847" s="1">
        <f>IFERROR(__xludf.DUMMYFUNCTION("""COMPUTED_VALUE"""),327.41)</f>
        <v>327.41</v>
      </c>
      <c r="E2847" s="1">
        <f>IFERROR(__xludf.DUMMYFUNCTION("""COMPUTED_VALUE"""),334.34)</f>
        <v>334.34</v>
      </c>
      <c r="F2847" s="1">
        <f>IFERROR(__xludf.DUMMYFUNCTION("""COMPUTED_VALUE"""),304797.0)</f>
        <v>304797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IFERROR(__xludf.DUMMYFUNCTION("""COMPUTED_VALUE"""),334.09)</f>
        <v>334.09</v>
      </c>
      <c r="C2848" s="1">
        <f>IFERROR(__xludf.DUMMYFUNCTION("""COMPUTED_VALUE"""),337.48)</f>
        <v>337.48</v>
      </c>
      <c r="D2848" s="1">
        <f>IFERROR(__xludf.DUMMYFUNCTION("""COMPUTED_VALUE"""),332.77)</f>
        <v>332.77</v>
      </c>
      <c r="E2848" s="1">
        <f>IFERROR(__xludf.DUMMYFUNCTION("""COMPUTED_VALUE"""),336.44)</f>
        <v>336.44</v>
      </c>
      <c r="F2848" s="1">
        <f>IFERROR(__xludf.DUMMYFUNCTION("""COMPUTED_VALUE"""),289038.0)</f>
        <v>289038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IFERROR(__xludf.DUMMYFUNCTION("""COMPUTED_VALUE"""),336.5)</f>
        <v>336.5</v>
      </c>
      <c r="C2849" s="1">
        <f>IFERROR(__xludf.DUMMYFUNCTION("""COMPUTED_VALUE"""),336.99)</f>
        <v>336.99</v>
      </c>
      <c r="D2849" s="1">
        <f>IFERROR(__xludf.DUMMYFUNCTION("""COMPUTED_VALUE"""),332.36)</f>
        <v>332.36</v>
      </c>
      <c r="E2849" s="1">
        <f>IFERROR(__xludf.DUMMYFUNCTION("""COMPUTED_VALUE"""),334.37)</f>
        <v>334.37</v>
      </c>
      <c r="F2849" s="1">
        <f>IFERROR(__xludf.DUMMYFUNCTION("""COMPUTED_VALUE"""),291022.0)</f>
        <v>291022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IFERROR(__xludf.DUMMYFUNCTION("""COMPUTED_VALUE"""),332.41)</f>
        <v>332.41</v>
      </c>
      <c r="C2850" s="1">
        <f>IFERROR(__xludf.DUMMYFUNCTION("""COMPUTED_VALUE"""),335.63)</f>
        <v>335.63</v>
      </c>
      <c r="D2850" s="1">
        <f>IFERROR(__xludf.DUMMYFUNCTION("""COMPUTED_VALUE"""),328.8)</f>
        <v>328.8</v>
      </c>
      <c r="E2850" s="1">
        <f>IFERROR(__xludf.DUMMYFUNCTION("""COMPUTED_VALUE"""),334.8)</f>
        <v>334.8</v>
      </c>
      <c r="F2850" s="1">
        <f>IFERROR(__xludf.DUMMYFUNCTION("""COMPUTED_VALUE"""),288676.0)</f>
        <v>288676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IFERROR(__xludf.DUMMYFUNCTION("""COMPUTED_VALUE"""),337.07)</f>
        <v>337.07</v>
      </c>
      <c r="C2851" s="1">
        <f>IFERROR(__xludf.DUMMYFUNCTION("""COMPUTED_VALUE"""),337.07)</f>
        <v>337.07</v>
      </c>
      <c r="D2851" s="1">
        <f>IFERROR(__xludf.DUMMYFUNCTION("""COMPUTED_VALUE"""),331.65)</f>
        <v>331.65</v>
      </c>
      <c r="E2851" s="1">
        <f>IFERROR(__xludf.DUMMYFUNCTION("""COMPUTED_VALUE"""),333.87)</f>
        <v>333.87</v>
      </c>
      <c r="F2851" s="1">
        <f>IFERROR(__xludf.DUMMYFUNCTION("""COMPUTED_VALUE"""),205749.0)</f>
        <v>205749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IFERROR(__xludf.DUMMYFUNCTION("""COMPUTED_VALUE"""),331.65)</f>
        <v>331.65</v>
      </c>
      <c r="C2852" s="1">
        <f>IFERROR(__xludf.DUMMYFUNCTION("""COMPUTED_VALUE"""),335.2)</f>
        <v>335.2</v>
      </c>
      <c r="D2852" s="1">
        <f>IFERROR(__xludf.DUMMYFUNCTION("""COMPUTED_VALUE"""),330.41)</f>
        <v>330.41</v>
      </c>
      <c r="E2852" s="1">
        <f>IFERROR(__xludf.DUMMYFUNCTION("""COMPUTED_VALUE"""),332.45)</f>
        <v>332.45</v>
      </c>
      <c r="F2852" s="1">
        <f>IFERROR(__xludf.DUMMYFUNCTION("""COMPUTED_VALUE"""),243071.0)</f>
        <v>243071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IFERROR(__xludf.DUMMYFUNCTION("""COMPUTED_VALUE"""),337.12)</f>
        <v>337.12</v>
      </c>
      <c r="C2853" s="1">
        <f>IFERROR(__xludf.DUMMYFUNCTION("""COMPUTED_VALUE"""),337.15)</f>
        <v>337.15</v>
      </c>
      <c r="D2853" s="1">
        <f>IFERROR(__xludf.DUMMYFUNCTION("""COMPUTED_VALUE"""),330.86)</f>
        <v>330.86</v>
      </c>
      <c r="E2853" s="1">
        <f>IFERROR(__xludf.DUMMYFUNCTION("""COMPUTED_VALUE"""),331.95)</f>
        <v>331.95</v>
      </c>
      <c r="F2853" s="1">
        <f>IFERROR(__xludf.DUMMYFUNCTION("""COMPUTED_VALUE"""),418158.0)</f>
        <v>418158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IFERROR(__xludf.DUMMYFUNCTION("""COMPUTED_VALUE"""),330.0)</f>
        <v>330</v>
      </c>
      <c r="C2854" s="1">
        <f>IFERROR(__xludf.DUMMYFUNCTION("""COMPUTED_VALUE"""),343.47)</f>
        <v>343.47</v>
      </c>
      <c r="D2854" s="1">
        <f>IFERROR(__xludf.DUMMYFUNCTION("""COMPUTED_VALUE"""),328.95)</f>
        <v>328.95</v>
      </c>
      <c r="E2854" s="1">
        <f>IFERROR(__xludf.DUMMYFUNCTION("""COMPUTED_VALUE"""),338.96)</f>
        <v>338.96</v>
      </c>
      <c r="F2854" s="1">
        <f>IFERROR(__xludf.DUMMYFUNCTION("""COMPUTED_VALUE"""),652947.0)</f>
        <v>652947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IFERROR(__xludf.DUMMYFUNCTION("""COMPUTED_VALUE"""),343.18)</f>
        <v>343.18</v>
      </c>
      <c r="C2855" s="1">
        <f>IFERROR(__xludf.DUMMYFUNCTION("""COMPUTED_VALUE"""),349.13)</f>
        <v>349.13</v>
      </c>
      <c r="D2855" s="1">
        <f>IFERROR(__xludf.DUMMYFUNCTION("""COMPUTED_VALUE"""),342.5)</f>
        <v>342.5</v>
      </c>
      <c r="E2855" s="1">
        <f>IFERROR(__xludf.DUMMYFUNCTION("""COMPUTED_VALUE"""),345.21)</f>
        <v>345.21</v>
      </c>
      <c r="F2855" s="1">
        <f>IFERROR(__xludf.DUMMYFUNCTION("""COMPUTED_VALUE"""),598461.0)</f>
        <v>598461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IFERROR(__xludf.DUMMYFUNCTION("""COMPUTED_VALUE"""),342.4)</f>
        <v>342.4</v>
      </c>
      <c r="C2856" s="1">
        <f>IFERROR(__xludf.DUMMYFUNCTION("""COMPUTED_VALUE"""),343.29)</f>
        <v>343.29</v>
      </c>
      <c r="D2856" s="1">
        <f>IFERROR(__xludf.DUMMYFUNCTION("""COMPUTED_VALUE"""),333.31)</f>
        <v>333.31</v>
      </c>
      <c r="E2856" s="1">
        <f>IFERROR(__xludf.DUMMYFUNCTION("""COMPUTED_VALUE"""),336.84)</f>
        <v>336.84</v>
      </c>
      <c r="F2856" s="1">
        <f>IFERROR(__xludf.DUMMYFUNCTION("""COMPUTED_VALUE"""),531041.0)</f>
        <v>531041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IFERROR(__xludf.DUMMYFUNCTION("""COMPUTED_VALUE"""),337.47)</f>
        <v>337.47</v>
      </c>
      <c r="C2857" s="1">
        <f>IFERROR(__xludf.DUMMYFUNCTION("""COMPUTED_VALUE"""),346.51)</f>
        <v>346.51</v>
      </c>
      <c r="D2857" s="1">
        <f>IFERROR(__xludf.DUMMYFUNCTION("""COMPUTED_VALUE"""),335.43)</f>
        <v>335.43</v>
      </c>
      <c r="E2857" s="1">
        <f>IFERROR(__xludf.DUMMYFUNCTION("""COMPUTED_VALUE"""),342.55)</f>
        <v>342.55</v>
      </c>
      <c r="F2857" s="1">
        <f>IFERROR(__xludf.DUMMYFUNCTION("""COMPUTED_VALUE"""),320495.0)</f>
        <v>320495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IFERROR(__xludf.DUMMYFUNCTION("""COMPUTED_VALUE"""),342.11)</f>
        <v>342.11</v>
      </c>
      <c r="C2858" s="1">
        <f>IFERROR(__xludf.DUMMYFUNCTION("""COMPUTED_VALUE"""),342.11)</f>
        <v>342.11</v>
      </c>
      <c r="D2858" s="1">
        <f>IFERROR(__xludf.DUMMYFUNCTION("""COMPUTED_VALUE"""),331.14)</f>
        <v>331.14</v>
      </c>
      <c r="E2858" s="1">
        <f>IFERROR(__xludf.DUMMYFUNCTION("""COMPUTED_VALUE"""),332.88)</f>
        <v>332.88</v>
      </c>
      <c r="F2858" s="1">
        <f>IFERROR(__xludf.DUMMYFUNCTION("""COMPUTED_VALUE"""),587443.0)</f>
        <v>587443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IFERROR(__xludf.DUMMYFUNCTION("""COMPUTED_VALUE"""),323.29)</f>
        <v>323.29</v>
      </c>
      <c r="C2859" s="1">
        <f>IFERROR(__xludf.DUMMYFUNCTION("""COMPUTED_VALUE"""),324.08)</f>
        <v>324.08</v>
      </c>
      <c r="D2859" s="1">
        <f>IFERROR(__xludf.DUMMYFUNCTION("""COMPUTED_VALUE"""),316.17)</f>
        <v>316.17</v>
      </c>
      <c r="E2859" s="1">
        <f>IFERROR(__xludf.DUMMYFUNCTION("""COMPUTED_VALUE"""),320.5)</f>
        <v>320.5</v>
      </c>
      <c r="F2859" s="1">
        <f>IFERROR(__xludf.DUMMYFUNCTION("""COMPUTED_VALUE"""),985284.0)</f>
        <v>985284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IFERROR(__xludf.DUMMYFUNCTION("""COMPUTED_VALUE"""),318.12)</f>
        <v>318.12</v>
      </c>
      <c r="C2860" s="1">
        <f>IFERROR(__xludf.DUMMYFUNCTION("""COMPUTED_VALUE"""),331.99)</f>
        <v>331.99</v>
      </c>
      <c r="D2860" s="1">
        <f>IFERROR(__xludf.DUMMYFUNCTION("""COMPUTED_VALUE"""),315.42)</f>
        <v>315.42</v>
      </c>
      <c r="E2860" s="1">
        <f>IFERROR(__xludf.DUMMYFUNCTION("""COMPUTED_VALUE"""),316.76)</f>
        <v>316.76</v>
      </c>
      <c r="F2860" s="1">
        <f>IFERROR(__xludf.DUMMYFUNCTION("""COMPUTED_VALUE"""),745741.0)</f>
        <v>745741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IFERROR(__xludf.DUMMYFUNCTION("""COMPUTED_VALUE"""),318.99)</f>
        <v>318.99</v>
      </c>
      <c r="C2861" s="1">
        <f>IFERROR(__xludf.DUMMYFUNCTION("""COMPUTED_VALUE"""),324.4)</f>
        <v>324.4</v>
      </c>
      <c r="D2861" s="1">
        <f>IFERROR(__xludf.DUMMYFUNCTION("""COMPUTED_VALUE"""),315.51)</f>
        <v>315.51</v>
      </c>
      <c r="E2861" s="1">
        <f>IFERROR(__xludf.DUMMYFUNCTION("""COMPUTED_VALUE"""),321.01)</f>
        <v>321.01</v>
      </c>
      <c r="F2861" s="1">
        <f>IFERROR(__xludf.DUMMYFUNCTION("""COMPUTED_VALUE"""),1.066766E7)</f>
        <v>10667660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IFERROR(__xludf.DUMMYFUNCTION("""COMPUTED_VALUE"""),322.61)</f>
        <v>322.61</v>
      </c>
      <c r="C2862" s="1">
        <f>IFERROR(__xludf.DUMMYFUNCTION("""COMPUTED_VALUE"""),332.15)</f>
        <v>332.15</v>
      </c>
      <c r="D2862" s="1">
        <f>IFERROR(__xludf.DUMMYFUNCTION("""COMPUTED_VALUE"""),322.05)</f>
        <v>322.05</v>
      </c>
      <c r="E2862" s="1">
        <f>IFERROR(__xludf.DUMMYFUNCTION("""COMPUTED_VALUE"""),329.07)</f>
        <v>329.07</v>
      </c>
      <c r="F2862" s="1">
        <f>IFERROR(__xludf.DUMMYFUNCTION("""COMPUTED_VALUE"""),799345.0)</f>
        <v>799345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IFERROR(__xludf.DUMMYFUNCTION("""COMPUTED_VALUE"""),329.46)</f>
        <v>329.46</v>
      </c>
      <c r="C2863" s="1">
        <f>IFERROR(__xludf.DUMMYFUNCTION("""COMPUTED_VALUE"""),330.7)</f>
        <v>330.7</v>
      </c>
      <c r="D2863" s="1">
        <f>IFERROR(__xludf.DUMMYFUNCTION("""COMPUTED_VALUE"""),320.98)</f>
        <v>320.98</v>
      </c>
      <c r="E2863" s="1">
        <f>IFERROR(__xludf.DUMMYFUNCTION("""COMPUTED_VALUE"""),322.71)</f>
        <v>322.71</v>
      </c>
      <c r="F2863" s="1">
        <f>IFERROR(__xludf.DUMMYFUNCTION("""COMPUTED_VALUE"""),814489.0)</f>
        <v>814489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IFERROR(__xludf.DUMMYFUNCTION("""COMPUTED_VALUE"""),322.2)</f>
        <v>322.2</v>
      </c>
      <c r="C2864" s="1">
        <f>IFERROR(__xludf.DUMMYFUNCTION("""COMPUTED_VALUE"""),323.13)</f>
        <v>323.13</v>
      </c>
      <c r="D2864" s="1">
        <f>IFERROR(__xludf.DUMMYFUNCTION("""COMPUTED_VALUE"""),318.65)</f>
        <v>318.65</v>
      </c>
      <c r="E2864" s="1">
        <f>IFERROR(__xludf.DUMMYFUNCTION("""COMPUTED_VALUE"""),319.7)</f>
        <v>319.7</v>
      </c>
      <c r="F2864" s="1">
        <f>IFERROR(__xludf.DUMMYFUNCTION("""COMPUTED_VALUE"""),519674.0)</f>
        <v>519674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IFERROR(__xludf.DUMMYFUNCTION("""COMPUTED_VALUE"""),315.3)</f>
        <v>315.3</v>
      </c>
      <c r="C2865" s="1">
        <f>IFERROR(__xludf.DUMMYFUNCTION("""COMPUTED_VALUE"""),319.54)</f>
        <v>319.54</v>
      </c>
      <c r="D2865" s="1">
        <f>IFERROR(__xludf.DUMMYFUNCTION("""COMPUTED_VALUE"""),313.1)</f>
        <v>313.1</v>
      </c>
      <c r="E2865" s="1">
        <f>IFERROR(__xludf.DUMMYFUNCTION("""COMPUTED_VALUE"""),319.0)</f>
        <v>319</v>
      </c>
      <c r="F2865" s="1">
        <f>IFERROR(__xludf.DUMMYFUNCTION("""COMPUTED_VALUE"""),420921.0)</f>
        <v>420921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IFERROR(__xludf.DUMMYFUNCTION("""COMPUTED_VALUE"""),321.53)</f>
        <v>321.53</v>
      </c>
      <c r="C2866" s="1">
        <f>IFERROR(__xludf.DUMMYFUNCTION("""COMPUTED_VALUE"""),329.85)</f>
        <v>329.85</v>
      </c>
      <c r="D2866" s="1">
        <f>IFERROR(__xludf.DUMMYFUNCTION("""COMPUTED_VALUE"""),319.74)</f>
        <v>319.74</v>
      </c>
      <c r="E2866" s="1">
        <f>IFERROR(__xludf.DUMMYFUNCTION("""COMPUTED_VALUE"""),326.7)</f>
        <v>326.7</v>
      </c>
      <c r="F2866" s="1">
        <f>IFERROR(__xludf.DUMMYFUNCTION("""COMPUTED_VALUE"""),502850.0)</f>
        <v>502850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IFERROR(__xludf.DUMMYFUNCTION("""COMPUTED_VALUE"""),327.57)</f>
        <v>327.57</v>
      </c>
      <c r="C2867" s="1">
        <f>IFERROR(__xludf.DUMMYFUNCTION("""COMPUTED_VALUE"""),333.29)</f>
        <v>333.29</v>
      </c>
      <c r="D2867" s="1">
        <f>IFERROR(__xludf.DUMMYFUNCTION("""COMPUTED_VALUE"""),327.01)</f>
        <v>327.01</v>
      </c>
      <c r="E2867" s="1">
        <f>IFERROR(__xludf.DUMMYFUNCTION("""COMPUTED_VALUE"""),327.23)</f>
        <v>327.23</v>
      </c>
      <c r="F2867" s="1">
        <f>IFERROR(__xludf.DUMMYFUNCTION("""COMPUTED_VALUE"""),733029.0)</f>
        <v>733029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IFERROR(__xludf.DUMMYFUNCTION("""COMPUTED_VALUE"""),329.72)</f>
        <v>329.72</v>
      </c>
      <c r="C2868" s="1">
        <f>IFERROR(__xludf.DUMMYFUNCTION("""COMPUTED_VALUE"""),334.35)</f>
        <v>334.35</v>
      </c>
      <c r="D2868" s="1">
        <f>IFERROR(__xludf.DUMMYFUNCTION("""COMPUTED_VALUE"""),327.69)</f>
        <v>327.69</v>
      </c>
      <c r="E2868" s="1">
        <f>IFERROR(__xludf.DUMMYFUNCTION("""COMPUTED_VALUE"""),331.17)</f>
        <v>331.17</v>
      </c>
      <c r="F2868" s="1">
        <f>IFERROR(__xludf.DUMMYFUNCTION("""COMPUTED_VALUE"""),511875.0)</f>
        <v>511875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IFERROR(__xludf.DUMMYFUNCTION("""COMPUTED_VALUE"""),333.56)</f>
        <v>333.56</v>
      </c>
      <c r="C2869" s="1">
        <f>IFERROR(__xludf.DUMMYFUNCTION("""COMPUTED_VALUE"""),335.81)</f>
        <v>335.81</v>
      </c>
      <c r="D2869" s="1">
        <f>IFERROR(__xludf.DUMMYFUNCTION("""COMPUTED_VALUE"""),328.5)</f>
        <v>328.5</v>
      </c>
      <c r="E2869" s="1">
        <f>IFERROR(__xludf.DUMMYFUNCTION("""COMPUTED_VALUE"""),329.52)</f>
        <v>329.52</v>
      </c>
      <c r="F2869" s="1">
        <f>IFERROR(__xludf.DUMMYFUNCTION("""COMPUTED_VALUE"""),577640.0)</f>
        <v>577640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IFERROR(__xludf.DUMMYFUNCTION("""COMPUTED_VALUE"""),331.15)</f>
        <v>331.15</v>
      </c>
      <c r="C2870" s="1">
        <f>IFERROR(__xludf.DUMMYFUNCTION("""COMPUTED_VALUE"""),333.81)</f>
        <v>333.81</v>
      </c>
      <c r="D2870" s="1">
        <f>IFERROR(__xludf.DUMMYFUNCTION("""COMPUTED_VALUE"""),323.07)</f>
        <v>323.07</v>
      </c>
      <c r="E2870" s="1">
        <f>IFERROR(__xludf.DUMMYFUNCTION("""COMPUTED_VALUE"""),324.51)</f>
        <v>324.51</v>
      </c>
      <c r="F2870" s="1">
        <f>IFERROR(__xludf.DUMMYFUNCTION("""COMPUTED_VALUE"""),546967.0)</f>
        <v>546967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IFERROR(__xludf.DUMMYFUNCTION("""COMPUTED_VALUE"""),326.19)</f>
        <v>326.19</v>
      </c>
      <c r="C2871" s="1">
        <f>IFERROR(__xludf.DUMMYFUNCTION("""COMPUTED_VALUE"""),339.34)</f>
        <v>339.34</v>
      </c>
      <c r="D2871" s="1">
        <f>IFERROR(__xludf.DUMMYFUNCTION("""COMPUTED_VALUE"""),325.27)</f>
        <v>325.27</v>
      </c>
      <c r="E2871" s="1">
        <f>IFERROR(__xludf.DUMMYFUNCTION("""COMPUTED_VALUE"""),332.2)</f>
        <v>332.2</v>
      </c>
      <c r="F2871" s="1">
        <f>IFERROR(__xludf.DUMMYFUNCTION("""COMPUTED_VALUE"""),2994431.0)</f>
        <v>2994431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IFERROR(__xludf.DUMMYFUNCTION("""COMPUTED_VALUE"""),333.82)</f>
        <v>333.82</v>
      </c>
      <c r="C2872" s="1">
        <f>IFERROR(__xludf.DUMMYFUNCTION("""COMPUTED_VALUE"""),339.76)</f>
        <v>339.76</v>
      </c>
      <c r="D2872" s="1">
        <f>IFERROR(__xludf.DUMMYFUNCTION("""COMPUTED_VALUE"""),333.01)</f>
        <v>333.01</v>
      </c>
      <c r="E2872" s="1">
        <f>IFERROR(__xludf.DUMMYFUNCTION("""COMPUTED_VALUE"""),337.99)</f>
        <v>337.99</v>
      </c>
      <c r="F2872" s="1">
        <f>IFERROR(__xludf.DUMMYFUNCTION("""COMPUTED_VALUE"""),579419.0)</f>
        <v>579419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IFERROR(__xludf.DUMMYFUNCTION("""COMPUTED_VALUE"""),338.79)</f>
        <v>338.79</v>
      </c>
      <c r="C2873" s="1">
        <f>IFERROR(__xludf.DUMMYFUNCTION("""COMPUTED_VALUE"""),338.79)</f>
        <v>338.79</v>
      </c>
      <c r="D2873" s="1">
        <f>IFERROR(__xludf.DUMMYFUNCTION("""COMPUTED_VALUE"""),328.28)</f>
        <v>328.28</v>
      </c>
      <c r="E2873" s="1">
        <f>IFERROR(__xludf.DUMMYFUNCTION("""COMPUTED_VALUE"""),332.9)</f>
        <v>332.9</v>
      </c>
      <c r="F2873" s="1">
        <f>IFERROR(__xludf.DUMMYFUNCTION("""COMPUTED_VALUE"""),690961.0)</f>
        <v>690961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IFERROR(__xludf.DUMMYFUNCTION("""COMPUTED_VALUE"""),331.58)</f>
        <v>331.58</v>
      </c>
      <c r="C2874" s="1">
        <f>IFERROR(__xludf.DUMMYFUNCTION("""COMPUTED_VALUE"""),333.21)</f>
        <v>333.21</v>
      </c>
      <c r="D2874" s="1">
        <f>IFERROR(__xludf.DUMMYFUNCTION("""COMPUTED_VALUE"""),328.5)</f>
        <v>328.5</v>
      </c>
      <c r="E2874" s="1">
        <f>IFERROR(__xludf.DUMMYFUNCTION("""COMPUTED_VALUE"""),329.52)</f>
        <v>329.52</v>
      </c>
      <c r="F2874" s="1">
        <f>IFERROR(__xludf.DUMMYFUNCTION("""COMPUTED_VALUE"""),487264.0)</f>
        <v>487264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IFERROR(__xludf.DUMMYFUNCTION("""COMPUTED_VALUE"""),327.92)</f>
        <v>327.92</v>
      </c>
      <c r="C2875" s="1">
        <f>IFERROR(__xludf.DUMMYFUNCTION("""COMPUTED_VALUE"""),333.18)</f>
        <v>333.18</v>
      </c>
      <c r="D2875" s="1">
        <f>IFERROR(__xludf.DUMMYFUNCTION("""COMPUTED_VALUE"""),324.94)</f>
        <v>324.94</v>
      </c>
      <c r="E2875" s="1">
        <f>IFERROR(__xludf.DUMMYFUNCTION("""COMPUTED_VALUE"""),331.7)</f>
        <v>331.7</v>
      </c>
      <c r="F2875" s="1">
        <f>IFERROR(__xludf.DUMMYFUNCTION("""COMPUTED_VALUE"""),520023.0)</f>
        <v>520023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IFERROR(__xludf.DUMMYFUNCTION("""COMPUTED_VALUE"""),334.28)</f>
        <v>334.28</v>
      </c>
      <c r="C2876" s="1">
        <f>IFERROR(__xludf.DUMMYFUNCTION("""COMPUTED_VALUE"""),337.55)</f>
        <v>337.55</v>
      </c>
      <c r="D2876" s="1">
        <f>IFERROR(__xludf.DUMMYFUNCTION("""COMPUTED_VALUE"""),333.95)</f>
        <v>333.95</v>
      </c>
      <c r="E2876" s="1">
        <f>IFERROR(__xludf.DUMMYFUNCTION("""COMPUTED_VALUE"""),336.84)</f>
        <v>336.84</v>
      </c>
      <c r="F2876" s="1">
        <f>IFERROR(__xludf.DUMMYFUNCTION("""COMPUTED_VALUE"""),367315.0)</f>
        <v>367315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IFERROR(__xludf.DUMMYFUNCTION("""COMPUTED_VALUE"""),337.17)</f>
        <v>337.17</v>
      </c>
      <c r="C2877" s="1">
        <f>IFERROR(__xludf.DUMMYFUNCTION("""COMPUTED_VALUE"""),341.58)</f>
        <v>341.58</v>
      </c>
      <c r="D2877" s="1">
        <f>IFERROR(__xludf.DUMMYFUNCTION("""COMPUTED_VALUE"""),337.13)</f>
        <v>337.13</v>
      </c>
      <c r="E2877" s="1">
        <f>IFERROR(__xludf.DUMMYFUNCTION("""COMPUTED_VALUE"""),340.24)</f>
        <v>340.24</v>
      </c>
      <c r="F2877" s="1">
        <f>IFERROR(__xludf.DUMMYFUNCTION("""COMPUTED_VALUE"""),358648.0)</f>
        <v>358648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IFERROR(__xludf.DUMMYFUNCTION("""COMPUTED_VALUE"""),342.22)</f>
        <v>342.22</v>
      </c>
      <c r="C2878" s="1">
        <f>IFERROR(__xludf.DUMMYFUNCTION("""COMPUTED_VALUE"""),343.99)</f>
        <v>343.99</v>
      </c>
      <c r="D2878" s="1">
        <f>IFERROR(__xludf.DUMMYFUNCTION("""COMPUTED_VALUE"""),339.91)</f>
        <v>339.91</v>
      </c>
      <c r="E2878" s="1">
        <f>IFERROR(__xludf.DUMMYFUNCTION("""COMPUTED_VALUE"""),343.02)</f>
        <v>343.02</v>
      </c>
      <c r="F2878" s="1">
        <f>IFERROR(__xludf.DUMMYFUNCTION("""COMPUTED_VALUE"""),293519.0)</f>
        <v>293519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IFERROR(__xludf.DUMMYFUNCTION("""COMPUTED_VALUE"""),345.0)</f>
        <v>345</v>
      </c>
      <c r="C2879" s="1">
        <f>IFERROR(__xludf.DUMMYFUNCTION("""COMPUTED_VALUE"""),347.09)</f>
        <v>347.09</v>
      </c>
      <c r="D2879" s="1">
        <f>IFERROR(__xludf.DUMMYFUNCTION("""COMPUTED_VALUE"""),342.68)</f>
        <v>342.68</v>
      </c>
      <c r="E2879" s="1">
        <f>IFERROR(__xludf.DUMMYFUNCTION("""COMPUTED_VALUE"""),345.91)</f>
        <v>345.91</v>
      </c>
      <c r="F2879" s="1">
        <f>IFERROR(__xludf.DUMMYFUNCTION("""COMPUTED_VALUE"""),297988.0)</f>
        <v>297988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IFERROR(__xludf.DUMMYFUNCTION("""COMPUTED_VALUE"""),347.51)</f>
        <v>347.51</v>
      </c>
      <c r="C2880" s="1">
        <f>IFERROR(__xludf.DUMMYFUNCTION("""COMPUTED_VALUE"""),354.89)</f>
        <v>354.89</v>
      </c>
      <c r="D2880" s="1">
        <f>IFERROR(__xludf.DUMMYFUNCTION("""COMPUTED_VALUE"""),347.14)</f>
        <v>347.14</v>
      </c>
      <c r="E2880" s="1">
        <f>IFERROR(__xludf.DUMMYFUNCTION("""COMPUTED_VALUE"""),354.78)</f>
        <v>354.78</v>
      </c>
      <c r="F2880" s="1">
        <f>IFERROR(__xludf.DUMMYFUNCTION("""COMPUTED_VALUE"""),390863.0)</f>
        <v>390863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IFERROR(__xludf.DUMMYFUNCTION("""COMPUTED_VALUE"""),354.83)</f>
        <v>354.83</v>
      </c>
      <c r="C2881" s="1">
        <f>IFERROR(__xludf.DUMMYFUNCTION("""COMPUTED_VALUE"""),354.92)</f>
        <v>354.92</v>
      </c>
      <c r="D2881" s="1">
        <f>IFERROR(__xludf.DUMMYFUNCTION("""COMPUTED_VALUE"""),350.17)</f>
        <v>350.17</v>
      </c>
      <c r="E2881" s="1">
        <f>IFERROR(__xludf.DUMMYFUNCTION("""COMPUTED_VALUE"""),352.09)</f>
        <v>352.09</v>
      </c>
      <c r="F2881" s="1">
        <f>IFERROR(__xludf.DUMMYFUNCTION("""COMPUTED_VALUE"""),302192.0)</f>
        <v>302192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IFERROR(__xludf.DUMMYFUNCTION("""COMPUTED_VALUE"""),351.89)</f>
        <v>351.89</v>
      </c>
      <c r="C2882" s="1">
        <f>IFERROR(__xludf.DUMMYFUNCTION("""COMPUTED_VALUE"""),355.69)</f>
        <v>355.69</v>
      </c>
      <c r="D2882" s="1">
        <f>IFERROR(__xludf.DUMMYFUNCTION("""COMPUTED_VALUE"""),351.89)</f>
        <v>351.89</v>
      </c>
      <c r="E2882" s="1">
        <f>IFERROR(__xludf.DUMMYFUNCTION("""COMPUTED_VALUE"""),355.33)</f>
        <v>355.33</v>
      </c>
      <c r="F2882" s="1">
        <f>IFERROR(__xludf.DUMMYFUNCTION("""COMPUTED_VALUE"""),269559.0)</f>
        <v>269559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IFERROR(__xludf.DUMMYFUNCTION("""COMPUTED_VALUE"""),355.47)</f>
        <v>355.47</v>
      </c>
      <c r="C2883" s="1">
        <f>IFERROR(__xludf.DUMMYFUNCTION("""COMPUTED_VALUE"""),356.35)</f>
        <v>356.35</v>
      </c>
      <c r="D2883" s="1">
        <f>IFERROR(__xludf.DUMMYFUNCTION("""COMPUTED_VALUE"""),353.04)</f>
        <v>353.04</v>
      </c>
      <c r="E2883" s="1">
        <f>IFERROR(__xludf.DUMMYFUNCTION("""COMPUTED_VALUE"""),354.36)</f>
        <v>354.36</v>
      </c>
      <c r="F2883" s="1">
        <f>IFERROR(__xludf.DUMMYFUNCTION("""COMPUTED_VALUE"""),290218.0)</f>
        <v>290218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IFERROR(__xludf.DUMMYFUNCTION("""COMPUTED_VALUE"""),355.0)</f>
        <v>355</v>
      </c>
      <c r="C2884" s="1">
        <f>IFERROR(__xludf.DUMMYFUNCTION("""COMPUTED_VALUE"""),355.62)</f>
        <v>355.62</v>
      </c>
      <c r="D2884" s="1">
        <f>IFERROR(__xludf.DUMMYFUNCTION("""COMPUTED_VALUE"""),350.21)</f>
        <v>350.21</v>
      </c>
      <c r="E2884" s="1">
        <f>IFERROR(__xludf.DUMMYFUNCTION("""COMPUTED_VALUE"""),352.92)</f>
        <v>352.92</v>
      </c>
      <c r="F2884" s="1">
        <f>IFERROR(__xludf.DUMMYFUNCTION("""COMPUTED_VALUE"""),327749.0)</f>
        <v>327749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IFERROR(__xludf.DUMMYFUNCTION("""COMPUTED_VALUE"""),351.37)</f>
        <v>351.37</v>
      </c>
      <c r="C2885" s="1">
        <f>IFERROR(__xludf.DUMMYFUNCTION("""COMPUTED_VALUE"""),359.56)</f>
        <v>359.56</v>
      </c>
      <c r="D2885" s="1">
        <f>IFERROR(__xludf.DUMMYFUNCTION("""COMPUTED_VALUE"""),350.39)</f>
        <v>350.39</v>
      </c>
      <c r="E2885" s="1">
        <f>IFERROR(__xludf.DUMMYFUNCTION("""COMPUTED_VALUE"""),357.78)</f>
        <v>357.78</v>
      </c>
      <c r="F2885" s="1">
        <f>IFERROR(__xludf.DUMMYFUNCTION("""COMPUTED_VALUE"""),403859.0)</f>
        <v>403859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IFERROR(__xludf.DUMMYFUNCTION("""COMPUTED_VALUE"""),354.43)</f>
        <v>354.43</v>
      </c>
      <c r="C2886" s="1">
        <f>IFERROR(__xludf.DUMMYFUNCTION("""COMPUTED_VALUE"""),357.79)</f>
        <v>357.79</v>
      </c>
      <c r="D2886" s="1">
        <f>IFERROR(__xludf.DUMMYFUNCTION("""COMPUTED_VALUE"""),353.14)</f>
        <v>353.14</v>
      </c>
      <c r="E2886" s="1">
        <f>IFERROR(__xludf.DUMMYFUNCTION("""COMPUTED_VALUE"""),353.7)</f>
        <v>353.7</v>
      </c>
      <c r="F2886" s="1">
        <f>IFERROR(__xludf.DUMMYFUNCTION("""COMPUTED_VALUE"""),1262609.0)</f>
        <v>1262609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IFERROR(__xludf.DUMMYFUNCTION("""COMPUTED_VALUE"""),356.29)</f>
        <v>356.29</v>
      </c>
      <c r="C2887" s="1">
        <f>IFERROR(__xludf.DUMMYFUNCTION("""COMPUTED_VALUE"""),361.68)</f>
        <v>361.68</v>
      </c>
      <c r="D2887" s="1">
        <f>IFERROR(__xludf.DUMMYFUNCTION("""COMPUTED_VALUE"""),353.61)</f>
        <v>353.61</v>
      </c>
      <c r="E2887" s="1">
        <f>IFERROR(__xludf.DUMMYFUNCTION("""COMPUTED_VALUE"""),360.59)</f>
        <v>360.59</v>
      </c>
      <c r="F2887" s="1">
        <f>IFERROR(__xludf.DUMMYFUNCTION("""COMPUTED_VALUE"""),309728.0)</f>
        <v>309728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IFERROR(__xludf.DUMMYFUNCTION("""COMPUTED_VALUE"""),359.58)</f>
        <v>359.58</v>
      </c>
      <c r="C2888" s="1">
        <f>IFERROR(__xludf.DUMMYFUNCTION("""COMPUTED_VALUE"""),364.65)</f>
        <v>364.65</v>
      </c>
      <c r="D2888" s="1">
        <f>IFERROR(__xludf.DUMMYFUNCTION("""COMPUTED_VALUE"""),358.35)</f>
        <v>358.35</v>
      </c>
      <c r="E2888" s="1">
        <f>IFERROR(__xludf.DUMMYFUNCTION("""COMPUTED_VALUE"""),364.0)</f>
        <v>364</v>
      </c>
      <c r="F2888" s="1">
        <f>IFERROR(__xludf.DUMMYFUNCTION("""COMPUTED_VALUE"""),286337.0)</f>
        <v>286337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IFERROR(__xludf.DUMMYFUNCTION("""COMPUTED_VALUE"""),364.0)</f>
        <v>364</v>
      </c>
      <c r="C2889" s="1">
        <f>IFERROR(__xludf.DUMMYFUNCTION("""COMPUTED_VALUE"""),368.14)</f>
        <v>368.14</v>
      </c>
      <c r="D2889" s="1">
        <f>IFERROR(__xludf.DUMMYFUNCTION("""COMPUTED_VALUE"""),363.28)</f>
        <v>363.28</v>
      </c>
      <c r="E2889" s="1">
        <f>IFERROR(__xludf.DUMMYFUNCTION("""COMPUTED_VALUE"""),366.95)</f>
        <v>366.95</v>
      </c>
      <c r="F2889" s="1">
        <f>IFERROR(__xludf.DUMMYFUNCTION("""COMPUTED_VALUE"""),368396.0)</f>
        <v>368396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IFERROR(__xludf.DUMMYFUNCTION("""COMPUTED_VALUE"""),369.47)</f>
        <v>369.47</v>
      </c>
      <c r="C2890" s="1">
        <f>IFERROR(__xludf.DUMMYFUNCTION("""COMPUTED_VALUE"""),370.58)</f>
        <v>370.58</v>
      </c>
      <c r="D2890" s="1">
        <f>IFERROR(__xludf.DUMMYFUNCTION("""COMPUTED_VALUE"""),366.22)</f>
        <v>366.22</v>
      </c>
      <c r="E2890" s="1">
        <f>IFERROR(__xludf.DUMMYFUNCTION("""COMPUTED_VALUE"""),366.78)</f>
        <v>366.78</v>
      </c>
      <c r="F2890" s="1">
        <f>IFERROR(__xludf.DUMMYFUNCTION("""COMPUTED_VALUE"""),308164.0)</f>
        <v>308164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IFERROR(__xludf.DUMMYFUNCTION("""COMPUTED_VALUE"""),366.78)</f>
        <v>366.78</v>
      </c>
      <c r="C2891" s="1">
        <f>IFERROR(__xludf.DUMMYFUNCTION("""COMPUTED_VALUE"""),369.6)</f>
        <v>369.6</v>
      </c>
      <c r="D2891" s="1">
        <f>IFERROR(__xludf.DUMMYFUNCTION("""COMPUTED_VALUE"""),366.78)</f>
        <v>366.78</v>
      </c>
      <c r="E2891" s="1">
        <f>IFERROR(__xludf.DUMMYFUNCTION("""COMPUTED_VALUE"""),367.9)</f>
        <v>367.9</v>
      </c>
      <c r="F2891" s="1">
        <f>IFERROR(__xludf.DUMMYFUNCTION("""COMPUTED_VALUE"""),355120.0)</f>
        <v>355120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IFERROR(__xludf.DUMMYFUNCTION("""COMPUTED_VALUE"""),369.46)</f>
        <v>369.46</v>
      </c>
      <c r="C2892" s="1">
        <f>IFERROR(__xludf.DUMMYFUNCTION("""COMPUTED_VALUE"""),369.95)</f>
        <v>369.95</v>
      </c>
      <c r="D2892" s="1">
        <f>IFERROR(__xludf.DUMMYFUNCTION("""COMPUTED_VALUE"""),364.82)</f>
        <v>364.82</v>
      </c>
      <c r="E2892" s="1">
        <f>IFERROR(__xludf.DUMMYFUNCTION("""COMPUTED_VALUE"""),366.06)</f>
        <v>366.06</v>
      </c>
      <c r="F2892" s="1">
        <f>IFERROR(__xludf.DUMMYFUNCTION("""COMPUTED_VALUE"""),283307.0)</f>
        <v>283307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IFERROR(__xludf.DUMMYFUNCTION("""COMPUTED_VALUE"""),367.0)</f>
        <v>367</v>
      </c>
      <c r="C2893" s="1">
        <f>IFERROR(__xludf.DUMMYFUNCTION("""COMPUTED_VALUE"""),371.81)</f>
        <v>371.81</v>
      </c>
      <c r="D2893" s="1">
        <f>IFERROR(__xludf.DUMMYFUNCTION("""COMPUTED_VALUE"""),364.87)</f>
        <v>364.87</v>
      </c>
      <c r="E2893" s="1">
        <f>IFERROR(__xludf.DUMMYFUNCTION("""COMPUTED_VALUE"""),371.65)</f>
        <v>371.65</v>
      </c>
      <c r="F2893" s="1">
        <f>IFERROR(__xludf.DUMMYFUNCTION("""COMPUTED_VALUE"""),317973.0)</f>
        <v>317973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IFERROR(__xludf.DUMMYFUNCTION("""COMPUTED_VALUE"""),371.63)</f>
        <v>371.63</v>
      </c>
      <c r="C2894" s="1">
        <f>IFERROR(__xludf.DUMMYFUNCTION("""COMPUTED_VALUE"""),372.51)</f>
        <v>372.51</v>
      </c>
      <c r="D2894" s="1">
        <f>IFERROR(__xludf.DUMMYFUNCTION("""COMPUTED_VALUE"""),367.87)</f>
        <v>367.87</v>
      </c>
      <c r="E2894" s="1">
        <f>IFERROR(__xludf.DUMMYFUNCTION("""COMPUTED_VALUE"""),369.92)</f>
        <v>369.92</v>
      </c>
      <c r="F2894" s="1">
        <f>IFERROR(__xludf.DUMMYFUNCTION("""COMPUTED_VALUE"""),292048.0)</f>
        <v>292048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IFERROR(__xludf.DUMMYFUNCTION("""COMPUTED_VALUE"""),369.62)</f>
        <v>369.62</v>
      </c>
      <c r="C2895" s="1">
        <f>IFERROR(__xludf.DUMMYFUNCTION("""COMPUTED_VALUE"""),373.28)</f>
        <v>373.28</v>
      </c>
      <c r="D2895" s="1">
        <f>IFERROR(__xludf.DUMMYFUNCTION("""COMPUTED_VALUE"""),368.43)</f>
        <v>368.43</v>
      </c>
      <c r="E2895" s="1">
        <f>IFERROR(__xludf.DUMMYFUNCTION("""COMPUTED_VALUE"""),372.64)</f>
        <v>372.64</v>
      </c>
      <c r="F2895" s="1">
        <f>IFERROR(__xludf.DUMMYFUNCTION("""COMPUTED_VALUE"""),320421.0)</f>
        <v>320421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IFERROR(__xludf.DUMMYFUNCTION("""COMPUTED_VALUE"""),373.32)</f>
        <v>373.32</v>
      </c>
      <c r="C2896" s="1">
        <f>IFERROR(__xludf.DUMMYFUNCTION("""COMPUTED_VALUE"""),374.79)</f>
        <v>374.79</v>
      </c>
      <c r="D2896" s="1">
        <f>IFERROR(__xludf.DUMMYFUNCTION("""COMPUTED_VALUE"""),370.8)</f>
        <v>370.8</v>
      </c>
      <c r="E2896" s="1">
        <f>IFERROR(__xludf.DUMMYFUNCTION("""COMPUTED_VALUE"""),374.22)</f>
        <v>374.22</v>
      </c>
      <c r="F2896" s="1">
        <f>IFERROR(__xludf.DUMMYFUNCTION("""COMPUTED_VALUE"""),240099.0)</f>
        <v>240099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IFERROR(__xludf.DUMMYFUNCTION("""COMPUTED_VALUE"""),374.99)</f>
        <v>374.99</v>
      </c>
      <c r="C2897" s="1">
        <f>IFERROR(__xludf.DUMMYFUNCTION("""COMPUTED_VALUE"""),378.99)</f>
        <v>378.99</v>
      </c>
      <c r="D2897" s="1">
        <f>IFERROR(__xludf.DUMMYFUNCTION("""COMPUTED_VALUE"""),372.52)</f>
        <v>372.52</v>
      </c>
      <c r="E2897" s="1">
        <f>IFERROR(__xludf.DUMMYFUNCTION("""COMPUTED_VALUE"""),377.45)</f>
        <v>377.45</v>
      </c>
      <c r="F2897" s="1">
        <f>IFERROR(__xludf.DUMMYFUNCTION("""COMPUTED_VALUE"""),282783.0)</f>
        <v>282783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IFERROR(__xludf.DUMMYFUNCTION("""COMPUTED_VALUE"""),378.98)</f>
        <v>378.98</v>
      </c>
      <c r="C2898" s="1">
        <f>IFERROR(__xludf.DUMMYFUNCTION("""COMPUTED_VALUE"""),384.3)</f>
        <v>384.3</v>
      </c>
      <c r="D2898" s="1">
        <f>IFERROR(__xludf.DUMMYFUNCTION("""COMPUTED_VALUE"""),374.43)</f>
        <v>374.43</v>
      </c>
      <c r="E2898" s="1">
        <f>IFERROR(__xludf.DUMMYFUNCTION("""COMPUTED_VALUE"""),383.18)</f>
        <v>383.18</v>
      </c>
      <c r="F2898" s="1">
        <f>IFERROR(__xludf.DUMMYFUNCTION("""COMPUTED_VALUE"""),304465.0)</f>
        <v>304465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IFERROR(__xludf.DUMMYFUNCTION("""COMPUTED_VALUE"""),377.23)</f>
        <v>377.23</v>
      </c>
      <c r="C2899" s="1">
        <f>IFERROR(__xludf.DUMMYFUNCTION("""COMPUTED_VALUE"""),382.92)</f>
        <v>382.92</v>
      </c>
      <c r="D2899" s="1">
        <f>IFERROR(__xludf.DUMMYFUNCTION("""COMPUTED_VALUE"""),374.74)</f>
        <v>374.74</v>
      </c>
      <c r="E2899" s="1">
        <f>IFERROR(__xludf.DUMMYFUNCTION("""COMPUTED_VALUE"""),379.2)</f>
        <v>379.2</v>
      </c>
      <c r="F2899" s="1">
        <f>IFERROR(__xludf.DUMMYFUNCTION("""COMPUTED_VALUE"""),227648.0)</f>
        <v>227648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IFERROR(__xludf.DUMMYFUNCTION("""COMPUTED_VALUE"""),381.02)</f>
        <v>381.02</v>
      </c>
      <c r="C2900" s="1">
        <f>IFERROR(__xludf.DUMMYFUNCTION("""COMPUTED_VALUE"""),384.92)</f>
        <v>384.92</v>
      </c>
      <c r="D2900" s="1">
        <f>IFERROR(__xludf.DUMMYFUNCTION("""COMPUTED_VALUE"""),379.58)</f>
        <v>379.58</v>
      </c>
      <c r="E2900" s="1">
        <f>IFERROR(__xludf.DUMMYFUNCTION("""COMPUTED_VALUE"""),384.89)</f>
        <v>384.89</v>
      </c>
      <c r="F2900" s="1">
        <f>IFERROR(__xludf.DUMMYFUNCTION("""COMPUTED_VALUE"""),223915.0)</f>
        <v>223915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IFERROR(__xludf.DUMMYFUNCTION("""COMPUTED_VALUE"""),385.0)</f>
        <v>385</v>
      </c>
      <c r="C2901" s="1">
        <f>IFERROR(__xludf.DUMMYFUNCTION("""COMPUTED_VALUE"""),386.57)</f>
        <v>386.57</v>
      </c>
      <c r="D2901" s="1">
        <f>IFERROR(__xludf.DUMMYFUNCTION("""COMPUTED_VALUE"""),382.47)</f>
        <v>382.47</v>
      </c>
      <c r="E2901" s="1">
        <f>IFERROR(__xludf.DUMMYFUNCTION("""COMPUTED_VALUE"""),384.13)</f>
        <v>384.13</v>
      </c>
      <c r="F2901" s="1">
        <f>IFERROR(__xludf.DUMMYFUNCTION("""COMPUTED_VALUE"""),210691.0)</f>
        <v>210691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IFERROR(__xludf.DUMMYFUNCTION("""COMPUTED_VALUE"""),382.93)</f>
        <v>382.93</v>
      </c>
      <c r="C2902" s="1">
        <f>IFERROR(__xludf.DUMMYFUNCTION("""COMPUTED_VALUE"""),385.52)</f>
        <v>385.52</v>
      </c>
      <c r="D2902" s="1">
        <f>IFERROR(__xludf.DUMMYFUNCTION("""COMPUTED_VALUE"""),380.27)</f>
        <v>380.27</v>
      </c>
      <c r="E2902" s="1">
        <f>IFERROR(__xludf.DUMMYFUNCTION("""COMPUTED_VALUE"""),383.09)</f>
        <v>383.09</v>
      </c>
      <c r="F2902" s="1">
        <f>IFERROR(__xludf.DUMMYFUNCTION("""COMPUTED_VALUE"""),205386.0)</f>
        <v>205386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IFERROR(__xludf.DUMMYFUNCTION("""COMPUTED_VALUE"""),383.12)</f>
        <v>383.12</v>
      </c>
      <c r="C2903" s="1">
        <f>IFERROR(__xludf.DUMMYFUNCTION("""COMPUTED_VALUE"""),384.16)</f>
        <v>384.16</v>
      </c>
      <c r="D2903" s="1">
        <f>IFERROR(__xludf.DUMMYFUNCTION("""COMPUTED_VALUE"""),380.33)</f>
        <v>380.33</v>
      </c>
      <c r="E2903" s="1">
        <f>IFERROR(__xludf.DUMMYFUNCTION("""COMPUTED_VALUE"""),382.29)</f>
        <v>382.29</v>
      </c>
      <c r="F2903" s="1">
        <f>IFERROR(__xludf.DUMMYFUNCTION("""COMPUTED_VALUE"""),203409.0)</f>
        <v>203409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IFERROR(__xludf.DUMMYFUNCTION("""COMPUTED_VALUE"""),381.21)</f>
        <v>381.21</v>
      </c>
      <c r="C2904" s="1">
        <f>IFERROR(__xludf.DUMMYFUNCTION("""COMPUTED_VALUE"""),383.57)</f>
        <v>383.57</v>
      </c>
      <c r="D2904" s="1">
        <f>IFERROR(__xludf.DUMMYFUNCTION("""COMPUTED_VALUE"""),378.89)</f>
        <v>378.89</v>
      </c>
      <c r="E2904" s="1">
        <f>IFERROR(__xludf.DUMMYFUNCTION("""COMPUTED_VALUE"""),382.15)</f>
        <v>382.15</v>
      </c>
      <c r="F2904" s="1">
        <f>IFERROR(__xludf.DUMMYFUNCTION("""COMPUTED_VALUE"""),214814.0)</f>
        <v>214814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IFERROR(__xludf.DUMMYFUNCTION("""COMPUTED_VALUE"""),382.88)</f>
        <v>382.88</v>
      </c>
      <c r="C2905" s="1">
        <f>IFERROR(__xludf.DUMMYFUNCTION("""COMPUTED_VALUE"""),384.93)</f>
        <v>384.93</v>
      </c>
      <c r="D2905" s="1">
        <f>IFERROR(__xludf.DUMMYFUNCTION("""COMPUTED_VALUE"""),378.52)</f>
        <v>378.52</v>
      </c>
      <c r="E2905" s="1">
        <f>IFERROR(__xludf.DUMMYFUNCTION("""COMPUTED_VALUE"""),384.49)</f>
        <v>384.49</v>
      </c>
      <c r="F2905" s="1">
        <f>IFERROR(__xludf.DUMMYFUNCTION("""COMPUTED_VALUE"""),238409.0)</f>
        <v>238409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IFERROR(__xludf.DUMMYFUNCTION("""COMPUTED_VALUE"""),380.5)</f>
        <v>380.5</v>
      </c>
      <c r="C2906" s="1">
        <f>IFERROR(__xludf.DUMMYFUNCTION("""COMPUTED_VALUE"""),384.88)</f>
        <v>384.88</v>
      </c>
      <c r="D2906" s="1">
        <f>IFERROR(__xludf.DUMMYFUNCTION("""COMPUTED_VALUE"""),377.31)</f>
        <v>377.31</v>
      </c>
      <c r="E2906" s="1">
        <f>IFERROR(__xludf.DUMMYFUNCTION("""COMPUTED_VALUE"""),378.3)</f>
        <v>378.3</v>
      </c>
      <c r="F2906" s="1">
        <f>IFERROR(__xludf.DUMMYFUNCTION("""COMPUTED_VALUE"""),337186.0)</f>
        <v>337186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IFERROR(__xludf.DUMMYFUNCTION("""COMPUTED_VALUE"""),379.97)</f>
        <v>379.97</v>
      </c>
      <c r="C2907" s="1">
        <f>IFERROR(__xludf.DUMMYFUNCTION("""COMPUTED_VALUE"""),386.45)</f>
        <v>386.45</v>
      </c>
      <c r="D2907" s="1">
        <f>IFERROR(__xludf.DUMMYFUNCTION("""COMPUTED_VALUE"""),379.88)</f>
        <v>379.88</v>
      </c>
      <c r="E2907" s="1">
        <f>IFERROR(__xludf.DUMMYFUNCTION("""COMPUTED_VALUE"""),385.48)</f>
        <v>385.48</v>
      </c>
      <c r="F2907" s="1">
        <f>IFERROR(__xludf.DUMMYFUNCTION("""COMPUTED_VALUE"""),396138.0)</f>
        <v>396138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IFERROR(__xludf.DUMMYFUNCTION("""COMPUTED_VALUE"""),385.03)</f>
        <v>385.03</v>
      </c>
      <c r="C2908" s="1">
        <f>IFERROR(__xludf.DUMMYFUNCTION("""COMPUTED_VALUE"""),386.08)</f>
        <v>386.08</v>
      </c>
      <c r="D2908" s="1">
        <f>IFERROR(__xludf.DUMMYFUNCTION("""COMPUTED_VALUE"""),375.36)</f>
        <v>375.36</v>
      </c>
      <c r="E2908" s="1">
        <f>IFERROR(__xludf.DUMMYFUNCTION("""COMPUTED_VALUE"""),385.77)</f>
        <v>385.77</v>
      </c>
      <c r="F2908" s="1">
        <f>IFERROR(__xludf.DUMMYFUNCTION("""COMPUTED_VALUE"""),208364.0)</f>
        <v>208364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IFERROR(__xludf.DUMMYFUNCTION("""COMPUTED_VALUE"""),387.04)</f>
        <v>387.04</v>
      </c>
      <c r="C2909" s="1">
        <f>IFERROR(__xludf.DUMMYFUNCTION("""COMPUTED_VALUE"""),393.78)</f>
        <v>393.78</v>
      </c>
      <c r="D2909" s="1">
        <f>IFERROR(__xludf.DUMMYFUNCTION("""COMPUTED_VALUE"""),387.04)</f>
        <v>387.04</v>
      </c>
      <c r="E2909" s="1">
        <f>IFERROR(__xludf.DUMMYFUNCTION("""COMPUTED_VALUE"""),393.25)</f>
        <v>393.25</v>
      </c>
      <c r="F2909" s="1">
        <f>IFERROR(__xludf.DUMMYFUNCTION("""COMPUTED_VALUE"""),218500.0)</f>
        <v>218500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IFERROR(__xludf.DUMMYFUNCTION("""COMPUTED_VALUE"""),394.41)</f>
        <v>394.41</v>
      </c>
      <c r="C2910" s="1">
        <f>IFERROR(__xludf.DUMMYFUNCTION("""COMPUTED_VALUE"""),397.61)</f>
        <v>397.61</v>
      </c>
      <c r="D2910" s="1">
        <f>IFERROR(__xludf.DUMMYFUNCTION("""COMPUTED_VALUE"""),393.4)</f>
        <v>393.4</v>
      </c>
      <c r="E2910" s="1">
        <f>IFERROR(__xludf.DUMMYFUNCTION("""COMPUTED_VALUE"""),396.32)</f>
        <v>396.32</v>
      </c>
      <c r="F2910" s="1">
        <f>IFERROR(__xludf.DUMMYFUNCTION("""COMPUTED_VALUE"""),237757.0)</f>
        <v>237757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IFERROR(__xludf.DUMMYFUNCTION("""COMPUTED_VALUE"""),395.61)</f>
        <v>395.61</v>
      </c>
      <c r="C2911" s="1">
        <f>IFERROR(__xludf.DUMMYFUNCTION("""COMPUTED_VALUE"""),397.51)</f>
        <v>397.51</v>
      </c>
      <c r="D2911" s="1">
        <f>IFERROR(__xludf.DUMMYFUNCTION("""COMPUTED_VALUE"""),391.03)</f>
        <v>391.03</v>
      </c>
      <c r="E2911" s="1">
        <f>IFERROR(__xludf.DUMMYFUNCTION("""COMPUTED_VALUE"""),393.27)</f>
        <v>393.27</v>
      </c>
      <c r="F2911" s="1">
        <f>IFERROR(__xludf.DUMMYFUNCTION("""COMPUTED_VALUE"""),206751.0)</f>
        <v>206751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IFERROR(__xludf.DUMMYFUNCTION("""COMPUTED_VALUE"""),391.94)</f>
        <v>391.94</v>
      </c>
      <c r="C2912" s="1">
        <f>IFERROR(__xludf.DUMMYFUNCTION("""COMPUTED_VALUE"""),393.87)</f>
        <v>393.87</v>
      </c>
      <c r="D2912" s="1">
        <f>IFERROR(__xludf.DUMMYFUNCTION("""COMPUTED_VALUE"""),389.13)</f>
        <v>389.13</v>
      </c>
      <c r="E2912" s="1">
        <f>IFERROR(__xludf.DUMMYFUNCTION("""COMPUTED_VALUE"""),392.75)</f>
        <v>392.75</v>
      </c>
      <c r="F2912" s="1">
        <f>IFERROR(__xludf.DUMMYFUNCTION("""COMPUTED_VALUE"""),316262.0)</f>
        <v>316262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IFERROR(__xludf.DUMMYFUNCTION("""COMPUTED_VALUE"""),392.07)</f>
        <v>392.07</v>
      </c>
      <c r="C2913" s="1">
        <f>IFERROR(__xludf.DUMMYFUNCTION("""COMPUTED_VALUE"""),401.9)</f>
        <v>401.9</v>
      </c>
      <c r="D2913" s="1">
        <f>IFERROR(__xludf.DUMMYFUNCTION("""COMPUTED_VALUE"""),392.0)</f>
        <v>392</v>
      </c>
      <c r="E2913" s="1">
        <f>IFERROR(__xludf.DUMMYFUNCTION("""COMPUTED_VALUE"""),399.62)</f>
        <v>399.62</v>
      </c>
      <c r="F2913" s="1">
        <f>IFERROR(__xludf.DUMMYFUNCTION("""COMPUTED_VALUE"""),234730.0)</f>
        <v>234730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IFERROR(__xludf.DUMMYFUNCTION("""COMPUTED_VALUE"""),400.59)</f>
        <v>400.59</v>
      </c>
      <c r="C2914" s="1">
        <f>IFERROR(__xludf.DUMMYFUNCTION("""COMPUTED_VALUE"""),407.66)</f>
        <v>407.66</v>
      </c>
      <c r="D2914" s="1">
        <f>IFERROR(__xludf.DUMMYFUNCTION("""COMPUTED_VALUE"""),400.59)</f>
        <v>400.59</v>
      </c>
      <c r="E2914" s="1">
        <f>IFERROR(__xludf.DUMMYFUNCTION("""COMPUTED_VALUE"""),405.52)</f>
        <v>405.52</v>
      </c>
      <c r="F2914" s="1">
        <f>IFERROR(__xludf.DUMMYFUNCTION("""COMPUTED_VALUE"""),225458.0)</f>
        <v>225458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IFERROR(__xludf.DUMMYFUNCTION("""COMPUTED_VALUE"""),405.18)</f>
        <v>405.18</v>
      </c>
      <c r="C2915" s="1">
        <f>IFERROR(__xludf.DUMMYFUNCTION("""COMPUTED_VALUE"""),410.15)</f>
        <v>410.15</v>
      </c>
      <c r="D2915" s="1">
        <f>IFERROR(__xludf.DUMMYFUNCTION("""COMPUTED_VALUE"""),405.14)</f>
        <v>405.14</v>
      </c>
      <c r="E2915" s="1">
        <f>IFERROR(__xludf.DUMMYFUNCTION("""COMPUTED_VALUE"""),406.92)</f>
        <v>406.92</v>
      </c>
      <c r="F2915" s="1">
        <f>IFERROR(__xludf.DUMMYFUNCTION("""COMPUTED_VALUE"""),405603.0)</f>
        <v>405603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IFERROR(__xludf.DUMMYFUNCTION("""COMPUTED_VALUE"""),408.71)</f>
        <v>408.71</v>
      </c>
      <c r="C2916" s="1">
        <f>IFERROR(__xludf.DUMMYFUNCTION("""COMPUTED_VALUE"""),410.52)</f>
        <v>410.52</v>
      </c>
      <c r="D2916" s="1">
        <f>IFERROR(__xludf.DUMMYFUNCTION("""COMPUTED_VALUE"""),401.63)</f>
        <v>401.63</v>
      </c>
      <c r="E2916" s="1">
        <f>IFERROR(__xludf.DUMMYFUNCTION("""COMPUTED_VALUE"""),405.6)</f>
        <v>405.6</v>
      </c>
      <c r="F2916" s="1">
        <f>IFERROR(__xludf.DUMMYFUNCTION("""COMPUTED_VALUE"""),408693.0)</f>
        <v>408693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IFERROR(__xludf.DUMMYFUNCTION("""COMPUTED_VALUE"""),406.4)</f>
        <v>406.4</v>
      </c>
      <c r="C2917" s="1">
        <f>IFERROR(__xludf.DUMMYFUNCTION("""COMPUTED_VALUE"""),412.05)</f>
        <v>412.05</v>
      </c>
      <c r="D2917" s="1">
        <f>IFERROR(__xludf.DUMMYFUNCTION("""COMPUTED_VALUE"""),404.31)</f>
        <v>404.31</v>
      </c>
      <c r="E2917" s="1">
        <f>IFERROR(__xludf.DUMMYFUNCTION("""COMPUTED_VALUE"""),411.24)</f>
        <v>411.24</v>
      </c>
      <c r="F2917" s="1">
        <f>IFERROR(__xludf.DUMMYFUNCTION("""COMPUTED_VALUE"""),352398.0)</f>
        <v>352398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IFERROR(__xludf.DUMMYFUNCTION("""COMPUTED_VALUE"""),410.24)</f>
        <v>410.24</v>
      </c>
      <c r="C2918" s="1">
        <f>IFERROR(__xludf.DUMMYFUNCTION("""COMPUTED_VALUE"""),420.25)</f>
        <v>420.25</v>
      </c>
      <c r="D2918" s="1">
        <f>IFERROR(__xludf.DUMMYFUNCTION("""COMPUTED_VALUE"""),406.09)</f>
        <v>406.09</v>
      </c>
      <c r="E2918" s="1">
        <f>IFERROR(__xludf.DUMMYFUNCTION("""COMPUTED_VALUE"""),416.31)</f>
        <v>416.31</v>
      </c>
      <c r="F2918" s="1">
        <f>IFERROR(__xludf.DUMMYFUNCTION("""COMPUTED_VALUE"""),463223.0)</f>
        <v>463223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IFERROR(__xludf.DUMMYFUNCTION("""COMPUTED_VALUE"""),418.66)</f>
        <v>418.66</v>
      </c>
      <c r="C2919" s="1">
        <f>IFERROR(__xludf.DUMMYFUNCTION("""COMPUTED_VALUE"""),418.66)</f>
        <v>418.66</v>
      </c>
      <c r="D2919" s="1">
        <f>IFERROR(__xludf.DUMMYFUNCTION("""COMPUTED_VALUE"""),405.21)</f>
        <v>405.21</v>
      </c>
      <c r="E2919" s="1">
        <f>IFERROR(__xludf.DUMMYFUNCTION("""COMPUTED_VALUE"""),409.97)</f>
        <v>409.97</v>
      </c>
      <c r="F2919" s="1">
        <f>IFERROR(__xludf.DUMMYFUNCTION("""COMPUTED_VALUE"""),447972.0)</f>
        <v>447972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IFERROR(__xludf.DUMMYFUNCTION("""COMPUTED_VALUE"""),409.22)</f>
        <v>409.22</v>
      </c>
      <c r="C2920" s="1">
        <f>IFERROR(__xludf.DUMMYFUNCTION("""COMPUTED_VALUE"""),411.09)</f>
        <v>411.09</v>
      </c>
      <c r="D2920" s="1">
        <f>IFERROR(__xludf.DUMMYFUNCTION("""COMPUTED_VALUE"""),400.15)</f>
        <v>400.15</v>
      </c>
      <c r="E2920" s="1">
        <f>IFERROR(__xludf.DUMMYFUNCTION("""COMPUTED_VALUE"""),408.41)</f>
        <v>408.41</v>
      </c>
      <c r="F2920" s="1">
        <f>IFERROR(__xludf.DUMMYFUNCTION("""COMPUTED_VALUE"""),307162.0)</f>
        <v>307162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IFERROR(__xludf.DUMMYFUNCTION("""COMPUTED_VALUE"""),408.79)</f>
        <v>408.79</v>
      </c>
      <c r="C2921" s="1">
        <f>IFERROR(__xludf.DUMMYFUNCTION("""COMPUTED_VALUE"""),411.6)</f>
        <v>411.6</v>
      </c>
      <c r="D2921" s="1">
        <f>IFERROR(__xludf.DUMMYFUNCTION("""COMPUTED_VALUE"""),405.04)</f>
        <v>405.04</v>
      </c>
      <c r="E2921" s="1">
        <f>IFERROR(__xludf.DUMMYFUNCTION("""COMPUTED_VALUE"""),409.41)</f>
        <v>409.41</v>
      </c>
      <c r="F2921" s="1">
        <f>IFERROR(__xludf.DUMMYFUNCTION("""COMPUTED_VALUE"""),236657.0)</f>
        <v>236657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IFERROR(__xludf.DUMMYFUNCTION("""COMPUTED_VALUE"""),409.19)</f>
        <v>409.19</v>
      </c>
      <c r="C2922" s="1">
        <f>IFERROR(__xludf.DUMMYFUNCTION("""COMPUTED_VALUE"""),411.03)</f>
        <v>411.03</v>
      </c>
      <c r="D2922" s="1">
        <f>IFERROR(__xludf.DUMMYFUNCTION("""COMPUTED_VALUE"""),405.53)</f>
        <v>405.53</v>
      </c>
      <c r="E2922" s="1">
        <f>IFERROR(__xludf.DUMMYFUNCTION("""COMPUTED_VALUE"""),407.29)</f>
        <v>407.29</v>
      </c>
      <c r="F2922" s="1">
        <f>IFERROR(__xludf.DUMMYFUNCTION("""COMPUTED_VALUE"""),184843.0)</f>
        <v>184843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IFERROR(__xludf.DUMMYFUNCTION("""COMPUTED_VALUE"""),411.93)</f>
        <v>411.93</v>
      </c>
      <c r="C2923" s="1">
        <f>IFERROR(__xludf.DUMMYFUNCTION("""COMPUTED_VALUE"""),411.93)</f>
        <v>411.93</v>
      </c>
      <c r="D2923" s="1">
        <f>IFERROR(__xludf.DUMMYFUNCTION("""COMPUTED_VALUE"""),396.99)</f>
        <v>396.99</v>
      </c>
      <c r="E2923" s="1">
        <f>IFERROR(__xludf.DUMMYFUNCTION("""COMPUTED_VALUE"""),399.26)</f>
        <v>399.26</v>
      </c>
      <c r="F2923" s="1">
        <f>IFERROR(__xludf.DUMMYFUNCTION("""COMPUTED_VALUE"""),307410.0)</f>
        <v>307410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IFERROR(__xludf.DUMMYFUNCTION("""COMPUTED_VALUE"""),399.17)</f>
        <v>399.17</v>
      </c>
      <c r="C2924" s="1">
        <f>IFERROR(__xludf.DUMMYFUNCTION("""COMPUTED_VALUE"""),408.28)</f>
        <v>408.28</v>
      </c>
      <c r="D2924" s="1">
        <f>IFERROR(__xludf.DUMMYFUNCTION("""COMPUTED_VALUE"""),399.17)</f>
        <v>399.17</v>
      </c>
      <c r="E2924" s="1">
        <f>IFERROR(__xludf.DUMMYFUNCTION("""COMPUTED_VALUE"""),407.78)</f>
        <v>407.78</v>
      </c>
      <c r="F2924" s="1">
        <f>IFERROR(__xludf.DUMMYFUNCTION("""COMPUTED_VALUE"""),173470.0)</f>
        <v>173470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IFERROR(__xludf.DUMMYFUNCTION("""COMPUTED_VALUE"""),407.55)</f>
        <v>407.55</v>
      </c>
      <c r="C2925" s="1">
        <f>IFERROR(__xludf.DUMMYFUNCTION("""COMPUTED_VALUE"""),411.53)</f>
        <v>411.53</v>
      </c>
      <c r="D2925" s="1">
        <f>IFERROR(__xludf.DUMMYFUNCTION("""COMPUTED_VALUE"""),406.88)</f>
        <v>406.88</v>
      </c>
      <c r="E2925" s="1">
        <f>IFERROR(__xludf.DUMMYFUNCTION("""COMPUTED_VALUE"""),411.22)</f>
        <v>411.22</v>
      </c>
      <c r="F2925" s="1">
        <f>IFERROR(__xludf.DUMMYFUNCTION("""COMPUTED_VALUE"""),184596.0)</f>
        <v>184596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IFERROR(__xludf.DUMMYFUNCTION("""COMPUTED_VALUE"""),411.23)</f>
        <v>411.23</v>
      </c>
      <c r="C2926" s="1">
        <f>IFERROR(__xludf.DUMMYFUNCTION("""COMPUTED_VALUE"""),416.74)</f>
        <v>416.74</v>
      </c>
      <c r="D2926" s="1">
        <f>IFERROR(__xludf.DUMMYFUNCTION("""COMPUTED_VALUE"""),408.46)</f>
        <v>408.46</v>
      </c>
      <c r="E2926" s="1">
        <f>IFERROR(__xludf.DUMMYFUNCTION("""COMPUTED_VALUE"""),416.03)</f>
        <v>416.03</v>
      </c>
      <c r="F2926" s="1">
        <f>IFERROR(__xludf.DUMMYFUNCTION("""COMPUTED_VALUE"""),167280.0)</f>
        <v>167280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IFERROR(__xludf.DUMMYFUNCTION("""COMPUTED_VALUE"""),416.12)</f>
        <v>416.12</v>
      </c>
      <c r="C2927" s="1">
        <f>IFERROR(__xludf.DUMMYFUNCTION("""COMPUTED_VALUE"""),417.96)</f>
        <v>417.96</v>
      </c>
      <c r="D2927" s="1">
        <f>IFERROR(__xludf.DUMMYFUNCTION("""COMPUTED_VALUE"""),411.28)</f>
        <v>411.28</v>
      </c>
      <c r="E2927" s="1">
        <f>IFERROR(__xludf.DUMMYFUNCTION("""COMPUTED_VALUE"""),417.45)</f>
        <v>417.45</v>
      </c>
      <c r="F2927" s="1">
        <f>IFERROR(__xludf.DUMMYFUNCTION("""COMPUTED_VALUE"""),201925.0)</f>
        <v>201925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IFERROR(__xludf.DUMMYFUNCTION("""COMPUTED_VALUE"""),416.82)</f>
        <v>416.82</v>
      </c>
      <c r="C2928" s="1">
        <f>IFERROR(__xludf.DUMMYFUNCTION("""COMPUTED_VALUE"""),423.63)</f>
        <v>423.63</v>
      </c>
      <c r="D2928" s="1">
        <f>IFERROR(__xludf.DUMMYFUNCTION("""COMPUTED_VALUE"""),415.8)</f>
        <v>415.8</v>
      </c>
      <c r="E2928" s="1">
        <f>IFERROR(__xludf.DUMMYFUNCTION("""COMPUTED_VALUE"""),416.08)</f>
        <v>416.08</v>
      </c>
      <c r="F2928" s="1">
        <f>IFERROR(__xludf.DUMMYFUNCTION("""COMPUTED_VALUE"""),183254.0)</f>
        <v>183254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IFERROR(__xludf.DUMMYFUNCTION("""COMPUTED_VALUE"""),412.98)</f>
        <v>412.98</v>
      </c>
      <c r="C2929" s="1">
        <f>IFERROR(__xludf.DUMMYFUNCTION("""COMPUTED_VALUE"""),424.24)</f>
        <v>424.24</v>
      </c>
      <c r="D2929" s="1">
        <f>IFERROR(__xludf.DUMMYFUNCTION("""COMPUTED_VALUE"""),410.19)</f>
        <v>410.19</v>
      </c>
      <c r="E2929" s="1">
        <f>IFERROR(__xludf.DUMMYFUNCTION("""COMPUTED_VALUE"""),420.33)</f>
        <v>420.33</v>
      </c>
      <c r="F2929" s="1">
        <f>IFERROR(__xludf.DUMMYFUNCTION("""COMPUTED_VALUE"""),183214.0)</f>
        <v>183214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IFERROR(__xludf.DUMMYFUNCTION("""COMPUTED_VALUE"""),421.27)</f>
        <v>421.27</v>
      </c>
      <c r="C2930" s="1">
        <f>IFERROR(__xludf.DUMMYFUNCTION("""COMPUTED_VALUE"""),425.51)</f>
        <v>425.51</v>
      </c>
      <c r="D2930" s="1">
        <f>IFERROR(__xludf.DUMMYFUNCTION("""COMPUTED_VALUE"""),420.55)</f>
        <v>420.55</v>
      </c>
      <c r="E2930" s="1">
        <f>IFERROR(__xludf.DUMMYFUNCTION("""COMPUTED_VALUE"""),424.75)</f>
        <v>424.75</v>
      </c>
      <c r="F2930" s="1">
        <f>IFERROR(__xludf.DUMMYFUNCTION("""COMPUTED_VALUE"""),210625.0)</f>
        <v>210625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IFERROR(__xludf.DUMMYFUNCTION("""COMPUTED_VALUE"""),427.19)</f>
        <v>427.19</v>
      </c>
      <c r="C2931" s="1">
        <f>IFERROR(__xludf.DUMMYFUNCTION("""COMPUTED_VALUE"""),431.29)</f>
        <v>431.29</v>
      </c>
      <c r="D2931" s="1">
        <f>IFERROR(__xludf.DUMMYFUNCTION("""COMPUTED_VALUE"""),425.19)</f>
        <v>425.19</v>
      </c>
      <c r="E2931" s="1">
        <f>IFERROR(__xludf.DUMMYFUNCTION("""COMPUTED_VALUE"""),425.81)</f>
        <v>425.81</v>
      </c>
      <c r="F2931" s="1">
        <f>IFERROR(__xludf.DUMMYFUNCTION("""COMPUTED_VALUE"""),234111.0)</f>
        <v>234111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IFERROR(__xludf.DUMMYFUNCTION("""COMPUTED_VALUE"""),426.0)</f>
        <v>426</v>
      </c>
      <c r="C2932" s="1">
        <f>IFERROR(__xludf.DUMMYFUNCTION("""COMPUTED_VALUE"""),429.39)</f>
        <v>429.39</v>
      </c>
      <c r="D2932" s="1">
        <f>IFERROR(__xludf.DUMMYFUNCTION("""COMPUTED_VALUE"""),423.34)</f>
        <v>423.34</v>
      </c>
      <c r="E2932" s="1">
        <f>IFERROR(__xludf.DUMMYFUNCTION("""COMPUTED_VALUE"""),427.51)</f>
        <v>427.51</v>
      </c>
      <c r="F2932" s="1">
        <f>IFERROR(__xludf.DUMMYFUNCTION("""COMPUTED_VALUE"""),217422.0)</f>
        <v>217422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IFERROR(__xludf.DUMMYFUNCTION("""COMPUTED_VALUE"""),427.68)</f>
        <v>427.68</v>
      </c>
      <c r="C2933" s="1">
        <f>IFERROR(__xludf.DUMMYFUNCTION("""COMPUTED_VALUE"""),433.38)</f>
        <v>433.38</v>
      </c>
      <c r="D2933" s="1">
        <f>IFERROR(__xludf.DUMMYFUNCTION("""COMPUTED_VALUE"""),424.63)</f>
        <v>424.63</v>
      </c>
      <c r="E2933" s="1">
        <f>IFERROR(__xludf.DUMMYFUNCTION("""COMPUTED_VALUE"""),432.89)</f>
        <v>432.89</v>
      </c>
      <c r="F2933" s="1">
        <f>IFERROR(__xludf.DUMMYFUNCTION("""COMPUTED_VALUE"""),182341.0)</f>
        <v>182341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IFERROR(__xludf.DUMMYFUNCTION("""COMPUTED_VALUE"""),432.89)</f>
        <v>432.89</v>
      </c>
      <c r="C2934" s="1">
        <f>IFERROR(__xludf.DUMMYFUNCTION("""COMPUTED_VALUE"""),439.38)</f>
        <v>439.38</v>
      </c>
      <c r="D2934" s="1">
        <f>IFERROR(__xludf.DUMMYFUNCTION("""COMPUTED_VALUE"""),431.2)</f>
        <v>431.2</v>
      </c>
      <c r="E2934" s="1">
        <f>IFERROR(__xludf.DUMMYFUNCTION("""COMPUTED_VALUE"""),437.65)</f>
        <v>437.65</v>
      </c>
      <c r="F2934" s="1">
        <f>IFERROR(__xludf.DUMMYFUNCTION("""COMPUTED_VALUE"""),218397.0)</f>
        <v>218397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IFERROR(__xludf.DUMMYFUNCTION("""COMPUTED_VALUE"""),440.22)</f>
        <v>440.22</v>
      </c>
      <c r="C2935" s="1">
        <f>IFERROR(__xludf.DUMMYFUNCTION("""COMPUTED_VALUE"""),443.56)</f>
        <v>443.56</v>
      </c>
      <c r="D2935" s="1">
        <f>IFERROR(__xludf.DUMMYFUNCTION("""COMPUTED_VALUE"""),436.05)</f>
        <v>436.05</v>
      </c>
      <c r="E2935" s="1">
        <f>IFERROR(__xludf.DUMMYFUNCTION("""COMPUTED_VALUE"""),436.75)</f>
        <v>436.75</v>
      </c>
      <c r="F2935" s="1">
        <f>IFERROR(__xludf.DUMMYFUNCTION("""COMPUTED_VALUE"""),223666.0)</f>
        <v>223666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IFERROR(__xludf.DUMMYFUNCTION("""COMPUTED_VALUE"""),436.75)</f>
        <v>436.75</v>
      </c>
      <c r="C2936" s="1">
        <f>IFERROR(__xludf.DUMMYFUNCTION("""COMPUTED_VALUE"""),445.2)</f>
        <v>445.2</v>
      </c>
      <c r="D2936" s="1">
        <f>IFERROR(__xludf.DUMMYFUNCTION("""COMPUTED_VALUE"""),436.75)</f>
        <v>436.75</v>
      </c>
      <c r="E2936" s="1">
        <f>IFERROR(__xludf.DUMMYFUNCTION("""COMPUTED_VALUE"""),444.68)</f>
        <v>444.68</v>
      </c>
      <c r="F2936" s="1">
        <f>IFERROR(__xludf.DUMMYFUNCTION("""COMPUTED_VALUE"""),185216.0)</f>
        <v>185216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IFERROR(__xludf.DUMMYFUNCTION("""COMPUTED_VALUE"""),445.87)</f>
        <v>445.87</v>
      </c>
      <c r="C2937" s="1">
        <f>IFERROR(__xludf.DUMMYFUNCTION("""COMPUTED_VALUE"""),447.08)</f>
        <v>447.08</v>
      </c>
      <c r="D2937" s="1">
        <f>IFERROR(__xludf.DUMMYFUNCTION("""COMPUTED_VALUE"""),441.23)</f>
        <v>441.23</v>
      </c>
      <c r="E2937" s="1">
        <f>IFERROR(__xludf.DUMMYFUNCTION("""COMPUTED_VALUE"""),443.86)</f>
        <v>443.86</v>
      </c>
      <c r="F2937" s="1">
        <f>IFERROR(__xludf.DUMMYFUNCTION("""COMPUTED_VALUE"""),348581.0)</f>
        <v>348581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IFERROR(__xludf.DUMMYFUNCTION("""COMPUTED_VALUE"""),442.98)</f>
        <v>442.98</v>
      </c>
      <c r="C2938" s="1">
        <f>IFERROR(__xludf.DUMMYFUNCTION("""COMPUTED_VALUE"""),445.3)</f>
        <v>445.3</v>
      </c>
      <c r="D2938" s="1">
        <f>IFERROR(__xludf.DUMMYFUNCTION("""COMPUTED_VALUE"""),440.89)</f>
        <v>440.89</v>
      </c>
      <c r="E2938" s="1">
        <f>IFERROR(__xludf.DUMMYFUNCTION("""COMPUTED_VALUE"""),443.79)</f>
        <v>443.79</v>
      </c>
      <c r="F2938" s="1">
        <f>IFERROR(__xludf.DUMMYFUNCTION("""COMPUTED_VALUE"""),269751.0)</f>
        <v>269751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IFERROR(__xludf.DUMMYFUNCTION("""COMPUTED_VALUE"""),445.34)</f>
        <v>445.34</v>
      </c>
      <c r="C2939" s="1">
        <f>IFERROR(__xludf.DUMMYFUNCTION("""COMPUTED_VALUE"""),450.39)</f>
        <v>450.39</v>
      </c>
      <c r="D2939" s="1">
        <f>IFERROR(__xludf.DUMMYFUNCTION("""COMPUTED_VALUE"""),444.74)</f>
        <v>444.74</v>
      </c>
      <c r="E2939" s="1">
        <f>IFERROR(__xludf.DUMMYFUNCTION("""COMPUTED_VALUE"""),449.04)</f>
        <v>449.04</v>
      </c>
      <c r="F2939" s="1">
        <f>IFERROR(__xludf.DUMMYFUNCTION("""COMPUTED_VALUE"""),251164.0)</f>
        <v>251164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IFERROR(__xludf.DUMMYFUNCTION("""COMPUTED_VALUE"""),449.01)</f>
        <v>449.01</v>
      </c>
      <c r="C2940" s="1">
        <f>IFERROR(__xludf.DUMMYFUNCTION("""COMPUTED_VALUE"""),450.67)</f>
        <v>450.67</v>
      </c>
      <c r="D2940" s="1">
        <f>IFERROR(__xludf.DUMMYFUNCTION("""COMPUTED_VALUE"""),444.79)</f>
        <v>444.79</v>
      </c>
      <c r="E2940" s="1">
        <f>IFERROR(__xludf.DUMMYFUNCTION("""COMPUTED_VALUE"""),449.55)</f>
        <v>449.55</v>
      </c>
      <c r="F2940" s="1">
        <f>IFERROR(__xludf.DUMMYFUNCTION("""COMPUTED_VALUE"""),223664.0)</f>
        <v>223664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IFERROR(__xludf.DUMMYFUNCTION("""COMPUTED_VALUE"""),447.52)</f>
        <v>447.52</v>
      </c>
      <c r="C2941" s="1">
        <f>IFERROR(__xludf.DUMMYFUNCTION("""COMPUTED_VALUE"""),450.04)</f>
        <v>450.04</v>
      </c>
      <c r="D2941" s="1">
        <f>IFERROR(__xludf.DUMMYFUNCTION("""COMPUTED_VALUE"""),441.91)</f>
        <v>441.91</v>
      </c>
      <c r="E2941" s="1">
        <f>IFERROR(__xludf.DUMMYFUNCTION("""COMPUTED_VALUE"""),449.17)</f>
        <v>449.17</v>
      </c>
      <c r="F2941" s="1">
        <f>IFERROR(__xludf.DUMMYFUNCTION("""COMPUTED_VALUE"""),256772.0)</f>
        <v>256772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IFERROR(__xludf.DUMMYFUNCTION("""COMPUTED_VALUE"""),448.55)</f>
        <v>448.55</v>
      </c>
      <c r="C2942" s="1">
        <f>IFERROR(__xludf.DUMMYFUNCTION("""COMPUTED_VALUE"""),450.84)</f>
        <v>450.84</v>
      </c>
      <c r="D2942" s="1">
        <f>IFERROR(__xludf.DUMMYFUNCTION("""COMPUTED_VALUE"""),444.21)</f>
        <v>444.21</v>
      </c>
      <c r="E2942" s="1">
        <f>IFERROR(__xludf.DUMMYFUNCTION("""COMPUTED_VALUE"""),445.5)</f>
        <v>445.5</v>
      </c>
      <c r="F2942" s="1">
        <f>IFERROR(__xludf.DUMMYFUNCTION("""COMPUTED_VALUE"""),341672.0)</f>
        <v>341672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IFERROR(__xludf.DUMMYFUNCTION("""COMPUTED_VALUE"""),446.24)</f>
        <v>446.24</v>
      </c>
      <c r="C2943" s="1">
        <f>IFERROR(__xludf.DUMMYFUNCTION("""COMPUTED_VALUE"""),447.38)</f>
        <v>447.38</v>
      </c>
      <c r="D2943" s="1">
        <f>IFERROR(__xludf.DUMMYFUNCTION("""COMPUTED_VALUE"""),441.29)</f>
        <v>441.29</v>
      </c>
      <c r="E2943" s="1">
        <f>IFERROR(__xludf.DUMMYFUNCTION("""COMPUTED_VALUE"""),443.0)</f>
        <v>443</v>
      </c>
      <c r="F2943" s="1">
        <f>IFERROR(__xludf.DUMMYFUNCTION("""COMPUTED_VALUE"""),320482.0)</f>
        <v>320482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IFERROR(__xludf.DUMMYFUNCTION("""COMPUTED_VALUE"""),444.66)</f>
        <v>444.66</v>
      </c>
      <c r="C2944" s="1">
        <f>IFERROR(__xludf.DUMMYFUNCTION("""COMPUTED_VALUE"""),446.94)</f>
        <v>446.94</v>
      </c>
      <c r="D2944" s="1">
        <f>IFERROR(__xludf.DUMMYFUNCTION("""COMPUTED_VALUE"""),440.86)</f>
        <v>440.86</v>
      </c>
      <c r="E2944" s="1">
        <f>IFERROR(__xludf.DUMMYFUNCTION("""COMPUTED_VALUE"""),441.0)</f>
        <v>441</v>
      </c>
      <c r="F2944" s="1">
        <f>IFERROR(__xludf.DUMMYFUNCTION("""COMPUTED_VALUE"""),597808.0)</f>
        <v>597808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IFERROR(__xludf.DUMMYFUNCTION("""COMPUTED_VALUE"""),442.73)</f>
        <v>442.73</v>
      </c>
      <c r="C2945" s="1">
        <f>IFERROR(__xludf.DUMMYFUNCTION("""COMPUTED_VALUE"""),443.87)</f>
        <v>443.87</v>
      </c>
      <c r="D2945" s="1">
        <f>IFERROR(__xludf.DUMMYFUNCTION("""COMPUTED_VALUE"""),423.97)</f>
        <v>423.97</v>
      </c>
      <c r="E2945" s="1">
        <f>IFERROR(__xludf.DUMMYFUNCTION("""COMPUTED_VALUE"""),431.22)</f>
        <v>431.22</v>
      </c>
      <c r="F2945" s="1">
        <f>IFERROR(__xludf.DUMMYFUNCTION("""COMPUTED_VALUE"""),409427.0)</f>
        <v>409427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IFERROR(__xludf.DUMMYFUNCTION("""COMPUTED_VALUE"""),433.85)</f>
        <v>433.85</v>
      </c>
      <c r="C2946" s="1">
        <f>IFERROR(__xludf.DUMMYFUNCTION("""COMPUTED_VALUE"""),441.43)</f>
        <v>441.43</v>
      </c>
      <c r="D2946" s="1">
        <f>IFERROR(__xludf.DUMMYFUNCTION("""COMPUTED_VALUE"""),433.85)</f>
        <v>433.85</v>
      </c>
      <c r="E2946" s="1">
        <f>IFERROR(__xludf.DUMMYFUNCTION("""COMPUTED_VALUE"""),436.24)</f>
        <v>436.24</v>
      </c>
      <c r="F2946" s="1">
        <f>IFERROR(__xludf.DUMMYFUNCTION("""COMPUTED_VALUE"""),459114.0)</f>
        <v>459114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IFERROR(__xludf.DUMMYFUNCTION("""COMPUTED_VALUE"""),435.42)</f>
        <v>435.42</v>
      </c>
      <c r="C2947" s="1">
        <f>IFERROR(__xludf.DUMMYFUNCTION("""COMPUTED_VALUE"""),440.67)</f>
        <v>440.67</v>
      </c>
      <c r="D2947" s="1">
        <f>IFERROR(__xludf.DUMMYFUNCTION("""COMPUTED_VALUE"""),432.32)</f>
        <v>432.32</v>
      </c>
      <c r="E2947" s="1">
        <f>IFERROR(__xludf.DUMMYFUNCTION("""COMPUTED_VALUE"""),439.79)</f>
        <v>439.79</v>
      </c>
      <c r="F2947" s="1">
        <f>IFERROR(__xludf.DUMMYFUNCTION("""COMPUTED_VALUE"""),550555.0)</f>
        <v>550555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IFERROR(__xludf.DUMMYFUNCTION("""COMPUTED_VALUE"""),439.82)</f>
        <v>439.82</v>
      </c>
      <c r="C2948" s="1">
        <f>IFERROR(__xludf.DUMMYFUNCTION("""COMPUTED_VALUE"""),441.52)</f>
        <v>441.52</v>
      </c>
      <c r="D2948" s="1">
        <f>IFERROR(__xludf.DUMMYFUNCTION("""COMPUTED_VALUE"""),435.49)</f>
        <v>435.49</v>
      </c>
      <c r="E2948" s="1">
        <f>IFERROR(__xludf.DUMMYFUNCTION("""COMPUTED_VALUE"""),437.19)</f>
        <v>437.19</v>
      </c>
      <c r="F2948" s="1">
        <f>IFERROR(__xludf.DUMMYFUNCTION("""COMPUTED_VALUE"""),434034.0)</f>
        <v>434034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IFERROR(__xludf.DUMMYFUNCTION("""COMPUTED_VALUE"""),435.59)</f>
        <v>435.59</v>
      </c>
      <c r="C2949" s="1">
        <f>IFERROR(__xludf.DUMMYFUNCTION("""COMPUTED_VALUE"""),441.83)</f>
        <v>441.83</v>
      </c>
      <c r="D2949" s="1">
        <f>IFERROR(__xludf.DUMMYFUNCTION("""COMPUTED_VALUE"""),432.56)</f>
        <v>432.56</v>
      </c>
      <c r="E2949" s="1">
        <f>IFERROR(__xludf.DUMMYFUNCTION("""COMPUTED_VALUE"""),440.45)</f>
        <v>440.45</v>
      </c>
      <c r="F2949" s="1">
        <f>IFERROR(__xludf.DUMMYFUNCTION("""COMPUTED_VALUE"""),1308105.0)</f>
        <v>1308105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IFERROR(__xludf.DUMMYFUNCTION("""COMPUTED_VALUE"""),432.13)</f>
        <v>432.13</v>
      </c>
      <c r="C2950" s="1">
        <f>IFERROR(__xludf.DUMMYFUNCTION("""COMPUTED_VALUE"""),440.78)</f>
        <v>440.78</v>
      </c>
      <c r="D2950" s="1">
        <f>IFERROR(__xludf.DUMMYFUNCTION("""COMPUTED_VALUE"""),429.2)</f>
        <v>429.2</v>
      </c>
      <c r="E2950" s="1">
        <f>IFERROR(__xludf.DUMMYFUNCTION("""COMPUTED_VALUE"""),433.05)</f>
        <v>433.05</v>
      </c>
      <c r="F2950" s="1">
        <f>IFERROR(__xludf.DUMMYFUNCTION("""COMPUTED_VALUE"""),422311.0)</f>
        <v>422311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IFERROR(__xludf.DUMMYFUNCTION("""COMPUTED_VALUE"""),436.12)</f>
        <v>436.12</v>
      </c>
      <c r="C2951" s="1">
        <f>IFERROR(__xludf.DUMMYFUNCTION("""COMPUTED_VALUE"""),442.5)</f>
        <v>442.5</v>
      </c>
      <c r="D2951" s="1">
        <f>IFERROR(__xludf.DUMMYFUNCTION("""COMPUTED_VALUE"""),434.0)</f>
        <v>434</v>
      </c>
      <c r="E2951" s="1">
        <f>IFERROR(__xludf.DUMMYFUNCTION("""COMPUTED_VALUE"""),439.95)</f>
        <v>439.95</v>
      </c>
      <c r="F2951" s="1">
        <f>IFERROR(__xludf.DUMMYFUNCTION("""COMPUTED_VALUE"""),468087.0)</f>
        <v>468087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IFERROR(__xludf.DUMMYFUNCTION("""COMPUTED_VALUE"""),440.0)</f>
        <v>440</v>
      </c>
      <c r="C2952" s="1">
        <f>IFERROR(__xludf.DUMMYFUNCTION("""COMPUTED_VALUE"""),448.91)</f>
        <v>448.91</v>
      </c>
      <c r="D2952" s="1">
        <f>IFERROR(__xludf.DUMMYFUNCTION("""COMPUTED_VALUE"""),436.84)</f>
        <v>436.84</v>
      </c>
      <c r="E2952" s="1">
        <f>IFERROR(__xludf.DUMMYFUNCTION("""COMPUTED_VALUE"""),446.34)</f>
        <v>446.34</v>
      </c>
      <c r="F2952" s="1">
        <f>IFERROR(__xludf.DUMMYFUNCTION("""COMPUTED_VALUE"""),292378.0)</f>
        <v>292378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IFERROR(__xludf.DUMMYFUNCTION("""COMPUTED_VALUE"""),448.9)</f>
        <v>448.9</v>
      </c>
      <c r="C2953" s="1">
        <f>IFERROR(__xludf.DUMMYFUNCTION("""COMPUTED_VALUE"""),458.27)</f>
        <v>458.27</v>
      </c>
      <c r="D2953" s="1">
        <f>IFERROR(__xludf.DUMMYFUNCTION("""COMPUTED_VALUE"""),448.21)</f>
        <v>448.21</v>
      </c>
      <c r="E2953" s="1">
        <f>IFERROR(__xludf.DUMMYFUNCTION("""COMPUTED_VALUE"""),455.04)</f>
        <v>455.04</v>
      </c>
      <c r="F2953" s="1">
        <f>IFERROR(__xludf.DUMMYFUNCTION("""COMPUTED_VALUE"""),277142.0)</f>
        <v>277142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IFERROR(__xludf.DUMMYFUNCTION("""COMPUTED_VALUE"""),453.23)</f>
        <v>453.23</v>
      </c>
      <c r="C2954" s="1">
        <f>IFERROR(__xludf.DUMMYFUNCTION("""COMPUTED_VALUE"""),460.21)</f>
        <v>460.21</v>
      </c>
      <c r="D2954" s="1">
        <f>IFERROR(__xludf.DUMMYFUNCTION("""COMPUTED_VALUE"""),453.04)</f>
        <v>453.04</v>
      </c>
      <c r="E2954" s="1">
        <f>IFERROR(__xludf.DUMMYFUNCTION("""COMPUTED_VALUE"""),458.3)</f>
        <v>458.3</v>
      </c>
      <c r="F2954" s="1">
        <f>IFERROR(__xludf.DUMMYFUNCTION("""COMPUTED_VALUE"""),307471.0)</f>
        <v>307471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IFERROR(__xludf.DUMMYFUNCTION("""COMPUTED_VALUE"""),455.2)</f>
        <v>455.2</v>
      </c>
      <c r="C2955" s="1">
        <f>IFERROR(__xludf.DUMMYFUNCTION("""COMPUTED_VALUE"""),455.6)</f>
        <v>455.6</v>
      </c>
      <c r="D2955" s="1">
        <f>IFERROR(__xludf.DUMMYFUNCTION("""COMPUTED_VALUE"""),426.58)</f>
        <v>426.58</v>
      </c>
      <c r="E2955" s="1">
        <f>IFERROR(__xludf.DUMMYFUNCTION("""COMPUTED_VALUE"""),432.47)</f>
        <v>432.47</v>
      </c>
      <c r="F2955" s="1">
        <f>IFERROR(__xludf.DUMMYFUNCTION("""COMPUTED_VALUE"""),646924.0)</f>
        <v>646924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IFERROR(__xludf.DUMMYFUNCTION("""COMPUTED_VALUE"""),426.28)</f>
        <v>426.28</v>
      </c>
      <c r="C2956" s="1">
        <f>IFERROR(__xludf.DUMMYFUNCTION("""COMPUTED_VALUE"""),427.48)</f>
        <v>427.48</v>
      </c>
      <c r="D2956" s="1">
        <f>IFERROR(__xludf.DUMMYFUNCTION("""COMPUTED_VALUE"""),412.66)</f>
        <v>412.66</v>
      </c>
      <c r="E2956" s="1">
        <f>IFERROR(__xludf.DUMMYFUNCTION("""COMPUTED_VALUE"""),417.71)</f>
        <v>417.71</v>
      </c>
      <c r="F2956" s="1">
        <f>IFERROR(__xludf.DUMMYFUNCTION("""COMPUTED_VALUE"""),443021.0)</f>
        <v>443021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IFERROR(__xludf.DUMMYFUNCTION("""COMPUTED_VALUE"""),422.37)</f>
        <v>422.37</v>
      </c>
      <c r="C2957" s="1">
        <f>IFERROR(__xludf.DUMMYFUNCTION("""COMPUTED_VALUE"""),425.42)</f>
        <v>425.42</v>
      </c>
      <c r="D2957" s="1">
        <f>IFERROR(__xludf.DUMMYFUNCTION("""COMPUTED_VALUE"""),418.64)</f>
        <v>418.64</v>
      </c>
      <c r="E2957" s="1">
        <f>IFERROR(__xludf.DUMMYFUNCTION("""COMPUTED_VALUE"""),423.09)</f>
        <v>423.09</v>
      </c>
      <c r="F2957" s="1">
        <f>IFERROR(__xludf.DUMMYFUNCTION("""COMPUTED_VALUE"""),276120.0)</f>
        <v>276120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IFERROR(__xludf.DUMMYFUNCTION("""COMPUTED_VALUE"""),423.08)</f>
        <v>423.08</v>
      </c>
      <c r="C2958" s="1">
        <f>IFERROR(__xludf.DUMMYFUNCTION("""COMPUTED_VALUE"""),430.53)</f>
        <v>430.53</v>
      </c>
      <c r="D2958" s="1">
        <f>IFERROR(__xludf.DUMMYFUNCTION("""COMPUTED_VALUE"""),412.26)</f>
        <v>412.26</v>
      </c>
      <c r="E2958" s="1">
        <f>IFERROR(__xludf.DUMMYFUNCTION("""COMPUTED_VALUE"""),412.67)</f>
        <v>412.67</v>
      </c>
      <c r="F2958" s="1">
        <f>IFERROR(__xludf.DUMMYFUNCTION("""COMPUTED_VALUE"""),392685.0)</f>
        <v>392685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IFERROR(__xludf.DUMMYFUNCTION("""COMPUTED_VALUE"""),412.61)</f>
        <v>412.61</v>
      </c>
      <c r="C2959" s="1">
        <f>IFERROR(__xludf.DUMMYFUNCTION("""COMPUTED_VALUE"""),418.91)</f>
        <v>418.91</v>
      </c>
      <c r="D2959" s="1">
        <f>IFERROR(__xludf.DUMMYFUNCTION("""COMPUTED_VALUE"""),401.01)</f>
        <v>401.01</v>
      </c>
      <c r="E2959" s="1">
        <f>IFERROR(__xludf.DUMMYFUNCTION("""COMPUTED_VALUE"""),416.69)</f>
        <v>416.69</v>
      </c>
      <c r="F2959" s="1">
        <f>IFERROR(__xludf.DUMMYFUNCTION("""COMPUTED_VALUE"""),390091.0)</f>
        <v>390091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IFERROR(__xludf.DUMMYFUNCTION("""COMPUTED_VALUE"""),412.98)</f>
        <v>412.98</v>
      </c>
      <c r="C2960" s="1">
        <f>IFERROR(__xludf.DUMMYFUNCTION("""COMPUTED_VALUE"""),412.99)</f>
        <v>412.99</v>
      </c>
      <c r="D2960" s="1">
        <f>IFERROR(__xludf.DUMMYFUNCTION("""COMPUTED_VALUE"""),397.0)</f>
        <v>397</v>
      </c>
      <c r="E2960" s="1">
        <f>IFERROR(__xludf.DUMMYFUNCTION("""COMPUTED_VALUE"""),398.46)</f>
        <v>398.46</v>
      </c>
      <c r="F2960" s="1">
        <f>IFERROR(__xludf.DUMMYFUNCTION("""COMPUTED_VALUE"""),645615.0)</f>
        <v>645615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IFERROR(__xludf.DUMMYFUNCTION("""COMPUTED_VALUE"""),402.15)</f>
        <v>402.15</v>
      </c>
      <c r="C2961" s="1">
        <f>IFERROR(__xludf.DUMMYFUNCTION("""COMPUTED_VALUE"""),405.88)</f>
        <v>405.88</v>
      </c>
      <c r="D2961" s="1">
        <f>IFERROR(__xludf.DUMMYFUNCTION("""COMPUTED_VALUE"""),397.04)</f>
        <v>397.04</v>
      </c>
      <c r="E2961" s="1">
        <f>IFERROR(__xludf.DUMMYFUNCTION("""COMPUTED_VALUE"""),401.36)</f>
        <v>401.36</v>
      </c>
      <c r="F2961" s="1">
        <f>IFERROR(__xludf.DUMMYFUNCTION("""COMPUTED_VALUE"""),572248.0)</f>
        <v>572248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IFERROR(__xludf.DUMMYFUNCTION("""COMPUTED_VALUE"""),398.73)</f>
        <v>398.73</v>
      </c>
      <c r="C2962" s="1">
        <f>IFERROR(__xludf.DUMMYFUNCTION("""COMPUTED_VALUE"""),408.87)</f>
        <v>408.87</v>
      </c>
      <c r="D2962" s="1">
        <f>IFERROR(__xludf.DUMMYFUNCTION("""COMPUTED_VALUE"""),397.05)</f>
        <v>397.05</v>
      </c>
      <c r="E2962" s="1">
        <f>IFERROR(__xludf.DUMMYFUNCTION("""COMPUTED_VALUE"""),407.82)</f>
        <v>407.82</v>
      </c>
      <c r="F2962" s="1">
        <f>IFERROR(__xludf.DUMMYFUNCTION("""COMPUTED_VALUE"""),543769.0)</f>
        <v>543769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IFERROR(__xludf.DUMMYFUNCTION("""COMPUTED_VALUE"""),411.62)</f>
        <v>411.62</v>
      </c>
      <c r="C2963" s="1">
        <f>IFERROR(__xludf.DUMMYFUNCTION("""COMPUTED_VALUE"""),423.61)</f>
        <v>423.61</v>
      </c>
      <c r="D2963" s="1">
        <f>IFERROR(__xludf.DUMMYFUNCTION("""COMPUTED_VALUE"""),411.62)</f>
        <v>411.62</v>
      </c>
      <c r="E2963" s="1">
        <f>IFERROR(__xludf.DUMMYFUNCTION("""COMPUTED_VALUE"""),416.57)</f>
        <v>416.57</v>
      </c>
      <c r="F2963" s="1">
        <f>IFERROR(__xludf.DUMMYFUNCTION("""COMPUTED_VALUE"""),355071.0)</f>
        <v>355071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IFERROR(__xludf.DUMMYFUNCTION("""COMPUTED_VALUE"""),417.48)</f>
        <v>417.48</v>
      </c>
      <c r="C2964" s="1">
        <f>IFERROR(__xludf.DUMMYFUNCTION("""COMPUTED_VALUE"""),417.49)</f>
        <v>417.49</v>
      </c>
      <c r="D2964" s="1">
        <f>IFERROR(__xludf.DUMMYFUNCTION("""COMPUTED_VALUE"""),407.76)</f>
        <v>407.76</v>
      </c>
      <c r="E2964" s="1">
        <f>IFERROR(__xludf.DUMMYFUNCTION("""COMPUTED_VALUE"""),409.16)</f>
        <v>409.16</v>
      </c>
      <c r="F2964" s="1">
        <f>IFERROR(__xludf.DUMMYFUNCTION("""COMPUTED_VALUE"""),228794.0)</f>
        <v>228794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IFERROR(__xludf.DUMMYFUNCTION("""COMPUTED_VALUE"""),406.24)</f>
        <v>406.24</v>
      </c>
      <c r="C2965" s="1">
        <f>IFERROR(__xludf.DUMMYFUNCTION("""COMPUTED_VALUE"""),411.08)</f>
        <v>411.08</v>
      </c>
      <c r="D2965" s="1">
        <f>IFERROR(__xludf.DUMMYFUNCTION("""COMPUTED_VALUE"""),404.97)</f>
        <v>404.97</v>
      </c>
      <c r="E2965" s="1">
        <f>IFERROR(__xludf.DUMMYFUNCTION("""COMPUTED_VALUE"""),407.76)</f>
        <v>407.76</v>
      </c>
      <c r="F2965" s="1">
        <f>IFERROR(__xludf.DUMMYFUNCTION("""COMPUTED_VALUE"""),187135.0)</f>
        <v>187135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IFERROR(__xludf.DUMMYFUNCTION("""COMPUTED_VALUE"""),410.5)</f>
        <v>410.5</v>
      </c>
      <c r="C2966" s="1">
        <f>IFERROR(__xludf.DUMMYFUNCTION("""COMPUTED_VALUE"""),413.72)</f>
        <v>413.72</v>
      </c>
      <c r="D2966" s="1">
        <f>IFERROR(__xludf.DUMMYFUNCTION("""COMPUTED_VALUE"""),405.38)</f>
        <v>405.38</v>
      </c>
      <c r="E2966" s="1">
        <f>IFERROR(__xludf.DUMMYFUNCTION("""COMPUTED_VALUE"""),408.03)</f>
        <v>408.03</v>
      </c>
      <c r="F2966" s="1">
        <f>IFERROR(__xludf.DUMMYFUNCTION("""COMPUTED_VALUE"""),207649.0)</f>
        <v>207649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IFERROR(__xludf.DUMMYFUNCTION("""COMPUTED_VALUE"""),411.77)</f>
        <v>411.77</v>
      </c>
      <c r="C2967" s="1">
        <f>IFERROR(__xludf.DUMMYFUNCTION("""COMPUTED_VALUE"""),412.09)</f>
        <v>412.09</v>
      </c>
      <c r="D2967" s="1">
        <f>IFERROR(__xludf.DUMMYFUNCTION("""COMPUTED_VALUE"""),401.82)</f>
        <v>401.82</v>
      </c>
      <c r="E2967" s="1">
        <f>IFERROR(__xludf.DUMMYFUNCTION("""COMPUTED_VALUE"""),402.83)</f>
        <v>402.83</v>
      </c>
      <c r="F2967" s="1">
        <f>IFERROR(__xludf.DUMMYFUNCTION("""COMPUTED_VALUE"""),294990.0)</f>
        <v>294990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IFERROR(__xludf.DUMMYFUNCTION("""COMPUTED_VALUE"""),405.25)</f>
        <v>405.25</v>
      </c>
      <c r="C2968" s="1">
        <f>IFERROR(__xludf.DUMMYFUNCTION("""COMPUTED_VALUE"""),410.31)</f>
        <v>410.31</v>
      </c>
      <c r="D2968" s="1">
        <f>IFERROR(__xludf.DUMMYFUNCTION("""COMPUTED_VALUE"""),405.16)</f>
        <v>405.16</v>
      </c>
      <c r="E2968" s="1">
        <f>IFERROR(__xludf.DUMMYFUNCTION("""COMPUTED_VALUE"""),405.84)</f>
        <v>405.84</v>
      </c>
      <c r="F2968" s="1">
        <f>IFERROR(__xludf.DUMMYFUNCTION("""COMPUTED_VALUE"""),311560.0)</f>
        <v>311560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IFERROR(__xludf.DUMMYFUNCTION("""COMPUTED_VALUE"""),407.18)</f>
        <v>407.18</v>
      </c>
      <c r="C2969" s="1">
        <f>IFERROR(__xludf.DUMMYFUNCTION("""COMPUTED_VALUE"""),409.53)</f>
        <v>409.53</v>
      </c>
      <c r="D2969" s="1">
        <f>IFERROR(__xludf.DUMMYFUNCTION("""COMPUTED_VALUE"""),403.53)</f>
        <v>403.53</v>
      </c>
      <c r="E2969" s="1">
        <f>IFERROR(__xludf.DUMMYFUNCTION("""COMPUTED_VALUE"""),403.54)</f>
        <v>403.54</v>
      </c>
      <c r="F2969" s="1">
        <f>IFERROR(__xludf.DUMMYFUNCTION("""COMPUTED_VALUE"""),271403.0)</f>
        <v>271403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IFERROR(__xludf.DUMMYFUNCTION("""COMPUTED_VALUE"""),402.64)</f>
        <v>402.64</v>
      </c>
      <c r="C2970" s="1">
        <f>IFERROR(__xludf.DUMMYFUNCTION("""COMPUTED_VALUE"""),414.56)</f>
        <v>414.56</v>
      </c>
      <c r="D2970" s="1">
        <f>IFERROR(__xludf.DUMMYFUNCTION("""COMPUTED_VALUE"""),400.93)</f>
        <v>400.93</v>
      </c>
      <c r="E2970" s="1">
        <f>IFERROR(__xludf.DUMMYFUNCTION("""COMPUTED_VALUE"""),414.01)</f>
        <v>414.01</v>
      </c>
      <c r="F2970" s="1">
        <f>IFERROR(__xludf.DUMMYFUNCTION("""COMPUTED_VALUE"""),248219.0)</f>
        <v>248219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IFERROR(__xludf.DUMMYFUNCTION("""COMPUTED_VALUE"""),414.9)</f>
        <v>414.9</v>
      </c>
      <c r="C2971" s="1">
        <f>IFERROR(__xludf.DUMMYFUNCTION("""COMPUTED_VALUE"""),420.03)</f>
        <v>420.03</v>
      </c>
      <c r="D2971" s="1">
        <f>IFERROR(__xludf.DUMMYFUNCTION("""COMPUTED_VALUE"""),411.54)</f>
        <v>411.54</v>
      </c>
      <c r="E2971" s="1">
        <f>IFERROR(__xludf.DUMMYFUNCTION("""COMPUTED_VALUE"""),412.52)</f>
        <v>412.52</v>
      </c>
      <c r="F2971" s="1">
        <f>IFERROR(__xludf.DUMMYFUNCTION("""COMPUTED_VALUE"""),272824.0)</f>
        <v>272824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IFERROR(__xludf.DUMMYFUNCTION("""COMPUTED_VALUE"""),416.25)</f>
        <v>416.25</v>
      </c>
      <c r="C2972" s="1">
        <f>IFERROR(__xludf.DUMMYFUNCTION("""COMPUTED_VALUE"""),423.59)</f>
        <v>423.59</v>
      </c>
      <c r="D2972" s="1">
        <f>IFERROR(__xludf.DUMMYFUNCTION("""COMPUTED_VALUE"""),413.92)</f>
        <v>413.92</v>
      </c>
      <c r="E2972" s="1">
        <f>IFERROR(__xludf.DUMMYFUNCTION("""COMPUTED_VALUE"""),421.43)</f>
        <v>421.43</v>
      </c>
      <c r="F2972" s="1">
        <f>IFERROR(__xludf.DUMMYFUNCTION("""COMPUTED_VALUE"""),188325.0)</f>
        <v>188325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IFERROR(__xludf.DUMMYFUNCTION("""COMPUTED_VALUE"""),421.43)</f>
        <v>421.43</v>
      </c>
      <c r="C2973" s="1">
        <f>IFERROR(__xludf.DUMMYFUNCTION("""COMPUTED_VALUE"""),421.55)</f>
        <v>421.55</v>
      </c>
      <c r="D2973" s="1">
        <f>IFERROR(__xludf.DUMMYFUNCTION("""COMPUTED_VALUE"""),415.56)</f>
        <v>415.56</v>
      </c>
      <c r="E2973" s="1">
        <f>IFERROR(__xludf.DUMMYFUNCTION("""COMPUTED_VALUE"""),417.21)</f>
        <v>417.21</v>
      </c>
      <c r="F2973" s="1">
        <f>IFERROR(__xludf.DUMMYFUNCTION("""COMPUTED_VALUE"""),278331.0)</f>
        <v>278331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IFERROR(__xludf.DUMMYFUNCTION("""COMPUTED_VALUE"""),415.52)</f>
        <v>415.52</v>
      </c>
      <c r="C2974" s="1">
        <f>IFERROR(__xludf.DUMMYFUNCTION("""COMPUTED_VALUE"""),421.78)</f>
        <v>421.78</v>
      </c>
      <c r="D2974" s="1">
        <f>IFERROR(__xludf.DUMMYFUNCTION("""COMPUTED_VALUE"""),415.03)</f>
        <v>415.03</v>
      </c>
      <c r="E2974" s="1">
        <f>IFERROR(__xludf.DUMMYFUNCTION("""COMPUTED_VALUE"""),420.61)</f>
        <v>420.61</v>
      </c>
      <c r="F2974" s="1">
        <f>IFERROR(__xludf.DUMMYFUNCTION("""COMPUTED_VALUE"""),228594.0)</f>
        <v>228594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IFERROR(__xludf.DUMMYFUNCTION("""COMPUTED_VALUE"""),421.0)</f>
        <v>421</v>
      </c>
      <c r="C2975" s="1">
        <f>IFERROR(__xludf.DUMMYFUNCTION("""COMPUTED_VALUE"""),424.69)</f>
        <v>424.69</v>
      </c>
      <c r="D2975" s="1">
        <f>IFERROR(__xludf.DUMMYFUNCTION("""COMPUTED_VALUE"""),417.88)</f>
        <v>417.88</v>
      </c>
      <c r="E2975" s="1">
        <f>IFERROR(__xludf.DUMMYFUNCTION("""COMPUTED_VALUE"""),423.82)</f>
        <v>423.82</v>
      </c>
      <c r="F2975" s="1">
        <f>IFERROR(__xludf.DUMMYFUNCTION("""COMPUTED_VALUE"""),231341.0)</f>
        <v>231341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IFERROR(__xludf.DUMMYFUNCTION("""COMPUTED_VALUE"""),426.97)</f>
        <v>426.97</v>
      </c>
      <c r="C2976" s="1">
        <f>IFERROR(__xludf.DUMMYFUNCTION("""COMPUTED_VALUE"""),431.45)</f>
        <v>431.45</v>
      </c>
      <c r="D2976" s="1">
        <f>IFERROR(__xludf.DUMMYFUNCTION("""COMPUTED_VALUE"""),423.09)</f>
        <v>423.09</v>
      </c>
      <c r="E2976" s="1">
        <f>IFERROR(__xludf.DUMMYFUNCTION("""COMPUTED_VALUE"""),429.83)</f>
        <v>429.83</v>
      </c>
      <c r="F2976" s="1">
        <f>IFERROR(__xludf.DUMMYFUNCTION("""COMPUTED_VALUE"""),257641.0)</f>
        <v>257641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IFERROR(__xludf.DUMMYFUNCTION("""COMPUTED_VALUE"""),429.84)</f>
        <v>429.84</v>
      </c>
      <c r="C2977" s="1">
        <f>IFERROR(__xludf.DUMMYFUNCTION("""COMPUTED_VALUE"""),435.0)</f>
        <v>435</v>
      </c>
      <c r="D2977" s="1">
        <f>IFERROR(__xludf.DUMMYFUNCTION("""COMPUTED_VALUE"""),426.4)</f>
        <v>426.4</v>
      </c>
      <c r="E2977" s="1">
        <f>IFERROR(__xludf.DUMMYFUNCTION("""COMPUTED_VALUE"""),430.07)</f>
        <v>430.07</v>
      </c>
      <c r="F2977" s="1">
        <f>IFERROR(__xludf.DUMMYFUNCTION("""COMPUTED_VALUE"""),380438.0)</f>
        <v>380438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IFERROR(__xludf.DUMMYFUNCTION("""COMPUTED_VALUE"""),433.16)</f>
        <v>433.16</v>
      </c>
      <c r="C2978" s="1">
        <f>IFERROR(__xludf.DUMMYFUNCTION("""COMPUTED_VALUE"""),439.37)</f>
        <v>439.37</v>
      </c>
      <c r="D2978" s="1">
        <f>IFERROR(__xludf.DUMMYFUNCTION("""COMPUTED_VALUE"""),430.89)</f>
        <v>430.89</v>
      </c>
      <c r="E2978" s="1">
        <f>IFERROR(__xludf.DUMMYFUNCTION("""COMPUTED_VALUE"""),438.78)</f>
        <v>438.78</v>
      </c>
      <c r="F2978" s="1">
        <f>IFERROR(__xludf.DUMMYFUNCTION("""COMPUTED_VALUE"""),191728.0)</f>
        <v>191728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IFERROR(__xludf.DUMMYFUNCTION("""COMPUTED_VALUE"""),437.73)</f>
        <v>437.73</v>
      </c>
      <c r="C2979" s="1">
        <f>IFERROR(__xludf.DUMMYFUNCTION("""COMPUTED_VALUE"""),449.34)</f>
        <v>449.34</v>
      </c>
      <c r="D2979" s="1">
        <f>IFERROR(__xludf.DUMMYFUNCTION("""COMPUTED_VALUE"""),435.98)</f>
        <v>435.98</v>
      </c>
      <c r="E2979" s="1">
        <f>IFERROR(__xludf.DUMMYFUNCTION("""COMPUTED_VALUE"""),448.68)</f>
        <v>448.68</v>
      </c>
      <c r="F2979" s="1">
        <f>IFERROR(__xludf.DUMMYFUNCTION("""COMPUTED_VALUE"""),289051.0)</f>
        <v>289051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IFERROR(__xludf.DUMMYFUNCTION("""COMPUTED_VALUE"""),447.63)</f>
        <v>447.63</v>
      </c>
      <c r="C2980" s="1">
        <f>IFERROR(__xludf.DUMMYFUNCTION("""COMPUTED_VALUE"""),448.2)</f>
        <v>448.2</v>
      </c>
      <c r="D2980" s="1">
        <f>IFERROR(__xludf.DUMMYFUNCTION("""COMPUTED_VALUE"""),440.16)</f>
        <v>440.16</v>
      </c>
      <c r="E2980" s="1">
        <f>IFERROR(__xludf.DUMMYFUNCTION("""COMPUTED_VALUE"""),440.27)</f>
        <v>440.27</v>
      </c>
      <c r="F2980" s="1">
        <f>IFERROR(__xludf.DUMMYFUNCTION("""COMPUTED_VALUE"""),245203.0)</f>
        <v>245203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IFERROR(__xludf.DUMMYFUNCTION("""COMPUTED_VALUE"""),440.28)</f>
        <v>440.28</v>
      </c>
      <c r="C2981" s="1">
        <f>IFERROR(__xludf.DUMMYFUNCTION("""COMPUTED_VALUE"""),441.91)</f>
        <v>441.91</v>
      </c>
      <c r="D2981" s="1">
        <f>IFERROR(__xludf.DUMMYFUNCTION("""COMPUTED_VALUE"""),430.56)</f>
        <v>430.56</v>
      </c>
      <c r="E2981" s="1">
        <f>IFERROR(__xludf.DUMMYFUNCTION("""COMPUTED_VALUE"""),431.95)</f>
        <v>431.95</v>
      </c>
      <c r="F2981" s="1">
        <f>IFERROR(__xludf.DUMMYFUNCTION("""COMPUTED_VALUE"""),429370.0)</f>
        <v>429370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IFERROR(__xludf.DUMMYFUNCTION("""COMPUTED_VALUE"""),409.79)</f>
        <v>409.79</v>
      </c>
      <c r="C2982" s="1">
        <f>IFERROR(__xludf.DUMMYFUNCTION("""COMPUTED_VALUE"""),409.79)</f>
        <v>409.79</v>
      </c>
      <c r="D2982" s="1">
        <f>IFERROR(__xludf.DUMMYFUNCTION("""COMPUTED_VALUE"""),376.26)</f>
        <v>376.26</v>
      </c>
      <c r="E2982" s="1">
        <f>IFERROR(__xludf.DUMMYFUNCTION("""COMPUTED_VALUE"""),387.81)</f>
        <v>387.81</v>
      </c>
      <c r="F2982" s="1">
        <f>IFERROR(__xludf.DUMMYFUNCTION("""COMPUTED_VALUE"""),1736433.0)</f>
        <v>1736433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IFERROR(__xludf.DUMMYFUNCTION("""COMPUTED_VALUE"""),386.01)</f>
        <v>386.01</v>
      </c>
      <c r="C2983" s="1">
        <f>IFERROR(__xludf.DUMMYFUNCTION("""COMPUTED_VALUE"""),387.84)</f>
        <v>387.84</v>
      </c>
      <c r="D2983" s="1">
        <f>IFERROR(__xludf.DUMMYFUNCTION("""COMPUTED_VALUE"""),373.79)</f>
        <v>373.79</v>
      </c>
      <c r="E2983" s="1">
        <f>IFERROR(__xludf.DUMMYFUNCTION("""COMPUTED_VALUE"""),379.24)</f>
        <v>379.24</v>
      </c>
      <c r="F2983" s="1">
        <f>IFERROR(__xludf.DUMMYFUNCTION("""COMPUTED_VALUE"""),661023.0)</f>
        <v>661023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IFERROR(__xludf.DUMMYFUNCTION("""COMPUTED_VALUE"""),375.93)</f>
        <v>375.93</v>
      </c>
      <c r="C2984" s="1">
        <f>IFERROR(__xludf.DUMMYFUNCTION("""COMPUTED_VALUE"""),377.86)</f>
        <v>377.86</v>
      </c>
      <c r="D2984" s="1">
        <f>IFERROR(__xludf.DUMMYFUNCTION("""COMPUTED_VALUE"""),360.95)</f>
        <v>360.95</v>
      </c>
      <c r="E2984" s="1">
        <f>IFERROR(__xludf.DUMMYFUNCTION("""COMPUTED_VALUE"""),375.23)</f>
        <v>375.23</v>
      </c>
      <c r="F2984" s="1">
        <f>IFERROR(__xludf.DUMMYFUNCTION("""COMPUTED_VALUE"""),688955.0)</f>
        <v>688955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IFERROR(__xludf.DUMMYFUNCTION("""COMPUTED_VALUE"""),376.52)</f>
        <v>376.52</v>
      </c>
      <c r="C2985" s="1">
        <f>IFERROR(__xludf.DUMMYFUNCTION("""COMPUTED_VALUE"""),378.54)</f>
        <v>378.54</v>
      </c>
      <c r="D2985" s="1">
        <f>IFERROR(__xludf.DUMMYFUNCTION("""COMPUTED_VALUE"""),367.37)</f>
        <v>367.37</v>
      </c>
      <c r="E2985" s="1">
        <f>IFERROR(__xludf.DUMMYFUNCTION("""COMPUTED_VALUE"""),373.86)</f>
        <v>373.86</v>
      </c>
      <c r="F2985" s="1">
        <f>IFERROR(__xludf.DUMMYFUNCTION("""COMPUTED_VALUE"""),300978.0)</f>
        <v>300978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IFERROR(__xludf.DUMMYFUNCTION("""COMPUTED_VALUE"""),375.99)</f>
        <v>375.99</v>
      </c>
      <c r="C2986" s="1">
        <f>IFERROR(__xludf.DUMMYFUNCTION("""COMPUTED_VALUE"""),384.33)</f>
        <v>384.33</v>
      </c>
      <c r="D2986" s="1">
        <f>IFERROR(__xludf.DUMMYFUNCTION("""COMPUTED_VALUE"""),371.31)</f>
        <v>371.31</v>
      </c>
      <c r="E2986" s="1">
        <f>IFERROR(__xludf.DUMMYFUNCTION("""COMPUTED_VALUE"""),383.45)</f>
        <v>383.45</v>
      </c>
      <c r="F2986" s="1">
        <f>IFERROR(__xludf.DUMMYFUNCTION("""COMPUTED_VALUE"""),526879.0)</f>
        <v>526879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IFERROR(__xludf.DUMMYFUNCTION("""COMPUTED_VALUE"""),381.57)</f>
        <v>381.57</v>
      </c>
      <c r="C2987" s="1">
        <f>IFERROR(__xludf.DUMMYFUNCTION("""COMPUTED_VALUE"""),389.14)</f>
        <v>389.14</v>
      </c>
      <c r="D2987" s="1">
        <f>IFERROR(__xludf.DUMMYFUNCTION("""COMPUTED_VALUE"""),378.29)</f>
        <v>378.29</v>
      </c>
      <c r="E2987" s="1">
        <f>IFERROR(__xludf.DUMMYFUNCTION("""COMPUTED_VALUE"""),387.6)</f>
        <v>387.6</v>
      </c>
      <c r="F2987" s="1">
        <f>IFERROR(__xludf.DUMMYFUNCTION("""COMPUTED_VALUE"""),472252.0)</f>
        <v>472252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IFERROR(__xludf.DUMMYFUNCTION("""COMPUTED_VALUE"""),390.24)</f>
        <v>390.24</v>
      </c>
      <c r="C2988" s="1">
        <f>IFERROR(__xludf.DUMMYFUNCTION("""COMPUTED_VALUE"""),392.71)</f>
        <v>392.71</v>
      </c>
      <c r="D2988" s="1">
        <f>IFERROR(__xludf.DUMMYFUNCTION("""COMPUTED_VALUE"""),386.6)</f>
        <v>386.6</v>
      </c>
      <c r="E2988" s="1">
        <f>IFERROR(__xludf.DUMMYFUNCTION("""COMPUTED_VALUE"""),390.06)</f>
        <v>390.06</v>
      </c>
      <c r="F2988" s="1">
        <f>IFERROR(__xludf.DUMMYFUNCTION("""COMPUTED_VALUE"""),481556.0)</f>
        <v>481556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IFERROR(__xludf.DUMMYFUNCTION("""COMPUTED_VALUE"""),391.75)</f>
        <v>391.75</v>
      </c>
      <c r="C2989" s="1">
        <f>IFERROR(__xludf.DUMMYFUNCTION("""COMPUTED_VALUE"""),393.51)</f>
        <v>393.51</v>
      </c>
      <c r="D2989" s="1">
        <f>IFERROR(__xludf.DUMMYFUNCTION("""COMPUTED_VALUE"""),382.33)</f>
        <v>382.33</v>
      </c>
      <c r="E2989" s="1">
        <f>IFERROR(__xludf.DUMMYFUNCTION("""COMPUTED_VALUE"""),385.91)</f>
        <v>385.91</v>
      </c>
      <c r="F2989" s="1">
        <f>IFERROR(__xludf.DUMMYFUNCTION("""COMPUTED_VALUE"""),242827.0)</f>
        <v>242827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IFERROR(__xludf.DUMMYFUNCTION("""COMPUTED_VALUE"""),384.45)</f>
        <v>384.45</v>
      </c>
      <c r="C2990" s="1">
        <f>IFERROR(__xludf.DUMMYFUNCTION("""COMPUTED_VALUE"""),390.71)</f>
        <v>390.71</v>
      </c>
      <c r="D2990" s="1">
        <f>IFERROR(__xludf.DUMMYFUNCTION("""COMPUTED_VALUE"""),383.42)</f>
        <v>383.42</v>
      </c>
      <c r="E2990" s="1">
        <f>IFERROR(__xludf.DUMMYFUNCTION("""COMPUTED_VALUE"""),384.54)</f>
        <v>384.54</v>
      </c>
      <c r="F2990" s="1">
        <f>IFERROR(__xludf.DUMMYFUNCTION("""COMPUTED_VALUE"""),335162.0)</f>
        <v>335162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IFERROR(__xludf.DUMMYFUNCTION("""COMPUTED_VALUE"""),385.66)</f>
        <v>385.66</v>
      </c>
      <c r="C2991" s="1">
        <f>IFERROR(__xludf.DUMMYFUNCTION("""COMPUTED_VALUE"""),397.77)</f>
        <v>397.77</v>
      </c>
      <c r="D2991" s="1">
        <f>IFERROR(__xludf.DUMMYFUNCTION("""COMPUTED_VALUE"""),383.93)</f>
        <v>383.93</v>
      </c>
      <c r="E2991" s="1">
        <f>IFERROR(__xludf.DUMMYFUNCTION("""COMPUTED_VALUE"""),394.71)</f>
        <v>394.71</v>
      </c>
      <c r="F2991" s="1">
        <f>IFERROR(__xludf.DUMMYFUNCTION("""COMPUTED_VALUE"""),301275.0)</f>
        <v>301275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IFERROR(__xludf.DUMMYFUNCTION("""COMPUTED_VALUE"""),395.0)</f>
        <v>395</v>
      </c>
      <c r="C2992" s="1">
        <f>IFERROR(__xludf.DUMMYFUNCTION("""COMPUTED_VALUE"""),395.48)</f>
        <v>395.48</v>
      </c>
      <c r="D2992" s="1">
        <f>IFERROR(__xludf.DUMMYFUNCTION("""COMPUTED_VALUE"""),387.75)</f>
        <v>387.75</v>
      </c>
      <c r="E2992" s="1">
        <f>IFERROR(__xludf.DUMMYFUNCTION("""COMPUTED_VALUE"""),393.1)</f>
        <v>393.1</v>
      </c>
      <c r="F2992" s="1">
        <f>IFERROR(__xludf.DUMMYFUNCTION("""COMPUTED_VALUE"""),380174.0)</f>
        <v>380174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IFERROR(__xludf.DUMMYFUNCTION("""COMPUTED_VALUE"""),394.34)</f>
        <v>394.34</v>
      </c>
      <c r="C2993" s="1">
        <f>IFERROR(__xludf.DUMMYFUNCTION("""COMPUTED_VALUE"""),395.57)</f>
        <v>395.57</v>
      </c>
      <c r="D2993" s="1">
        <f>IFERROR(__xludf.DUMMYFUNCTION("""COMPUTED_VALUE"""),386.89)</f>
        <v>386.89</v>
      </c>
      <c r="E2993" s="1">
        <f>IFERROR(__xludf.DUMMYFUNCTION("""COMPUTED_VALUE"""),387.51)</f>
        <v>387.51</v>
      </c>
      <c r="F2993" s="1">
        <f>IFERROR(__xludf.DUMMYFUNCTION("""COMPUTED_VALUE"""),339034.0)</f>
        <v>339034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IFERROR(__xludf.DUMMYFUNCTION("""COMPUTED_VALUE"""),389.98)</f>
        <v>389.98</v>
      </c>
      <c r="C2994" s="1">
        <f>IFERROR(__xludf.DUMMYFUNCTION("""COMPUTED_VALUE"""),396.14)</f>
        <v>396.14</v>
      </c>
      <c r="D2994" s="1">
        <f>IFERROR(__xludf.DUMMYFUNCTION("""COMPUTED_VALUE"""),378.14)</f>
        <v>378.14</v>
      </c>
      <c r="E2994" s="1">
        <f>IFERROR(__xludf.DUMMYFUNCTION("""COMPUTED_VALUE"""),379.88)</f>
        <v>379.88</v>
      </c>
      <c r="F2994" s="1">
        <f>IFERROR(__xludf.DUMMYFUNCTION("""COMPUTED_VALUE"""),519425.0)</f>
        <v>519425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IFERROR(__xludf.DUMMYFUNCTION("""COMPUTED_VALUE"""),379.41)</f>
        <v>379.41</v>
      </c>
      <c r="C2995" s="1">
        <f>IFERROR(__xludf.DUMMYFUNCTION("""COMPUTED_VALUE"""),379.41)</f>
        <v>379.41</v>
      </c>
      <c r="D2995" s="1">
        <f>IFERROR(__xludf.DUMMYFUNCTION("""COMPUTED_VALUE"""),370.01)</f>
        <v>370.01</v>
      </c>
      <c r="E2995" s="1">
        <f>IFERROR(__xludf.DUMMYFUNCTION("""COMPUTED_VALUE"""),374.85)</f>
        <v>374.85</v>
      </c>
      <c r="F2995" s="1">
        <f>IFERROR(__xludf.DUMMYFUNCTION("""COMPUTED_VALUE"""),382971.0)</f>
        <v>382971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IFERROR(__xludf.DUMMYFUNCTION("""COMPUTED_VALUE"""),370.83)</f>
        <v>370.83</v>
      </c>
      <c r="C2996" s="1">
        <f>IFERROR(__xludf.DUMMYFUNCTION("""COMPUTED_VALUE"""),374.28)</f>
        <v>374.28</v>
      </c>
      <c r="D2996" s="1">
        <f>IFERROR(__xludf.DUMMYFUNCTION("""COMPUTED_VALUE"""),365.57)</f>
        <v>365.57</v>
      </c>
      <c r="E2996" s="1">
        <f>IFERROR(__xludf.DUMMYFUNCTION("""COMPUTED_VALUE"""),369.98)</f>
        <v>369.98</v>
      </c>
      <c r="F2996" s="1">
        <f>IFERROR(__xludf.DUMMYFUNCTION("""COMPUTED_VALUE"""),394741.0)</f>
        <v>394741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IFERROR(__xludf.DUMMYFUNCTION("""COMPUTED_VALUE"""),367.33)</f>
        <v>367.33</v>
      </c>
      <c r="C2997" s="1">
        <f>IFERROR(__xludf.DUMMYFUNCTION("""COMPUTED_VALUE"""),377.84)</f>
        <v>377.84</v>
      </c>
      <c r="D2997" s="1">
        <f>IFERROR(__xludf.DUMMYFUNCTION("""COMPUTED_VALUE"""),362.79)</f>
        <v>362.79</v>
      </c>
      <c r="E2997" s="1">
        <f>IFERROR(__xludf.DUMMYFUNCTION("""COMPUTED_VALUE"""),377.51)</f>
        <v>377.51</v>
      </c>
      <c r="F2997" s="1">
        <f>IFERROR(__xludf.DUMMYFUNCTION("""COMPUTED_VALUE"""),383042.0)</f>
        <v>383042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IFERROR(__xludf.DUMMYFUNCTION("""COMPUTED_VALUE"""),379.43)</f>
        <v>379.43</v>
      </c>
      <c r="C2998" s="1">
        <f>IFERROR(__xludf.DUMMYFUNCTION("""COMPUTED_VALUE"""),385.11)</f>
        <v>385.11</v>
      </c>
      <c r="D2998" s="1">
        <f>IFERROR(__xludf.DUMMYFUNCTION("""COMPUTED_VALUE"""),374.13)</f>
        <v>374.13</v>
      </c>
      <c r="E2998" s="1">
        <f>IFERROR(__xludf.DUMMYFUNCTION("""COMPUTED_VALUE"""),375.28)</f>
        <v>375.28</v>
      </c>
      <c r="F2998" s="1">
        <f>IFERROR(__xludf.DUMMYFUNCTION("""COMPUTED_VALUE"""),192276.0)</f>
        <v>192276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IFERROR(__xludf.DUMMYFUNCTION("""COMPUTED_VALUE"""),378.35)</f>
        <v>378.35</v>
      </c>
      <c r="C2999" s="1">
        <f>IFERROR(__xludf.DUMMYFUNCTION("""COMPUTED_VALUE"""),381.12)</f>
        <v>381.12</v>
      </c>
      <c r="D2999" s="1">
        <f>IFERROR(__xludf.DUMMYFUNCTION("""COMPUTED_VALUE"""),374.34)</f>
        <v>374.34</v>
      </c>
      <c r="E2999" s="1">
        <f>IFERROR(__xludf.DUMMYFUNCTION("""COMPUTED_VALUE"""),375.31)</f>
        <v>375.31</v>
      </c>
      <c r="F2999" s="1">
        <f>IFERROR(__xludf.DUMMYFUNCTION("""COMPUTED_VALUE"""),211610.0)</f>
        <v>211610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IFERROR(__xludf.DUMMYFUNCTION("""COMPUTED_VALUE"""),375.97)</f>
        <v>375.97</v>
      </c>
      <c r="C3000" s="1">
        <f>IFERROR(__xludf.DUMMYFUNCTION("""COMPUTED_VALUE"""),378.62)</f>
        <v>378.62</v>
      </c>
      <c r="D3000" s="1">
        <f>IFERROR(__xludf.DUMMYFUNCTION("""COMPUTED_VALUE"""),365.06)</f>
        <v>365.06</v>
      </c>
      <c r="E3000" s="1">
        <f>IFERROR(__xludf.DUMMYFUNCTION("""COMPUTED_VALUE"""),365.87)</f>
        <v>365.87</v>
      </c>
      <c r="F3000" s="1">
        <f>IFERROR(__xludf.DUMMYFUNCTION("""COMPUTED_VALUE"""),411082.0)</f>
        <v>411082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IFERROR(__xludf.DUMMYFUNCTION("""COMPUTED_VALUE"""),365.71)</f>
        <v>365.71</v>
      </c>
      <c r="C3001" s="1">
        <f>IFERROR(__xludf.DUMMYFUNCTION("""COMPUTED_VALUE"""),373.31)</f>
        <v>373.31</v>
      </c>
      <c r="D3001" s="1">
        <f>IFERROR(__xludf.DUMMYFUNCTION("""COMPUTED_VALUE"""),359.31)</f>
        <v>359.31</v>
      </c>
      <c r="E3001" s="1">
        <f>IFERROR(__xludf.DUMMYFUNCTION("""COMPUTED_VALUE"""),361.15)</f>
        <v>361.15</v>
      </c>
      <c r="F3001" s="1">
        <f>IFERROR(__xludf.DUMMYFUNCTION("""COMPUTED_VALUE"""),485805.0)</f>
        <v>485805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IFERROR(__xludf.DUMMYFUNCTION("""COMPUTED_VALUE"""),360.0)</f>
        <v>360</v>
      </c>
      <c r="C3002" s="1">
        <f>IFERROR(__xludf.DUMMYFUNCTION("""COMPUTED_VALUE"""),370.8)</f>
        <v>370.8</v>
      </c>
      <c r="D3002" s="1">
        <f>IFERROR(__xludf.DUMMYFUNCTION("""COMPUTED_VALUE"""),356.34)</f>
        <v>356.34</v>
      </c>
      <c r="E3002" s="1">
        <f>IFERROR(__xludf.DUMMYFUNCTION("""COMPUTED_VALUE"""),365.96)</f>
        <v>365.96</v>
      </c>
      <c r="F3002" s="1">
        <f>IFERROR(__xludf.DUMMYFUNCTION("""COMPUTED_VALUE"""),363635.0)</f>
        <v>363635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IFERROR(__xludf.DUMMYFUNCTION("""COMPUTED_VALUE"""),368.32)</f>
        <v>368.32</v>
      </c>
      <c r="C3003" s="1">
        <f>IFERROR(__xludf.DUMMYFUNCTION("""COMPUTED_VALUE"""),368.65)</f>
        <v>368.65</v>
      </c>
      <c r="D3003" s="1">
        <f>IFERROR(__xludf.DUMMYFUNCTION("""COMPUTED_VALUE"""),353.36)</f>
        <v>353.36</v>
      </c>
      <c r="E3003" s="1">
        <f>IFERROR(__xludf.DUMMYFUNCTION("""COMPUTED_VALUE"""),357.38)</f>
        <v>357.38</v>
      </c>
      <c r="F3003" s="1">
        <f>IFERROR(__xludf.DUMMYFUNCTION("""COMPUTED_VALUE"""),314873.0)</f>
        <v>314873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IFERROR(__xludf.DUMMYFUNCTION("""COMPUTED_VALUE"""),357.32)</f>
        <v>357.32</v>
      </c>
      <c r="C3004" s="1">
        <f>IFERROR(__xludf.DUMMYFUNCTION("""COMPUTED_VALUE"""),358.09)</f>
        <v>358.09</v>
      </c>
      <c r="D3004" s="1">
        <f>IFERROR(__xludf.DUMMYFUNCTION("""COMPUTED_VALUE"""),348.0)</f>
        <v>348</v>
      </c>
      <c r="E3004" s="1">
        <f>IFERROR(__xludf.DUMMYFUNCTION("""COMPUTED_VALUE"""),351.38)</f>
        <v>351.38</v>
      </c>
      <c r="F3004" s="1">
        <f>IFERROR(__xludf.DUMMYFUNCTION("""COMPUTED_VALUE"""),381146.0)</f>
        <v>381146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IFERROR(__xludf.DUMMYFUNCTION("""COMPUTED_VALUE"""),357.53)</f>
        <v>357.53</v>
      </c>
      <c r="C3005" s="1">
        <f>IFERROR(__xludf.DUMMYFUNCTION("""COMPUTED_VALUE"""),367.6)</f>
        <v>367.6</v>
      </c>
      <c r="D3005" s="1">
        <f>IFERROR(__xludf.DUMMYFUNCTION("""COMPUTED_VALUE"""),356.99)</f>
        <v>356.99</v>
      </c>
      <c r="E3005" s="1">
        <f>IFERROR(__xludf.DUMMYFUNCTION("""COMPUTED_VALUE"""),366.75)</f>
        <v>366.75</v>
      </c>
      <c r="F3005" s="1">
        <f>IFERROR(__xludf.DUMMYFUNCTION("""COMPUTED_VALUE"""),317275.0)</f>
        <v>317275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IFERROR(__xludf.DUMMYFUNCTION("""COMPUTED_VALUE"""),367.15)</f>
        <v>367.15</v>
      </c>
      <c r="C3006" s="1">
        <f>IFERROR(__xludf.DUMMYFUNCTION("""COMPUTED_VALUE"""),371.05)</f>
        <v>371.05</v>
      </c>
      <c r="D3006" s="1">
        <f>IFERROR(__xludf.DUMMYFUNCTION("""COMPUTED_VALUE"""),363.18)</f>
        <v>363.18</v>
      </c>
      <c r="E3006" s="1">
        <f>IFERROR(__xludf.DUMMYFUNCTION("""COMPUTED_VALUE"""),365.96)</f>
        <v>365.96</v>
      </c>
      <c r="F3006" s="1">
        <f>IFERROR(__xludf.DUMMYFUNCTION("""COMPUTED_VALUE"""),297928.0)</f>
        <v>297928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IFERROR(__xludf.DUMMYFUNCTION("""COMPUTED_VALUE"""),366.05)</f>
        <v>366.05</v>
      </c>
      <c r="C3007" s="1">
        <f>IFERROR(__xludf.DUMMYFUNCTION("""COMPUTED_VALUE"""),369.25)</f>
        <v>369.25</v>
      </c>
      <c r="D3007" s="1">
        <f>IFERROR(__xludf.DUMMYFUNCTION("""COMPUTED_VALUE"""),356.5)</f>
        <v>356.5</v>
      </c>
      <c r="E3007" s="1">
        <f>IFERROR(__xludf.DUMMYFUNCTION("""COMPUTED_VALUE"""),357.05)</f>
        <v>357.05</v>
      </c>
      <c r="F3007" s="1">
        <f>IFERROR(__xludf.DUMMYFUNCTION("""COMPUTED_VALUE"""),420708.0)</f>
        <v>420708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IFERROR(__xludf.DUMMYFUNCTION("""COMPUTED_VALUE"""),356.71)</f>
        <v>356.71</v>
      </c>
      <c r="C3008" s="1">
        <f>IFERROR(__xludf.DUMMYFUNCTION("""COMPUTED_VALUE"""),365.05)</f>
        <v>365.05</v>
      </c>
      <c r="D3008" s="1">
        <f>IFERROR(__xludf.DUMMYFUNCTION("""COMPUTED_VALUE"""),356.46)</f>
        <v>356.46</v>
      </c>
      <c r="E3008" s="1">
        <f>IFERROR(__xludf.DUMMYFUNCTION("""COMPUTED_VALUE"""),357.74)</f>
        <v>357.74</v>
      </c>
      <c r="F3008" s="1">
        <f>IFERROR(__xludf.DUMMYFUNCTION("""COMPUTED_VALUE"""),251899.0)</f>
        <v>251899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IFERROR(__xludf.DUMMYFUNCTION("""COMPUTED_VALUE"""),358.43)</f>
        <v>358.43</v>
      </c>
      <c r="C3009" s="1">
        <f>IFERROR(__xludf.DUMMYFUNCTION("""COMPUTED_VALUE"""),365.47)</f>
        <v>365.47</v>
      </c>
      <c r="D3009" s="1">
        <f>IFERROR(__xludf.DUMMYFUNCTION("""COMPUTED_VALUE"""),357.13)</f>
        <v>357.13</v>
      </c>
      <c r="E3009" s="1">
        <f>IFERROR(__xludf.DUMMYFUNCTION("""COMPUTED_VALUE"""),361.03)</f>
        <v>361.03</v>
      </c>
      <c r="F3009" s="1">
        <f>IFERROR(__xludf.DUMMYFUNCTION("""COMPUTED_VALUE"""),321714.0)</f>
        <v>321714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IFERROR(__xludf.DUMMYFUNCTION("""COMPUTED_VALUE"""),357.22)</f>
        <v>357.22</v>
      </c>
      <c r="C3010" s="1">
        <f>IFERROR(__xludf.DUMMYFUNCTION("""COMPUTED_VALUE"""),358.11)</f>
        <v>358.11</v>
      </c>
      <c r="D3010" s="1">
        <f>IFERROR(__xludf.DUMMYFUNCTION("""COMPUTED_VALUE"""),347.74)</f>
        <v>347.74</v>
      </c>
      <c r="E3010" s="1">
        <f>IFERROR(__xludf.DUMMYFUNCTION("""COMPUTED_VALUE"""),353.56)</f>
        <v>353.56</v>
      </c>
      <c r="F3010" s="1">
        <f>IFERROR(__xludf.DUMMYFUNCTION("""COMPUTED_VALUE"""),402093.0)</f>
        <v>402093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IFERROR(__xludf.DUMMYFUNCTION("""COMPUTED_VALUE"""),354.75)</f>
        <v>354.75</v>
      </c>
      <c r="C3011" s="1">
        <f>IFERROR(__xludf.DUMMYFUNCTION("""COMPUTED_VALUE"""),362.93)</f>
        <v>362.93</v>
      </c>
      <c r="D3011" s="1">
        <f>IFERROR(__xludf.DUMMYFUNCTION("""COMPUTED_VALUE"""),350.85)</f>
        <v>350.85</v>
      </c>
      <c r="E3011" s="1">
        <f>IFERROR(__xludf.DUMMYFUNCTION("""COMPUTED_VALUE"""),362.92)</f>
        <v>362.92</v>
      </c>
      <c r="F3011" s="1">
        <f>IFERROR(__xludf.DUMMYFUNCTION("""COMPUTED_VALUE"""),301242.0)</f>
        <v>301242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IFERROR(__xludf.DUMMYFUNCTION("""COMPUTED_VALUE"""),363.59)</f>
        <v>363.59</v>
      </c>
      <c r="C3012" s="1">
        <f>IFERROR(__xludf.DUMMYFUNCTION("""COMPUTED_VALUE"""),368.0)</f>
        <v>368</v>
      </c>
      <c r="D3012" s="1">
        <f>IFERROR(__xludf.DUMMYFUNCTION("""COMPUTED_VALUE"""),358.84)</f>
        <v>358.84</v>
      </c>
      <c r="E3012" s="1">
        <f>IFERROR(__xludf.DUMMYFUNCTION("""COMPUTED_VALUE"""),360.88)</f>
        <v>360.88</v>
      </c>
      <c r="F3012" s="1">
        <f>IFERROR(__xludf.DUMMYFUNCTION("""COMPUTED_VALUE"""),327970.0)</f>
        <v>327970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IFERROR(__xludf.DUMMYFUNCTION("""COMPUTED_VALUE"""),359.51)</f>
        <v>359.51</v>
      </c>
      <c r="C3013" s="1">
        <f>IFERROR(__xludf.DUMMYFUNCTION("""COMPUTED_VALUE"""),367.41)</f>
        <v>367.41</v>
      </c>
      <c r="D3013" s="1">
        <f>IFERROR(__xludf.DUMMYFUNCTION("""COMPUTED_VALUE"""),355.77)</f>
        <v>355.77</v>
      </c>
      <c r="E3013" s="1">
        <f>IFERROR(__xludf.DUMMYFUNCTION("""COMPUTED_VALUE"""),362.95)</f>
        <v>362.95</v>
      </c>
      <c r="F3013" s="1">
        <f>IFERROR(__xludf.DUMMYFUNCTION("""COMPUTED_VALUE"""),600906.0)</f>
        <v>600906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IFERROR(__xludf.DUMMYFUNCTION("""COMPUTED_VALUE"""),360.85)</f>
        <v>360.85</v>
      </c>
      <c r="C3014" s="1">
        <f>IFERROR(__xludf.DUMMYFUNCTION("""COMPUTED_VALUE"""),362.95)</f>
        <v>362.95</v>
      </c>
      <c r="D3014" s="1">
        <f>IFERROR(__xludf.DUMMYFUNCTION("""COMPUTED_VALUE"""),352.27)</f>
        <v>352.27</v>
      </c>
      <c r="E3014" s="1">
        <f>IFERROR(__xludf.DUMMYFUNCTION("""COMPUTED_VALUE"""),358.16)</f>
        <v>358.16</v>
      </c>
      <c r="F3014" s="1">
        <f>IFERROR(__xludf.DUMMYFUNCTION("""COMPUTED_VALUE"""),360902.0)</f>
        <v>360902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IFERROR(__xludf.DUMMYFUNCTION("""COMPUTED_VALUE"""),360.16)</f>
        <v>360.16</v>
      </c>
      <c r="C3015" s="1">
        <f>IFERROR(__xludf.DUMMYFUNCTION("""COMPUTED_VALUE"""),361.92)</f>
        <v>361.92</v>
      </c>
      <c r="D3015" s="1">
        <f>IFERROR(__xludf.DUMMYFUNCTION("""COMPUTED_VALUE"""),352.93)</f>
        <v>352.93</v>
      </c>
      <c r="E3015" s="1">
        <f>IFERROR(__xludf.DUMMYFUNCTION("""COMPUTED_VALUE"""),361.03)</f>
        <v>361.03</v>
      </c>
      <c r="F3015" s="1">
        <f>IFERROR(__xludf.DUMMYFUNCTION("""COMPUTED_VALUE"""),217724.0)</f>
        <v>217724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IFERROR(__xludf.DUMMYFUNCTION("""COMPUTED_VALUE"""),362.67)</f>
        <v>362.67</v>
      </c>
      <c r="C3016" s="1">
        <f>IFERROR(__xludf.DUMMYFUNCTION("""COMPUTED_VALUE"""),369.9)</f>
        <v>369.9</v>
      </c>
      <c r="D3016" s="1">
        <f>IFERROR(__xludf.DUMMYFUNCTION("""COMPUTED_VALUE"""),359.9)</f>
        <v>359.9</v>
      </c>
      <c r="E3016" s="1">
        <f>IFERROR(__xludf.DUMMYFUNCTION("""COMPUTED_VALUE"""),369.56)</f>
        <v>369.56</v>
      </c>
      <c r="F3016" s="1">
        <f>IFERROR(__xludf.DUMMYFUNCTION("""COMPUTED_VALUE"""),247177.0)</f>
        <v>247177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IFERROR(__xludf.DUMMYFUNCTION("""COMPUTED_VALUE"""),369.74)</f>
        <v>369.74</v>
      </c>
      <c r="C3017" s="1">
        <f>IFERROR(__xludf.DUMMYFUNCTION("""COMPUTED_VALUE"""),371.59)</f>
        <v>371.59</v>
      </c>
      <c r="D3017" s="1">
        <f>IFERROR(__xludf.DUMMYFUNCTION("""COMPUTED_VALUE"""),366.17)</f>
        <v>366.17</v>
      </c>
      <c r="E3017" s="1">
        <f>IFERROR(__xludf.DUMMYFUNCTION("""COMPUTED_VALUE"""),369.2)</f>
        <v>369.2</v>
      </c>
      <c r="F3017" s="1">
        <f>IFERROR(__xludf.DUMMYFUNCTION("""COMPUTED_VALUE"""),227697.0)</f>
        <v>227697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IFERROR(__xludf.DUMMYFUNCTION("""COMPUTED_VALUE"""),371.18)</f>
        <v>371.18</v>
      </c>
      <c r="C3018" s="1">
        <f>IFERROR(__xludf.DUMMYFUNCTION("""COMPUTED_VALUE"""),376.15)</f>
        <v>376.15</v>
      </c>
      <c r="D3018" s="1">
        <f>IFERROR(__xludf.DUMMYFUNCTION("""COMPUTED_VALUE"""),369.31)</f>
        <v>369.31</v>
      </c>
      <c r="E3018" s="1">
        <f>IFERROR(__xludf.DUMMYFUNCTION("""COMPUTED_VALUE"""),375.34)</f>
        <v>375.34</v>
      </c>
      <c r="F3018" s="1">
        <f>IFERROR(__xludf.DUMMYFUNCTION("""COMPUTED_VALUE"""),184699.0)</f>
        <v>184699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IFERROR(__xludf.DUMMYFUNCTION("""COMPUTED_VALUE"""),377.0)</f>
        <v>377</v>
      </c>
      <c r="C3019" s="1">
        <f>IFERROR(__xludf.DUMMYFUNCTION("""COMPUTED_VALUE"""),377.0)</f>
        <v>377</v>
      </c>
      <c r="D3019" s="1">
        <f>IFERROR(__xludf.DUMMYFUNCTION("""COMPUTED_VALUE"""),367.06)</f>
        <v>367.06</v>
      </c>
      <c r="E3019" s="1">
        <f>IFERROR(__xludf.DUMMYFUNCTION("""COMPUTED_VALUE"""),371.96)</f>
        <v>371.96</v>
      </c>
      <c r="F3019" s="1">
        <f>IFERROR(__xludf.DUMMYFUNCTION("""COMPUTED_VALUE"""),224825.0)</f>
        <v>224825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IFERROR(__xludf.DUMMYFUNCTION("""COMPUTED_VALUE"""),372.62)</f>
        <v>372.62</v>
      </c>
      <c r="C3020" s="1">
        <f>IFERROR(__xludf.DUMMYFUNCTION("""COMPUTED_VALUE"""),375.27)</f>
        <v>375.27</v>
      </c>
      <c r="D3020" s="1">
        <f>IFERROR(__xludf.DUMMYFUNCTION("""COMPUTED_VALUE"""),371.0)</f>
        <v>371</v>
      </c>
      <c r="E3020" s="1">
        <f>IFERROR(__xludf.DUMMYFUNCTION("""COMPUTED_VALUE"""),373.42)</f>
        <v>373.42</v>
      </c>
      <c r="F3020" s="1">
        <f>IFERROR(__xludf.DUMMYFUNCTION("""COMPUTED_VALUE"""),136836.0)</f>
        <v>136836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IFERROR(__xludf.DUMMYFUNCTION("""COMPUTED_VALUE"""),373.59)</f>
        <v>373.59</v>
      </c>
      <c r="C3021" s="1">
        <f>IFERROR(__xludf.DUMMYFUNCTION("""COMPUTED_VALUE"""),379.08)</f>
        <v>379.08</v>
      </c>
      <c r="D3021" s="1">
        <f>IFERROR(__xludf.DUMMYFUNCTION("""COMPUTED_VALUE"""),373.59)</f>
        <v>373.59</v>
      </c>
      <c r="E3021" s="1">
        <f>IFERROR(__xludf.DUMMYFUNCTION("""COMPUTED_VALUE"""),375.88)</f>
        <v>375.88</v>
      </c>
      <c r="F3021" s="1">
        <f>IFERROR(__xludf.DUMMYFUNCTION("""COMPUTED_VALUE"""),163224.0)</f>
        <v>163224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IFERROR(__xludf.DUMMYFUNCTION("""COMPUTED_VALUE"""),374.32)</f>
        <v>374.32</v>
      </c>
      <c r="C3022" s="1">
        <f>IFERROR(__xludf.DUMMYFUNCTION("""COMPUTED_VALUE"""),379.65)</f>
        <v>379.65</v>
      </c>
      <c r="D3022" s="1">
        <f>IFERROR(__xludf.DUMMYFUNCTION("""COMPUTED_VALUE"""),374.32)</f>
        <v>374.32</v>
      </c>
      <c r="E3022" s="1">
        <f>IFERROR(__xludf.DUMMYFUNCTION("""COMPUTED_VALUE"""),376.78)</f>
        <v>376.78</v>
      </c>
      <c r="F3022" s="1">
        <f>IFERROR(__xludf.DUMMYFUNCTION("""COMPUTED_VALUE"""),288536.0)</f>
        <v>288536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IFERROR(__xludf.DUMMYFUNCTION("""COMPUTED_VALUE"""),376.61)</f>
        <v>376.61</v>
      </c>
      <c r="C3023" s="1">
        <f>IFERROR(__xludf.DUMMYFUNCTION("""COMPUTED_VALUE"""),376.78)</f>
        <v>376.78</v>
      </c>
      <c r="D3023" s="1">
        <f>IFERROR(__xludf.DUMMYFUNCTION("""COMPUTED_VALUE"""),356.78)</f>
        <v>356.78</v>
      </c>
      <c r="E3023" s="1">
        <f>IFERROR(__xludf.DUMMYFUNCTION("""COMPUTED_VALUE"""),362.11)</f>
        <v>362.11</v>
      </c>
      <c r="F3023" s="1">
        <f>IFERROR(__xludf.DUMMYFUNCTION("""COMPUTED_VALUE"""),433693.0)</f>
        <v>433693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IFERROR(__xludf.DUMMYFUNCTION("""COMPUTED_VALUE"""),358.06)</f>
        <v>358.06</v>
      </c>
      <c r="C3024" s="1">
        <f>IFERROR(__xludf.DUMMYFUNCTION("""COMPUTED_VALUE"""),360.0)</f>
        <v>360</v>
      </c>
      <c r="D3024" s="1">
        <f>IFERROR(__xludf.DUMMYFUNCTION("""COMPUTED_VALUE"""),340.99)</f>
        <v>340.99</v>
      </c>
      <c r="E3024" s="1">
        <f>IFERROR(__xludf.DUMMYFUNCTION("""COMPUTED_VALUE"""),347.77)</f>
        <v>347.77</v>
      </c>
      <c r="F3024" s="1">
        <f>IFERROR(__xludf.DUMMYFUNCTION("""COMPUTED_VALUE"""),601911.0)</f>
        <v>601911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IFERROR(__xludf.DUMMYFUNCTION("""COMPUTED_VALUE"""),347.59)</f>
        <v>347.59</v>
      </c>
      <c r="C3025" s="1">
        <f>IFERROR(__xludf.DUMMYFUNCTION("""COMPUTED_VALUE"""),348.06)</f>
        <v>348.06</v>
      </c>
      <c r="D3025" s="1">
        <f>IFERROR(__xludf.DUMMYFUNCTION("""COMPUTED_VALUE"""),333.77)</f>
        <v>333.77</v>
      </c>
      <c r="E3025" s="1">
        <f>IFERROR(__xludf.DUMMYFUNCTION("""COMPUTED_VALUE"""),335.32)</f>
        <v>335.32</v>
      </c>
      <c r="F3025" s="1">
        <f>IFERROR(__xludf.DUMMYFUNCTION("""COMPUTED_VALUE"""),544100.0)</f>
        <v>544100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IFERROR(__xludf.DUMMYFUNCTION("""COMPUTED_VALUE"""),334.01)</f>
        <v>334.01</v>
      </c>
      <c r="C3026" s="1">
        <f>IFERROR(__xludf.DUMMYFUNCTION("""COMPUTED_VALUE"""),339.57)</f>
        <v>339.57</v>
      </c>
      <c r="D3026" s="1">
        <f>IFERROR(__xludf.DUMMYFUNCTION("""COMPUTED_VALUE"""),330.17)</f>
        <v>330.17</v>
      </c>
      <c r="E3026" s="1">
        <f>IFERROR(__xludf.DUMMYFUNCTION("""COMPUTED_VALUE"""),333.94)</f>
        <v>333.94</v>
      </c>
      <c r="F3026" s="1">
        <f>IFERROR(__xludf.DUMMYFUNCTION("""COMPUTED_VALUE"""),585054.0)</f>
        <v>585054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IFERROR(__xludf.DUMMYFUNCTION("""COMPUTED_VALUE"""),333.63)</f>
        <v>333.63</v>
      </c>
      <c r="C3027" s="1">
        <f>IFERROR(__xludf.DUMMYFUNCTION("""COMPUTED_VALUE"""),338.74)</f>
        <v>338.74</v>
      </c>
      <c r="D3027" s="1">
        <f>IFERROR(__xludf.DUMMYFUNCTION("""COMPUTED_VALUE"""),328.52)</f>
        <v>328.52</v>
      </c>
      <c r="E3027" s="1">
        <f>IFERROR(__xludf.DUMMYFUNCTION("""COMPUTED_VALUE"""),328.68)</f>
        <v>328.68</v>
      </c>
      <c r="F3027" s="1">
        <f>IFERROR(__xludf.DUMMYFUNCTION("""COMPUTED_VALUE"""),549180.0)</f>
        <v>549180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IFERROR(__xludf.DUMMYFUNCTION("""COMPUTED_VALUE"""),323.85)</f>
        <v>323.85</v>
      </c>
      <c r="C3028" s="1">
        <f>IFERROR(__xludf.DUMMYFUNCTION("""COMPUTED_VALUE"""),334.52)</f>
        <v>334.52</v>
      </c>
      <c r="D3028" s="1">
        <f>IFERROR(__xludf.DUMMYFUNCTION("""COMPUTED_VALUE"""),319.2)</f>
        <v>319.2</v>
      </c>
      <c r="E3028" s="1">
        <f>IFERROR(__xludf.DUMMYFUNCTION("""COMPUTED_VALUE"""),334.11)</f>
        <v>334.11</v>
      </c>
      <c r="F3028" s="1">
        <f>IFERROR(__xludf.DUMMYFUNCTION("""COMPUTED_VALUE"""),489517.0)</f>
        <v>489517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IFERROR(__xludf.DUMMYFUNCTION("""COMPUTED_VALUE"""),338.68)</f>
        <v>338.68</v>
      </c>
      <c r="C3029" s="1">
        <f>IFERROR(__xludf.DUMMYFUNCTION("""COMPUTED_VALUE"""),360.24)</f>
        <v>360.24</v>
      </c>
      <c r="D3029" s="1">
        <f>IFERROR(__xludf.DUMMYFUNCTION("""COMPUTED_VALUE"""),338.68)</f>
        <v>338.68</v>
      </c>
      <c r="E3029" s="1">
        <f>IFERROR(__xludf.DUMMYFUNCTION("""COMPUTED_VALUE"""),357.95)</f>
        <v>357.95</v>
      </c>
      <c r="F3029" s="1">
        <f>IFERROR(__xludf.DUMMYFUNCTION("""COMPUTED_VALUE"""),1012392.0)</f>
        <v>1012392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IFERROR(__xludf.DUMMYFUNCTION("""COMPUTED_VALUE"""),358.0)</f>
        <v>358</v>
      </c>
      <c r="C3030" s="1">
        <f>IFERROR(__xludf.DUMMYFUNCTION("""COMPUTED_VALUE"""),366.01)</f>
        <v>366.01</v>
      </c>
      <c r="D3030" s="1">
        <f>IFERROR(__xludf.DUMMYFUNCTION("""COMPUTED_VALUE"""),355.85)</f>
        <v>355.85</v>
      </c>
      <c r="E3030" s="1">
        <f>IFERROR(__xludf.DUMMYFUNCTION("""COMPUTED_VALUE"""),359.86)</f>
        <v>359.86</v>
      </c>
      <c r="F3030" s="1">
        <f>IFERROR(__xludf.DUMMYFUNCTION("""COMPUTED_VALUE"""),516365.0)</f>
        <v>516365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IFERROR(__xludf.DUMMYFUNCTION("""COMPUTED_VALUE"""),356.65)</f>
        <v>356.65</v>
      </c>
      <c r="C3031" s="1">
        <f>IFERROR(__xludf.DUMMYFUNCTION("""COMPUTED_VALUE"""),359.04)</f>
        <v>359.04</v>
      </c>
      <c r="D3031" s="1">
        <f>IFERROR(__xludf.DUMMYFUNCTION("""COMPUTED_VALUE"""),346.71)</f>
        <v>346.71</v>
      </c>
      <c r="E3031" s="1">
        <f>IFERROR(__xludf.DUMMYFUNCTION("""COMPUTED_VALUE"""),351.85)</f>
        <v>351.85</v>
      </c>
      <c r="F3031" s="1">
        <f>IFERROR(__xludf.DUMMYFUNCTION("""COMPUTED_VALUE"""),448731.0)</f>
        <v>448731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IFERROR(__xludf.DUMMYFUNCTION("""COMPUTED_VALUE"""),349.7)</f>
        <v>349.7</v>
      </c>
      <c r="C3032" s="1">
        <f>IFERROR(__xludf.DUMMYFUNCTION("""COMPUTED_VALUE"""),356.34)</f>
        <v>356.34</v>
      </c>
      <c r="D3032" s="1">
        <f>IFERROR(__xludf.DUMMYFUNCTION("""COMPUTED_VALUE"""),347.14)</f>
        <v>347.14</v>
      </c>
      <c r="E3032" s="1">
        <f>IFERROR(__xludf.DUMMYFUNCTION("""COMPUTED_VALUE"""),355.01)</f>
        <v>355.01</v>
      </c>
      <c r="F3032" s="1">
        <f>IFERROR(__xludf.DUMMYFUNCTION("""COMPUTED_VALUE"""),464132.0)</f>
        <v>464132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IFERROR(__xludf.DUMMYFUNCTION("""COMPUTED_VALUE"""),349.06)</f>
        <v>349.06</v>
      </c>
      <c r="C3033" s="1">
        <f>IFERROR(__xludf.DUMMYFUNCTION("""COMPUTED_VALUE"""),350.58)</f>
        <v>350.58</v>
      </c>
      <c r="D3033" s="1">
        <f>IFERROR(__xludf.DUMMYFUNCTION("""COMPUTED_VALUE"""),337.26)</f>
        <v>337.26</v>
      </c>
      <c r="E3033" s="1">
        <f>IFERROR(__xludf.DUMMYFUNCTION("""COMPUTED_VALUE"""),340.23)</f>
        <v>340.23</v>
      </c>
      <c r="F3033" s="1">
        <f>IFERROR(__xludf.DUMMYFUNCTION("""COMPUTED_VALUE"""),437245.0)</f>
        <v>437245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IFERROR(__xludf.DUMMYFUNCTION("""COMPUTED_VALUE"""),343.06)</f>
        <v>343.06</v>
      </c>
      <c r="C3034" s="1">
        <f>IFERROR(__xludf.DUMMYFUNCTION("""COMPUTED_VALUE"""),349.0)</f>
        <v>349</v>
      </c>
      <c r="D3034" s="1">
        <f>IFERROR(__xludf.DUMMYFUNCTION("""COMPUTED_VALUE"""),336.14)</f>
        <v>336.14</v>
      </c>
      <c r="E3034" s="1">
        <f>IFERROR(__xludf.DUMMYFUNCTION("""COMPUTED_VALUE"""),336.68)</f>
        <v>336.68</v>
      </c>
      <c r="F3034" s="1">
        <f>IFERROR(__xludf.DUMMYFUNCTION("""COMPUTED_VALUE"""),386790.0)</f>
        <v>386790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IFERROR(__xludf.DUMMYFUNCTION("""COMPUTED_VALUE"""),339.75)</f>
        <v>339.75</v>
      </c>
      <c r="C3035" s="1">
        <f>IFERROR(__xludf.DUMMYFUNCTION("""COMPUTED_VALUE"""),345.32)</f>
        <v>345.32</v>
      </c>
      <c r="D3035" s="1">
        <f>IFERROR(__xludf.DUMMYFUNCTION("""COMPUTED_VALUE"""),331.61)</f>
        <v>331.61</v>
      </c>
      <c r="E3035" s="1">
        <f>IFERROR(__xludf.DUMMYFUNCTION("""COMPUTED_VALUE"""),332.1)</f>
        <v>332.1</v>
      </c>
      <c r="F3035" s="1">
        <f>IFERROR(__xludf.DUMMYFUNCTION("""COMPUTED_VALUE"""),425681.0)</f>
        <v>425681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IFERROR(__xludf.DUMMYFUNCTION("""COMPUTED_VALUE"""),334.94)</f>
        <v>334.94</v>
      </c>
      <c r="C3036" s="1">
        <f>IFERROR(__xludf.DUMMYFUNCTION("""COMPUTED_VALUE"""),335.05)</f>
        <v>335.05</v>
      </c>
      <c r="D3036" s="1">
        <f>IFERROR(__xludf.DUMMYFUNCTION("""COMPUTED_VALUE"""),324.03)</f>
        <v>324.03</v>
      </c>
      <c r="E3036" s="1">
        <f>IFERROR(__xludf.DUMMYFUNCTION("""COMPUTED_VALUE"""),324.66)</f>
        <v>324.66</v>
      </c>
      <c r="F3036" s="1">
        <f>IFERROR(__xludf.DUMMYFUNCTION("""COMPUTED_VALUE"""),381314.0)</f>
        <v>381314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IFERROR(__xludf.DUMMYFUNCTION("""COMPUTED_VALUE"""),321.54)</f>
        <v>321.54</v>
      </c>
      <c r="C3037" s="1">
        <f>IFERROR(__xludf.DUMMYFUNCTION("""COMPUTED_VALUE"""),330.77)</f>
        <v>330.77</v>
      </c>
      <c r="D3037" s="1">
        <f>IFERROR(__xludf.DUMMYFUNCTION("""COMPUTED_VALUE"""),307.35)</f>
        <v>307.35</v>
      </c>
      <c r="E3037" s="1">
        <f>IFERROR(__xludf.DUMMYFUNCTION("""COMPUTED_VALUE"""),330.09)</f>
        <v>330.09</v>
      </c>
      <c r="F3037" s="1">
        <f>IFERROR(__xludf.DUMMYFUNCTION("""COMPUTED_VALUE"""),480640.0)</f>
        <v>480640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IFERROR(__xludf.DUMMYFUNCTION("""COMPUTED_VALUE"""),323.18)</f>
        <v>323.18</v>
      </c>
      <c r="C3038" s="1">
        <f>IFERROR(__xludf.DUMMYFUNCTION("""COMPUTED_VALUE"""),323.92)</f>
        <v>323.92</v>
      </c>
      <c r="D3038" s="1">
        <f>IFERROR(__xludf.DUMMYFUNCTION("""COMPUTED_VALUE"""),315.13)</f>
        <v>315.13</v>
      </c>
      <c r="E3038" s="1">
        <f>IFERROR(__xludf.DUMMYFUNCTION("""COMPUTED_VALUE"""),317.85)</f>
        <v>317.85</v>
      </c>
      <c r="F3038" s="1">
        <f>IFERROR(__xludf.DUMMYFUNCTION("""COMPUTED_VALUE"""),444531.0)</f>
        <v>444531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IFERROR(__xludf.DUMMYFUNCTION("""COMPUTED_VALUE"""),322.42)</f>
        <v>322.42</v>
      </c>
      <c r="C3039" s="1">
        <f>IFERROR(__xludf.DUMMYFUNCTION("""COMPUTED_VALUE"""),324.36)</f>
        <v>324.36</v>
      </c>
      <c r="D3039" s="1">
        <f>IFERROR(__xludf.DUMMYFUNCTION("""COMPUTED_VALUE"""),308.5)</f>
        <v>308.5</v>
      </c>
      <c r="E3039" s="1">
        <f>IFERROR(__xludf.DUMMYFUNCTION("""COMPUTED_VALUE"""),310.88)</f>
        <v>310.88</v>
      </c>
      <c r="F3039" s="1">
        <f>IFERROR(__xludf.DUMMYFUNCTION("""COMPUTED_VALUE"""),444581.0)</f>
        <v>444581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IFERROR(__xludf.DUMMYFUNCTION("""COMPUTED_VALUE"""),315.59)</f>
        <v>315.59</v>
      </c>
      <c r="C3040" s="1">
        <f>IFERROR(__xludf.DUMMYFUNCTION("""COMPUTED_VALUE"""),319.44)</f>
        <v>319.44</v>
      </c>
      <c r="D3040" s="1">
        <f>IFERROR(__xludf.DUMMYFUNCTION("""COMPUTED_VALUE"""),312.08)</f>
        <v>312.08</v>
      </c>
      <c r="E3040" s="1">
        <f>IFERROR(__xludf.DUMMYFUNCTION("""COMPUTED_VALUE"""),312.24)</f>
        <v>312.24</v>
      </c>
      <c r="F3040" s="1">
        <f>IFERROR(__xludf.DUMMYFUNCTION("""COMPUTED_VALUE"""),443425.0)</f>
        <v>443425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IFERROR(__xludf.DUMMYFUNCTION("""COMPUTED_VALUE"""),312.83)</f>
        <v>312.83</v>
      </c>
      <c r="C3041" s="1">
        <f>IFERROR(__xludf.DUMMYFUNCTION("""COMPUTED_VALUE"""),321.96)</f>
        <v>321.96</v>
      </c>
      <c r="D3041" s="1">
        <f>IFERROR(__xludf.DUMMYFUNCTION("""COMPUTED_VALUE"""),308.12)</f>
        <v>308.12</v>
      </c>
      <c r="E3041" s="1">
        <f>IFERROR(__xludf.DUMMYFUNCTION("""COMPUTED_VALUE"""),321.73)</f>
        <v>321.73</v>
      </c>
      <c r="F3041" s="1">
        <f>IFERROR(__xludf.DUMMYFUNCTION("""COMPUTED_VALUE"""),281050.0)</f>
        <v>281050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IFERROR(__xludf.DUMMYFUNCTION("""COMPUTED_VALUE"""),322.9)</f>
        <v>322.9</v>
      </c>
      <c r="C3042" s="1">
        <f>IFERROR(__xludf.DUMMYFUNCTION("""COMPUTED_VALUE"""),329.99)</f>
        <v>329.99</v>
      </c>
      <c r="D3042" s="1">
        <f>IFERROR(__xludf.DUMMYFUNCTION("""COMPUTED_VALUE"""),322.87)</f>
        <v>322.87</v>
      </c>
      <c r="E3042" s="1">
        <f>IFERROR(__xludf.DUMMYFUNCTION("""COMPUTED_VALUE"""),329.76)</f>
        <v>329.76</v>
      </c>
      <c r="F3042" s="1">
        <f>IFERROR(__xludf.DUMMYFUNCTION("""COMPUTED_VALUE"""),402157.0)</f>
        <v>402157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IFERROR(__xludf.DUMMYFUNCTION("""COMPUTED_VALUE"""),331.99)</f>
        <v>331.99</v>
      </c>
      <c r="C3043" s="1">
        <f>IFERROR(__xludf.DUMMYFUNCTION("""COMPUTED_VALUE"""),337.02)</f>
        <v>337.02</v>
      </c>
      <c r="D3043" s="1">
        <f>IFERROR(__xludf.DUMMYFUNCTION("""COMPUTED_VALUE"""),327.33)</f>
        <v>327.33</v>
      </c>
      <c r="E3043" s="1">
        <f>IFERROR(__xludf.DUMMYFUNCTION("""COMPUTED_VALUE"""),335.49)</f>
        <v>335.49</v>
      </c>
      <c r="F3043" s="1">
        <f>IFERROR(__xludf.DUMMYFUNCTION("""COMPUTED_VALUE"""),300179.0)</f>
        <v>300179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IFERROR(__xludf.DUMMYFUNCTION("""COMPUTED_VALUE"""),336.05)</f>
        <v>336.05</v>
      </c>
      <c r="C3044" s="1">
        <f>IFERROR(__xludf.DUMMYFUNCTION("""COMPUTED_VALUE"""),346.79)</f>
        <v>346.79</v>
      </c>
      <c r="D3044" s="1">
        <f>IFERROR(__xludf.DUMMYFUNCTION("""COMPUTED_VALUE"""),334.18)</f>
        <v>334.18</v>
      </c>
      <c r="E3044" s="1">
        <f>IFERROR(__xludf.DUMMYFUNCTION("""COMPUTED_VALUE"""),343.08)</f>
        <v>343.08</v>
      </c>
      <c r="F3044" s="1">
        <f>IFERROR(__xludf.DUMMYFUNCTION("""COMPUTED_VALUE"""),463634.0)</f>
        <v>463634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IFERROR(__xludf.DUMMYFUNCTION("""COMPUTED_VALUE"""),337.2)</f>
        <v>337.2</v>
      </c>
      <c r="C3045" s="1">
        <f>IFERROR(__xludf.DUMMYFUNCTION("""COMPUTED_VALUE"""),342.49)</f>
        <v>342.49</v>
      </c>
      <c r="D3045" s="1">
        <f>IFERROR(__xludf.DUMMYFUNCTION("""COMPUTED_VALUE"""),335.45)</f>
        <v>335.45</v>
      </c>
      <c r="E3045" s="1">
        <f>IFERROR(__xludf.DUMMYFUNCTION("""COMPUTED_VALUE"""),337.05)</f>
        <v>337.05</v>
      </c>
      <c r="F3045" s="1">
        <f>IFERROR(__xludf.DUMMYFUNCTION("""COMPUTED_VALUE"""),308748.0)</f>
        <v>308748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IFERROR(__xludf.DUMMYFUNCTION("""COMPUTED_VALUE"""),335.0)</f>
        <v>335</v>
      </c>
      <c r="C3046" s="1">
        <f>IFERROR(__xludf.DUMMYFUNCTION("""COMPUTED_VALUE"""),338.0)</f>
        <v>338</v>
      </c>
      <c r="D3046" s="1">
        <f>IFERROR(__xludf.DUMMYFUNCTION("""COMPUTED_VALUE"""),330.55)</f>
        <v>330.55</v>
      </c>
      <c r="E3046" s="1">
        <f>IFERROR(__xludf.DUMMYFUNCTION("""COMPUTED_VALUE"""),335.65)</f>
        <v>335.65</v>
      </c>
      <c r="F3046" s="1">
        <f>IFERROR(__xludf.DUMMYFUNCTION("""COMPUTED_VALUE"""),368229.0)</f>
        <v>368229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IFERROR(__xludf.DUMMYFUNCTION("""COMPUTED_VALUE"""),336.48)</f>
        <v>336.48</v>
      </c>
      <c r="C3047" s="1">
        <f>IFERROR(__xludf.DUMMYFUNCTION("""COMPUTED_VALUE"""),340.7)</f>
        <v>340.7</v>
      </c>
      <c r="D3047" s="1">
        <f>IFERROR(__xludf.DUMMYFUNCTION("""COMPUTED_VALUE"""),333.71)</f>
        <v>333.71</v>
      </c>
      <c r="E3047" s="1">
        <f>IFERROR(__xludf.DUMMYFUNCTION("""COMPUTED_VALUE"""),334.77)</f>
        <v>334.77</v>
      </c>
      <c r="F3047" s="1">
        <f>IFERROR(__xludf.DUMMYFUNCTION("""COMPUTED_VALUE"""),228751.0)</f>
        <v>228751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IFERROR(__xludf.DUMMYFUNCTION("""COMPUTED_VALUE"""),331.4)</f>
        <v>331.4</v>
      </c>
      <c r="C3048" s="1">
        <f>IFERROR(__xludf.DUMMYFUNCTION("""COMPUTED_VALUE"""),341.82)</f>
        <v>341.82</v>
      </c>
      <c r="D3048" s="1">
        <f>IFERROR(__xludf.DUMMYFUNCTION("""COMPUTED_VALUE"""),331.4)</f>
        <v>331.4</v>
      </c>
      <c r="E3048" s="1">
        <f>IFERROR(__xludf.DUMMYFUNCTION("""COMPUTED_VALUE"""),337.05)</f>
        <v>337.05</v>
      </c>
      <c r="F3048" s="1">
        <f>IFERROR(__xludf.DUMMYFUNCTION("""COMPUTED_VALUE"""),416951.0)</f>
        <v>416951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IFERROR(__xludf.DUMMYFUNCTION("""COMPUTED_VALUE"""),342.49)</f>
        <v>342.49</v>
      </c>
      <c r="C3049" s="1">
        <f>IFERROR(__xludf.DUMMYFUNCTION("""COMPUTED_VALUE"""),349.84)</f>
        <v>349.84</v>
      </c>
      <c r="D3049" s="1">
        <f>IFERROR(__xludf.DUMMYFUNCTION("""COMPUTED_VALUE"""),342.49)</f>
        <v>342.49</v>
      </c>
      <c r="E3049" s="1">
        <f>IFERROR(__xludf.DUMMYFUNCTION("""COMPUTED_VALUE"""),346.96)</f>
        <v>346.96</v>
      </c>
      <c r="F3049" s="1">
        <f>IFERROR(__xludf.DUMMYFUNCTION("""COMPUTED_VALUE"""),272717.0)</f>
        <v>272717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IFERROR(__xludf.DUMMYFUNCTION("""COMPUTED_VALUE"""),338.87)</f>
        <v>338.87</v>
      </c>
      <c r="C3050" s="1">
        <f>IFERROR(__xludf.DUMMYFUNCTION("""COMPUTED_VALUE"""),348.5)</f>
        <v>348.5</v>
      </c>
      <c r="D3050" s="1">
        <f>IFERROR(__xludf.DUMMYFUNCTION("""COMPUTED_VALUE"""),336.66)</f>
        <v>336.66</v>
      </c>
      <c r="E3050" s="1">
        <f>IFERROR(__xludf.DUMMYFUNCTION("""COMPUTED_VALUE"""),339.6)</f>
        <v>339.6</v>
      </c>
      <c r="F3050" s="1">
        <f>IFERROR(__xludf.DUMMYFUNCTION("""COMPUTED_VALUE"""),265896.0)</f>
        <v>265896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IFERROR(__xludf.DUMMYFUNCTION("""COMPUTED_VALUE"""),337.94)</f>
        <v>337.94</v>
      </c>
      <c r="C3051" s="1">
        <f>IFERROR(__xludf.DUMMYFUNCTION("""COMPUTED_VALUE"""),344.51)</f>
        <v>344.51</v>
      </c>
      <c r="D3051" s="1">
        <f>IFERROR(__xludf.DUMMYFUNCTION("""COMPUTED_VALUE"""),329.69)</f>
        <v>329.69</v>
      </c>
      <c r="E3051" s="1">
        <f>IFERROR(__xludf.DUMMYFUNCTION("""COMPUTED_VALUE"""),330.96)</f>
        <v>330.96</v>
      </c>
      <c r="F3051" s="1">
        <f>IFERROR(__xludf.DUMMYFUNCTION("""COMPUTED_VALUE"""),374181.0)</f>
        <v>374181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IFERROR(__xludf.DUMMYFUNCTION("""COMPUTED_VALUE"""),329.25)</f>
        <v>329.25</v>
      </c>
      <c r="C3052" s="1">
        <f>IFERROR(__xludf.DUMMYFUNCTION("""COMPUTED_VALUE"""),331.3)</f>
        <v>331.3</v>
      </c>
      <c r="D3052" s="1">
        <f>IFERROR(__xludf.DUMMYFUNCTION("""COMPUTED_VALUE"""),324.62)</f>
        <v>324.62</v>
      </c>
      <c r="E3052" s="1">
        <f>IFERROR(__xludf.DUMMYFUNCTION("""COMPUTED_VALUE"""),327.44)</f>
        <v>327.44</v>
      </c>
      <c r="F3052" s="1">
        <f>IFERROR(__xludf.DUMMYFUNCTION("""COMPUTED_VALUE"""),457977.0)</f>
        <v>457977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IFERROR(__xludf.DUMMYFUNCTION("""COMPUTED_VALUE"""),333.18)</f>
        <v>333.18</v>
      </c>
      <c r="C3053" s="1">
        <f>IFERROR(__xludf.DUMMYFUNCTION("""COMPUTED_VALUE"""),334.63)</f>
        <v>334.63</v>
      </c>
      <c r="D3053" s="1">
        <f>IFERROR(__xludf.DUMMYFUNCTION("""COMPUTED_VALUE"""),307.68)</f>
        <v>307.68</v>
      </c>
      <c r="E3053" s="1">
        <f>IFERROR(__xludf.DUMMYFUNCTION("""COMPUTED_VALUE"""),312.63)</f>
        <v>312.63</v>
      </c>
      <c r="F3053" s="1">
        <f>IFERROR(__xludf.DUMMYFUNCTION("""COMPUTED_VALUE"""),1293474.0)</f>
        <v>1293474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IFERROR(__xludf.DUMMYFUNCTION("""COMPUTED_VALUE"""),294.0)</f>
        <v>294</v>
      </c>
      <c r="C3054" s="1">
        <f>IFERROR(__xludf.DUMMYFUNCTION("""COMPUTED_VALUE"""),308.13)</f>
        <v>308.13</v>
      </c>
      <c r="D3054" s="1">
        <f>IFERROR(__xludf.DUMMYFUNCTION("""COMPUTED_VALUE"""),286.97)</f>
        <v>286.97</v>
      </c>
      <c r="E3054" s="1">
        <f>IFERROR(__xludf.DUMMYFUNCTION("""COMPUTED_VALUE"""),305.28)</f>
        <v>305.28</v>
      </c>
      <c r="F3054" s="1">
        <f>IFERROR(__xludf.DUMMYFUNCTION("""COMPUTED_VALUE"""),1286569.0)</f>
        <v>1286569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IFERROR(__xludf.DUMMYFUNCTION("""COMPUTED_VALUE"""),306.0)</f>
        <v>306</v>
      </c>
      <c r="C3055" s="1">
        <f>IFERROR(__xludf.DUMMYFUNCTION("""COMPUTED_VALUE"""),306.54)</f>
        <v>306.54</v>
      </c>
      <c r="D3055" s="1">
        <f>IFERROR(__xludf.DUMMYFUNCTION("""COMPUTED_VALUE"""),289.02)</f>
        <v>289.02</v>
      </c>
      <c r="E3055" s="1">
        <f>IFERROR(__xludf.DUMMYFUNCTION("""COMPUTED_VALUE"""),291.63)</f>
        <v>291.63</v>
      </c>
      <c r="F3055" s="1">
        <f>IFERROR(__xludf.DUMMYFUNCTION("""COMPUTED_VALUE"""),947662.0)</f>
        <v>947662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IFERROR(__xludf.DUMMYFUNCTION("""COMPUTED_VALUE"""),293.32)</f>
        <v>293.32</v>
      </c>
      <c r="C3056" s="1">
        <f>IFERROR(__xludf.DUMMYFUNCTION("""COMPUTED_VALUE"""),299.92)</f>
        <v>299.92</v>
      </c>
      <c r="D3056" s="1">
        <f>IFERROR(__xludf.DUMMYFUNCTION("""COMPUTED_VALUE"""),290.13)</f>
        <v>290.13</v>
      </c>
      <c r="E3056" s="1">
        <f>IFERROR(__xludf.DUMMYFUNCTION("""COMPUTED_VALUE"""),293.61)</f>
        <v>293.61</v>
      </c>
      <c r="F3056" s="1">
        <f>IFERROR(__xludf.DUMMYFUNCTION("""COMPUTED_VALUE"""),654501.0)</f>
        <v>654501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IFERROR(__xludf.DUMMYFUNCTION("""COMPUTED_VALUE"""),291.05)</f>
        <v>291.05</v>
      </c>
      <c r="C3057" s="1">
        <f>IFERROR(__xludf.DUMMYFUNCTION("""COMPUTED_VALUE"""),293.34)</f>
        <v>293.34</v>
      </c>
      <c r="D3057" s="1">
        <f>IFERROR(__xludf.DUMMYFUNCTION("""COMPUTED_VALUE"""),285.37)</f>
        <v>285.37</v>
      </c>
      <c r="E3057" s="1">
        <f>IFERROR(__xludf.DUMMYFUNCTION("""COMPUTED_VALUE"""),289.58)</f>
        <v>289.58</v>
      </c>
      <c r="F3057" s="1">
        <f>IFERROR(__xludf.DUMMYFUNCTION("""COMPUTED_VALUE"""),671851.0)</f>
        <v>671851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IFERROR(__xludf.DUMMYFUNCTION("""COMPUTED_VALUE"""),292.75)</f>
        <v>292.75</v>
      </c>
      <c r="C3058" s="1">
        <f>IFERROR(__xludf.DUMMYFUNCTION("""COMPUTED_VALUE"""),296.13)</f>
        <v>296.13</v>
      </c>
      <c r="D3058" s="1">
        <f>IFERROR(__xludf.DUMMYFUNCTION("""COMPUTED_VALUE"""),283.18)</f>
        <v>283.18</v>
      </c>
      <c r="E3058" s="1">
        <f>IFERROR(__xludf.DUMMYFUNCTION("""COMPUTED_VALUE"""),283.57)</f>
        <v>283.57</v>
      </c>
      <c r="F3058" s="1">
        <f>IFERROR(__xludf.DUMMYFUNCTION("""COMPUTED_VALUE"""),1030720.0)</f>
        <v>1030720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IFERROR(__xludf.DUMMYFUNCTION("""COMPUTED_VALUE"""),277.12)</f>
        <v>277.12</v>
      </c>
      <c r="C3059" s="1">
        <f>IFERROR(__xludf.DUMMYFUNCTION("""COMPUTED_VALUE"""),291.94)</f>
        <v>291.94</v>
      </c>
      <c r="D3059" s="1">
        <f>IFERROR(__xludf.DUMMYFUNCTION("""COMPUTED_VALUE"""),276.33)</f>
        <v>276.33</v>
      </c>
      <c r="E3059" s="1">
        <f>IFERROR(__xludf.DUMMYFUNCTION("""COMPUTED_VALUE"""),290.03)</f>
        <v>290.03</v>
      </c>
      <c r="F3059" s="1">
        <f>IFERROR(__xludf.DUMMYFUNCTION("""COMPUTED_VALUE"""),602413.0)</f>
        <v>602413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IFERROR(__xludf.DUMMYFUNCTION("""COMPUTED_VALUE"""),287.53)</f>
        <v>287.53</v>
      </c>
      <c r="C3060" s="1">
        <f>IFERROR(__xludf.DUMMYFUNCTION("""COMPUTED_VALUE"""),296.16)</f>
        <v>296.16</v>
      </c>
      <c r="D3060" s="1">
        <f>IFERROR(__xludf.DUMMYFUNCTION("""COMPUTED_VALUE"""),286.04)</f>
        <v>286.04</v>
      </c>
      <c r="E3060" s="1">
        <f>IFERROR(__xludf.DUMMYFUNCTION("""COMPUTED_VALUE"""),296.16)</f>
        <v>296.16</v>
      </c>
      <c r="F3060" s="1">
        <f>IFERROR(__xludf.DUMMYFUNCTION("""COMPUTED_VALUE"""),486892.0)</f>
        <v>486892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IFERROR(__xludf.DUMMYFUNCTION("""COMPUTED_VALUE"""),293.16)</f>
        <v>293.16</v>
      </c>
      <c r="C3061" s="1">
        <f>IFERROR(__xludf.DUMMYFUNCTION("""COMPUTED_VALUE"""),293.93)</f>
        <v>293.93</v>
      </c>
      <c r="D3061" s="1">
        <f>IFERROR(__xludf.DUMMYFUNCTION("""COMPUTED_VALUE"""),285.33)</f>
        <v>285.33</v>
      </c>
      <c r="E3061" s="1">
        <f>IFERROR(__xludf.DUMMYFUNCTION("""COMPUTED_VALUE"""),291.16)</f>
        <v>291.16</v>
      </c>
      <c r="F3061" s="1">
        <f>IFERROR(__xludf.DUMMYFUNCTION("""COMPUTED_VALUE"""),640721.0)</f>
        <v>640721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IFERROR(__xludf.DUMMYFUNCTION("""COMPUTED_VALUE"""),288.83)</f>
        <v>288.83</v>
      </c>
      <c r="C3062" s="1">
        <f>IFERROR(__xludf.DUMMYFUNCTION("""COMPUTED_VALUE"""),292.75)</f>
        <v>292.75</v>
      </c>
      <c r="D3062" s="1">
        <f>IFERROR(__xludf.DUMMYFUNCTION("""COMPUTED_VALUE"""),282.46)</f>
        <v>282.46</v>
      </c>
      <c r="E3062" s="1">
        <f>IFERROR(__xludf.DUMMYFUNCTION("""COMPUTED_VALUE"""),284.44)</f>
        <v>284.44</v>
      </c>
      <c r="F3062" s="1">
        <f>IFERROR(__xludf.DUMMYFUNCTION("""COMPUTED_VALUE"""),542004.0)</f>
        <v>542004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IFERROR(__xludf.DUMMYFUNCTION("""COMPUTED_VALUE"""),286.05)</f>
        <v>286.05</v>
      </c>
      <c r="C3063" s="1">
        <f>IFERROR(__xludf.DUMMYFUNCTION("""COMPUTED_VALUE"""),289.82)</f>
        <v>289.82</v>
      </c>
      <c r="D3063" s="1">
        <f>IFERROR(__xludf.DUMMYFUNCTION("""COMPUTED_VALUE"""),283.78)</f>
        <v>283.78</v>
      </c>
      <c r="E3063" s="1">
        <f>IFERROR(__xludf.DUMMYFUNCTION("""COMPUTED_VALUE"""),286.99)</f>
        <v>286.99</v>
      </c>
      <c r="F3063" s="1">
        <f>IFERROR(__xludf.DUMMYFUNCTION("""COMPUTED_VALUE"""),693772.0)</f>
        <v>693772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IFERROR(__xludf.DUMMYFUNCTION("""COMPUTED_VALUE"""),290.25)</f>
        <v>290.25</v>
      </c>
      <c r="C3064" s="1">
        <f>IFERROR(__xludf.DUMMYFUNCTION("""COMPUTED_VALUE"""),290.25)</f>
        <v>290.25</v>
      </c>
      <c r="D3064" s="1">
        <f>IFERROR(__xludf.DUMMYFUNCTION("""COMPUTED_VALUE"""),281.05)</f>
        <v>281.05</v>
      </c>
      <c r="E3064" s="1">
        <f>IFERROR(__xludf.DUMMYFUNCTION("""COMPUTED_VALUE"""),284.15)</f>
        <v>284.15</v>
      </c>
      <c r="F3064" s="1">
        <f>IFERROR(__xludf.DUMMYFUNCTION("""COMPUTED_VALUE"""),531799.0)</f>
        <v>531799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IFERROR(__xludf.DUMMYFUNCTION("""COMPUTED_VALUE"""),283.05)</f>
        <v>283.05</v>
      </c>
      <c r="C3065" s="1">
        <f>IFERROR(__xludf.DUMMYFUNCTION("""COMPUTED_VALUE"""),285.51)</f>
        <v>285.51</v>
      </c>
      <c r="D3065" s="1">
        <f>IFERROR(__xludf.DUMMYFUNCTION("""COMPUTED_VALUE"""),274.88)</f>
        <v>274.88</v>
      </c>
      <c r="E3065" s="1">
        <f>IFERROR(__xludf.DUMMYFUNCTION("""COMPUTED_VALUE"""),278.0)</f>
        <v>278</v>
      </c>
      <c r="F3065" s="1">
        <f>IFERROR(__xludf.DUMMYFUNCTION("""COMPUTED_VALUE"""),549258.0)</f>
        <v>549258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IFERROR(__xludf.DUMMYFUNCTION("""COMPUTED_VALUE"""),280.96)</f>
        <v>280.96</v>
      </c>
      <c r="C3066" s="1">
        <f>IFERROR(__xludf.DUMMYFUNCTION("""COMPUTED_VALUE"""),280.96)</f>
        <v>280.96</v>
      </c>
      <c r="D3066" s="1">
        <f>IFERROR(__xludf.DUMMYFUNCTION("""COMPUTED_VALUE"""),261.82)</f>
        <v>261.82</v>
      </c>
      <c r="E3066" s="1">
        <f>IFERROR(__xludf.DUMMYFUNCTION("""COMPUTED_VALUE"""),266.47)</f>
        <v>266.47</v>
      </c>
      <c r="F3066" s="1">
        <f>IFERROR(__xludf.DUMMYFUNCTION("""COMPUTED_VALUE"""),812388.0)</f>
        <v>812388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IFERROR(__xludf.DUMMYFUNCTION("""COMPUTED_VALUE"""),266.65)</f>
        <v>266.65</v>
      </c>
      <c r="C3067" s="1">
        <f>IFERROR(__xludf.DUMMYFUNCTION("""COMPUTED_VALUE"""),266.65)</f>
        <v>266.65</v>
      </c>
      <c r="D3067" s="1">
        <f>IFERROR(__xludf.DUMMYFUNCTION("""COMPUTED_VALUE"""),251.3)</f>
        <v>251.3</v>
      </c>
      <c r="E3067" s="1">
        <f>IFERROR(__xludf.DUMMYFUNCTION("""COMPUTED_VALUE"""),256.66)</f>
        <v>256.66</v>
      </c>
      <c r="F3067" s="1">
        <f>IFERROR(__xludf.DUMMYFUNCTION("""COMPUTED_VALUE"""),841855.0)</f>
        <v>841855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IFERROR(__xludf.DUMMYFUNCTION("""COMPUTED_VALUE"""),265.35)</f>
        <v>265.35</v>
      </c>
      <c r="C3068" s="1">
        <f>IFERROR(__xludf.DUMMYFUNCTION("""COMPUTED_VALUE"""),271.61)</f>
        <v>271.61</v>
      </c>
      <c r="D3068" s="1">
        <f>IFERROR(__xludf.DUMMYFUNCTION("""COMPUTED_VALUE"""),263.27)</f>
        <v>263.27</v>
      </c>
      <c r="E3068" s="1">
        <f>IFERROR(__xludf.DUMMYFUNCTION("""COMPUTED_VALUE"""),268.49)</f>
        <v>268.49</v>
      </c>
      <c r="F3068" s="1">
        <f>IFERROR(__xludf.DUMMYFUNCTION("""COMPUTED_VALUE"""),671965.0)</f>
        <v>671965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IFERROR(__xludf.DUMMYFUNCTION("""COMPUTED_VALUE"""),262.63)</f>
        <v>262.63</v>
      </c>
      <c r="C3069" s="1">
        <f>IFERROR(__xludf.DUMMYFUNCTION("""COMPUTED_VALUE"""),267.93)</f>
        <v>267.93</v>
      </c>
      <c r="D3069" s="1">
        <f>IFERROR(__xludf.DUMMYFUNCTION("""COMPUTED_VALUE"""),259.28)</f>
        <v>259.28</v>
      </c>
      <c r="E3069" s="1">
        <f>IFERROR(__xludf.DUMMYFUNCTION("""COMPUTED_VALUE"""),266.57)</f>
        <v>266.57</v>
      </c>
      <c r="F3069" s="1">
        <f>IFERROR(__xludf.DUMMYFUNCTION("""COMPUTED_VALUE"""),411299.0)</f>
        <v>411299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IFERROR(__xludf.DUMMYFUNCTION("""COMPUTED_VALUE"""),270.31)</f>
        <v>270.31</v>
      </c>
      <c r="C3070" s="1">
        <f>IFERROR(__xludf.DUMMYFUNCTION("""COMPUTED_VALUE"""),270.85)</f>
        <v>270.85</v>
      </c>
      <c r="D3070" s="1">
        <f>IFERROR(__xludf.DUMMYFUNCTION("""COMPUTED_VALUE"""),259.33)</f>
        <v>259.33</v>
      </c>
      <c r="E3070" s="1">
        <f>IFERROR(__xludf.DUMMYFUNCTION("""COMPUTED_VALUE"""),259.54)</f>
        <v>259.54</v>
      </c>
      <c r="F3070" s="1">
        <f>IFERROR(__xludf.DUMMYFUNCTION("""COMPUTED_VALUE"""),644245.0)</f>
        <v>644245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IFERROR(__xludf.DUMMYFUNCTION("""COMPUTED_VALUE"""),261.2)</f>
        <v>261.2</v>
      </c>
      <c r="C3071" s="1">
        <f>IFERROR(__xludf.DUMMYFUNCTION("""COMPUTED_VALUE"""),268.05)</f>
        <v>268.05</v>
      </c>
      <c r="D3071" s="1">
        <f>IFERROR(__xludf.DUMMYFUNCTION("""COMPUTED_VALUE"""),255.34)</f>
        <v>255.34</v>
      </c>
      <c r="E3071" s="1">
        <f>IFERROR(__xludf.DUMMYFUNCTION("""COMPUTED_VALUE"""),255.51)</f>
        <v>255.51</v>
      </c>
      <c r="F3071" s="1">
        <f>IFERROR(__xludf.DUMMYFUNCTION("""COMPUTED_VALUE"""),457301.0)</f>
        <v>457301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IFERROR(__xludf.DUMMYFUNCTION("""COMPUTED_VALUE"""),257.58)</f>
        <v>257.58</v>
      </c>
      <c r="C3072" s="1">
        <f>IFERROR(__xludf.DUMMYFUNCTION("""COMPUTED_VALUE"""),260.15)</f>
        <v>260.15</v>
      </c>
      <c r="D3072" s="1">
        <f>IFERROR(__xludf.DUMMYFUNCTION("""COMPUTED_VALUE"""),253.81)</f>
        <v>253.81</v>
      </c>
      <c r="E3072" s="1">
        <f>IFERROR(__xludf.DUMMYFUNCTION("""COMPUTED_VALUE"""),259.23)</f>
        <v>259.23</v>
      </c>
      <c r="F3072" s="1">
        <f>IFERROR(__xludf.DUMMYFUNCTION("""COMPUTED_VALUE"""),599898.0)</f>
        <v>599898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IFERROR(__xludf.DUMMYFUNCTION("""COMPUTED_VALUE"""),262.85)</f>
        <v>262.85</v>
      </c>
      <c r="C3073" s="1">
        <f>IFERROR(__xludf.DUMMYFUNCTION("""COMPUTED_VALUE"""),271.51)</f>
        <v>271.51</v>
      </c>
      <c r="D3073" s="1">
        <f>IFERROR(__xludf.DUMMYFUNCTION("""COMPUTED_VALUE"""),260.01)</f>
        <v>260.01</v>
      </c>
      <c r="E3073" s="1">
        <f>IFERROR(__xludf.DUMMYFUNCTION("""COMPUTED_VALUE"""),270.77)</f>
        <v>270.77</v>
      </c>
      <c r="F3073" s="1">
        <f>IFERROR(__xludf.DUMMYFUNCTION("""COMPUTED_VALUE"""),477217.0)</f>
        <v>477217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IFERROR(__xludf.DUMMYFUNCTION("""COMPUTED_VALUE"""),269.55)</f>
        <v>269.55</v>
      </c>
      <c r="C3074" s="1">
        <f>IFERROR(__xludf.DUMMYFUNCTION("""COMPUTED_VALUE"""),281.86)</f>
        <v>281.86</v>
      </c>
      <c r="D3074" s="1">
        <f>IFERROR(__xludf.DUMMYFUNCTION("""COMPUTED_VALUE"""),269.31)</f>
        <v>269.31</v>
      </c>
      <c r="E3074" s="1">
        <f>IFERROR(__xludf.DUMMYFUNCTION("""COMPUTED_VALUE"""),281.7)</f>
        <v>281.7</v>
      </c>
      <c r="F3074" s="1">
        <f>IFERROR(__xludf.DUMMYFUNCTION("""COMPUTED_VALUE"""),548099.0)</f>
        <v>548099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IFERROR(__xludf.DUMMYFUNCTION("""COMPUTED_VALUE"""),280.85)</f>
        <v>280.85</v>
      </c>
      <c r="C3075" s="1">
        <f>IFERROR(__xludf.DUMMYFUNCTION("""COMPUTED_VALUE"""),291.6)</f>
        <v>291.6</v>
      </c>
      <c r="D3075" s="1">
        <f>IFERROR(__xludf.DUMMYFUNCTION("""COMPUTED_VALUE"""),279.68)</f>
        <v>279.68</v>
      </c>
      <c r="E3075" s="1">
        <f>IFERROR(__xludf.DUMMYFUNCTION("""COMPUTED_VALUE"""),286.77)</f>
        <v>286.77</v>
      </c>
      <c r="F3075" s="1">
        <f>IFERROR(__xludf.DUMMYFUNCTION("""COMPUTED_VALUE"""),739712.0)</f>
        <v>739712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IFERROR(__xludf.DUMMYFUNCTION("""COMPUTED_VALUE"""),284.58)</f>
        <v>284.58</v>
      </c>
      <c r="C3076" s="1">
        <f>IFERROR(__xludf.DUMMYFUNCTION("""COMPUTED_VALUE"""),289.06)</f>
        <v>289.06</v>
      </c>
      <c r="D3076" s="1">
        <f>IFERROR(__xludf.DUMMYFUNCTION("""COMPUTED_VALUE"""),283.01)</f>
        <v>283.01</v>
      </c>
      <c r="E3076" s="1">
        <f>IFERROR(__xludf.DUMMYFUNCTION("""COMPUTED_VALUE"""),286.61)</f>
        <v>286.61</v>
      </c>
      <c r="F3076" s="1">
        <f>IFERROR(__xludf.DUMMYFUNCTION("""COMPUTED_VALUE"""),340933.0)</f>
        <v>340933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IFERROR(__xludf.DUMMYFUNCTION("""COMPUTED_VALUE"""),286.35)</f>
        <v>286.35</v>
      </c>
      <c r="C3077" s="1">
        <f>IFERROR(__xludf.DUMMYFUNCTION("""COMPUTED_VALUE"""),297.49)</f>
        <v>297.49</v>
      </c>
      <c r="D3077" s="1">
        <f>IFERROR(__xludf.DUMMYFUNCTION("""COMPUTED_VALUE"""),285.99)</f>
        <v>285.99</v>
      </c>
      <c r="E3077" s="1">
        <f>IFERROR(__xludf.DUMMYFUNCTION("""COMPUTED_VALUE"""),295.38)</f>
        <v>295.38</v>
      </c>
      <c r="F3077" s="1">
        <f>IFERROR(__xludf.DUMMYFUNCTION("""COMPUTED_VALUE"""),620183.0)</f>
        <v>620183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IFERROR(__xludf.DUMMYFUNCTION("""COMPUTED_VALUE"""),292.51)</f>
        <v>292.51</v>
      </c>
      <c r="C3078" s="1">
        <f>IFERROR(__xludf.DUMMYFUNCTION("""COMPUTED_VALUE"""),292.51)</f>
        <v>292.51</v>
      </c>
      <c r="D3078" s="1">
        <f>IFERROR(__xludf.DUMMYFUNCTION("""COMPUTED_VALUE"""),277.63)</f>
        <v>277.63</v>
      </c>
      <c r="E3078" s="1">
        <f>IFERROR(__xludf.DUMMYFUNCTION("""COMPUTED_VALUE"""),278.71)</f>
        <v>278.71</v>
      </c>
      <c r="F3078" s="1">
        <f>IFERROR(__xludf.DUMMYFUNCTION("""COMPUTED_VALUE"""),406876.0)</f>
        <v>406876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IFERROR(__xludf.DUMMYFUNCTION("""COMPUTED_VALUE"""),280.17)</f>
        <v>280.17</v>
      </c>
      <c r="C3079" s="1">
        <f>IFERROR(__xludf.DUMMYFUNCTION("""COMPUTED_VALUE"""),281.79)</f>
        <v>281.79</v>
      </c>
      <c r="D3079" s="1">
        <f>IFERROR(__xludf.DUMMYFUNCTION("""COMPUTED_VALUE"""),275.67)</f>
        <v>275.67</v>
      </c>
      <c r="E3079" s="1">
        <f>IFERROR(__xludf.DUMMYFUNCTION("""COMPUTED_VALUE"""),281.05)</f>
        <v>281.05</v>
      </c>
      <c r="F3079" s="1">
        <f>IFERROR(__xludf.DUMMYFUNCTION("""COMPUTED_VALUE"""),279548.0)</f>
        <v>279548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IFERROR(__xludf.DUMMYFUNCTION("""COMPUTED_VALUE"""),282.77)</f>
        <v>282.77</v>
      </c>
      <c r="C3080" s="1">
        <f>IFERROR(__xludf.DUMMYFUNCTION("""COMPUTED_VALUE"""),283.06)</f>
        <v>283.06</v>
      </c>
      <c r="D3080" s="1">
        <f>IFERROR(__xludf.DUMMYFUNCTION("""COMPUTED_VALUE"""),273.0)</f>
        <v>273</v>
      </c>
      <c r="E3080" s="1">
        <f>IFERROR(__xludf.DUMMYFUNCTION("""COMPUTED_VALUE"""),279.1)</f>
        <v>279.1</v>
      </c>
      <c r="F3080" s="1">
        <f>IFERROR(__xludf.DUMMYFUNCTION("""COMPUTED_VALUE"""),342247.0)</f>
        <v>342247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IFERROR(__xludf.DUMMYFUNCTION("""COMPUTED_VALUE"""),278.65)</f>
        <v>278.65</v>
      </c>
      <c r="C3081" s="1">
        <f>IFERROR(__xludf.DUMMYFUNCTION("""COMPUTED_VALUE"""),282.7)</f>
        <v>282.7</v>
      </c>
      <c r="D3081" s="1">
        <f>IFERROR(__xludf.DUMMYFUNCTION("""COMPUTED_VALUE"""),276.42)</f>
        <v>276.42</v>
      </c>
      <c r="E3081" s="1">
        <f>IFERROR(__xludf.DUMMYFUNCTION("""COMPUTED_VALUE"""),282.68)</f>
        <v>282.68</v>
      </c>
      <c r="F3081" s="1">
        <f>IFERROR(__xludf.DUMMYFUNCTION("""COMPUTED_VALUE"""),340242.0)</f>
        <v>340242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IFERROR(__xludf.DUMMYFUNCTION("""COMPUTED_VALUE"""),287.59)</f>
        <v>287.59</v>
      </c>
      <c r="C3082" s="1">
        <f>IFERROR(__xludf.DUMMYFUNCTION("""COMPUTED_VALUE"""),292.81)</f>
        <v>292.81</v>
      </c>
      <c r="D3082" s="1">
        <f>IFERROR(__xludf.DUMMYFUNCTION("""COMPUTED_VALUE"""),287.59)</f>
        <v>287.59</v>
      </c>
      <c r="E3082" s="1">
        <f>IFERROR(__xludf.DUMMYFUNCTION("""COMPUTED_VALUE"""),290.95)</f>
        <v>290.95</v>
      </c>
      <c r="F3082" s="1">
        <f>IFERROR(__xludf.DUMMYFUNCTION("""COMPUTED_VALUE"""),363745.0)</f>
        <v>363745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IFERROR(__xludf.DUMMYFUNCTION("""COMPUTED_VALUE"""),290.02)</f>
        <v>290.02</v>
      </c>
      <c r="C3083" s="1">
        <f>IFERROR(__xludf.DUMMYFUNCTION("""COMPUTED_VALUE"""),292.25)</f>
        <v>292.25</v>
      </c>
      <c r="D3083" s="1">
        <f>IFERROR(__xludf.DUMMYFUNCTION("""COMPUTED_VALUE"""),288.17)</f>
        <v>288.17</v>
      </c>
      <c r="E3083" s="1">
        <f>IFERROR(__xludf.DUMMYFUNCTION("""COMPUTED_VALUE"""),289.86)</f>
        <v>289.86</v>
      </c>
      <c r="F3083" s="1">
        <f>IFERROR(__xludf.DUMMYFUNCTION("""COMPUTED_VALUE"""),360465.0)</f>
        <v>360465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IFERROR(__xludf.DUMMYFUNCTION("""COMPUTED_VALUE"""),289.48)</f>
        <v>289.48</v>
      </c>
      <c r="C3084" s="1">
        <f>IFERROR(__xludf.DUMMYFUNCTION("""COMPUTED_VALUE"""),292.26)</f>
        <v>292.26</v>
      </c>
      <c r="D3084" s="1">
        <f>IFERROR(__xludf.DUMMYFUNCTION("""COMPUTED_VALUE"""),283.93)</f>
        <v>283.93</v>
      </c>
      <c r="E3084" s="1">
        <f>IFERROR(__xludf.DUMMYFUNCTION("""COMPUTED_VALUE"""),283.97)</f>
        <v>283.97</v>
      </c>
      <c r="F3084" s="1">
        <f>IFERROR(__xludf.DUMMYFUNCTION("""COMPUTED_VALUE"""),375591.0)</f>
        <v>375591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IFERROR(__xludf.DUMMYFUNCTION("""COMPUTED_VALUE"""),286.12)</f>
        <v>286.12</v>
      </c>
      <c r="C3085" s="1">
        <f>IFERROR(__xludf.DUMMYFUNCTION("""COMPUTED_VALUE"""),291.02)</f>
        <v>291.02</v>
      </c>
      <c r="D3085" s="1">
        <f>IFERROR(__xludf.DUMMYFUNCTION("""COMPUTED_VALUE"""),283.97)</f>
        <v>283.97</v>
      </c>
      <c r="E3085" s="1">
        <f>IFERROR(__xludf.DUMMYFUNCTION("""COMPUTED_VALUE"""),288.66)</f>
        <v>288.66</v>
      </c>
      <c r="F3085" s="1">
        <f>IFERROR(__xludf.DUMMYFUNCTION("""COMPUTED_VALUE"""),305583.0)</f>
        <v>305583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IFERROR(__xludf.DUMMYFUNCTION("""COMPUTED_VALUE"""),288.59)</f>
        <v>288.59</v>
      </c>
      <c r="C3086" s="1">
        <f>IFERROR(__xludf.DUMMYFUNCTION("""COMPUTED_VALUE"""),291.21)</f>
        <v>291.21</v>
      </c>
      <c r="D3086" s="1">
        <f>IFERROR(__xludf.DUMMYFUNCTION("""COMPUTED_VALUE"""),286.0)</f>
        <v>286</v>
      </c>
      <c r="E3086" s="1">
        <f>IFERROR(__xludf.DUMMYFUNCTION("""COMPUTED_VALUE"""),287.27)</f>
        <v>287.27</v>
      </c>
      <c r="F3086" s="1">
        <f>IFERROR(__xludf.DUMMYFUNCTION("""COMPUTED_VALUE"""),293620.0)</f>
        <v>293620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IFERROR(__xludf.DUMMYFUNCTION("""COMPUTED_VALUE"""),288.27)</f>
        <v>288.27</v>
      </c>
      <c r="C3087" s="1">
        <f>IFERROR(__xludf.DUMMYFUNCTION("""COMPUTED_VALUE"""),291.33)</f>
        <v>291.33</v>
      </c>
      <c r="D3087" s="1">
        <f>IFERROR(__xludf.DUMMYFUNCTION("""COMPUTED_VALUE"""),283.59)</f>
        <v>283.59</v>
      </c>
      <c r="E3087" s="1">
        <f>IFERROR(__xludf.DUMMYFUNCTION("""COMPUTED_VALUE"""),288.66)</f>
        <v>288.66</v>
      </c>
      <c r="F3087" s="1">
        <f>IFERROR(__xludf.DUMMYFUNCTION("""COMPUTED_VALUE"""),684001.0)</f>
        <v>684001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IFERROR(__xludf.DUMMYFUNCTION("""COMPUTED_VALUE"""),287.16)</f>
        <v>287.16</v>
      </c>
      <c r="C3088" s="1">
        <f>IFERROR(__xludf.DUMMYFUNCTION("""COMPUTED_VALUE"""),287.16)</f>
        <v>287.16</v>
      </c>
      <c r="D3088" s="1">
        <f>IFERROR(__xludf.DUMMYFUNCTION("""COMPUTED_VALUE"""),276.94)</f>
        <v>276.94</v>
      </c>
      <c r="E3088" s="1">
        <f>IFERROR(__xludf.DUMMYFUNCTION("""COMPUTED_VALUE"""),286.02)</f>
        <v>286.02</v>
      </c>
      <c r="F3088" s="1">
        <f>IFERROR(__xludf.DUMMYFUNCTION("""COMPUTED_VALUE"""),462772.0)</f>
        <v>462772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IFERROR(__xludf.DUMMYFUNCTION("""COMPUTED_VALUE"""),286.51)</f>
        <v>286.51</v>
      </c>
      <c r="C3089" s="1">
        <f>IFERROR(__xludf.DUMMYFUNCTION("""COMPUTED_VALUE"""),303.83)</f>
        <v>303.83</v>
      </c>
      <c r="D3089" s="1">
        <f>IFERROR(__xludf.DUMMYFUNCTION("""COMPUTED_VALUE"""),284.48)</f>
        <v>284.48</v>
      </c>
      <c r="E3089" s="1">
        <f>IFERROR(__xludf.DUMMYFUNCTION("""COMPUTED_VALUE"""),302.02)</f>
        <v>302.02</v>
      </c>
      <c r="F3089" s="1">
        <f>IFERROR(__xludf.DUMMYFUNCTION("""COMPUTED_VALUE"""),647444.0)</f>
        <v>647444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IFERROR(__xludf.DUMMYFUNCTION("""COMPUTED_VALUE"""),299.95)</f>
        <v>299.95</v>
      </c>
      <c r="C3090" s="1">
        <f>IFERROR(__xludf.DUMMYFUNCTION("""COMPUTED_VALUE"""),308.15)</f>
        <v>308.15</v>
      </c>
      <c r="D3090" s="1">
        <f>IFERROR(__xludf.DUMMYFUNCTION("""COMPUTED_VALUE"""),298.77)</f>
        <v>298.77</v>
      </c>
      <c r="E3090" s="1">
        <f>IFERROR(__xludf.DUMMYFUNCTION("""COMPUTED_VALUE"""),302.4)</f>
        <v>302.4</v>
      </c>
      <c r="F3090" s="1">
        <f>IFERROR(__xludf.DUMMYFUNCTION("""COMPUTED_VALUE"""),567417.0)</f>
        <v>567417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IFERROR(__xludf.DUMMYFUNCTION("""COMPUTED_VALUE"""),302.39)</f>
        <v>302.39</v>
      </c>
      <c r="C3091" s="1">
        <f>IFERROR(__xludf.DUMMYFUNCTION("""COMPUTED_VALUE"""),302.39)</f>
        <v>302.39</v>
      </c>
      <c r="D3091" s="1">
        <f>IFERROR(__xludf.DUMMYFUNCTION("""COMPUTED_VALUE"""),288.84)</f>
        <v>288.84</v>
      </c>
      <c r="E3091" s="1">
        <f>IFERROR(__xludf.DUMMYFUNCTION("""COMPUTED_VALUE"""),290.67)</f>
        <v>290.67</v>
      </c>
      <c r="F3091" s="1">
        <f>IFERROR(__xludf.DUMMYFUNCTION("""COMPUTED_VALUE"""),448436.0)</f>
        <v>448436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IFERROR(__xludf.DUMMYFUNCTION("""COMPUTED_VALUE"""),296.57)</f>
        <v>296.57</v>
      </c>
      <c r="C3092" s="1">
        <f>IFERROR(__xludf.DUMMYFUNCTION("""COMPUTED_VALUE"""),296.57)</f>
        <v>296.57</v>
      </c>
      <c r="D3092" s="1">
        <f>IFERROR(__xludf.DUMMYFUNCTION("""COMPUTED_VALUE"""),283.48)</f>
        <v>283.48</v>
      </c>
      <c r="E3092" s="1">
        <f>IFERROR(__xludf.DUMMYFUNCTION("""COMPUTED_VALUE"""),286.65)</f>
        <v>286.65</v>
      </c>
      <c r="F3092" s="1">
        <f>IFERROR(__xludf.DUMMYFUNCTION("""COMPUTED_VALUE"""),498785.0)</f>
        <v>498785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IFERROR(__xludf.DUMMYFUNCTION("""COMPUTED_VALUE"""),286.06)</f>
        <v>286.06</v>
      </c>
      <c r="C3093" s="1">
        <f>IFERROR(__xludf.DUMMYFUNCTION("""COMPUTED_VALUE"""),291.75)</f>
        <v>291.75</v>
      </c>
      <c r="D3093" s="1">
        <f>IFERROR(__xludf.DUMMYFUNCTION("""COMPUTED_VALUE"""),284.77)</f>
        <v>284.77</v>
      </c>
      <c r="E3093" s="1">
        <f>IFERROR(__xludf.DUMMYFUNCTION("""COMPUTED_VALUE"""),289.82)</f>
        <v>289.82</v>
      </c>
      <c r="F3093" s="1">
        <f>IFERROR(__xludf.DUMMYFUNCTION("""COMPUTED_VALUE"""),299703.0)</f>
        <v>299703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IFERROR(__xludf.DUMMYFUNCTION("""COMPUTED_VALUE"""),289.82)</f>
        <v>289.82</v>
      </c>
      <c r="C3094" s="1">
        <f>IFERROR(__xludf.DUMMYFUNCTION("""COMPUTED_VALUE"""),290.19)</f>
        <v>290.19</v>
      </c>
      <c r="D3094" s="1">
        <f>IFERROR(__xludf.DUMMYFUNCTION("""COMPUTED_VALUE"""),281.59)</f>
        <v>281.59</v>
      </c>
      <c r="E3094" s="1">
        <f>IFERROR(__xludf.DUMMYFUNCTION("""COMPUTED_VALUE"""),284.63)</f>
        <v>284.63</v>
      </c>
      <c r="F3094" s="1">
        <f>IFERROR(__xludf.DUMMYFUNCTION("""COMPUTED_VALUE"""),389190.0)</f>
        <v>389190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IFERROR(__xludf.DUMMYFUNCTION("""COMPUTED_VALUE"""),283.76)</f>
        <v>283.76</v>
      </c>
      <c r="C3095" s="1">
        <f>IFERROR(__xludf.DUMMYFUNCTION("""COMPUTED_VALUE"""),284.88)</f>
        <v>284.88</v>
      </c>
      <c r="D3095" s="1">
        <f>IFERROR(__xludf.DUMMYFUNCTION("""COMPUTED_VALUE"""),275.49)</f>
        <v>275.49</v>
      </c>
      <c r="E3095" s="1">
        <f>IFERROR(__xludf.DUMMYFUNCTION("""COMPUTED_VALUE"""),277.23)</f>
        <v>277.23</v>
      </c>
      <c r="F3095" s="1">
        <f>IFERROR(__xludf.DUMMYFUNCTION("""COMPUTED_VALUE"""),412659.0)</f>
        <v>412659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IFERROR(__xludf.DUMMYFUNCTION("""COMPUTED_VALUE"""),277.64)</f>
        <v>277.64</v>
      </c>
      <c r="C3096" s="1">
        <f>IFERROR(__xludf.DUMMYFUNCTION("""COMPUTED_VALUE"""),290.19)</f>
        <v>290.19</v>
      </c>
      <c r="D3096" s="1">
        <f>IFERROR(__xludf.DUMMYFUNCTION("""COMPUTED_VALUE"""),277.23)</f>
        <v>277.23</v>
      </c>
      <c r="E3096" s="1">
        <f>IFERROR(__xludf.DUMMYFUNCTION("""COMPUTED_VALUE"""),288.55)</f>
        <v>288.55</v>
      </c>
      <c r="F3096" s="1">
        <f>IFERROR(__xludf.DUMMYFUNCTION("""COMPUTED_VALUE"""),526789.0)</f>
        <v>526789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IFERROR(__xludf.DUMMYFUNCTION("""COMPUTED_VALUE"""),290.75)</f>
        <v>290.75</v>
      </c>
      <c r="C3097" s="1">
        <f>IFERROR(__xludf.DUMMYFUNCTION("""COMPUTED_VALUE"""),297.93)</f>
        <v>297.93</v>
      </c>
      <c r="D3097" s="1">
        <f>IFERROR(__xludf.DUMMYFUNCTION("""COMPUTED_VALUE"""),286.45)</f>
        <v>286.45</v>
      </c>
      <c r="E3097" s="1">
        <f>IFERROR(__xludf.DUMMYFUNCTION("""COMPUTED_VALUE"""),296.85)</f>
        <v>296.85</v>
      </c>
      <c r="F3097" s="1">
        <f>IFERROR(__xludf.DUMMYFUNCTION("""COMPUTED_VALUE"""),412032.0)</f>
        <v>412032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IFERROR(__xludf.DUMMYFUNCTION("""COMPUTED_VALUE"""),299.38)</f>
        <v>299.38</v>
      </c>
      <c r="C3098" s="1">
        <f>IFERROR(__xludf.DUMMYFUNCTION("""COMPUTED_VALUE"""),301.1)</f>
        <v>301.1</v>
      </c>
      <c r="D3098" s="1">
        <f>IFERROR(__xludf.DUMMYFUNCTION("""COMPUTED_VALUE"""),291.07)</f>
        <v>291.07</v>
      </c>
      <c r="E3098" s="1">
        <f>IFERROR(__xludf.DUMMYFUNCTION("""COMPUTED_VALUE"""),292.0)</f>
        <v>292</v>
      </c>
      <c r="F3098" s="1">
        <f>IFERROR(__xludf.DUMMYFUNCTION("""COMPUTED_VALUE"""),588144.0)</f>
        <v>588144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IFERROR(__xludf.DUMMYFUNCTION("""COMPUTED_VALUE"""),288.83)</f>
        <v>288.83</v>
      </c>
      <c r="C3099" s="1">
        <f>IFERROR(__xludf.DUMMYFUNCTION("""COMPUTED_VALUE"""),288.83)</f>
        <v>288.83</v>
      </c>
      <c r="D3099" s="1">
        <f>IFERROR(__xludf.DUMMYFUNCTION("""COMPUTED_VALUE"""),272.55)</f>
        <v>272.55</v>
      </c>
      <c r="E3099" s="1">
        <f>IFERROR(__xludf.DUMMYFUNCTION("""COMPUTED_VALUE"""),273.03)</f>
        <v>273.03</v>
      </c>
      <c r="F3099" s="1">
        <f>IFERROR(__xludf.DUMMYFUNCTION("""COMPUTED_VALUE"""),394335.0)</f>
        <v>394335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IFERROR(__xludf.DUMMYFUNCTION("""COMPUTED_VALUE"""),257.05)</f>
        <v>257.05</v>
      </c>
      <c r="C3100" s="1">
        <f>IFERROR(__xludf.DUMMYFUNCTION("""COMPUTED_VALUE"""),259.65)</f>
        <v>259.65</v>
      </c>
      <c r="D3100" s="1">
        <f>IFERROR(__xludf.DUMMYFUNCTION("""COMPUTED_VALUE"""),249.69)</f>
        <v>249.69</v>
      </c>
      <c r="E3100" s="1">
        <f>IFERROR(__xludf.DUMMYFUNCTION("""COMPUTED_VALUE"""),253.34)</f>
        <v>253.34</v>
      </c>
      <c r="F3100" s="1">
        <f>IFERROR(__xludf.DUMMYFUNCTION("""COMPUTED_VALUE"""),909237.0)</f>
        <v>909237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IFERROR(__xludf.DUMMYFUNCTION("""COMPUTED_VALUE"""),249.81)</f>
        <v>249.81</v>
      </c>
      <c r="C3101" s="1">
        <f>IFERROR(__xludf.DUMMYFUNCTION("""COMPUTED_VALUE"""),253.37)</f>
        <v>253.37</v>
      </c>
      <c r="D3101" s="1">
        <f>IFERROR(__xludf.DUMMYFUNCTION("""COMPUTED_VALUE"""),230.62)</f>
        <v>230.62</v>
      </c>
      <c r="E3101" s="1">
        <f>IFERROR(__xludf.DUMMYFUNCTION("""COMPUTED_VALUE"""),231.67)</f>
        <v>231.67</v>
      </c>
      <c r="F3101" s="1">
        <f>IFERROR(__xludf.DUMMYFUNCTION("""COMPUTED_VALUE"""),1170003.0)</f>
        <v>1170003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IFERROR(__xludf.DUMMYFUNCTION("""COMPUTED_VALUE"""),234.29)</f>
        <v>234.29</v>
      </c>
      <c r="C3102" s="1">
        <f>IFERROR(__xludf.DUMMYFUNCTION("""COMPUTED_VALUE"""),241.66)</f>
        <v>241.66</v>
      </c>
      <c r="D3102" s="1">
        <f>IFERROR(__xludf.DUMMYFUNCTION("""COMPUTED_VALUE"""),232.45)</f>
        <v>232.45</v>
      </c>
      <c r="E3102" s="1">
        <f>IFERROR(__xludf.DUMMYFUNCTION("""COMPUTED_VALUE"""),238.95)</f>
        <v>238.95</v>
      </c>
      <c r="F3102" s="1">
        <f>IFERROR(__xludf.DUMMYFUNCTION("""COMPUTED_VALUE"""),950152.0)</f>
        <v>950152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IFERROR(__xludf.DUMMYFUNCTION("""COMPUTED_VALUE"""),235.0)</f>
        <v>235</v>
      </c>
      <c r="C3103" s="1">
        <f>IFERROR(__xludf.DUMMYFUNCTION("""COMPUTED_VALUE"""),245.91)</f>
        <v>245.91</v>
      </c>
      <c r="D3103" s="1">
        <f>IFERROR(__xludf.DUMMYFUNCTION("""COMPUTED_VALUE"""),234.61)</f>
        <v>234.61</v>
      </c>
      <c r="E3103" s="1">
        <f>IFERROR(__xludf.DUMMYFUNCTION("""COMPUTED_VALUE"""),242.17)</f>
        <v>242.17</v>
      </c>
      <c r="F3103" s="1">
        <f>IFERROR(__xludf.DUMMYFUNCTION("""COMPUTED_VALUE"""),819644.0)</f>
        <v>819644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IFERROR(__xludf.DUMMYFUNCTION("""COMPUTED_VALUE"""),242.22)</f>
        <v>242.22</v>
      </c>
      <c r="C3104" s="1">
        <f>IFERROR(__xludf.DUMMYFUNCTION("""COMPUTED_VALUE"""),252.06)</f>
        <v>252.06</v>
      </c>
      <c r="D3104" s="1">
        <f>IFERROR(__xludf.DUMMYFUNCTION("""COMPUTED_VALUE"""),240.54)</f>
        <v>240.54</v>
      </c>
      <c r="E3104" s="1">
        <f>IFERROR(__xludf.DUMMYFUNCTION("""COMPUTED_VALUE"""),241.51)</f>
        <v>241.51</v>
      </c>
      <c r="F3104" s="1">
        <f>IFERROR(__xludf.DUMMYFUNCTION("""COMPUTED_VALUE"""),640480.0)</f>
        <v>640480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IFERROR(__xludf.DUMMYFUNCTION("""COMPUTED_VALUE"""),239.76)</f>
        <v>239.76</v>
      </c>
      <c r="C3105" s="1">
        <f>IFERROR(__xludf.DUMMYFUNCTION("""COMPUTED_VALUE"""),245.91)</f>
        <v>245.91</v>
      </c>
      <c r="D3105" s="1">
        <f>IFERROR(__xludf.DUMMYFUNCTION("""COMPUTED_VALUE"""),234.8)</f>
        <v>234.8</v>
      </c>
      <c r="E3105" s="1">
        <f>IFERROR(__xludf.DUMMYFUNCTION("""COMPUTED_VALUE"""),245.88)</f>
        <v>245.88</v>
      </c>
      <c r="F3105" s="1">
        <f>IFERROR(__xludf.DUMMYFUNCTION("""COMPUTED_VALUE"""),836220.0)</f>
        <v>836220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IFERROR(__xludf.DUMMYFUNCTION("""COMPUTED_VALUE"""),246.23)</f>
        <v>246.23</v>
      </c>
      <c r="C3106" s="1">
        <f>IFERROR(__xludf.DUMMYFUNCTION("""COMPUTED_VALUE"""),254.49)</f>
        <v>254.49</v>
      </c>
      <c r="D3106" s="1">
        <f>IFERROR(__xludf.DUMMYFUNCTION("""COMPUTED_VALUE"""),245.49)</f>
        <v>245.49</v>
      </c>
      <c r="E3106" s="1">
        <f>IFERROR(__xludf.DUMMYFUNCTION("""COMPUTED_VALUE"""),251.19)</f>
        <v>251.19</v>
      </c>
      <c r="F3106" s="1">
        <f>IFERROR(__xludf.DUMMYFUNCTION("""COMPUTED_VALUE"""),1066504.0)</f>
        <v>1066504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IFERROR(__xludf.DUMMYFUNCTION("""COMPUTED_VALUE"""),265.0)</f>
        <v>265</v>
      </c>
      <c r="C3107" s="1">
        <f>IFERROR(__xludf.DUMMYFUNCTION("""COMPUTED_VALUE"""),265.0)</f>
        <v>265</v>
      </c>
      <c r="D3107" s="1">
        <f>IFERROR(__xludf.DUMMYFUNCTION("""COMPUTED_VALUE"""),240.27)</f>
        <v>240.27</v>
      </c>
      <c r="E3107" s="1">
        <f>IFERROR(__xludf.DUMMYFUNCTION("""COMPUTED_VALUE"""),257.51)</f>
        <v>257.51</v>
      </c>
      <c r="F3107" s="1">
        <f>IFERROR(__xludf.DUMMYFUNCTION("""COMPUTED_VALUE"""),1065088.0)</f>
        <v>1065088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IFERROR(__xludf.DUMMYFUNCTION("""COMPUTED_VALUE"""),257.47)</f>
        <v>257.47</v>
      </c>
      <c r="C3108" s="1">
        <f>IFERROR(__xludf.DUMMYFUNCTION("""COMPUTED_VALUE"""),257.5)</f>
        <v>257.5</v>
      </c>
      <c r="D3108" s="1">
        <f>IFERROR(__xludf.DUMMYFUNCTION("""COMPUTED_VALUE"""),245.35)</f>
        <v>245.35</v>
      </c>
      <c r="E3108" s="1">
        <f>IFERROR(__xludf.DUMMYFUNCTION("""COMPUTED_VALUE"""),248.19)</f>
        <v>248.19</v>
      </c>
      <c r="F3108" s="1">
        <f>IFERROR(__xludf.DUMMYFUNCTION("""COMPUTED_VALUE"""),754959.0)</f>
        <v>754959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IFERROR(__xludf.DUMMYFUNCTION("""COMPUTED_VALUE"""),247.38)</f>
        <v>247.38</v>
      </c>
      <c r="C3109" s="1">
        <f>IFERROR(__xludf.DUMMYFUNCTION("""COMPUTED_VALUE"""),247.91)</f>
        <v>247.91</v>
      </c>
      <c r="D3109" s="1">
        <f>IFERROR(__xludf.DUMMYFUNCTION("""COMPUTED_VALUE"""),239.63)</f>
        <v>239.63</v>
      </c>
      <c r="E3109" s="1">
        <f>IFERROR(__xludf.DUMMYFUNCTION("""COMPUTED_VALUE"""),241.96)</f>
        <v>241.96</v>
      </c>
      <c r="F3109" s="1">
        <f>IFERROR(__xludf.DUMMYFUNCTION("""COMPUTED_VALUE"""),606656.0)</f>
        <v>606656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IFERROR(__xludf.DUMMYFUNCTION("""COMPUTED_VALUE"""),238.62)</f>
        <v>238.62</v>
      </c>
      <c r="C3110" s="1">
        <f>IFERROR(__xludf.DUMMYFUNCTION("""COMPUTED_VALUE"""),240.12)</f>
        <v>240.12</v>
      </c>
      <c r="D3110" s="1">
        <f>IFERROR(__xludf.DUMMYFUNCTION("""COMPUTED_VALUE"""),227.29)</f>
        <v>227.29</v>
      </c>
      <c r="E3110" s="1">
        <f>IFERROR(__xludf.DUMMYFUNCTION("""COMPUTED_VALUE"""),228.85)</f>
        <v>228.85</v>
      </c>
      <c r="F3110" s="1">
        <f>IFERROR(__xludf.DUMMYFUNCTION("""COMPUTED_VALUE"""),783134.0)</f>
        <v>783134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IFERROR(__xludf.DUMMYFUNCTION("""COMPUTED_VALUE"""),234.12)</f>
        <v>234.12</v>
      </c>
      <c r="C3111" s="1">
        <f>IFERROR(__xludf.DUMMYFUNCTION("""COMPUTED_VALUE"""),236.62)</f>
        <v>236.62</v>
      </c>
      <c r="D3111" s="1">
        <f>IFERROR(__xludf.DUMMYFUNCTION("""COMPUTED_VALUE"""),225.25)</f>
        <v>225.25</v>
      </c>
      <c r="E3111" s="1">
        <f>IFERROR(__xludf.DUMMYFUNCTION("""COMPUTED_VALUE"""),229.25)</f>
        <v>229.25</v>
      </c>
      <c r="F3111" s="1">
        <f>IFERROR(__xludf.DUMMYFUNCTION("""COMPUTED_VALUE"""),608326.0)</f>
        <v>608326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IFERROR(__xludf.DUMMYFUNCTION("""COMPUTED_VALUE"""),227.71)</f>
        <v>227.71</v>
      </c>
      <c r="C3112" s="1">
        <f>IFERROR(__xludf.DUMMYFUNCTION("""COMPUTED_VALUE"""),231.22)</f>
        <v>231.22</v>
      </c>
      <c r="D3112" s="1">
        <f>IFERROR(__xludf.DUMMYFUNCTION("""COMPUTED_VALUE"""),221.54)</f>
        <v>221.54</v>
      </c>
      <c r="E3112" s="1">
        <f>IFERROR(__xludf.DUMMYFUNCTION("""COMPUTED_VALUE"""),222.31)</f>
        <v>222.31</v>
      </c>
      <c r="F3112" s="1">
        <f>IFERROR(__xludf.DUMMYFUNCTION("""COMPUTED_VALUE"""),734453.0)</f>
        <v>734453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IFERROR(__xludf.DUMMYFUNCTION("""COMPUTED_VALUE"""),219.48)</f>
        <v>219.48</v>
      </c>
      <c r="C3113" s="1">
        <f>IFERROR(__xludf.DUMMYFUNCTION("""COMPUTED_VALUE"""),229.5)</f>
        <v>229.5</v>
      </c>
      <c r="D3113" s="1">
        <f>IFERROR(__xludf.DUMMYFUNCTION("""COMPUTED_VALUE"""),217.2)</f>
        <v>217.2</v>
      </c>
      <c r="E3113" s="1">
        <f>IFERROR(__xludf.DUMMYFUNCTION("""COMPUTED_VALUE"""),226.71)</f>
        <v>226.71</v>
      </c>
      <c r="F3113" s="1">
        <f>IFERROR(__xludf.DUMMYFUNCTION("""COMPUTED_VALUE"""),704381.0)</f>
        <v>704381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IFERROR(__xludf.DUMMYFUNCTION("""COMPUTED_VALUE"""),232.25)</f>
        <v>232.25</v>
      </c>
      <c r="C3114" s="1">
        <f>IFERROR(__xludf.DUMMYFUNCTION("""COMPUTED_VALUE"""),239.59)</f>
        <v>239.59</v>
      </c>
      <c r="D3114" s="1">
        <f>IFERROR(__xludf.DUMMYFUNCTION("""COMPUTED_VALUE"""),232.01)</f>
        <v>232.01</v>
      </c>
      <c r="E3114" s="1">
        <f>IFERROR(__xludf.DUMMYFUNCTION("""COMPUTED_VALUE"""),235.81)</f>
        <v>235.81</v>
      </c>
      <c r="F3114" s="1">
        <f>IFERROR(__xludf.DUMMYFUNCTION("""COMPUTED_VALUE"""),470228.0)</f>
        <v>470228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IFERROR(__xludf.DUMMYFUNCTION("""COMPUTED_VALUE"""),233.24)</f>
        <v>233.24</v>
      </c>
      <c r="C3115" s="1">
        <f>IFERROR(__xludf.DUMMYFUNCTION("""COMPUTED_VALUE"""),237.27)</f>
        <v>237.27</v>
      </c>
      <c r="D3115" s="1">
        <f>IFERROR(__xludf.DUMMYFUNCTION("""COMPUTED_VALUE"""),229.95)</f>
        <v>229.95</v>
      </c>
      <c r="E3115" s="1">
        <f>IFERROR(__xludf.DUMMYFUNCTION("""COMPUTED_VALUE"""),231.2)</f>
        <v>231.2</v>
      </c>
      <c r="F3115" s="1">
        <f>IFERROR(__xludf.DUMMYFUNCTION("""COMPUTED_VALUE"""),288315.0)</f>
        <v>288315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IFERROR(__xludf.DUMMYFUNCTION("""COMPUTED_VALUE"""),237.7)</f>
        <v>237.7</v>
      </c>
      <c r="C3116" s="1">
        <f>IFERROR(__xludf.DUMMYFUNCTION("""COMPUTED_VALUE"""),239.8)</f>
        <v>239.8</v>
      </c>
      <c r="D3116" s="1">
        <f>IFERROR(__xludf.DUMMYFUNCTION("""COMPUTED_VALUE"""),231.0)</f>
        <v>231</v>
      </c>
      <c r="E3116" s="1">
        <f>IFERROR(__xludf.DUMMYFUNCTION("""COMPUTED_VALUE"""),236.21)</f>
        <v>236.21</v>
      </c>
      <c r="F3116" s="1">
        <f>IFERROR(__xludf.DUMMYFUNCTION("""COMPUTED_VALUE"""),354590.0)</f>
        <v>354590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IFERROR(__xludf.DUMMYFUNCTION("""COMPUTED_VALUE"""),231.53)</f>
        <v>231.53</v>
      </c>
      <c r="C3117" s="1">
        <f>IFERROR(__xludf.DUMMYFUNCTION("""COMPUTED_VALUE"""),234.39)</f>
        <v>234.39</v>
      </c>
      <c r="D3117" s="1">
        <f>IFERROR(__xludf.DUMMYFUNCTION("""COMPUTED_VALUE"""),223.96)</f>
        <v>223.96</v>
      </c>
      <c r="E3117" s="1">
        <f>IFERROR(__xludf.DUMMYFUNCTION("""COMPUTED_VALUE"""),225.02)</f>
        <v>225.02</v>
      </c>
      <c r="F3117" s="1">
        <f>IFERROR(__xludf.DUMMYFUNCTION("""COMPUTED_VALUE"""),439914.0)</f>
        <v>439914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IFERROR(__xludf.DUMMYFUNCTION("""COMPUTED_VALUE"""),224.32)</f>
        <v>224.32</v>
      </c>
      <c r="C3118" s="1">
        <f>IFERROR(__xludf.DUMMYFUNCTION("""COMPUTED_VALUE"""),234.84)</f>
        <v>234.84</v>
      </c>
      <c r="D3118" s="1">
        <f>IFERROR(__xludf.DUMMYFUNCTION("""COMPUTED_VALUE"""),223.92)</f>
        <v>223.92</v>
      </c>
      <c r="E3118" s="1">
        <f>IFERROR(__xludf.DUMMYFUNCTION("""COMPUTED_VALUE"""),231.77)</f>
        <v>231.77</v>
      </c>
      <c r="F3118" s="1">
        <f>IFERROR(__xludf.DUMMYFUNCTION("""COMPUTED_VALUE"""),412139.0)</f>
        <v>412139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IFERROR(__xludf.DUMMYFUNCTION("""COMPUTED_VALUE"""),234.15)</f>
        <v>234.15</v>
      </c>
      <c r="C3119" s="1">
        <f>IFERROR(__xludf.DUMMYFUNCTION("""COMPUTED_VALUE"""),236.06)</f>
        <v>236.06</v>
      </c>
      <c r="D3119" s="1">
        <f>IFERROR(__xludf.DUMMYFUNCTION("""COMPUTED_VALUE"""),226.08)</f>
        <v>226.08</v>
      </c>
      <c r="E3119" s="1">
        <f>IFERROR(__xludf.DUMMYFUNCTION("""COMPUTED_VALUE"""),232.64)</f>
        <v>232.64</v>
      </c>
      <c r="F3119" s="1">
        <f>IFERROR(__xludf.DUMMYFUNCTION("""COMPUTED_VALUE"""),368488.0)</f>
        <v>368488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IFERROR(__xludf.DUMMYFUNCTION("""COMPUTED_VALUE"""),234.49)</f>
        <v>234.49</v>
      </c>
      <c r="C3120" s="1">
        <f>IFERROR(__xludf.DUMMYFUNCTION("""COMPUTED_VALUE"""),234.49)</f>
        <v>234.49</v>
      </c>
      <c r="D3120" s="1">
        <f>IFERROR(__xludf.DUMMYFUNCTION("""COMPUTED_VALUE"""),225.93)</f>
        <v>225.93</v>
      </c>
      <c r="E3120" s="1">
        <f>IFERROR(__xludf.DUMMYFUNCTION("""COMPUTED_VALUE"""),231.24)</f>
        <v>231.24</v>
      </c>
      <c r="F3120" s="1">
        <f>IFERROR(__xludf.DUMMYFUNCTION("""COMPUTED_VALUE"""),503796.0)</f>
        <v>503796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IFERROR(__xludf.DUMMYFUNCTION("""COMPUTED_VALUE"""),229.59)</f>
        <v>229.59</v>
      </c>
      <c r="C3121" s="1">
        <f>IFERROR(__xludf.DUMMYFUNCTION("""COMPUTED_VALUE"""),230.99)</f>
        <v>230.99</v>
      </c>
      <c r="D3121" s="1">
        <f>IFERROR(__xludf.DUMMYFUNCTION("""COMPUTED_VALUE"""),221.12)</f>
        <v>221.12</v>
      </c>
      <c r="E3121" s="1">
        <f>IFERROR(__xludf.DUMMYFUNCTION("""COMPUTED_VALUE"""),223.35)</f>
        <v>223.35</v>
      </c>
      <c r="F3121" s="1">
        <f>IFERROR(__xludf.DUMMYFUNCTION("""COMPUTED_VALUE"""),468138.0)</f>
        <v>468138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IFERROR(__xludf.DUMMYFUNCTION("""COMPUTED_VALUE"""),221.9)</f>
        <v>221.9</v>
      </c>
      <c r="C3122" s="1">
        <f>IFERROR(__xludf.DUMMYFUNCTION("""COMPUTED_VALUE"""),225.39)</f>
        <v>225.39</v>
      </c>
      <c r="D3122" s="1">
        <f>IFERROR(__xludf.DUMMYFUNCTION("""COMPUTED_VALUE"""),219.18)</f>
        <v>219.18</v>
      </c>
      <c r="E3122" s="1">
        <f>IFERROR(__xludf.DUMMYFUNCTION("""COMPUTED_VALUE"""),223.48)</f>
        <v>223.48</v>
      </c>
      <c r="F3122" s="1">
        <f>IFERROR(__xludf.DUMMYFUNCTION("""COMPUTED_VALUE"""),403871.0)</f>
        <v>403871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IFERROR(__xludf.DUMMYFUNCTION("""COMPUTED_VALUE"""),225.5)</f>
        <v>225.5</v>
      </c>
      <c r="C3123" s="1">
        <f>IFERROR(__xludf.DUMMYFUNCTION("""COMPUTED_VALUE"""),231.27)</f>
        <v>231.27</v>
      </c>
      <c r="D3123" s="1">
        <f>IFERROR(__xludf.DUMMYFUNCTION("""COMPUTED_VALUE"""),224.16)</f>
        <v>224.16</v>
      </c>
      <c r="E3123" s="1">
        <f>IFERROR(__xludf.DUMMYFUNCTION("""COMPUTED_VALUE"""),230.21)</f>
        <v>230.21</v>
      </c>
      <c r="F3123" s="1">
        <f>IFERROR(__xludf.DUMMYFUNCTION("""COMPUTED_VALUE"""),411291.0)</f>
        <v>411291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IFERROR(__xludf.DUMMYFUNCTION("""COMPUTED_VALUE"""),232.62)</f>
        <v>232.62</v>
      </c>
      <c r="C3124" s="1">
        <f>IFERROR(__xludf.DUMMYFUNCTION("""COMPUTED_VALUE"""),244.44)</f>
        <v>244.44</v>
      </c>
      <c r="D3124" s="1">
        <f>IFERROR(__xludf.DUMMYFUNCTION("""COMPUTED_VALUE"""),231.69)</f>
        <v>231.69</v>
      </c>
      <c r="E3124" s="1">
        <f>IFERROR(__xludf.DUMMYFUNCTION("""COMPUTED_VALUE"""),244.41)</f>
        <v>244.41</v>
      </c>
      <c r="F3124" s="1">
        <f>IFERROR(__xludf.DUMMYFUNCTION("""COMPUTED_VALUE"""),447916.0)</f>
        <v>447916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IFERROR(__xludf.DUMMYFUNCTION("""COMPUTED_VALUE"""),242.77)</f>
        <v>242.77</v>
      </c>
      <c r="C3125" s="1">
        <f>IFERROR(__xludf.DUMMYFUNCTION("""COMPUTED_VALUE"""),242.77)</f>
        <v>242.77</v>
      </c>
      <c r="D3125" s="1">
        <f>IFERROR(__xludf.DUMMYFUNCTION("""COMPUTED_VALUE"""),231.51)</f>
        <v>231.51</v>
      </c>
      <c r="E3125" s="1">
        <f>IFERROR(__xludf.DUMMYFUNCTION("""COMPUTED_VALUE"""),234.08)</f>
        <v>234.08</v>
      </c>
      <c r="F3125" s="1">
        <f>IFERROR(__xludf.DUMMYFUNCTION("""COMPUTED_VALUE"""),496502.0)</f>
        <v>496502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IFERROR(__xludf.DUMMYFUNCTION("""COMPUTED_VALUE"""),235.21)</f>
        <v>235.21</v>
      </c>
      <c r="C3126" s="1">
        <f>IFERROR(__xludf.DUMMYFUNCTION("""COMPUTED_VALUE"""),237.91)</f>
        <v>237.91</v>
      </c>
      <c r="D3126" s="1">
        <f>IFERROR(__xludf.DUMMYFUNCTION("""COMPUTED_VALUE"""),224.17)</f>
        <v>224.17</v>
      </c>
      <c r="E3126" s="1">
        <f>IFERROR(__xludf.DUMMYFUNCTION("""COMPUTED_VALUE"""),229.69)</f>
        <v>229.69</v>
      </c>
      <c r="F3126" s="1">
        <f>IFERROR(__xludf.DUMMYFUNCTION("""COMPUTED_VALUE"""),297336.0)</f>
        <v>297336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IFERROR(__xludf.DUMMYFUNCTION("""COMPUTED_VALUE"""),229.96)</f>
        <v>229.96</v>
      </c>
      <c r="C3127" s="1">
        <f>IFERROR(__xludf.DUMMYFUNCTION("""COMPUTED_VALUE"""),245.35)</f>
        <v>245.35</v>
      </c>
      <c r="D3127" s="1">
        <f>IFERROR(__xludf.DUMMYFUNCTION("""COMPUTED_VALUE"""),227.81)</f>
        <v>227.81</v>
      </c>
      <c r="E3127" s="1">
        <f>IFERROR(__xludf.DUMMYFUNCTION("""COMPUTED_VALUE"""),245.25)</f>
        <v>245.25</v>
      </c>
      <c r="F3127" s="1">
        <f>IFERROR(__xludf.DUMMYFUNCTION("""COMPUTED_VALUE"""),475090.0)</f>
        <v>475090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IFERROR(__xludf.DUMMYFUNCTION("""COMPUTED_VALUE"""),240.64)</f>
        <v>240.64</v>
      </c>
      <c r="C3128" s="1">
        <f>IFERROR(__xludf.DUMMYFUNCTION("""COMPUTED_VALUE"""),245.2)</f>
        <v>245.2</v>
      </c>
      <c r="D3128" s="1">
        <f>IFERROR(__xludf.DUMMYFUNCTION("""COMPUTED_VALUE"""),239.09)</f>
        <v>239.09</v>
      </c>
      <c r="E3128" s="1">
        <f>IFERROR(__xludf.DUMMYFUNCTION("""COMPUTED_VALUE"""),242.98)</f>
        <v>242.98</v>
      </c>
      <c r="F3128" s="1">
        <f>IFERROR(__xludf.DUMMYFUNCTION("""COMPUTED_VALUE"""),732122.0)</f>
        <v>732122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IFERROR(__xludf.DUMMYFUNCTION("""COMPUTED_VALUE"""),246.63)</f>
        <v>246.63</v>
      </c>
      <c r="C3129" s="1">
        <f>IFERROR(__xludf.DUMMYFUNCTION("""COMPUTED_VALUE"""),247.65)</f>
        <v>247.65</v>
      </c>
      <c r="D3129" s="1">
        <f>IFERROR(__xludf.DUMMYFUNCTION("""COMPUTED_VALUE"""),242.4)</f>
        <v>242.4</v>
      </c>
      <c r="E3129" s="1">
        <f>IFERROR(__xludf.DUMMYFUNCTION("""COMPUTED_VALUE"""),245.02)</f>
        <v>245.02</v>
      </c>
      <c r="F3129" s="1">
        <f>IFERROR(__xludf.DUMMYFUNCTION("""COMPUTED_VALUE"""),291619.0)</f>
        <v>291619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IFERROR(__xludf.DUMMYFUNCTION("""COMPUTED_VALUE"""),243.14)</f>
        <v>243.14</v>
      </c>
      <c r="C3130" s="1">
        <f>IFERROR(__xludf.DUMMYFUNCTION("""COMPUTED_VALUE"""),248.02)</f>
        <v>248.02</v>
      </c>
      <c r="D3130" s="1">
        <f>IFERROR(__xludf.DUMMYFUNCTION("""COMPUTED_VALUE"""),242.71)</f>
        <v>242.71</v>
      </c>
      <c r="E3130" s="1">
        <f>IFERROR(__xludf.DUMMYFUNCTION("""COMPUTED_VALUE"""),247.21)</f>
        <v>247.21</v>
      </c>
      <c r="F3130" s="1">
        <f>IFERROR(__xludf.DUMMYFUNCTION("""COMPUTED_VALUE"""),342457.0)</f>
        <v>342457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IFERROR(__xludf.DUMMYFUNCTION("""COMPUTED_VALUE"""),231.8)</f>
        <v>231.8</v>
      </c>
      <c r="C3131" s="1">
        <f>IFERROR(__xludf.DUMMYFUNCTION("""COMPUTED_VALUE"""),239.91)</f>
        <v>239.91</v>
      </c>
      <c r="D3131" s="1">
        <f>IFERROR(__xludf.DUMMYFUNCTION("""COMPUTED_VALUE"""),228.92)</f>
        <v>228.92</v>
      </c>
      <c r="E3131" s="1">
        <f>IFERROR(__xludf.DUMMYFUNCTION("""COMPUTED_VALUE"""),236.9)</f>
        <v>236.9</v>
      </c>
      <c r="F3131" s="1">
        <f>IFERROR(__xludf.DUMMYFUNCTION("""COMPUTED_VALUE"""),999018.0)</f>
        <v>999018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IFERROR(__xludf.DUMMYFUNCTION("""COMPUTED_VALUE"""),234.63)</f>
        <v>234.63</v>
      </c>
      <c r="C3132" s="1">
        <f>IFERROR(__xludf.DUMMYFUNCTION("""COMPUTED_VALUE"""),235.65)</f>
        <v>235.65</v>
      </c>
      <c r="D3132" s="1">
        <f>IFERROR(__xludf.DUMMYFUNCTION("""COMPUTED_VALUE"""),225.41)</f>
        <v>225.41</v>
      </c>
      <c r="E3132" s="1">
        <f>IFERROR(__xludf.DUMMYFUNCTION("""COMPUTED_VALUE"""),225.71)</f>
        <v>225.71</v>
      </c>
      <c r="F3132" s="1">
        <f>IFERROR(__xludf.DUMMYFUNCTION("""COMPUTED_VALUE"""),650078.0)</f>
        <v>650078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IFERROR(__xludf.DUMMYFUNCTION("""COMPUTED_VALUE"""),221.82)</f>
        <v>221.82</v>
      </c>
      <c r="C3133" s="1">
        <f>IFERROR(__xludf.DUMMYFUNCTION("""COMPUTED_VALUE"""),221.82)</f>
        <v>221.82</v>
      </c>
      <c r="D3133" s="1">
        <f>IFERROR(__xludf.DUMMYFUNCTION("""COMPUTED_VALUE"""),214.67)</f>
        <v>214.67</v>
      </c>
      <c r="E3133" s="1">
        <f>IFERROR(__xludf.DUMMYFUNCTION("""COMPUTED_VALUE"""),219.5)</f>
        <v>219.5</v>
      </c>
      <c r="F3133" s="1">
        <f>IFERROR(__xludf.DUMMYFUNCTION("""COMPUTED_VALUE"""),549083.0)</f>
        <v>549083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IFERROR(__xludf.DUMMYFUNCTION("""COMPUTED_VALUE"""),211.54)</f>
        <v>211.54</v>
      </c>
      <c r="C3134" s="1">
        <f>IFERROR(__xludf.DUMMYFUNCTION("""COMPUTED_VALUE"""),213.48)</f>
        <v>213.48</v>
      </c>
      <c r="D3134" s="1">
        <f>IFERROR(__xludf.DUMMYFUNCTION("""COMPUTED_VALUE"""),208.73)</f>
        <v>208.73</v>
      </c>
      <c r="E3134" s="1">
        <f>IFERROR(__xludf.DUMMYFUNCTION("""COMPUTED_VALUE"""),210.68)</f>
        <v>210.68</v>
      </c>
      <c r="F3134" s="1">
        <f>IFERROR(__xludf.DUMMYFUNCTION("""COMPUTED_VALUE"""),726071.0)</f>
        <v>726071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IFERROR(__xludf.DUMMYFUNCTION("""COMPUTED_VALUE"""),210.69)</f>
        <v>210.69</v>
      </c>
      <c r="C3135" s="1">
        <f>IFERROR(__xludf.DUMMYFUNCTION("""COMPUTED_VALUE"""),211.39)</f>
        <v>211.39</v>
      </c>
      <c r="D3135" s="1">
        <f>IFERROR(__xludf.DUMMYFUNCTION("""COMPUTED_VALUE"""),203.37)</f>
        <v>203.37</v>
      </c>
      <c r="E3135" s="1">
        <f>IFERROR(__xludf.DUMMYFUNCTION("""COMPUTED_VALUE"""),209.5)</f>
        <v>209.5</v>
      </c>
      <c r="F3135" s="1">
        <f>IFERROR(__xludf.DUMMYFUNCTION("""COMPUTED_VALUE"""),570129.0)</f>
        <v>570129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IFERROR(__xludf.DUMMYFUNCTION("""COMPUTED_VALUE"""),214.77)</f>
        <v>214.77</v>
      </c>
      <c r="C3136" s="1">
        <f>IFERROR(__xludf.DUMMYFUNCTION("""COMPUTED_VALUE"""),217.12)</f>
        <v>217.12</v>
      </c>
      <c r="D3136" s="1">
        <f>IFERROR(__xludf.DUMMYFUNCTION("""COMPUTED_VALUE"""),208.33)</f>
        <v>208.33</v>
      </c>
      <c r="E3136" s="1">
        <f>IFERROR(__xludf.DUMMYFUNCTION("""COMPUTED_VALUE"""),212.89)</f>
        <v>212.89</v>
      </c>
      <c r="F3136" s="1">
        <f>IFERROR(__xludf.DUMMYFUNCTION("""COMPUTED_VALUE"""),489484.0)</f>
        <v>489484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IFERROR(__xludf.DUMMYFUNCTION("""COMPUTED_VALUE"""),208.34)</f>
        <v>208.34</v>
      </c>
      <c r="C3137" s="1">
        <f>IFERROR(__xludf.DUMMYFUNCTION("""COMPUTED_VALUE"""),208.37)</f>
        <v>208.37</v>
      </c>
      <c r="D3137" s="1">
        <f>IFERROR(__xludf.DUMMYFUNCTION("""COMPUTED_VALUE"""),203.44)</f>
        <v>203.44</v>
      </c>
      <c r="E3137" s="1">
        <f>IFERROR(__xludf.DUMMYFUNCTION("""COMPUTED_VALUE"""),205.11)</f>
        <v>205.11</v>
      </c>
      <c r="F3137" s="1">
        <f>IFERROR(__xludf.DUMMYFUNCTION("""COMPUTED_VALUE"""),398489.0)</f>
        <v>398489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IFERROR(__xludf.DUMMYFUNCTION("""COMPUTED_VALUE"""),206.51)</f>
        <v>206.51</v>
      </c>
      <c r="C3138" s="1">
        <f>IFERROR(__xludf.DUMMYFUNCTION("""COMPUTED_VALUE"""),210.81)</f>
        <v>210.81</v>
      </c>
      <c r="D3138" s="1">
        <f>IFERROR(__xludf.DUMMYFUNCTION("""COMPUTED_VALUE"""),204.05)</f>
        <v>204.05</v>
      </c>
      <c r="E3138" s="1">
        <f>IFERROR(__xludf.DUMMYFUNCTION("""COMPUTED_VALUE"""),204.13)</f>
        <v>204.13</v>
      </c>
      <c r="F3138" s="1">
        <f>IFERROR(__xludf.DUMMYFUNCTION("""COMPUTED_VALUE"""),782179.0)</f>
        <v>782179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IFERROR(__xludf.DUMMYFUNCTION("""COMPUTED_VALUE"""),207.63)</f>
        <v>207.63</v>
      </c>
      <c r="C3139" s="1">
        <f>IFERROR(__xludf.DUMMYFUNCTION("""COMPUTED_VALUE"""),210.17)</f>
        <v>210.17</v>
      </c>
      <c r="D3139" s="1">
        <f>IFERROR(__xludf.DUMMYFUNCTION("""COMPUTED_VALUE"""),206.04)</f>
        <v>206.04</v>
      </c>
      <c r="E3139" s="1">
        <f>IFERROR(__xludf.DUMMYFUNCTION("""COMPUTED_VALUE"""),208.58)</f>
        <v>208.58</v>
      </c>
      <c r="F3139" s="1">
        <f>IFERROR(__xludf.DUMMYFUNCTION("""COMPUTED_VALUE"""),422050.0)</f>
        <v>422050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IFERROR(__xludf.DUMMYFUNCTION("""COMPUTED_VALUE"""),206.28)</f>
        <v>206.28</v>
      </c>
      <c r="C3140" s="1">
        <f>IFERROR(__xludf.DUMMYFUNCTION("""COMPUTED_VALUE"""),211.71)</f>
        <v>211.71</v>
      </c>
      <c r="D3140" s="1">
        <f>IFERROR(__xludf.DUMMYFUNCTION("""COMPUTED_VALUE"""),205.98)</f>
        <v>205.98</v>
      </c>
      <c r="E3140" s="1">
        <f>IFERROR(__xludf.DUMMYFUNCTION("""COMPUTED_VALUE"""),209.82)</f>
        <v>209.82</v>
      </c>
      <c r="F3140" s="1">
        <f>IFERROR(__xludf.DUMMYFUNCTION("""COMPUTED_VALUE"""),300156.0)</f>
        <v>300156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IFERROR(__xludf.DUMMYFUNCTION("""COMPUTED_VALUE"""),210.0)</f>
        <v>210</v>
      </c>
      <c r="C3141" s="1">
        <f>IFERROR(__xludf.DUMMYFUNCTION("""COMPUTED_VALUE"""),222.48)</f>
        <v>222.48</v>
      </c>
      <c r="D3141" s="1">
        <f>IFERROR(__xludf.DUMMYFUNCTION("""COMPUTED_VALUE"""),210.0)</f>
        <v>210</v>
      </c>
      <c r="E3141" s="1">
        <f>IFERROR(__xludf.DUMMYFUNCTION("""COMPUTED_VALUE"""),220.58)</f>
        <v>220.58</v>
      </c>
      <c r="F3141" s="1">
        <f>IFERROR(__xludf.DUMMYFUNCTION("""COMPUTED_VALUE"""),451913.0)</f>
        <v>451913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IFERROR(__xludf.DUMMYFUNCTION("""COMPUTED_VALUE"""),222.75)</f>
        <v>222.75</v>
      </c>
      <c r="C3142" s="1">
        <f>IFERROR(__xludf.DUMMYFUNCTION("""COMPUTED_VALUE"""),226.43)</f>
        <v>226.43</v>
      </c>
      <c r="D3142" s="1">
        <f>IFERROR(__xludf.DUMMYFUNCTION("""COMPUTED_VALUE"""),220.23)</f>
        <v>220.23</v>
      </c>
      <c r="E3142" s="1">
        <f>IFERROR(__xludf.DUMMYFUNCTION("""COMPUTED_VALUE"""),226.32)</f>
        <v>226.32</v>
      </c>
      <c r="F3142" s="1">
        <f>IFERROR(__xludf.DUMMYFUNCTION("""COMPUTED_VALUE"""),497125.0)</f>
        <v>497125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IFERROR(__xludf.DUMMYFUNCTION("""COMPUTED_VALUE"""),226.84)</f>
        <v>226.84</v>
      </c>
      <c r="C3143" s="1">
        <f>IFERROR(__xludf.DUMMYFUNCTION("""COMPUTED_VALUE"""),227.59)</f>
        <v>227.59</v>
      </c>
      <c r="D3143" s="1">
        <f>IFERROR(__xludf.DUMMYFUNCTION("""COMPUTED_VALUE"""),223.57)</f>
        <v>223.57</v>
      </c>
      <c r="E3143" s="1">
        <f>IFERROR(__xludf.DUMMYFUNCTION("""COMPUTED_VALUE"""),225.49)</f>
        <v>225.49</v>
      </c>
      <c r="F3143" s="1">
        <f>IFERROR(__xludf.DUMMYFUNCTION("""COMPUTED_VALUE"""),355390.0)</f>
        <v>355390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IFERROR(__xludf.DUMMYFUNCTION("""COMPUTED_VALUE"""),225.86)</f>
        <v>225.86</v>
      </c>
      <c r="C3144" s="1">
        <f>IFERROR(__xludf.DUMMYFUNCTION("""COMPUTED_VALUE"""),226.89)</f>
        <v>226.89</v>
      </c>
      <c r="D3144" s="1">
        <f>IFERROR(__xludf.DUMMYFUNCTION("""COMPUTED_VALUE"""),217.29)</f>
        <v>217.29</v>
      </c>
      <c r="E3144" s="1">
        <f>IFERROR(__xludf.DUMMYFUNCTION("""COMPUTED_VALUE"""),217.5)</f>
        <v>217.5</v>
      </c>
      <c r="F3144" s="1">
        <f>IFERROR(__xludf.DUMMYFUNCTION("""COMPUTED_VALUE"""),320335.0)</f>
        <v>320335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IFERROR(__xludf.DUMMYFUNCTION("""COMPUTED_VALUE"""),217.5)</f>
        <v>217.5</v>
      </c>
      <c r="C3145" s="1">
        <f>IFERROR(__xludf.DUMMYFUNCTION("""COMPUTED_VALUE"""),219.96)</f>
        <v>219.96</v>
      </c>
      <c r="D3145" s="1">
        <f>IFERROR(__xludf.DUMMYFUNCTION("""COMPUTED_VALUE"""),213.37)</f>
        <v>213.37</v>
      </c>
      <c r="E3145" s="1">
        <f>IFERROR(__xludf.DUMMYFUNCTION("""COMPUTED_VALUE"""),219.46)</f>
        <v>219.46</v>
      </c>
      <c r="F3145" s="1">
        <f>IFERROR(__xludf.DUMMYFUNCTION("""COMPUTED_VALUE"""),381197.0)</f>
        <v>381197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IFERROR(__xludf.DUMMYFUNCTION("""COMPUTED_VALUE"""),217.91)</f>
        <v>217.91</v>
      </c>
      <c r="C3146" s="1">
        <f>IFERROR(__xludf.DUMMYFUNCTION("""COMPUTED_VALUE"""),218.0)</f>
        <v>218</v>
      </c>
      <c r="D3146" s="1">
        <f>IFERROR(__xludf.DUMMYFUNCTION("""COMPUTED_VALUE"""),212.59)</f>
        <v>212.59</v>
      </c>
      <c r="E3146" s="1">
        <f>IFERROR(__xludf.DUMMYFUNCTION("""COMPUTED_VALUE"""),213.97)</f>
        <v>213.97</v>
      </c>
      <c r="F3146" s="1">
        <f>IFERROR(__xludf.DUMMYFUNCTION("""COMPUTED_VALUE"""),596926.0)</f>
        <v>596926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IFERROR(__xludf.DUMMYFUNCTION("""COMPUTED_VALUE"""),214.87)</f>
        <v>214.87</v>
      </c>
      <c r="C3147" s="1">
        <f>IFERROR(__xludf.DUMMYFUNCTION("""COMPUTED_VALUE"""),219.38)</f>
        <v>219.38</v>
      </c>
      <c r="D3147" s="1">
        <f>IFERROR(__xludf.DUMMYFUNCTION("""COMPUTED_VALUE"""),214.09)</f>
        <v>214.09</v>
      </c>
      <c r="E3147" s="1">
        <f>IFERROR(__xludf.DUMMYFUNCTION("""COMPUTED_VALUE"""),218.83)</f>
        <v>218.83</v>
      </c>
      <c r="F3147" s="1">
        <f>IFERROR(__xludf.DUMMYFUNCTION("""COMPUTED_VALUE"""),275655.0)</f>
        <v>275655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IFERROR(__xludf.DUMMYFUNCTION("""COMPUTED_VALUE"""),214.79)</f>
        <v>214.79</v>
      </c>
      <c r="C3148" s="1">
        <f>IFERROR(__xludf.DUMMYFUNCTION("""COMPUTED_VALUE"""),223.16)</f>
        <v>223.16</v>
      </c>
      <c r="D3148" s="1">
        <f>IFERROR(__xludf.DUMMYFUNCTION("""COMPUTED_VALUE"""),213.82)</f>
        <v>213.82</v>
      </c>
      <c r="E3148" s="1">
        <f>IFERROR(__xludf.DUMMYFUNCTION("""COMPUTED_VALUE"""),222.72)</f>
        <v>222.72</v>
      </c>
      <c r="F3148" s="1">
        <f>IFERROR(__xludf.DUMMYFUNCTION("""COMPUTED_VALUE"""),275283.0)</f>
        <v>275283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IFERROR(__xludf.DUMMYFUNCTION("""COMPUTED_VALUE"""),223.74)</f>
        <v>223.74</v>
      </c>
      <c r="C3149" s="1">
        <f>IFERROR(__xludf.DUMMYFUNCTION("""COMPUTED_VALUE"""),228.14)</f>
        <v>228.14</v>
      </c>
      <c r="D3149" s="1">
        <f>IFERROR(__xludf.DUMMYFUNCTION("""COMPUTED_VALUE"""),220.62)</f>
        <v>220.62</v>
      </c>
      <c r="E3149" s="1">
        <f>IFERROR(__xludf.DUMMYFUNCTION("""COMPUTED_VALUE"""),226.01)</f>
        <v>226.01</v>
      </c>
      <c r="F3149" s="1">
        <f>IFERROR(__xludf.DUMMYFUNCTION("""COMPUTED_VALUE"""),568139.0)</f>
        <v>568139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IFERROR(__xludf.DUMMYFUNCTION("""COMPUTED_VALUE"""),223.26)</f>
        <v>223.26</v>
      </c>
      <c r="C3150" s="1">
        <f>IFERROR(__xludf.DUMMYFUNCTION("""COMPUTED_VALUE"""),230.0)</f>
        <v>230</v>
      </c>
      <c r="D3150" s="1">
        <f>IFERROR(__xludf.DUMMYFUNCTION("""COMPUTED_VALUE"""),223.26)</f>
        <v>223.26</v>
      </c>
      <c r="E3150" s="1">
        <f>IFERROR(__xludf.DUMMYFUNCTION("""COMPUTED_VALUE"""),229.43)</f>
        <v>229.43</v>
      </c>
      <c r="F3150" s="1">
        <f>IFERROR(__xludf.DUMMYFUNCTION("""COMPUTED_VALUE"""),388364.0)</f>
        <v>388364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IFERROR(__xludf.DUMMYFUNCTION("""COMPUTED_VALUE"""),228.99)</f>
        <v>228.99</v>
      </c>
      <c r="C3151" s="1">
        <f>IFERROR(__xludf.DUMMYFUNCTION("""COMPUTED_VALUE"""),234.63)</f>
        <v>234.63</v>
      </c>
      <c r="D3151" s="1">
        <f>IFERROR(__xludf.DUMMYFUNCTION("""COMPUTED_VALUE"""),228.12)</f>
        <v>228.12</v>
      </c>
      <c r="E3151" s="1">
        <f>IFERROR(__xludf.DUMMYFUNCTION("""COMPUTED_VALUE"""),231.42)</f>
        <v>231.42</v>
      </c>
      <c r="F3151" s="1">
        <f>IFERROR(__xludf.DUMMYFUNCTION("""COMPUTED_VALUE"""),590487.0)</f>
        <v>590487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IFERROR(__xludf.DUMMYFUNCTION("""COMPUTED_VALUE"""),228.04)</f>
        <v>228.04</v>
      </c>
      <c r="C3152" s="1">
        <f>IFERROR(__xludf.DUMMYFUNCTION("""COMPUTED_VALUE"""),230.08)</f>
        <v>230.08</v>
      </c>
      <c r="D3152" s="1">
        <f>IFERROR(__xludf.DUMMYFUNCTION("""COMPUTED_VALUE"""),223.45)</f>
        <v>223.45</v>
      </c>
      <c r="E3152" s="1">
        <f>IFERROR(__xludf.DUMMYFUNCTION("""COMPUTED_VALUE"""),224.56)</f>
        <v>224.56</v>
      </c>
      <c r="F3152" s="1">
        <f>IFERROR(__xludf.DUMMYFUNCTION("""COMPUTED_VALUE"""),258301.0)</f>
        <v>258301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IFERROR(__xludf.DUMMYFUNCTION("""COMPUTED_VALUE"""),223.16)</f>
        <v>223.16</v>
      </c>
      <c r="C3153" s="1">
        <f>IFERROR(__xludf.DUMMYFUNCTION("""COMPUTED_VALUE"""),226.97)</f>
        <v>226.97</v>
      </c>
      <c r="D3153" s="1">
        <f>IFERROR(__xludf.DUMMYFUNCTION("""COMPUTED_VALUE"""),216.53)</f>
        <v>216.53</v>
      </c>
      <c r="E3153" s="1">
        <f>IFERROR(__xludf.DUMMYFUNCTION("""COMPUTED_VALUE"""),217.52)</f>
        <v>217.52</v>
      </c>
      <c r="F3153" s="1">
        <f>IFERROR(__xludf.DUMMYFUNCTION("""COMPUTED_VALUE"""),284393.0)</f>
        <v>284393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IFERROR(__xludf.DUMMYFUNCTION("""COMPUTED_VALUE"""),212.43)</f>
        <v>212.43</v>
      </c>
      <c r="C3154" s="1">
        <f>IFERROR(__xludf.DUMMYFUNCTION("""COMPUTED_VALUE"""),216.33)</f>
        <v>216.33</v>
      </c>
      <c r="D3154" s="1">
        <f>IFERROR(__xludf.DUMMYFUNCTION("""COMPUTED_VALUE"""),211.6)</f>
        <v>211.6</v>
      </c>
      <c r="E3154" s="1">
        <f>IFERROR(__xludf.DUMMYFUNCTION("""COMPUTED_VALUE"""),214.39)</f>
        <v>214.39</v>
      </c>
      <c r="F3154" s="1">
        <f>IFERROR(__xludf.DUMMYFUNCTION("""COMPUTED_VALUE"""),394898.0)</f>
        <v>394898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IFERROR(__xludf.DUMMYFUNCTION("""COMPUTED_VALUE"""),210.26)</f>
        <v>210.26</v>
      </c>
      <c r="C3155" s="1">
        <f>IFERROR(__xludf.DUMMYFUNCTION("""COMPUTED_VALUE"""),212.52)</f>
        <v>212.52</v>
      </c>
      <c r="D3155" s="1">
        <f>IFERROR(__xludf.DUMMYFUNCTION("""COMPUTED_VALUE"""),203.72)</f>
        <v>203.72</v>
      </c>
      <c r="E3155" s="1">
        <f>IFERROR(__xludf.DUMMYFUNCTION("""COMPUTED_VALUE"""),210.43)</f>
        <v>210.43</v>
      </c>
      <c r="F3155" s="1">
        <f>IFERROR(__xludf.DUMMYFUNCTION("""COMPUTED_VALUE"""),458810.0)</f>
        <v>458810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IFERROR(__xludf.DUMMYFUNCTION("""COMPUTED_VALUE"""),215.61)</f>
        <v>215.61</v>
      </c>
      <c r="C3156" s="1">
        <f>IFERROR(__xludf.DUMMYFUNCTION("""COMPUTED_VALUE"""),221.04)</f>
        <v>221.04</v>
      </c>
      <c r="D3156" s="1">
        <f>IFERROR(__xludf.DUMMYFUNCTION("""COMPUTED_VALUE"""),212.0)</f>
        <v>212</v>
      </c>
      <c r="E3156" s="1">
        <f>IFERROR(__xludf.DUMMYFUNCTION("""COMPUTED_VALUE"""),219.75)</f>
        <v>219.75</v>
      </c>
      <c r="F3156" s="1">
        <f>IFERROR(__xludf.DUMMYFUNCTION("""COMPUTED_VALUE"""),443347.0)</f>
        <v>443347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IFERROR(__xludf.DUMMYFUNCTION("""COMPUTED_VALUE"""),221.18)</f>
        <v>221.18</v>
      </c>
      <c r="C3157" s="1">
        <f>IFERROR(__xludf.DUMMYFUNCTION("""COMPUTED_VALUE"""),223.49)</f>
        <v>223.49</v>
      </c>
      <c r="D3157" s="1">
        <f>IFERROR(__xludf.DUMMYFUNCTION("""COMPUTED_VALUE"""),211.45)</f>
        <v>211.45</v>
      </c>
      <c r="E3157" s="1">
        <f>IFERROR(__xludf.DUMMYFUNCTION("""COMPUTED_VALUE"""),212.6)</f>
        <v>212.6</v>
      </c>
      <c r="F3157" s="1">
        <f>IFERROR(__xludf.DUMMYFUNCTION("""COMPUTED_VALUE"""),446607.0)</f>
        <v>446607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IFERROR(__xludf.DUMMYFUNCTION("""COMPUTED_VALUE"""),217.86)</f>
        <v>217.86</v>
      </c>
      <c r="C3158" s="1">
        <f>IFERROR(__xludf.DUMMYFUNCTION("""COMPUTED_VALUE"""),226.32)</f>
        <v>226.32</v>
      </c>
      <c r="D3158" s="1">
        <f>IFERROR(__xludf.DUMMYFUNCTION("""COMPUTED_VALUE"""),214.18)</f>
        <v>214.18</v>
      </c>
      <c r="E3158" s="1">
        <f>IFERROR(__xludf.DUMMYFUNCTION("""COMPUTED_VALUE"""),226.01)</f>
        <v>226.01</v>
      </c>
      <c r="F3158" s="1">
        <f>IFERROR(__xludf.DUMMYFUNCTION("""COMPUTED_VALUE"""),445082.0)</f>
        <v>445082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IFERROR(__xludf.DUMMYFUNCTION("""COMPUTED_VALUE"""),226.18)</f>
        <v>226.18</v>
      </c>
      <c r="C3159" s="1">
        <f>IFERROR(__xludf.DUMMYFUNCTION("""COMPUTED_VALUE"""),231.59)</f>
        <v>231.59</v>
      </c>
      <c r="D3159" s="1">
        <f>IFERROR(__xludf.DUMMYFUNCTION("""COMPUTED_VALUE"""),224.64)</f>
        <v>224.64</v>
      </c>
      <c r="E3159" s="1">
        <f>IFERROR(__xludf.DUMMYFUNCTION("""COMPUTED_VALUE"""),230.22)</f>
        <v>230.22</v>
      </c>
      <c r="F3159" s="1">
        <f>IFERROR(__xludf.DUMMYFUNCTION("""COMPUTED_VALUE"""),381544.0)</f>
        <v>381544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IFERROR(__xludf.DUMMYFUNCTION("""COMPUTED_VALUE"""),231.43)</f>
        <v>231.43</v>
      </c>
      <c r="C3160" s="1">
        <f>IFERROR(__xludf.DUMMYFUNCTION("""COMPUTED_VALUE"""),238.82)</f>
        <v>238.82</v>
      </c>
      <c r="D3160" s="1">
        <f>IFERROR(__xludf.DUMMYFUNCTION("""COMPUTED_VALUE"""),229.53)</f>
        <v>229.53</v>
      </c>
      <c r="E3160" s="1">
        <f>IFERROR(__xludf.DUMMYFUNCTION("""COMPUTED_VALUE"""),238.04)</f>
        <v>238.04</v>
      </c>
      <c r="F3160" s="1">
        <f>IFERROR(__xludf.DUMMYFUNCTION("""COMPUTED_VALUE"""),518046.0)</f>
        <v>518046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IFERROR(__xludf.DUMMYFUNCTION("""COMPUTED_VALUE"""),237.96)</f>
        <v>237.96</v>
      </c>
      <c r="C3161" s="1">
        <f>IFERROR(__xludf.DUMMYFUNCTION("""COMPUTED_VALUE"""),238.24)</f>
        <v>238.24</v>
      </c>
      <c r="D3161" s="1">
        <f>IFERROR(__xludf.DUMMYFUNCTION("""COMPUTED_VALUE"""),233.19)</f>
        <v>233.19</v>
      </c>
      <c r="E3161" s="1">
        <f>IFERROR(__xludf.DUMMYFUNCTION("""COMPUTED_VALUE"""),237.01)</f>
        <v>237.01</v>
      </c>
      <c r="F3161" s="1">
        <f>IFERROR(__xludf.DUMMYFUNCTION("""COMPUTED_VALUE"""),446168.0)</f>
        <v>446168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IFERROR(__xludf.DUMMYFUNCTION("""COMPUTED_VALUE"""),236.84)</f>
        <v>236.84</v>
      </c>
      <c r="C3162" s="1">
        <f>IFERROR(__xludf.DUMMYFUNCTION("""COMPUTED_VALUE"""),237.64)</f>
        <v>237.64</v>
      </c>
      <c r="D3162" s="1">
        <f>IFERROR(__xludf.DUMMYFUNCTION("""COMPUTED_VALUE"""),232.01)</f>
        <v>232.01</v>
      </c>
      <c r="E3162" s="1">
        <f>IFERROR(__xludf.DUMMYFUNCTION("""COMPUTED_VALUE"""),235.32)</f>
        <v>235.32</v>
      </c>
      <c r="F3162" s="1">
        <f>IFERROR(__xludf.DUMMYFUNCTION("""COMPUTED_VALUE"""),323664.0)</f>
        <v>323664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IFERROR(__xludf.DUMMYFUNCTION("""COMPUTED_VALUE"""),233.72)</f>
        <v>233.72</v>
      </c>
      <c r="C3163" s="1">
        <f>IFERROR(__xludf.DUMMYFUNCTION("""COMPUTED_VALUE"""),233.72)</f>
        <v>233.72</v>
      </c>
      <c r="D3163" s="1">
        <f>IFERROR(__xludf.DUMMYFUNCTION("""COMPUTED_VALUE"""),226.02)</f>
        <v>226.02</v>
      </c>
      <c r="E3163" s="1">
        <f>IFERROR(__xludf.DUMMYFUNCTION("""COMPUTED_VALUE"""),232.73)</f>
        <v>232.73</v>
      </c>
      <c r="F3163" s="1">
        <f>IFERROR(__xludf.DUMMYFUNCTION("""COMPUTED_VALUE"""),320349.0)</f>
        <v>320349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IFERROR(__xludf.DUMMYFUNCTION("""COMPUTED_VALUE"""),234.65)</f>
        <v>234.65</v>
      </c>
      <c r="C3164" s="1">
        <f>IFERROR(__xludf.DUMMYFUNCTION("""COMPUTED_VALUE"""),238.75)</f>
        <v>238.75</v>
      </c>
      <c r="D3164" s="1">
        <f>IFERROR(__xludf.DUMMYFUNCTION("""COMPUTED_VALUE"""),229.53)</f>
        <v>229.53</v>
      </c>
      <c r="E3164" s="1">
        <f>IFERROR(__xludf.DUMMYFUNCTION("""COMPUTED_VALUE"""),237.36)</f>
        <v>237.36</v>
      </c>
      <c r="F3164" s="1">
        <f>IFERROR(__xludf.DUMMYFUNCTION("""COMPUTED_VALUE"""),475200.0)</f>
        <v>475200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IFERROR(__xludf.DUMMYFUNCTION("""COMPUTED_VALUE"""),239.45)</f>
        <v>239.45</v>
      </c>
      <c r="C3165" s="1">
        <f>IFERROR(__xludf.DUMMYFUNCTION("""COMPUTED_VALUE"""),247.4)</f>
        <v>247.4</v>
      </c>
      <c r="D3165" s="1">
        <f>IFERROR(__xludf.DUMMYFUNCTION("""COMPUTED_VALUE"""),235.61)</f>
        <v>235.61</v>
      </c>
      <c r="E3165" s="1">
        <f>IFERROR(__xludf.DUMMYFUNCTION("""COMPUTED_VALUE"""),245.81)</f>
        <v>245.81</v>
      </c>
      <c r="F3165" s="1">
        <f>IFERROR(__xludf.DUMMYFUNCTION("""COMPUTED_VALUE"""),486212.0)</f>
        <v>486212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IFERROR(__xludf.DUMMYFUNCTION("""COMPUTED_VALUE"""),247.5)</f>
        <v>247.5</v>
      </c>
      <c r="C3166" s="1">
        <f>IFERROR(__xludf.DUMMYFUNCTION("""COMPUTED_VALUE"""),250.69)</f>
        <v>250.69</v>
      </c>
      <c r="D3166" s="1">
        <f>IFERROR(__xludf.DUMMYFUNCTION("""COMPUTED_VALUE"""),243.32)</f>
        <v>243.32</v>
      </c>
      <c r="E3166" s="1">
        <f>IFERROR(__xludf.DUMMYFUNCTION("""COMPUTED_VALUE"""),250.54)</f>
        <v>250.54</v>
      </c>
      <c r="F3166" s="1">
        <f>IFERROR(__xludf.DUMMYFUNCTION("""COMPUTED_VALUE"""),425728.0)</f>
        <v>425728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IFERROR(__xludf.DUMMYFUNCTION("""COMPUTED_VALUE"""),247.32)</f>
        <v>247.32</v>
      </c>
      <c r="C3167" s="1">
        <f>IFERROR(__xludf.DUMMYFUNCTION("""COMPUTED_VALUE"""),250.82)</f>
        <v>250.82</v>
      </c>
      <c r="D3167" s="1">
        <f>IFERROR(__xludf.DUMMYFUNCTION("""COMPUTED_VALUE"""),245.52)</f>
        <v>245.52</v>
      </c>
      <c r="E3167" s="1">
        <f>IFERROR(__xludf.DUMMYFUNCTION("""COMPUTED_VALUE"""),249.68)</f>
        <v>249.68</v>
      </c>
      <c r="F3167" s="1">
        <f>IFERROR(__xludf.DUMMYFUNCTION("""COMPUTED_VALUE"""),456383.0)</f>
        <v>456383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IFERROR(__xludf.DUMMYFUNCTION("""COMPUTED_VALUE"""),247.51)</f>
        <v>247.51</v>
      </c>
      <c r="C3168" s="1">
        <f>IFERROR(__xludf.DUMMYFUNCTION("""COMPUTED_VALUE"""),250.23)</f>
        <v>250.23</v>
      </c>
      <c r="D3168" s="1">
        <f>IFERROR(__xludf.DUMMYFUNCTION("""COMPUTED_VALUE"""),242.97)</f>
        <v>242.97</v>
      </c>
      <c r="E3168" s="1">
        <f>IFERROR(__xludf.DUMMYFUNCTION("""COMPUTED_VALUE"""),243.66)</f>
        <v>243.66</v>
      </c>
      <c r="F3168" s="1">
        <f>IFERROR(__xludf.DUMMYFUNCTION("""COMPUTED_VALUE"""),907982.0)</f>
        <v>907982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IFERROR(__xludf.DUMMYFUNCTION("""COMPUTED_VALUE"""),218.91)</f>
        <v>218.91</v>
      </c>
      <c r="C3169" s="1">
        <f>IFERROR(__xludf.DUMMYFUNCTION("""COMPUTED_VALUE"""),225.86)</f>
        <v>225.86</v>
      </c>
      <c r="D3169" s="1">
        <f>IFERROR(__xludf.DUMMYFUNCTION("""COMPUTED_VALUE"""),216.24)</f>
        <v>216.24</v>
      </c>
      <c r="E3169" s="1">
        <f>IFERROR(__xludf.DUMMYFUNCTION("""COMPUTED_VALUE"""),221.38)</f>
        <v>221.38</v>
      </c>
      <c r="F3169" s="1">
        <f>IFERROR(__xludf.DUMMYFUNCTION("""COMPUTED_VALUE"""),1723316.0)</f>
        <v>1723316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IFERROR(__xludf.DUMMYFUNCTION("""COMPUTED_VALUE"""),221.0)</f>
        <v>221</v>
      </c>
      <c r="C3170" s="1">
        <f>IFERROR(__xludf.DUMMYFUNCTION("""COMPUTED_VALUE"""),232.21)</f>
        <v>232.21</v>
      </c>
      <c r="D3170" s="1">
        <f>IFERROR(__xludf.DUMMYFUNCTION("""COMPUTED_VALUE"""),220.96)</f>
        <v>220.96</v>
      </c>
      <c r="E3170" s="1">
        <f>IFERROR(__xludf.DUMMYFUNCTION("""COMPUTED_VALUE"""),227.64)</f>
        <v>227.64</v>
      </c>
      <c r="F3170" s="1">
        <f>IFERROR(__xludf.DUMMYFUNCTION("""COMPUTED_VALUE"""),884153.0)</f>
        <v>884153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IFERROR(__xludf.DUMMYFUNCTION("""COMPUTED_VALUE"""),223.82)</f>
        <v>223.82</v>
      </c>
      <c r="C3171" s="1">
        <f>IFERROR(__xludf.DUMMYFUNCTION("""COMPUTED_VALUE"""),227.03)</f>
        <v>227.03</v>
      </c>
      <c r="D3171" s="1">
        <f>IFERROR(__xludf.DUMMYFUNCTION("""COMPUTED_VALUE"""),222.99)</f>
        <v>222.99</v>
      </c>
      <c r="E3171" s="1">
        <f>IFERROR(__xludf.DUMMYFUNCTION("""COMPUTED_VALUE"""),223.38)</f>
        <v>223.38</v>
      </c>
      <c r="F3171" s="1">
        <f>IFERROR(__xludf.DUMMYFUNCTION("""COMPUTED_VALUE"""),550976.0)</f>
        <v>550976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IFERROR(__xludf.DUMMYFUNCTION("""COMPUTED_VALUE"""),223.37)</f>
        <v>223.37</v>
      </c>
      <c r="C3172" s="1">
        <f>IFERROR(__xludf.DUMMYFUNCTION("""COMPUTED_VALUE"""),227.85)</f>
        <v>227.85</v>
      </c>
      <c r="D3172" s="1">
        <f>IFERROR(__xludf.DUMMYFUNCTION("""COMPUTED_VALUE"""),218.94)</f>
        <v>218.94</v>
      </c>
      <c r="E3172" s="1">
        <f>IFERROR(__xludf.DUMMYFUNCTION("""COMPUTED_VALUE"""),220.68)</f>
        <v>220.68</v>
      </c>
      <c r="F3172" s="1">
        <f>IFERROR(__xludf.DUMMYFUNCTION("""COMPUTED_VALUE"""),470157.0)</f>
        <v>470157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IFERROR(__xludf.DUMMYFUNCTION("""COMPUTED_VALUE"""),219.1)</f>
        <v>219.1</v>
      </c>
      <c r="C3173" s="1">
        <f>IFERROR(__xludf.DUMMYFUNCTION("""COMPUTED_VALUE"""),219.81)</f>
        <v>219.81</v>
      </c>
      <c r="D3173" s="1">
        <f>IFERROR(__xludf.DUMMYFUNCTION("""COMPUTED_VALUE"""),214.15)</f>
        <v>214.15</v>
      </c>
      <c r="E3173" s="1">
        <f>IFERROR(__xludf.DUMMYFUNCTION("""COMPUTED_VALUE"""),214.48)</f>
        <v>214.48</v>
      </c>
      <c r="F3173" s="1">
        <f>IFERROR(__xludf.DUMMYFUNCTION("""COMPUTED_VALUE"""),537650.0)</f>
        <v>537650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IFERROR(__xludf.DUMMYFUNCTION("""COMPUTED_VALUE"""),220.14)</f>
        <v>220.14</v>
      </c>
      <c r="C3174" s="1">
        <f>IFERROR(__xludf.DUMMYFUNCTION("""COMPUTED_VALUE"""),226.57)</f>
        <v>226.57</v>
      </c>
      <c r="D3174" s="1">
        <f>IFERROR(__xludf.DUMMYFUNCTION("""COMPUTED_VALUE"""),217.5)</f>
        <v>217.5</v>
      </c>
      <c r="E3174" s="1">
        <f>IFERROR(__xludf.DUMMYFUNCTION("""COMPUTED_VALUE"""),226.52)</f>
        <v>226.52</v>
      </c>
      <c r="F3174" s="1">
        <f>IFERROR(__xludf.DUMMYFUNCTION("""COMPUTED_VALUE"""),658227.0)</f>
        <v>658227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IFERROR(__xludf.DUMMYFUNCTION("""COMPUTED_VALUE"""),229.37)</f>
        <v>229.37</v>
      </c>
      <c r="C3175" s="1">
        <f>IFERROR(__xludf.DUMMYFUNCTION("""COMPUTED_VALUE"""),241.18)</f>
        <v>241.18</v>
      </c>
      <c r="D3175" s="1">
        <f>IFERROR(__xludf.DUMMYFUNCTION("""COMPUTED_VALUE"""),226.2)</f>
        <v>226.2</v>
      </c>
      <c r="E3175" s="1">
        <f>IFERROR(__xludf.DUMMYFUNCTION("""COMPUTED_VALUE"""),226.47)</f>
        <v>226.47</v>
      </c>
      <c r="F3175" s="1">
        <f>IFERROR(__xludf.DUMMYFUNCTION("""COMPUTED_VALUE"""),720674.0)</f>
        <v>720674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IFERROR(__xludf.DUMMYFUNCTION("""COMPUTED_VALUE"""),227.4)</f>
        <v>227.4</v>
      </c>
      <c r="C3176" s="1">
        <f>IFERROR(__xludf.DUMMYFUNCTION("""COMPUTED_VALUE"""),233.07)</f>
        <v>233.07</v>
      </c>
      <c r="D3176" s="1">
        <f>IFERROR(__xludf.DUMMYFUNCTION("""COMPUTED_VALUE"""),225.72)</f>
        <v>225.72</v>
      </c>
      <c r="E3176" s="1">
        <f>IFERROR(__xludf.DUMMYFUNCTION("""COMPUTED_VALUE"""),233.01)</f>
        <v>233.01</v>
      </c>
      <c r="F3176" s="1">
        <f>IFERROR(__xludf.DUMMYFUNCTION("""COMPUTED_VALUE"""),375067.0)</f>
        <v>375067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IFERROR(__xludf.DUMMYFUNCTION("""COMPUTED_VALUE"""),231.66)</f>
        <v>231.66</v>
      </c>
      <c r="C3177" s="1">
        <f>IFERROR(__xludf.DUMMYFUNCTION("""COMPUTED_VALUE"""),235.96)</f>
        <v>235.96</v>
      </c>
      <c r="D3177" s="1">
        <f>IFERROR(__xludf.DUMMYFUNCTION("""COMPUTED_VALUE"""),228.7)</f>
        <v>228.7</v>
      </c>
      <c r="E3177" s="1">
        <f>IFERROR(__xludf.DUMMYFUNCTION("""COMPUTED_VALUE"""),231.89)</f>
        <v>231.89</v>
      </c>
      <c r="F3177" s="1">
        <f>IFERROR(__xludf.DUMMYFUNCTION("""COMPUTED_VALUE"""),771827.0)</f>
        <v>771827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IFERROR(__xludf.DUMMYFUNCTION("""COMPUTED_VALUE"""),220.5)</f>
        <v>220.5</v>
      </c>
      <c r="C3178" s="1">
        <f>IFERROR(__xludf.DUMMYFUNCTION("""COMPUTED_VALUE"""),229.98)</f>
        <v>229.98</v>
      </c>
      <c r="D3178" s="1">
        <f>IFERROR(__xludf.DUMMYFUNCTION("""COMPUTED_VALUE"""),220.4)</f>
        <v>220.4</v>
      </c>
      <c r="E3178" s="1">
        <f>IFERROR(__xludf.DUMMYFUNCTION("""COMPUTED_VALUE"""),228.12)</f>
        <v>228.12</v>
      </c>
      <c r="F3178" s="1">
        <f>IFERROR(__xludf.DUMMYFUNCTION("""COMPUTED_VALUE"""),471719.0)</f>
        <v>471719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IFERROR(__xludf.DUMMYFUNCTION("""COMPUTED_VALUE"""),225.24)</f>
        <v>225.24</v>
      </c>
      <c r="C3179" s="1">
        <f>IFERROR(__xludf.DUMMYFUNCTION("""COMPUTED_VALUE"""),227.1)</f>
        <v>227.1</v>
      </c>
      <c r="D3179" s="1">
        <f>IFERROR(__xludf.DUMMYFUNCTION("""COMPUTED_VALUE"""),219.37)</f>
        <v>219.37</v>
      </c>
      <c r="E3179" s="1">
        <f>IFERROR(__xludf.DUMMYFUNCTION("""COMPUTED_VALUE"""),220.05)</f>
        <v>220.05</v>
      </c>
      <c r="F3179" s="1">
        <f>IFERROR(__xludf.DUMMYFUNCTION("""COMPUTED_VALUE"""),591294.0)</f>
        <v>591294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IFERROR(__xludf.DUMMYFUNCTION("""COMPUTED_VALUE"""),220.01)</f>
        <v>220.01</v>
      </c>
      <c r="C3180" s="1">
        <f>IFERROR(__xludf.DUMMYFUNCTION("""COMPUTED_VALUE"""),221.39)</f>
        <v>221.39</v>
      </c>
      <c r="D3180" s="1">
        <f>IFERROR(__xludf.DUMMYFUNCTION("""COMPUTED_VALUE"""),216.8)</f>
        <v>216.8</v>
      </c>
      <c r="E3180" s="1">
        <f>IFERROR(__xludf.DUMMYFUNCTION("""COMPUTED_VALUE"""),220.15)</f>
        <v>220.15</v>
      </c>
      <c r="F3180" s="1">
        <f>IFERROR(__xludf.DUMMYFUNCTION("""COMPUTED_VALUE"""),280499.0)</f>
        <v>280499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IFERROR(__xludf.DUMMYFUNCTION("""COMPUTED_VALUE"""),219.26)</f>
        <v>219.26</v>
      </c>
      <c r="C3181" s="1">
        <f>IFERROR(__xludf.DUMMYFUNCTION("""COMPUTED_VALUE"""),220.82)</f>
        <v>220.82</v>
      </c>
      <c r="D3181" s="1">
        <f>IFERROR(__xludf.DUMMYFUNCTION("""COMPUTED_VALUE"""),216.29)</f>
        <v>216.29</v>
      </c>
      <c r="E3181" s="1">
        <f>IFERROR(__xludf.DUMMYFUNCTION("""COMPUTED_VALUE"""),217.59)</f>
        <v>217.59</v>
      </c>
      <c r="F3181" s="1">
        <f>IFERROR(__xludf.DUMMYFUNCTION("""COMPUTED_VALUE"""),540846.0)</f>
        <v>540846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IFERROR(__xludf.DUMMYFUNCTION("""COMPUTED_VALUE"""),213.75)</f>
        <v>213.75</v>
      </c>
      <c r="C3182" s="1">
        <f>IFERROR(__xludf.DUMMYFUNCTION("""COMPUTED_VALUE"""),218.02)</f>
        <v>218.02</v>
      </c>
      <c r="D3182" s="1">
        <f>IFERROR(__xludf.DUMMYFUNCTION("""COMPUTED_VALUE"""),210.7)</f>
        <v>210.7</v>
      </c>
      <c r="E3182" s="1">
        <f>IFERROR(__xludf.DUMMYFUNCTION("""COMPUTED_VALUE"""),211.9)</f>
        <v>211.9</v>
      </c>
      <c r="F3182" s="1">
        <f>IFERROR(__xludf.DUMMYFUNCTION("""COMPUTED_VALUE"""),609622.0)</f>
        <v>609622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IFERROR(__xludf.DUMMYFUNCTION("""COMPUTED_VALUE"""),211.32)</f>
        <v>211.32</v>
      </c>
      <c r="C3183" s="1">
        <f>IFERROR(__xludf.DUMMYFUNCTION("""COMPUTED_VALUE"""),213.49)</f>
        <v>213.49</v>
      </c>
      <c r="D3183" s="1">
        <f>IFERROR(__xludf.DUMMYFUNCTION("""COMPUTED_VALUE"""),207.03)</f>
        <v>207.03</v>
      </c>
      <c r="E3183" s="1">
        <f>IFERROR(__xludf.DUMMYFUNCTION("""COMPUTED_VALUE"""),210.81)</f>
        <v>210.81</v>
      </c>
      <c r="F3183" s="1">
        <f>IFERROR(__xludf.DUMMYFUNCTION("""COMPUTED_VALUE"""),652640.0)</f>
        <v>652640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IFERROR(__xludf.DUMMYFUNCTION("""COMPUTED_VALUE"""),211.65)</f>
        <v>211.65</v>
      </c>
      <c r="C3184" s="1">
        <f>IFERROR(__xludf.DUMMYFUNCTION("""COMPUTED_VALUE"""),211.98)</f>
        <v>211.98</v>
      </c>
      <c r="D3184" s="1">
        <f>IFERROR(__xludf.DUMMYFUNCTION("""COMPUTED_VALUE"""),208.89)</f>
        <v>208.89</v>
      </c>
      <c r="E3184" s="1">
        <f>IFERROR(__xludf.DUMMYFUNCTION("""COMPUTED_VALUE"""),209.74)</f>
        <v>209.74</v>
      </c>
      <c r="F3184" s="1">
        <f>IFERROR(__xludf.DUMMYFUNCTION("""COMPUTED_VALUE"""),314987.0)</f>
        <v>314987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IFERROR(__xludf.DUMMYFUNCTION("""COMPUTED_VALUE"""),212.86)</f>
        <v>212.86</v>
      </c>
      <c r="C3185" s="1">
        <f>IFERROR(__xludf.DUMMYFUNCTION("""COMPUTED_VALUE"""),214.76)</f>
        <v>214.76</v>
      </c>
      <c r="D3185" s="1">
        <f>IFERROR(__xludf.DUMMYFUNCTION("""COMPUTED_VALUE"""),210.56)</f>
        <v>210.56</v>
      </c>
      <c r="E3185" s="1">
        <f>IFERROR(__xludf.DUMMYFUNCTION("""COMPUTED_VALUE"""),213.85)</f>
        <v>213.85</v>
      </c>
      <c r="F3185" s="1">
        <f>IFERROR(__xludf.DUMMYFUNCTION("""COMPUTED_VALUE"""),394297.0)</f>
        <v>394297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IFERROR(__xludf.DUMMYFUNCTION("""COMPUTED_VALUE"""),213.17)</f>
        <v>213.17</v>
      </c>
      <c r="C3186" s="1">
        <f>IFERROR(__xludf.DUMMYFUNCTION("""COMPUTED_VALUE"""),213.19)</f>
        <v>213.19</v>
      </c>
      <c r="D3186" s="1">
        <f>IFERROR(__xludf.DUMMYFUNCTION("""COMPUTED_VALUE"""),204.22)</f>
        <v>204.22</v>
      </c>
      <c r="E3186" s="1">
        <f>IFERROR(__xludf.DUMMYFUNCTION("""COMPUTED_VALUE"""),204.81)</f>
        <v>204.81</v>
      </c>
      <c r="F3186" s="1">
        <f>IFERROR(__xludf.DUMMYFUNCTION("""COMPUTED_VALUE"""),621594.0)</f>
        <v>621594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IFERROR(__xludf.DUMMYFUNCTION("""COMPUTED_VALUE"""),202.42)</f>
        <v>202.42</v>
      </c>
      <c r="C3187" s="1">
        <f>IFERROR(__xludf.DUMMYFUNCTION("""COMPUTED_VALUE"""),205.8)</f>
        <v>205.8</v>
      </c>
      <c r="D3187" s="1">
        <f>IFERROR(__xludf.DUMMYFUNCTION("""COMPUTED_VALUE"""),201.22)</f>
        <v>201.22</v>
      </c>
      <c r="E3187" s="1">
        <f>IFERROR(__xludf.DUMMYFUNCTION("""COMPUTED_VALUE"""),203.62)</f>
        <v>203.62</v>
      </c>
      <c r="F3187" s="1">
        <f>IFERROR(__xludf.DUMMYFUNCTION("""COMPUTED_VALUE"""),483995.0)</f>
        <v>483995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IFERROR(__xludf.DUMMYFUNCTION("""COMPUTED_VALUE"""),204.52)</f>
        <v>204.52</v>
      </c>
      <c r="C3188" s="1">
        <f>IFERROR(__xludf.DUMMYFUNCTION("""COMPUTED_VALUE"""),207.04)</f>
        <v>207.04</v>
      </c>
      <c r="D3188" s="1">
        <f>IFERROR(__xludf.DUMMYFUNCTION("""COMPUTED_VALUE"""),200.9)</f>
        <v>200.9</v>
      </c>
      <c r="E3188" s="1">
        <f>IFERROR(__xludf.DUMMYFUNCTION("""COMPUTED_VALUE"""),205.44)</f>
        <v>205.44</v>
      </c>
      <c r="F3188" s="1">
        <f>IFERROR(__xludf.DUMMYFUNCTION("""COMPUTED_VALUE"""),668030.0)</f>
        <v>668030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IFERROR(__xludf.DUMMYFUNCTION("""COMPUTED_VALUE"""),207.72)</f>
        <v>207.72</v>
      </c>
      <c r="C3189" s="1">
        <f>IFERROR(__xludf.DUMMYFUNCTION("""COMPUTED_VALUE"""),207.72)</f>
        <v>207.72</v>
      </c>
      <c r="D3189" s="1">
        <f>IFERROR(__xludf.DUMMYFUNCTION("""COMPUTED_VALUE"""),202.75)</f>
        <v>202.75</v>
      </c>
      <c r="E3189" s="1">
        <f>IFERROR(__xludf.DUMMYFUNCTION("""COMPUTED_VALUE"""),205.25)</f>
        <v>205.25</v>
      </c>
      <c r="F3189" s="1">
        <f>IFERROR(__xludf.DUMMYFUNCTION("""COMPUTED_VALUE"""),659061.0)</f>
        <v>659061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IFERROR(__xludf.DUMMYFUNCTION("""COMPUTED_VALUE"""),203.64)</f>
        <v>203.64</v>
      </c>
      <c r="C3190" s="1">
        <f>IFERROR(__xludf.DUMMYFUNCTION("""COMPUTED_VALUE"""),204.34)</f>
        <v>204.34</v>
      </c>
      <c r="D3190" s="1">
        <f>IFERROR(__xludf.DUMMYFUNCTION("""COMPUTED_VALUE"""),200.44)</f>
        <v>200.44</v>
      </c>
      <c r="E3190" s="1">
        <f>IFERROR(__xludf.DUMMYFUNCTION("""COMPUTED_VALUE"""),203.24)</f>
        <v>203.24</v>
      </c>
      <c r="F3190" s="1">
        <f>IFERROR(__xludf.DUMMYFUNCTION("""COMPUTED_VALUE"""),592740.0)</f>
        <v>592740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IFERROR(__xludf.DUMMYFUNCTION("""COMPUTED_VALUE"""),205.67)</f>
        <v>205.67</v>
      </c>
      <c r="C3191" s="1">
        <f>IFERROR(__xludf.DUMMYFUNCTION("""COMPUTED_VALUE"""),208.22)</f>
        <v>208.22</v>
      </c>
      <c r="D3191" s="1">
        <f>IFERROR(__xludf.DUMMYFUNCTION("""COMPUTED_VALUE"""),199.3)</f>
        <v>199.3</v>
      </c>
      <c r="E3191" s="1">
        <f>IFERROR(__xludf.DUMMYFUNCTION("""COMPUTED_VALUE"""),200.24)</f>
        <v>200.24</v>
      </c>
      <c r="F3191" s="1">
        <f>IFERROR(__xludf.DUMMYFUNCTION("""COMPUTED_VALUE"""),463197.0)</f>
        <v>463197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IFERROR(__xludf.DUMMYFUNCTION("""COMPUTED_VALUE"""),201.58)</f>
        <v>201.58</v>
      </c>
      <c r="C3192" s="1">
        <f>IFERROR(__xludf.DUMMYFUNCTION("""COMPUTED_VALUE"""),201.75)</f>
        <v>201.75</v>
      </c>
      <c r="D3192" s="1">
        <f>IFERROR(__xludf.DUMMYFUNCTION("""COMPUTED_VALUE"""),198.0)</f>
        <v>198</v>
      </c>
      <c r="E3192" s="1">
        <f>IFERROR(__xludf.DUMMYFUNCTION("""COMPUTED_VALUE"""),200.16)</f>
        <v>200.16</v>
      </c>
      <c r="F3192" s="1">
        <f>IFERROR(__xludf.DUMMYFUNCTION("""COMPUTED_VALUE"""),457469.0)</f>
        <v>457469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IFERROR(__xludf.DUMMYFUNCTION("""COMPUTED_VALUE"""),200.45)</f>
        <v>200.45</v>
      </c>
      <c r="C3193" s="1">
        <f>IFERROR(__xludf.DUMMYFUNCTION("""COMPUTED_VALUE"""),209.11)</f>
        <v>209.11</v>
      </c>
      <c r="D3193" s="1">
        <f>IFERROR(__xludf.DUMMYFUNCTION("""COMPUTED_VALUE"""),199.24)</f>
        <v>199.24</v>
      </c>
      <c r="E3193" s="1">
        <f>IFERROR(__xludf.DUMMYFUNCTION("""COMPUTED_VALUE"""),208.39)</f>
        <v>208.39</v>
      </c>
      <c r="F3193" s="1">
        <f>IFERROR(__xludf.DUMMYFUNCTION("""COMPUTED_VALUE"""),429418.0)</f>
        <v>429418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IFERROR(__xludf.DUMMYFUNCTION("""COMPUTED_VALUE"""),206.16)</f>
        <v>206.16</v>
      </c>
      <c r="C3194" s="1">
        <f>IFERROR(__xludf.DUMMYFUNCTION("""COMPUTED_VALUE"""),213.73)</f>
        <v>213.73</v>
      </c>
      <c r="D3194" s="1">
        <f>IFERROR(__xludf.DUMMYFUNCTION("""COMPUTED_VALUE"""),204.3)</f>
        <v>204.3</v>
      </c>
      <c r="E3194" s="1">
        <f>IFERROR(__xludf.DUMMYFUNCTION("""COMPUTED_VALUE"""),213.62)</f>
        <v>213.62</v>
      </c>
      <c r="F3194" s="1">
        <f>IFERROR(__xludf.DUMMYFUNCTION("""COMPUTED_VALUE"""),511603.0)</f>
        <v>511603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IFERROR(__xludf.DUMMYFUNCTION("""COMPUTED_VALUE"""),215.73)</f>
        <v>215.73</v>
      </c>
      <c r="C3195" s="1">
        <f>IFERROR(__xludf.DUMMYFUNCTION("""COMPUTED_VALUE"""),219.44)</f>
        <v>219.44</v>
      </c>
      <c r="D3195" s="1">
        <f>IFERROR(__xludf.DUMMYFUNCTION("""COMPUTED_VALUE"""),214.75)</f>
        <v>214.75</v>
      </c>
      <c r="E3195" s="1">
        <f>IFERROR(__xludf.DUMMYFUNCTION("""COMPUTED_VALUE"""),218.24)</f>
        <v>218.24</v>
      </c>
      <c r="F3195" s="1">
        <f>IFERROR(__xludf.DUMMYFUNCTION("""COMPUTED_VALUE"""),357834.0)</f>
        <v>357834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IFERROR(__xludf.DUMMYFUNCTION("""COMPUTED_VALUE"""),218.66)</f>
        <v>218.66</v>
      </c>
      <c r="C3196" s="1">
        <f>IFERROR(__xludf.DUMMYFUNCTION("""COMPUTED_VALUE"""),224.69)</f>
        <v>224.69</v>
      </c>
      <c r="D3196" s="1">
        <f>IFERROR(__xludf.DUMMYFUNCTION("""COMPUTED_VALUE"""),218.39)</f>
        <v>218.39</v>
      </c>
      <c r="E3196" s="1">
        <f>IFERROR(__xludf.DUMMYFUNCTION("""COMPUTED_VALUE"""),223.35)</f>
        <v>223.35</v>
      </c>
      <c r="F3196" s="1">
        <f>IFERROR(__xludf.DUMMYFUNCTION("""COMPUTED_VALUE"""),558717.0)</f>
        <v>558717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IFERROR(__xludf.DUMMYFUNCTION("""COMPUTED_VALUE"""),214.46)</f>
        <v>214.46</v>
      </c>
      <c r="C3197" s="1">
        <f>IFERROR(__xludf.DUMMYFUNCTION("""COMPUTED_VALUE"""),217.28)</f>
        <v>217.28</v>
      </c>
      <c r="D3197" s="1">
        <f>IFERROR(__xludf.DUMMYFUNCTION("""COMPUTED_VALUE"""),210.0)</f>
        <v>210</v>
      </c>
      <c r="E3197" s="1">
        <f>IFERROR(__xludf.DUMMYFUNCTION("""COMPUTED_VALUE"""),213.46)</f>
        <v>213.46</v>
      </c>
      <c r="F3197" s="1">
        <f>IFERROR(__xludf.DUMMYFUNCTION("""COMPUTED_VALUE"""),1081424.0)</f>
        <v>1081424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IFERROR(__xludf.DUMMYFUNCTION("""COMPUTED_VALUE"""),213.47)</f>
        <v>213.47</v>
      </c>
      <c r="C3198" s="1">
        <f>IFERROR(__xludf.DUMMYFUNCTION("""COMPUTED_VALUE"""),214.18)</f>
        <v>214.18</v>
      </c>
      <c r="D3198" s="1">
        <f>IFERROR(__xludf.DUMMYFUNCTION("""COMPUTED_VALUE"""),201.45)</f>
        <v>201.45</v>
      </c>
      <c r="E3198" s="1">
        <f>IFERROR(__xludf.DUMMYFUNCTION("""COMPUTED_VALUE"""),202.32)</f>
        <v>202.32</v>
      </c>
      <c r="F3198" s="1">
        <f>IFERROR(__xludf.DUMMYFUNCTION("""COMPUTED_VALUE"""),567694.0)</f>
        <v>567694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IFERROR(__xludf.DUMMYFUNCTION("""COMPUTED_VALUE"""),202.11)</f>
        <v>202.11</v>
      </c>
      <c r="C3199" s="1">
        <f>IFERROR(__xludf.DUMMYFUNCTION("""COMPUTED_VALUE"""),210.05)</f>
        <v>210.05</v>
      </c>
      <c r="D3199" s="1">
        <f>IFERROR(__xludf.DUMMYFUNCTION("""COMPUTED_VALUE"""),201.28)</f>
        <v>201.28</v>
      </c>
      <c r="E3199" s="1">
        <f>IFERROR(__xludf.DUMMYFUNCTION("""COMPUTED_VALUE"""),203.61)</f>
        <v>203.61</v>
      </c>
      <c r="F3199" s="1">
        <f>IFERROR(__xludf.DUMMYFUNCTION("""COMPUTED_VALUE"""),877066.0)</f>
        <v>877066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IFERROR(__xludf.DUMMYFUNCTION("""COMPUTED_VALUE"""),202.0)</f>
        <v>202</v>
      </c>
      <c r="C3200" s="1">
        <f>IFERROR(__xludf.DUMMYFUNCTION("""COMPUTED_VALUE"""),203.23)</f>
        <v>203.23</v>
      </c>
      <c r="D3200" s="1">
        <f>IFERROR(__xludf.DUMMYFUNCTION("""COMPUTED_VALUE"""),196.9)</f>
        <v>196.9</v>
      </c>
      <c r="E3200" s="1">
        <f>IFERROR(__xludf.DUMMYFUNCTION("""COMPUTED_VALUE"""),199.71)</f>
        <v>199.71</v>
      </c>
      <c r="F3200" s="1">
        <f>IFERROR(__xludf.DUMMYFUNCTION("""COMPUTED_VALUE"""),865927.0)</f>
        <v>865927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IFERROR(__xludf.DUMMYFUNCTION("""COMPUTED_VALUE"""),197.0)</f>
        <v>197</v>
      </c>
      <c r="C3201" s="1">
        <f>IFERROR(__xludf.DUMMYFUNCTION("""COMPUTED_VALUE"""),200.04)</f>
        <v>200.04</v>
      </c>
      <c r="D3201" s="1">
        <f>IFERROR(__xludf.DUMMYFUNCTION("""COMPUTED_VALUE"""),195.12)</f>
        <v>195.12</v>
      </c>
      <c r="E3201" s="1">
        <f>IFERROR(__xludf.DUMMYFUNCTION("""COMPUTED_VALUE"""),199.85)</f>
        <v>199.85</v>
      </c>
      <c r="F3201" s="1">
        <f>IFERROR(__xludf.DUMMYFUNCTION("""COMPUTED_VALUE"""),526773.0)</f>
        <v>526773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IFERROR(__xludf.DUMMYFUNCTION("""COMPUTED_VALUE"""),196.55)</f>
        <v>196.55</v>
      </c>
      <c r="C3202" s="1">
        <f>IFERROR(__xludf.DUMMYFUNCTION("""COMPUTED_VALUE"""),197.86)</f>
        <v>197.86</v>
      </c>
      <c r="D3202" s="1">
        <f>IFERROR(__xludf.DUMMYFUNCTION("""COMPUTED_VALUE"""),191.27)</f>
        <v>191.27</v>
      </c>
      <c r="E3202" s="1">
        <f>IFERROR(__xludf.DUMMYFUNCTION("""COMPUTED_VALUE"""),194.18)</f>
        <v>194.18</v>
      </c>
      <c r="F3202" s="1">
        <f>IFERROR(__xludf.DUMMYFUNCTION("""COMPUTED_VALUE"""),444474.0)</f>
        <v>444474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IFERROR(__xludf.DUMMYFUNCTION("""COMPUTED_VALUE"""),195.49)</f>
        <v>195.49</v>
      </c>
      <c r="C3203" s="1">
        <f>IFERROR(__xludf.DUMMYFUNCTION("""COMPUTED_VALUE"""),197.36)</f>
        <v>197.36</v>
      </c>
      <c r="D3203" s="1">
        <f>IFERROR(__xludf.DUMMYFUNCTION("""COMPUTED_VALUE"""),190.53)</f>
        <v>190.53</v>
      </c>
      <c r="E3203" s="1">
        <f>IFERROR(__xludf.DUMMYFUNCTION("""COMPUTED_VALUE"""),190.81)</f>
        <v>190.81</v>
      </c>
      <c r="F3203" s="1">
        <f>IFERROR(__xludf.DUMMYFUNCTION("""COMPUTED_VALUE"""),504246.0)</f>
        <v>504246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IFERROR(__xludf.DUMMYFUNCTION("""COMPUTED_VALUE"""),189.8)</f>
        <v>189.8</v>
      </c>
      <c r="C3204" s="1">
        <f>IFERROR(__xludf.DUMMYFUNCTION("""COMPUTED_VALUE"""),190.04)</f>
        <v>190.04</v>
      </c>
      <c r="D3204" s="1">
        <f>IFERROR(__xludf.DUMMYFUNCTION("""COMPUTED_VALUE"""),183.23)</f>
        <v>183.23</v>
      </c>
      <c r="E3204" s="1">
        <f>IFERROR(__xludf.DUMMYFUNCTION("""COMPUTED_VALUE"""),184.83)</f>
        <v>184.83</v>
      </c>
      <c r="F3204" s="1">
        <f>IFERROR(__xludf.DUMMYFUNCTION("""COMPUTED_VALUE"""),565723.0)</f>
        <v>565723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IFERROR(__xludf.DUMMYFUNCTION("""COMPUTED_VALUE"""),183.31)</f>
        <v>183.31</v>
      </c>
      <c r="C3205" s="1">
        <f>IFERROR(__xludf.DUMMYFUNCTION("""COMPUTED_VALUE"""),188.08)</f>
        <v>188.08</v>
      </c>
      <c r="D3205" s="1">
        <f>IFERROR(__xludf.DUMMYFUNCTION("""COMPUTED_VALUE"""),182.02)</f>
        <v>182.02</v>
      </c>
      <c r="E3205" s="1">
        <f>IFERROR(__xludf.DUMMYFUNCTION("""COMPUTED_VALUE"""),187.51)</f>
        <v>187.51</v>
      </c>
      <c r="F3205" s="1">
        <f>IFERROR(__xludf.DUMMYFUNCTION("""COMPUTED_VALUE"""),800554.0)</f>
        <v>800554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IFERROR(__xludf.DUMMYFUNCTION("""COMPUTED_VALUE"""),187.11)</f>
        <v>187.11</v>
      </c>
      <c r="C3206" s="1">
        <f>IFERROR(__xludf.DUMMYFUNCTION("""COMPUTED_VALUE"""),190.0)</f>
        <v>190</v>
      </c>
      <c r="D3206" s="1">
        <f>IFERROR(__xludf.DUMMYFUNCTION("""COMPUTED_VALUE"""),181.43)</f>
        <v>181.43</v>
      </c>
      <c r="E3206" s="1">
        <f>IFERROR(__xludf.DUMMYFUNCTION("""COMPUTED_VALUE"""),185.16)</f>
        <v>185.16</v>
      </c>
      <c r="F3206" s="1">
        <f>IFERROR(__xludf.DUMMYFUNCTION("""COMPUTED_VALUE"""),559449.0)</f>
        <v>559449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IFERROR(__xludf.DUMMYFUNCTION("""COMPUTED_VALUE"""),188.08)</f>
        <v>188.08</v>
      </c>
      <c r="C3207" s="1">
        <f>IFERROR(__xludf.DUMMYFUNCTION("""COMPUTED_VALUE"""),189.55)</f>
        <v>189.55</v>
      </c>
      <c r="D3207" s="1">
        <f>IFERROR(__xludf.DUMMYFUNCTION("""COMPUTED_VALUE"""),181.36)</f>
        <v>181.36</v>
      </c>
      <c r="E3207" s="1">
        <f>IFERROR(__xludf.DUMMYFUNCTION("""COMPUTED_VALUE"""),182.44)</f>
        <v>182.44</v>
      </c>
      <c r="F3207" s="1">
        <f>IFERROR(__xludf.DUMMYFUNCTION("""COMPUTED_VALUE"""),525956.0)</f>
        <v>525956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IFERROR(__xludf.DUMMYFUNCTION("""COMPUTED_VALUE"""),183.93)</f>
        <v>183.93</v>
      </c>
      <c r="C3208" s="1">
        <f>IFERROR(__xludf.DUMMYFUNCTION("""COMPUTED_VALUE"""),189.28)</f>
        <v>189.28</v>
      </c>
      <c r="D3208" s="1">
        <f>IFERROR(__xludf.DUMMYFUNCTION("""COMPUTED_VALUE"""),183.92)</f>
        <v>183.92</v>
      </c>
      <c r="E3208" s="1">
        <f>IFERROR(__xludf.DUMMYFUNCTION("""COMPUTED_VALUE"""),187.42)</f>
        <v>187.42</v>
      </c>
      <c r="F3208" s="1">
        <f>IFERROR(__xludf.DUMMYFUNCTION("""COMPUTED_VALUE"""),432705.0)</f>
        <v>432705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IFERROR(__xludf.DUMMYFUNCTION("""COMPUTED_VALUE"""),185.43)</f>
        <v>185.43</v>
      </c>
      <c r="C3209" s="1">
        <f>IFERROR(__xludf.DUMMYFUNCTION("""COMPUTED_VALUE"""),190.4)</f>
        <v>190.4</v>
      </c>
      <c r="D3209" s="1">
        <f>IFERROR(__xludf.DUMMYFUNCTION("""COMPUTED_VALUE"""),183.75)</f>
        <v>183.75</v>
      </c>
      <c r="E3209" s="1">
        <f>IFERROR(__xludf.DUMMYFUNCTION("""COMPUTED_VALUE"""),190.01)</f>
        <v>190.01</v>
      </c>
      <c r="F3209" s="1">
        <f>IFERROR(__xludf.DUMMYFUNCTION("""COMPUTED_VALUE"""),731408.0)</f>
        <v>731408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IFERROR(__xludf.DUMMYFUNCTION("""COMPUTED_VALUE"""),196.51)</f>
        <v>196.51</v>
      </c>
      <c r="C3210" s="1">
        <f>IFERROR(__xludf.DUMMYFUNCTION("""COMPUTED_VALUE"""),206.19)</f>
        <v>206.19</v>
      </c>
      <c r="D3210" s="1">
        <f>IFERROR(__xludf.DUMMYFUNCTION("""COMPUTED_VALUE"""),195.49)</f>
        <v>195.49</v>
      </c>
      <c r="E3210" s="1">
        <f>IFERROR(__xludf.DUMMYFUNCTION("""COMPUTED_VALUE"""),196.8)</f>
        <v>196.8</v>
      </c>
      <c r="F3210" s="1">
        <f>IFERROR(__xludf.DUMMYFUNCTION("""COMPUTED_VALUE"""),1570646.0)</f>
        <v>1570646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IFERROR(__xludf.DUMMYFUNCTION("""COMPUTED_VALUE"""),197.89)</f>
        <v>197.89</v>
      </c>
      <c r="C3211" s="1">
        <f>IFERROR(__xludf.DUMMYFUNCTION("""COMPUTED_VALUE"""),206.76)</f>
        <v>206.76</v>
      </c>
      <c r="D3211" s="1">
        <f>IFERROR(__xludf.DUMMYFUNCTION("""COMPUTED_VALUE"""),196.48)</f>
        <v>196.48</v>
      </c>
      <c r="E3211" s="1">
        <f>IFERROR(__xludf.DUMMYFUNCTION("""COMPUTED_VALUE"""),203.79)</f>
        <v>203.79</v>
      </c>
      <c r="F3211" s="1">
        <f>IFERROR(__xludf.DUMMYFUNCTION("""COMPUTED_VALUE"""),769488.0)</f>
        <v>769488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IFERROR(__xludf.DUMMYFUNCTION("""COMPUTED_VALUE"""),208.14)</f>
        <v>208.14</v>
      </c>
      <c r="C3212" s="1">
        <f>IFERROR(__xludf.DUMMYFUNCTION("""COMPUTED_VALUE"""),213.44)</f>
        <v>213.44</v>
      </c>
      <c r="D3212" s="1">
        <f>IFERROR(__xludf.DUMMYFUNCTION("""COMPUTED_VALUE"""),207.31)</f>
        <v>207.31</v>
      </c>
      <c r="E3212" s="1">
        <f>IFERROR(__xludf.DUMMYFUNCTION("""COMPUTED_VALUE"""),213.13)</f>
        <v>213.13</v>
      </c>
      <c r="F3212" s="1">
        <f>IFERROR(__xludf.DUMMYFUNCTION("""COMPUTED_VALUE"""),721422.0)</f>
        <v>721422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IFERROR(__xludf.DUMMYFUNCTION("""COMPUTED_VALUE"""),210.76)</f>
        <v>210.76</v>
      </c>
      <c r="C3213" s="1">
        <f>IFERROR(__xludf.DUMMYFUNCTION("""COMPUTED_VALUE"""),216.45)</f>
        <v>216.45</v>
      </c>
      <c r="D3213" s="1">
        <f>IFERROR(__xludf.DUMMYFUNCTION("""COMPUTED_VALUE"""),207.21)</f>
        <v>207.21</v>
      </c>
      <c r="E3213" s="1">
        <f>IFERROR(__xludf.DUMMYFUNCTION("""COMPUTED_VALUE"""),215.43)</f>
        <v>215.43</v>
      </c>
      <c r="F3213" s="1">
        <f>IFERROR(__xludf.DUMMYFUNCTION("""COMPUTED_VALUE"""),409164.0)</f>
        <v>409164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IFERROR(__xludf.DUMMYFUNCTION("""COMPUTED_VALUE"""),214.6)</f>
        <v>214.6</v>
      </c>
      <c r="C3214" s="1">
        <f>IFERROR(__xludf.DUMMYFUNCTION("""COMPUTED_VALUE"""),215.92)</f>
        <v>215.92</v>
      </c>
      <c r="D3214" s="1">
        <f>IFERROR(__xludf.DUMMYFUNCTION("""COMPUTED_VALUE"""),209.34)</f>
        <v>209.34</v>
      </c>
      <c r="E3214" s="1">
        <f>IFERROR(__xludf.DUMMYFUNCTION("""COMPUTED_VALUE"""),210.81)</f>
        <v>210.81</v>
      </c>
      <c r="F3214" s="1">
        <f>IFERROR(__xludf.DUMMYFUNCTION("""COMPUTED_VALUE"""),363279.0)</f>
        <v>363279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IFERROR(__xludf.DUMMYFUNCTION("""COMPUTED_VALUE"""),208.0)</f>
        <v>208</v>
      </c>
      <c r="C3215" s="1">
        <f>IFERROR(__xludf.DUMMYFUNCTION("""COMPUTED_VALUE"""),209.77)</f>
        <v>209.77</v>
      </c>
      <c r="D3215" s="1">
        <f>IFERROR(__xludf.DUMMYFUNCTION("""COMPUTED_VALUE"""),204.71)</f>
        <v>204.71</v>
      </c>
      <c r="E3215" s="1">
        <f>IFERROR(__xludf.DUMMYFUNCTION("""COMPUTED_VALUE"""),205.33)</f>
        <v>205.33</v>
      </c>
      <c r="F3215" s="1">
        <f>IFERROR(__xludf.DUMMYFUNCTION("""COMPUTED_VALUE"""),455781.0)</f>
        <v>455781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IFERROR(__xludf.DUMMYFUNCTION("""COMPUTED_VALUE"""),206.14)</f>
        <v>206.14</v>
      </c>
      <c r="C3216" s="1">
        <f>IFERROR(__xludf.DUMMYFUNCTION("""COMPUTED_VALUE"""),206.58)</f>
        <v>206.58</v>
      </c>
      <c r="D3216" s="1">
        <f>IFERROR(__xludf.DUMMYFUNCTION("""COMPUTED_VALUE"""),199.54)</f>
        <v>199.54</v>
      </c>
      <c r="E3216" s="1">
        <f>IFERROR(__xludf.DUMMYFUNCTION("""COMPUTED_VALUE"""),201.36)</f>
        <v>201.36</v>
      </c>
      <c r="F3216" s="1">
        <f>IFERROR(__xludf.DUMMYFUNCTION("""COMPUTED_VALUE"""),301903.0)</f>
        <v>301903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IFERROR(__xludf.DUMMYFUNCTION("""COMPUTED_VALUE"""),199.35)</f>
        <v>199.35</v>
      </c>
      <c r="C3217" s="1">
        <f>IFERROR(__xludf.DUMMYFUNCTION("""COMPUTED_VALUE"""),200.35)</f>
        <v>200.35</v>
      </c>
      <c r="D3217" s="1">
        <f>IFERROR(__xludf.DUMMYFUNCTION("""COMPUTED_VALUE"""),195.45)</f>
        <v>195.45</v>
      </c>
      <c r="E3217" s="1">
        <f>IFERROR(__xludf.DUMMYFUNCTION("""COMPUTED_VALUE"""),197.11)</f>
        <v>197.11</v>
      </c>
      <c r="F3217" s="1">
        <f>IFERROR(__xludf.DUMMYFUNCTION("""COMPUTED_VALUE"""),554267.0)</f>
        <v>554267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IFERROR(__xludf.DUMMYFUNCTION("""COMPUTED_VALUE"""),198.18)</f>
        <v>198.18</v>
      </c>
      <c r="C3218" s="1">
        <f>IFERROR(__xludf.DUMMYFUNCTION("""COMPUTED_VALUE"""),198.21)</f>
        <v>198.21</v>
      </c>
      <c r="D3218" s="1">
        <f>IFERROR(__xludf.DUMMYFUNCTION("""COMPUTED_VALUE"""),194.25)</f>
        <v>194.25</v>
      </c>
      <c r="E3218" s="1">
        <f>IFERROR(__xludf.DUMMYFUNCTION("""COMPUTED_VALUE"""),197.37)</f>
        <v>197.37</v>
      </c>
      <c r="F3218" s="1">
        <f>IFERROR(__xludf.DUMMYFUNCTION("""COMPUTED_VALUE"""),367738.0)</f>
        <v>367738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IFERROR(__xludf.DUMMYFUNCTION("""COMPUTED_VALUE"""),192.23)</f>
        <v>192.23</v>
      </c>
      <c r="C3219" s="1">
        <f>IFERROR(__xludf.DUMMYFUNCTION("""COMPUTED_VALUE"""),201.49)</f>
        <v>201.49</v>
      </c>
      <c r="D3219" s="1">
        <f>IFERROR(__xludf.DUMMYFUNCTION("""COMPUTED_VALUE"""),189.76)</f>
        <v>189.76</v>
      </c>
      <c r="E3219" s="1">
        <f>IFERROR(__xludf.DUMMYFUNCTION("""COMPUTED_VALUE"""),199.72)</f>
        <v>199.72</v>
      </c>
      <c r="F3219" s="1">
        <f>IFERROR(__xludf.DUMMYFUNCTION("""COMPUTED_VALUE"""),439079.0)</f>
        <v>439079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IFERROR(__xludf.DUMMYFUNCTION("""COMPUTED_VALUE"""),202.03)</f>
        <v>202.03</v>
      </c>
      <c r="C3220" s="1">
        <f>IFERROR(__xludf.DUMMYFUNCTION("""COMPUTED_VALUE"""),203.44)</f>
        <v>203.44</v>
      </c>
      <c r="D3220" s="1">
        <f>IFERROR(__xludf.DUMMYFUNCTION("""COMPUTED_VALUE"""),195.31)</f>
        <v>195.31</v>
      </c>
      <c r="E3220" s="1">
        <f>IFERROR(__xludf.DUMMYFUNCTION("""COMPUTED_VALUE"""),197.22)</f>
        <v>197.22</v>
      </c>
      <c r="F3220" s="1">
        <f>IFERROR(__xludf.DUMMYFUNCTION("""COMPUTED_VALUE"""),399906.0)</f>
        <v>399906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IFERROR(__xludf.DUMMYFUNCTION("""COMPUTED_VALUE"""),201.42)</f>
        <v>201.42</v>
      </c>
      <c r="C3221" s="1">
        <f>IFERROR(__xludf.DUMMYFUNCTION("""COMPUTED_VALUE"""),206.45)</f>
        <v>206.45</v>
      </c>
      <c r="D3221" s="1">
        <f>IFERROR(__xludf.DUMMYFUNCTION("""COMPUTED_VALUE"""),200.73)</f>
        <v>200.73</v>
      </c>
      <c r="E3221" s="1">
        <f>IFERROR(__xludf.DUMMYFUNCTION("""COMPUTED_VALUE"""),205.59)</f>
        <v>205.59</v>
      </c>
      <c r="F3221" s="1">
        <f>IFERROR(__xludf.DUMMYFUNCTION("""COMPUTED_VALUE"""),313484.0)</f>
        <v>313484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IFERROR(__xludf.DUMMYFUNCTION("""COMPUTED_VALUE"""),211.62)</f>
        <v>211.62</v>
      </c>
      <c r="C3222" s="1">
        <f>IFERROR(__xludf.DUMMYFUNCTION("""COMPUTED_VALUE"""),213.92)</f>
        <v>213.92</v>
      </c>
      <c r="D3222" s="1">
        <f>IFERROR(__xludf.DUMMYFUNCTION("""COMPUTED_VALUE"""),204.49)</f>
        <v>204.49</v>
      </c>
      <c r="E3222" s="1">
        <f>IFERROR(__xludf.DUMMYFUNCTION("""COMPUTED_VALUE"""),205.86)</f>
        <v>205.86</v>
      </c>
      <c r="F3222" s="1">
        <f>IFERROR(__xludf.DUMMYFUNCTION("""COMPUTED_VALUE"""),316240.0)</f>
        <v>316240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IFERROR(__xludf.DUMMYFUNCTION("""COMPUTED_VALUE"""),205.0)</f>
        <v>205</v>
      </c>
      <c r="C3223" s="1">
        <f>IFERROR(__xludf.DUMMYFUNCTION("""COMPUTED_VALUE"""),205.0)</f>
        <v>205</v>
      </c>
      <c r="D3223" s="1">
        <f>IFERROR(__xludf.DUMMYFUNCTION("""COMPUTED_VALUE"""),197.5)</f>
        <v>197.5</v>
      </c>
      <c r="E3223" s="1">
        <f>IFERROR(__xludf.DUMMYFUNCTION("""COMPUTED_VALUE"""),199.6)</f>
        <v>199.6</v>
      </c>
      <c r="F3223" s="1">
        <f>IFERROR(__xludf.DUMMYFUNCTION("""COMPUTED_VALUE"""),369874.0)</f>
        <v>369874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IFERROR(__xludf.DUMMYFUNCTION("""COMPUTED_VALUE"""),199.49)</f>
        <v>199.49</v>
      </c>
      <c r="C3224" s="1">
        <f>IFERROR(__xludf.DUMMYFUNCTION("""COMPUTED_VALUE"""),203.74)</f>
        <v>203.74</v>
      </c>
      <c r="D3224" s="1">
        <f>IFERROR(__xludf.DUMMYFUNCTION("""COMPUTED_VALUE"""),198.22)</f>
        <v>198.22</v>
      </c>
      <c r="E3224" s="1">
        <f>IFERROR(__xludf.DUMMYFUNCTION("""COMPUTED_VALUE"""),199.49)</f>
        <v>199.49</v>
      </c>
      <c r="F3224" s="1">
        <f>IFERROR(__xludf.DUMMYFUNCTION("""COMPUTED_VALUE"""),569141.0)</f>
        <v>569141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IFERROR(__xludf.DUMMYFUNCTION("""COMPUTED_VALUE"""),200.44)</f>
        <v>200.44</v>
      </c>
      <c r="C3225" s="1">
        <f>IFERROR(__xludf.DUMMYFUNCTION("""COMPUTED_VALUE"""),200.52)</f>
        <v>200.52</v>
      </c>
      <c r="D3225" s="1">
        <f>IFERROR(__xludf.DUMMYFUNCTION("""COMPUTED_VALUE"""),194.53)</f>
        <v>194.53</v>
      </c>
      <c r="E3225" s="1">
        <f>IFERROR(__xludf.DUMMYFUNCTION("""COMPUTED_VALUE"""),200.18)</f>
        <v>200.18</v>
      </c>
      <c r="F3225" s="1">
        <f>IFERROR(__xludf.DUMMYFUNCTION("""COMPUTED_VALUE"""),529475.0)</f>
        <v>529475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IFERROR(__xludf.DUMMYFUNCTION("""COMPUTED_VALUE"""),202.03)</f>
        <v>202.03</v>
      </c>
      <c r="C3226" s="1">
        <f>IFERROR(__xludf.DUMMYFUNCTION("""COMPUTED_VALUE"""),203.38)</f>
        <v>203.38</v>
      </c>
      <c r="D3226" s="1">
        <f>IFERROR(__xludf.DUMMYFUNCTION("""COMPUTED_VALUE"""),197.67)</f>
        <v>197.67</v>
      </c>
      <c r="E3226" s="1">
        <f>IFERROR(__xludf.DUMMYFUNCTION("""COMPUTED_VALUE"""),200.85)</f>
        <v>200.85</v>
      </c>
      <c r="F3226" s="1">
        <f>IFERROR(__xludf.DUMMYFUNCTION("""COMPUTED_VALUE"""),439748.0)</f>
        <v>439748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IFERROR(__xludf.DUMMYFUNCTION("""COMPUTED_VALUE"""),213.19)</f>
        <v>213.19</v>
      </c>
      <c r="C3227" s="1">
        <f>IFERROR(__xludf.DUMMYFUNCTION("""COMPUTED_VALUE"""),223.25)</f>
        <v>223.25</v>
      </c>
      <c r="D3227" s="1">
        <f>IFERROR(__xludf.DUMMYFUNCTION("""COMPUTED_VALUE"""),212.13)</f>
        <v>212.13</v>
      </c>
      <c r="E3227" s="1">
        <f>IFERROR(__xludf.DUMMYFUNCTION("""COMPUTED_VALUE"""),219.12)</f>
        <v>219.12</v>
      </c>
      <c r="F3227" s="1">
        <f>IFERROR(__xludf.DUMMYFUNCTION("""COMPUTED_VALUE"""),1051874.0)</f>
        <v>1051874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IFERROR(__xludf.DUMMYFUNCTION("""COMPUTED_VALUE"""),218.23)</f>
        <v>218.23</v>
      </c>
      <c r="C3228" s="1">
        <f>IFERROR(__xludf.DUMMYFUNCTION("""COMPUTED_VALUE"""),224.01)</f>
        <v>224.01</v>
      </c>
      <c r="D3228" s="1">
        <f>IFERROR(__xludf.DUMMYFUNCTION("""COMPUTED_VALUE"""),216.69)</f>
        <v>216.69</v>
      </c>
      <c r="E3228" s="1">
        <f>IFERROR(__xludf.DUMMYFUNCTION("""COMPUTED_VALUE"""),221.18)</f>
        <v>221.18</v>
      </c>
      <c r="F3228" s="1">
        <f>IFERROR(__xludf.DUMMYFUNCTION("""COMPUTED_VALUE"""),559863.0)</f>
        <v>559863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IFERROR(__xludf.DUMMYFUNCTION("""COMPUTED_VALUE"""),221.82)</f>
        <v>221.82</v>
      </c>
      <c r="C3229" s="1">
        <f>IFERROR(__xludf.DUMMYFUNCTION("""COMPUTED_VALUE"""),221.82)</f>
        <v>221.82</v>
      </c>
      <c r="D3229" s="1">
        <f>IFERROR(__xludf.DUMMYFUNCTION("""COMPUTED_VALUE"""),208.05)</f>
        <v>208.05</v>
      </c>
      <c r="E3229" s="1">
        <f>IFERROR(__xludf.DUMMYFUNCTION("""COMPUTED_VALUE"""),208.97)</f>
        <v>208.97</v>
      </c>
      <c r="F3229" s="1">
        <f>IFERROR(__xludf.DUMMYFUNCTION("""COMPUTED_VALUE"""),981806.0)</f>
        <v>981806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IFERROR(__xludf.DUMMYFUNCTION("""COMPUTED_VALUE"""),208.88)</f>
        <v>208.88</v>
      </c>
      <c r="C3230" s="1">
        <f>IFERROR(__xludf.DUMMYFUNCTION("""COMPUTED_VALUE"""),214.52)</f>
        <v>214.52</v>
      </c>
      <c r="D3230" s="1">
        <f>IFERROR(__xludf.DUMMYFUNCTION("""COMPUTED_VALUE"""),207.66)</f>
        <v>207.66</v>
      </c>
      <c r="E3230" s="1">
        <f>IFERROR(__xludf.DUMMYFUNCTION("""COMPUTED_VALUE"""),214.47)</f>
        <v>214.47</v>
      </c>
      <c r="F3230" s="1">
        <f>IFERROR(__xludf.DUMMYFUNCTION("""COMPUTED_VALUE"""),331947.0)</f>
        <v>331947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IFERROR(__xludf.DUMMYFUNCTION("""COMPUTED_VALUE"""),211.98)</f>
        <v>211.98</v>
      </c>
      <c r="C3231" s="1">
        <f>IFERROR(__xludf.DUMMYFUNCTION("""COMPUTED_VALUE"""),215.21)</f>
        <v>215.21</v>
      </c>
      <c r="D3231" s="1">
        <f>IFERROR(__xludf.DUMMYFUNCTION("""COMPUTED_VALUE"""),210.27)</f>
        <v>210.27</v>
      </c>
      <c r="E3231" s="1">
        <f>IFERROR(__xludf.DUMMYFUNCTION("""COMPUTED_VALUE"""),212.25)</f>
        <v>212.25</v>
      </c>
      <c r="F3231" s="1">
        <f>IFERROR(__xludf.DUMMYFUNCTION("""COMPUTED_VALUE"""),430902.0)</f>
        <v>430902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IFERROR(__xludf.DUMMYFUNCTION("""COMPUTED_VALUE"""),216.99)</f>
        <v>216.99</v>
      </c>
      <c r="C3232" s="1">
        <f>IFERROR(__xludf.DUMMYFUNCTION("""COMPUTED_VALUE"""),216.99)</f>
        <v>216.99</v>
      </c>
      <c r="D3232" s="1">
        <f>IFERROR(__xludf.DUMMYFUNCTION("""COMPUTED_VALUE"""),203.43)</f>
        <v>203.43</v>
      </c>
      <c r="E3232" s="1">
        <f>IFERROR(__xludf.DUMMYFUNCTION("""COMPUTED_VALUE"""),207.29)</f>
        <v>207.29</v>
      </c>
      <c r="F3232" s="1">
        <f>IFERROR(__xludf.DUMMYFUNCTION("""COMPUTED_VALUE"""),1122971.0)</f>
        <v>1122971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IFERROR(__xludf.DUMMYFUNCTION("""COMPUTED_VALUE"""),222.25)</f>
        <v>222.25</v>
      </c>
      <c r="C3233" s="1">
        <f>IFERROR(__xludf.DUMMYFUNCTION("""COMPUTED_VALUE"""),233.0)</f>
        <v>233</v>
      </c>
      <c r="D3233" s="1">
        <f>IFERROR(__xludf.DUMMYFUNCTION("""COMPUTED_VALUE"""),214.95)</f>
        <v>214.95</v>
      </c>
      <c r="E3233" s="1">
        <f>IFERROR(__xludf.DUMMYFUNCTION("""COMPUTED_VALUE"""),215.75)</f>
        <v>215.75</v>
      </c>
      <c r="F3233" s="1">
        <f>IFERROR(__xludf.DUMMYFUNCTION("""COMPUTED_VALUE"""),1222472.0)</f>
        <v>1222472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IFERROR(__xludf.DUMMYFUNCTION("""COMPUTED_VALUE"""),211.01)</f>
        <v>211.01</v>
      </c>
      <c r="C3234" s="1">
        <f>IFERROR(__xludf.DUMMYFUNCTION("""COMPUTED_VALUE"""),219.82)</f>
        <v>219.82</v>
      </c>
      <c r="D3234" s="1">
        <f>IFERROR(__xludf.DUMMYFUNCTION("""COMPUTED_VALUE"""),204.46)</f>
        <v>204.46</v>
      </c>
      <c r="E3234" s="1">
        <f>IFERROR(__xludf.DUMMYFUNCTION("""COMPUTED_VALUE"""),217.16)</f>
        <v>217.16</v>
      </c>
      <c r="F3234" s="1">
        <f>IFERROR(__xludf.DUMMYFUNCTION("""COMPUTED_VALUE"""),658656.0)</f>
        <v>658656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IFERROR(__xludf.DUMMYFUNCTION("""COMPUTED_VALUE"""),219.78)</f>
        <v>219.78</v>
      </c>
      <c r="C3235" s="1">
        <f>IFERROR(__xludf.DUMMYFUNCTION("""COMPUTED_VALUE"""),220.91)</f>
        <v>220.91</v>
      </c>
      <c r="D3235" s="1">
        <f>IFERROR(__xludf.DUMMYFUNCTION("""COMPUTED_VALUE"""),211.39)</f>
        <v>211.39</v>
      </c>
      <c r="E3235" s="1">
        <f>IFERROR(__xludf.DUMMYFUNCTION("""COMPUTED_VALUE"""),220.34)</f>
        <v>220.34</v>
      </c>
      <c r="F3235" s="1">
        <f>IFERROR(__xludf.DUMMYFUNCTION("""COMPUTED_VALUE"""),733202.0)</f>
        <v>733202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IFERROR(__xludf.DUMMYFUNCTION("""COMPUTED_VALUE"""),221.95)</f>
        <v>221.95</v>
      </c>
      <c r="C3236" s="1">
        <f>IFERROR(__xludf.DUMMYFUNCTION("""COMPUTED_VALUE"""),226.91)</f>
        <v>226.91</v>
      </c>
      <c r="D3236" s="1">
        <f>IFERROR(__xludf.DUMMYFUNCTION("""COMPUTED_VALUE"""),220.56)</f>
        <v>220.56</v>
      </c>
      <c r="E3236" s="1">
        <f>IFERROR(__xludf.DUMMYFUNCTION("""COMPUTED_VALUE"""),226.03)</f>
        <v>226.03</v>
      </c>
      <c r="F3236" s="1">
        <f>IFERROR(__xludf.DUMMYFUNCTION("""COMPUTED_VALUE"""),610667.0)</f>
        <v>610667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IFERROR(__xludf.DUMMYFUNCTION("""COMPUTED_VALUE"""),225.74)</f>
        <v>225.74</v>
      </c>
      <c r="C3237" s="1">
        <f>IFERROR(__xludf.DUMMYFUNCTION("""COMPUTED_VALUE"""),229.15)</f>
        <v>229.15</v>
      </c>
      <c r="D3237" s="1">
        <f>IFERROR(__xludf.DUMMYFUNCTION("""COMPUTED_VALUE"""),221.26)</f>
        <v>221.26</v>
      </c>
      <c r="E3237" s="1">
        <f>IFERROR(__xludf.DUMMYFUNCTION("""COMPUTED_VALUE"""),222.48)</f>
        <v>222.48</v>
      </c>
      <c r="F3237" s="1">
        <f>IFERROR(__xludf.DUMMYFUNCTION("""COMPUTED_VALUE"""),443515.0)</f>
        <v>443515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IFERROR(__xludf.DUMMYFUNCTION("""COMPUTED_VALUE"""),220.53)</f>
        <v>220.53</v>
      </c>
      <c r="C3238" s="1">
        <f>IFERROR(__xludf.DUMMYFUNCTION("""COMPUTED_VALUE"""),228.54)</f>
        <v>228.54</v>
      </c>
      <c r="D3238" s="1">
        <f>IFERROR(__xludf.DUMMYFUNCTION("""COMPUTED_VALUE"""),219.79)</f>
        <v>219.79</v>
      </c>
      <c r="E3238" s="1">
        <f>IFERROR(__xludf.DUMMYFUNCTION("""COMPUTED_VALUE"""),221.09)</f>
        <v>221.09</v>
      </c>
      <c r="F3238" s="1">
        <f>IFERROR(__xludf.DUMMYFUNCTION("""COMPUTED_VALUE"""),415072.0)</f>
        <v>415072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IFERROR(__xludf.DUMMYFUNCTION("""COMPUTED_VALUE"""),231.84)</f>
        <v>231.84</v>
      </c>
      <c r="C3239" s="1">
        <f>IFERROR(__xludf.DUMMYFUNCTION("""COMPUTED_VALUE"""),240.35)</f>
        <v>240.35</v>
      </c>
      <c r="D3239" s="1">
        <f>IFERROR(__xludf.DUMMYFUNCTION("""COMPUTED_VALUE"""),231.84)</f>
        <v>231.84</v>
      </c>
      <c r="E3239" s="1">
        <f>IFERROR(__xludf.DUMMYFUNCTION("""COMPUTED_VALUE"""),237.7)</f>
        <v>237.7</v>
      </c>
      <c r="F3239" s="1">
        <f>IFERROR(__xludf.DUMMYFUNCTION("""COMPUTED_VALUE"""),1097888.0)</f>
        <v>1097888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IFERROR(__xludf.DUMMYFUNCTION("""COMPUTED_VALUE"""),240.19)</f>
        <v>240.19</v>
      </c>
      <c r="C3240" s="1">
        <f>IFERROR(__xludf.DUMMYFUNCTION("""COMPUTED_VALUE"""),248.17)</f>
        <v>248.17</v>
      </c>
      <c r="D3240" s="1">
        <f>IFERROR(__xludf.DUMMYFUNCTION("""COMPUTED_VALUE"""),238.08)</f>
        <v>238.08</v>
      </c>
      <c r="E3240" s="1">
        <f>IFERROR(__xludf.DUMMYFUNCTION("""COMPUTED_VALUE"""),246.28)</f>
        <v>246.28</v>
      </c>
      <c r="F3240" s="1">
        <f>IFERROR(__xludf.DUMMYFUNCTION("""COMPUTED_VALUE"""),1074062.0)</f>
        <v>1074062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IFERROR(__xludf.DUMMYFUNCTION("""COMPUTED_VALUE"""),243.8)</f>
        <v>243.8</v>
      </c>
      <c r="C3241" s="1">
        <f>IFERROR(__xludf.DUMMYFUNCTION("""COMPUTED_VALUE"""),248.04)</f>
        <v>248.04</v>
      </c>
      <c r="D3241" s="1">
        <f>IFERROR(__xludf.DUMMYFUNCTION("""COMPUTED_VALUE"""),242.31)</f>
        <v>242.31</v>
      </c>
      <c r="E3241" s="1">
        <f>IFERROR(__xludf.DUMMYFUNCTION("""COMPUTED_VALUE"""),242.99)</f>
        <v>242.99</v>
      </c>
      <c r="F3241" s="1">
        <f>IFERROR(__xludf.DUMMYFUNCTION("""COMPUTED_VALUE"""),342522.0)</f>
        <v>342522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IFERROR(__xludf.DUMMYFUNCTION("""COMPUTED_VALUE"""),247.58)</f>
        <v>247.58</v>
      </c>
      <c r="C3242" s="1">
        <f>IFERROR(__xludf.DUMMYFUNCTION("""COMPUTED_VALUE"""),252.4)</f>
        <v>252.4</v>
      </c>
      <c r="D3242" s="1">
        <f>IFERROR(__xludf.DUMMYFUNCTION("""COMPUTED_VALUE"""),244.72)</f>
        <v>244.72</v>
      </c>
      <c r="E3242" s="1">
        <f>IFERROR(__xludf.DUMMYFUNCTION("""COMPUTED_VALUE"""),250.07)</f>
        <v>250.07</v>
      </c>
      <c r="F3242" s="1">
        <f>IFERROR(__xludf.DUMMYFUNCTION("""COMPUTED_VALUE"""),585896.0)</f>
        <v>585896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IFERROR(__xludf.DUMMYFUNCTION("""COMPUTED_VALUE"""),248.59)</f>
        <v>248.59</v>
      </c>
      <c r="C3243" s="1">
        <f>IFERROR(__xludf.DUMMYFUNCTION("""COMPUTED_VALUE"""),248.95)</f>
        <v>248.95</v>
      </c>
      <c r="D3243" s="1">
        <f>IFERROR(__xludf.DUMMYFUNCTION("""COMPUTED_VALUE"""),239.3)</f>
        <v>239.3</v>
      </c>
      <c r="E3243" s="1">
        <f>IFERROR(__xludf.DUMMYFUNCTION("""COMPUTED_VALUE"""),239.39)</f>
        <v>239.39</v>
      </c>
      <c r="F3243" s="1">
        <f>IFERROR(__xludf.DUMMYFUNCTION("""COMPUTED_VALUE"""),468282.0)</f>
        <v>468282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IFERROR(__xludf.DUMMYFUNCTION("""COMPUTED_VALUE"""),234.37)</f>
        <v>234.37</v>
      </c>
      <c r="C3244" s="1">
        <f>IFERROR(__xludf.DUMMYFUNCTION("""COMPUTED_VALUE"""),238.36)</f>
        <v>238.36</v>
      </c>
      <c r="D3244" s="1">
        <f>IFERROR(__xludf.DUMMYFUNCTION("""COMPUTED_VALUE"""),221.73)</f>
        <v>221.73</v>
      </c>
      <c r="E3244" s="1">
        <f>IFERROR(__xludf.DUMMYFUNCTION("""COMPUTED_VALUE"""),237.53)</f>
        <v>237.53</v>
      </c>
      <c r="F3244" s="1">
        <f>IFERROR(__xludf.DUMMYFUNCTION("""COMPUTED_VALUE"""),1250358.0)</f>
        <v>1250358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IFERROR(__xludf.DUMMYFUNCTION("""COMPUTED_VALUE"""),242.37)</f>
        <v>242.37</v>
      </c>
      <c r="C3245" s="1">
        <f>IFERROR(__xludf.DUMMYFUNCTION("""COMPUTED_VALUE"""),243.63)</f>
        <v>243.63</v>
      </c>
      <c r="D3245" s="1">
        <f>IFERROR(__xludf.DUMMYFUNCTION("""COMPUTED_VALUE"""),239.21)</f>
        <v>239.21</v>
      </c>
      <c r="E3245" s="1">
        <f>IFERROR(__xludf.DUMMYFUNCTION("""COMPUTED_VALUE"""),242.15)</f>
        <v>242.15</v>
      </c>
      <c r="F3245" s="1">
        <f>IFERROR(__xludf.DUMMYFUNCTION("""COMPUTED_VALUE"""),587209.0)</f>
        <v>587209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IFERROR(__xludf.DUMMYFUNCTION("""COMPUTED_VALUE"""),240.78)</f>
        <v>240.78</v>
      </c>
      <c r="C3246" s="1">
        <f>IFERROR(__xludf.DUMMYFUNCTION("""COMPUTED_VALUE"""),242.82)</f>
        <v>242.82</v>
      </c>
      <c r="D3246" s="1">
        <f>IFERROR(__xludf.DUMMYFUNCTION("""COMPUTED_VALUE"""),238.27)</f>
        <v>238.27</v>
      </c>
      <c r="E3246" s="1">
        <f>IFERROR(__xludf.DUMMYFUNCTION("""COMPUTED_VALUE"""),240.84)</f>
        <v>240.84</v>
      </c>
      <c r="F3246" s="1">
        <f>IFERROR(__xludf.DUMMYFUNCTION("""COMPUTED_VALUE"""),306151.0)</f>
        <v>306151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IFERROR(__xludf.DUMMYFUNCTION("""COMPUTED_VALUE"""),242.37)</f>
        <v>242.37</v>
      </c>
      <c r="C3247" s="1">
        <f>IFERROR(__xludf.DUMMYFUNCTION("""COMPUTED_VALUE"""),242.8)</f>
        <v>242.8</v>
      </c>
      <c r="D3247" s="1">
        <f>IFERROR(__xludf.DUMMYFUNCTION("""COMPUTED_VALUE"""),238.98)</f>
        <v>238.98</v>
      </c>
      <c r="E3247" s="1">
        <f>IFERROR(__xludf.DUMMYFUNCTION("""COMPUTED_VALUE"""),242.13)</f>
        <v>242.13</v>
      </c>
      <c r="F3247" s="1">
        <f>IFERROR(__xludf.DUMMYFUNCTION("""COMPUTED_VALUE"""),230333.0)</f>
        <v>230333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IFERROR(__xludf.DUMMYFUNCTION("""COMPUTED_VALUE"""),242.15)</f>
        <v>242.15</v>
      </c>
      <c r="C3248" s="1">
        <f>IFERROR(__xludf.DUMMYFUNCTION("""COMPUTED_VALUE"""),244.22)</f>
        <v>244.22</v>
      </c>
      <c r="D3248" s="1">
        <f>IFERROR(__xludf.DUMMYFUNCTION("""COMPUTED_VALUE"""),240.65)</f>
        <v>240.65</v>
      </c>
      <c r="E3248" s="1">
        <f>IFERROR(__xludf.DUMMYFUNCTION("""COMPUTED_VALUE"""),241.08)</f>
        <v>241.08</v>
      </c>
      <c r="F3248" s="1">
        <f>IFERROR(__xludf.DUMMYFUNCTION("""COMPUTED_VALUE"""),324056.0)</f>
        <v>324056</v>
      </c>
    </row>
    <row r="3249">
      <c r="A3249" s="2">
        <f>IFERROR(__xludf.DUMMYFUNCTION("""COMPUTED_VALUE"""),44890.54166666667)</f>
        <v>44890.54167</v>
      </c>
      <c r="B3249" s="1">
        <f>IFERROR(__xludf.DUMMYFUNCTION("""COMPUTED_VALUE"""),241.03)</f>
        <v>241.03</v>
      </c>
      <c r="C3249" s="1">
        <f>IFERROR(__xludf.DUMMYFUNCTION("""COMPUTED_VALUE"""),243.27)</f>
        <v>243.27</v>
      </c>
      <c r="D3249" s="1">
        <f>IFERROR(__xludf.DUMMYFUNCTION("""COMPUTED_VALUE"""),239.43)</f>
        <v>239.43</v>
      </c>
      <c r="E3249" s="1">
        <f>IFERROR(__xludf.DUMMYFUNCTION("""COMPUTED_VALUE"""),242.92)</f>
        <v>242.92</v>
      </c>
      <c r="F3249" s="1">
        <f>IFERROR(__xludf.DUMMYFUNCTION("""COMPUTED_VALUE"""),124509.0)</f>
        <v>124509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IFERROR(__xludf.DUMMYFUNCTION("""COMPUTED_VALUE"""),241.68)</f>
        <v>241.68</v>
      </c>
      <c r="C3250" s="1">
        <f>IFERROR(__xludf.DUMMYFUNCTION("""COMPUTED_VALUE"""),242.98)</f>
        <v>242.98</v>
      </c>
      <c r="D3250" s="1">
        <f>IFERROR(__xludf.DUMMYFUNCTION("""COMPUTED_VALUE"""),234.21)</f>
        <v>234.21</v>
      </c>
      <c r="E3250" s="1">
        <f>IFERROR(__xludf.DUMMYFUNCTION("""COMPUTED_VALUE"""),237.11)</f>
        <v>237.11</v>
      </c>
      <c r="F3250" s="1">
        <f>IFERROR(__xludf.DUMMYFUNCTION("""COMPUTED_VALUE"""),357999.0)</f>
        <v>357999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IFERROR(__xludf.DUMMYFUNCTION("""COMPUTED_VALUE"""),237.34)</f>
        <v>237.34</v>
      </c>
      <c r="C3251" s="1">
        <f>IFERROR(__xludf.DUMMYFUNCTION("""COMPUTED_VALUE"""),243.5)</f>
        <v>243.5</v>
      </c>
      <c r="D3251" s="1">
        <f>IFERROR(__xludf.DUMMYFUNCTION("""COMPUTED_VALUE"""),237.0)</f>
        <v>237</v>
      </c>
      <c r="E3251" s="1">
        <f>IFERROR(__xludf.DUMMYFUNCTION("""COMPUTED_VALUE"""),239.5)</f>
        <v>239.5</v>
      </c>
      <c r="F3251" s="1">
        <f>IFERROR(__xludf.DUMMYFUNCTION("""COMPUTED_VALUE"""),691681.0)</f>
        <v>691681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IFERROR(__xludf.DUMMYFUNCTION("""COMPUTED_VALUE"""),240.33)</f>
        <v>240.33</v>
      </c>
      <c r="C3252" s="1">
        <f>IFERROR(__xludf.DUMMYFUNCTION("""COMPUTED_VALUE"""),241.91)</f>
        <v>241.91</v>
      </c>
      <c r="D3252" s="1">
        <f>IFERROR(__xludf.DUMMYFUNCTION("""COMPUTED_VALUE"""),210.36)</f>
        <v>210.36</v>
      </c>
      <c r="E3252" s="1">
        <f>IFERROR(__xludf.DUMMYFUNCTION("""COMPUTED_VALUE"""),228.57)</f>
        <v>228.57</v>
      </c>
      <c r="F3252" s="1">
        <f>IFERROR(__xludf.DUMMYFUNCTION("""COMPUTED_VALUE"""),1994813.0)</f>
        <v>1994813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IFERROR(__xludf.DUMMYFUNCTION("""COMPUTED_VALUE"""),231.49)</f>
        <v>231.49</v>
      </c>
      <c r="C3253" s="1">
        <f>IFERROR(__xludf.DUMMYFUNCTION("""COMPUTED_VALUE"""),232.49)</f>
        <v>232.49</v>
      </c>
      <c r="D3253" s="1">
        <f>IFERROR(__xludf.DUMMYFUNCTION("""COMPUTED_VALUE"""),222.7)</f>
        <v>222.7</v>
      </c>
      <c r="E3253" s="1">
        <f>IFERROR(__xludf.DUMMYFUNCTION("""COMPUTED_VALUE"""),226.2)</f>
        <v>226.2</v>
      </c>
      <c r="F3253" s="1">
        <f>IFERROR(__xludf.DUMMYFUNCTION("""COMPUTED_VALUE"""),1149663.0)</f>
        <v>1149663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IFERROR(__xludf.DUMMYFUNCTION("""COMPUTED_VALUE"""),222.0)</f>
        <v>222</v>
      </c>
      <c r="C3254" s="1">
        <f>IFERROR(__xludf.DUMMYFUNCTION("""COMPUTED_VALUE"""),224.72)</f>
        <v>224.72</v>
      </c>
      <c r="D3254" s="1">
        <f>IFERROR(__xludf.DUMMYFUNCTION("""COMPUTED_VALUE"""),218.0)</f>
        <v>218</v>
      </c>
      <c r="E3254" s="1">
        <f>IFERROR(__xludf.DUMMYFUNCTION("""COMPUTED_VALUE"""),222.66)</f>
        <v>222.66</v>
      </c>
      <c r="F3254" s="1">
        <f>IFERROR(__xludf.DUMMYFUNCTION("""COMPUTED_VALUE"""),651688.0)</f>
        <v>651688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IFERROR(__xludf.DUMMYFUNCTION("""COMPUTED_VALUE"""),219.9)</f>
        <v>219.9</v>
      </c>
      <c r="C3255" s="1">
        <f>IFERROR(__xludf.DUMMYFUNCTION("""COMPUTED_VALUE"""),220.93)</f>
        <v>220.93</v>
      </c>
      <c r="D3255" s="1">
        <f>IFERROR(__xludf.DUMMYFUNCTION("""COMPUTED_VALUE"""),213.51)</f>
        <v>213.51</v>
      </c>
      <c r="E3255" s="1">
        <f>IFERROR(__xludf.DUMMYFUNCTION("""COMPUTED_VALUE"""),215.11)</f>
        <v>215.11</v>
      </c>
      <c r="F3255" s="1">
        <f>IFERROR(__xludf.DUMMYFUNCTION("""COMPUTED_VALUE"""),672626.0)</f>
        <v>672626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IFERROR(__xludf.DUMMYFUNCTION("""COMPUTED_VALUE"""),212.58)</f>
        <v>212.58</v>
      </c>
      <c r="C3256" s="1">
        <f>IFERROR(__xludf.DUMMYFUNCTION("""COMPUTED_VALUE"""),216.29)</f>
        <v>216.29</v>
      </c>
      <c r="D3256" s="1">
        <f>IFERROR(__xludf.DUMMYFUNCTION("""COMPUTED_VALUE"""),207.23)</f>
        <v>207.23</v>
      </c>
      <c r="E3256" s="1">
        <f>IFERROR(__xludf.DUMMYFUNCTION("""COMPUTED_VALUE"""),211.21)</f>
        <v>211.21</v>
      </c>
      <c r="F3256" s="1">
        <f>IFERROR(__xludf.DUMMYFUNCTION("""COMPUTED_VALUE"""),587958.0)</f>
        <v>587958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IFERROR(__xludf.DUMMYFUNCTION("""COMPUTED_VALUE"""),211.64)</f>
        <v>211.64</v>
      </c>
      <c r="C3257" s="1">
        <f>IFERROR(__xludf.DUMMYFUNCTION("""COMPUTED_VALUE"""),215.48)</f>
        <v>215.48</v>
      </c>
      <c r="D3257" s="1">
        <f>IFERROR(__xludf.DUMMYFUNCTION("""COMPUTED_VALUE"""),209.45)</f>
        <v>209.45</v>
      </c>
      <c r="E3257" s="1">
        <f>IFERROR(__xludf.DUMMYFUNCTION("""COMPUTED_VALUE"""),212.99)</f>
        <v>212.99</v>
      </c>
      <c r="F3257" s="1">
        <f>IFERROR(__xludf.DUMMYFUNCTION("""COMPUTED_VALUE"""),476373.0)</f>
        <v>476373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IFERROR(__xludf.DUMMYFUNCTION("""COMPUTED_VALUE"""),212.9)</f>
        <v>212.9</v>
      </c>
      <c r="C3258" s="1">
        <f>IFERROR(__xludf.DUMMYFUNCTION("""COMPUTED_VALUE"""),215.91)</f>
        <v>215.91</v>
      </c>
      <c r="D3258" s="1">
        <f>IFERROR(__xludf.DUMMYFUNCTION("""COMPUTED_VALUE"""),210.07)</f>
        <v>210.07</v>
      </c>
      <c r="E3258" s="1">
        <f>IFERROR(__xludf.DUMMYFUNCTION("""COMPUTED_VALUE"""),210.07)</f>
        <v>210.07</v>
      </c>
      <c r="F3258" s="1">
        <f>IFERROR(__xludf.DUMMYFUNCTION("""COMPUTED_VALUE"""),728578.0)</f>
        <v>728578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IFERROR(__xludf.DUMMYFUNCTION("""COMPUTED_VALUE"""),209.0)</f>
        <v>209</v>
      </c>
      <c r="C3259" s="1">
        <f>IFERROR(__xludf.DUMMYFUNCTION("""COMPUTED_VALUE"""),214.54)</f>
        <v>214.54</v>
      </c>
      <c r="D3259" s="1">
        <f>IFERROR(__xludf.DUMMYFUNCTION("""COMPUTED_VALUE"""),207.54)</f>
        <v>207.54</v>
      </c>
      <c r="E3259" s="1">
        <f>IFERROR(__xludf.DUMMYFUNCTION("""COMPUTED_VALUE"""),210.17)</f>
        <v>210.17</v>
      </c>
      <c r="F3259" s="1">
        <f>IFERROR(__xludf.DUMMYFUNCTION("""COMPUTED_VALUE"""),441184.0)</f>
        <v>441184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IFERROR(__xludf.DUMMYFUNCTION("""COMPUTED_VALUE"""),206.14)</f>
        <v>206.14</v>
      </c>
      <c r="C3260" s="1">
        <f>IFERROR(__xludf.DUMMYFUNCTION("""COMPUTED_VALUE"""),206.85)</f>
        <v>206.85</v>
      </c>
      <c r="D3260" s="1">
        <f>IFERROR(__xludf.DUMMYFUNCTION("""COMPUTED_VALUE"""),197.03)</f>
        <v>197.03</v>
      </c>
      <c r="E3260" s="1">
        <f>IFERROR(__xludf.DUMMYFUNCTION("""COMPUTED_VALUE"""),201.94)</f>
        <v>201.94</v>
      </c>
      <c r="F3260" s="1">
        <f>IFERROR(__xludf.DUMMYFUNCTION("""COMPUTED_VALUE"""),1060709.0)</f>
        <v>1060709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IFERROR(__xludf.DUMMYFUNCTION("""COMPUTED_VALUE"""),211.27)</f>
        <v>211.27</v>
      </c>
      <c r="C3261" s="1">
        <f>IFERROR(__xludf.DUMMYFUNCTION("""COMPUTED_VALUE"""),211.61)</f>
        <v>211.61</v>
      </c>
      <c r="D3261" s="1">
        <f>IFERROR(__xludf.DUMMYFUNCTION("""COMPUTED_VALUE"""),205.59)</f>
        <v>205.59</v>
      </c>
      <c r="E3261" s="1">
        <f>IFERROR(__xludf.DUMMYFUNCTION("""COMPUTED_VALUE"""),209.61)</f>
        <v>209.61</v>
      </c>
      <c r="F3261" s="1">
        <f>IFERROR(__xludf.DUMMYFUNCTION("""COMPUTED_VALUE"""),753696.0)</f>
        <v>753696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IFERROR(__xludf.DUMMYFUNCTION("""COMPUTED_VALUE"""),207.52)</f>
        <v>207.52</v>
      </c>
      <c r="C3262" s="1">
        <f>IFERROR(__xludf.DUMMYFUNCTION("""COMPUTED_VALUE"""),215.24)</f>
        <v>215.24</v>
      </c>
      <c r="D3262" s="1">
        <f>IFERROR(__xludf.DUMMYFUNCTION("""COMPUTED_VALUE"""),205.66)</f>
        <v>205.66</v>
      </c>
      <c r="E3262" s="1">
        <f>IFERROR(__xludf.DUMMYFUNCTION("""COMPUTED_VALUE"""),214.33)</f>
        <v>214.33</v>
      </c>
      <c r="F3262" s="1">
        <f>IFERROR(__xludf.DUMMYFUNCTION("""COMPUTED_VALUE"""),887044.0)</f>
        <v>887044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IFERROR(__xludf.DUMMYFUNCTION("""COMPUTED_VALUE"""),213.34)</f>
        <v>213.34</v>
      </c>
      <c r="C3263" s="1">
        <f>IFERROR(__xludf.DUMMYFUNCTION("""COMPUTED_VALUE"""),234.47)</f>
        <v>234.47</v>
      </c>
      <c r="D3263" s="1">
        <f>IFERROR(__xludf.DUMMYFUNCTION("""COMPUTED_VALUE"""),213.28)</f>
        <v>213.28</v>
      </c>
      <c r="E3263" s="1">
        <f>IFERROR(__xludf.DUMMYFUNCTION("""COMPUTED_VALUE"""),218.5)</f>
        <v>218.5</v>
      </c>
      <c r="F3263" s="1">
        <f>IFERROR(__xludf.DUMMYFUNCTION("""COMPUTED_VALUE"""),1608016.0)</f>
        <v>1608016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IFERROR(__xludf.DUMMYFUNCTION("""COMPUTED_VALUE"""),216.58)</f>
        <v>216.58</v>
      </c>
      <c r="C3264" s="1">
        <f>IFERROR(__xludf.DUMMYFUNCTION("""COMPUTED_VALUE"""),218.71)</f>
        <v>218.71</v>
      </c>
      <c r="D3264" s="1">
        <f>IFERROR(__xludf.DUMMYFUNCTION("""COMPUTED_VALUE"""),214.11)</f>
        <v>214.11</v>
      </c>
      <c r="E3264" s="1">
        <f>IFERROR(__xludf.DUMMYFUNCTION("""COMPUTED_VALUE"""),215.42)</f>
        <v>215.42</v>
      </c>
      <c r="F3264" s="1">
        <f>IFERROR(__xludf.DUMMYFUNCTION("""COMPUTED_VALUE"""),1178937.0)</f>
        <v>1178937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IFERROR(__xludf.DUMMYFUNCTION("""COMPUTED_VALUE"""),214.54)</f>
        <v>214.54</v>
      </c>
      <c r="C3265" s="1">
        <f>IFERROR(__xludf.DUMMYFUNCTION("""COMPUTED_VALUE"""),219.89)</f>
        <v>219.89</v>
      </c>
      <c r="D3265" s="1">
        <f>IFERROR(__xludf.DUMMYFUNCTION("""COMPUTED_VALUE"""),211.09)</f>
        <v>211.09</v>
      </c>
      <c r="E3265" s="1">
        <f>IFERROR(__xludf.DUMMYFUNCTION("""COMPUTED_VALUE"""),216.53)</f>
        <v>216.53</v>
      </c>
      <c r="F3265" s="1">
        <f>IFERROR(__xludf.DUMMYFUNCTION("""COMPUTED_VALUE"""),662961.0)</f>
        <v>662961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IFERROR(__xludf.DUMMYFUNCTION("""COMPUTED_VALUE"""),216.65)</f>
        <v>216.65</v>
      </c>
      <c r="C3266" s="1">
        <f>IFERROR(__xludf.DUMMYFUNCTION("""COMPUTED_VALUE"""),218.26)</f>
        <v>218.26</v>
      </c>
      <c r="D3266" s="1">
        <f>IFERROR(__xludf.DUMMYFUNCTION("""COMPUTED_VALUE"""),212.72)</f>
        <v>212.72</v>
      </c>
      <c r="E3266" s="1">
        <f>IFERROR(__xludf.DUMMYFUNCTION("""COMPUTED_VALUE"""),213.01)</f>
        <v>213.01</v>
      </c>
      <c r="F3266" s="1">
        <f>IFERROR(__xludf.DUMMYFUNCTION("""COMPUTED_VALUE"""),463211.0)</f>
        <v>463211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IFERROR(__xludf.DUMMYFUNCTION("""COMPUTED_VALUE"""),214.94)</f>
        <v>214.94</v>
      </c>
      <c r="C3267" s="1">
        <f>IFERROR(__xludf.DUMMYFUNCTION("""COMPUTED_VALUE"""),221.0)</f>
        <v>221</v>
      </c>
      <c r="D3267" s="1">
        <f>IFERROR(__xludf.DUMMYFUNCTION("""COMPUTED_VALUE"""),214.14)</f>
        <v>214.14</v>
      </c>
      <c r="E3267" s="1">
        <f>IFERROR(__xludf.DUMMYFUNCTION("""COMPUTED_VALUE"""),220.31)</f>
        <v>220.31</v>
      </c>
      <c r="F3267" s="1">
        <f>IFERROR(__xludf.DUMMYFUNCTION("""COMPUTED_VALUE"""),378635.0)</f>
        <v>378635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IFERROR(__xludf.DUMMYFUNCTION("""COMPUTED_VALUE"""),218.07)</f>
        <v>218.07</v>
      </c>
      <c r="C3268" s="1">
        <f>IFERROR(__xludf.DUMMYFUNCTION("""COMPUTED_VALUE"""),218.95)</f>
        <v>218.95</v>
      </c>
      <c r="D3268" s="1">
        <f>IFERROR(__xludf.DUMMYFUNCTION("""COMPUTED_VALUE"""),212.24)</f>
        <v>212.24</v>
      </c>
      <c r="E3268" s="1">
        <f>IFERROR(__xludf.DUMMYFUNCTION("""COMPUTED_VALUE"""),218.36)</f>
        <v>218.36</v>
      </c>
      <c r="F3268" s="1">
        <f>IFERROR(__xludf.DUMMYFUNCTION("""COMPUTED_VALUE"""),354450.0)</f>
        <v>354450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IFERROR(__xludf.DUMMYFUNCTION("""COMPUTED_VALUE"""),218.32)</f>
        <v>218.32</v>
      </c>
      <c r="C3269" s="1">
        <f>IFERROR(__xludf.DUMMYFUNCTION("""COMPUTED_VALUE"""),219.11)</f>
        <v>219.11</v>
      </c>
      <c r="D3269" s="1">
        <f>IFERROR(__xludf.DUMMYFUNCTION("""COMPUTED_VALUE"""),216.22)</f>
        <v>216.22</v>
      </c>
      <c r="E3269" s="1">
        <f>IFERROR(__xludf.DUMMYFUNCTION("""COMPUTED_VALUE"""),218.5)</f>
        <v>218.5</v>
      </c>
      <c r="F3269" s="1">
        <f>IFERROR(__xludf.DUMMYFUNCTION("""COMPUTED_VALUE"""),285191.0)</f>
        <v>285191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IFERROR(__xludf.DUMMYFUNCTION("""COMPUTED_VALUE"""),218.11)</f>
        <v>218.11</v>
      </c>
      <c r="C3270" s="1">
        <f>IFERROR(__xludf.DUMMYFUNCTION("""COMPUTED_VALUE"""),221.48)</f>
        <v>221.48</v>
      </c>
      <c r="D3270" s="1">
        <f>IFERROR(__xludf.DUMMYFUNCTION("""COMPUTED_VALUE"""),215.14)</f>
        <v>215.14</v>
      </c>
      <c r="E3270" s="1">
        <f>IFERROR(__xludf.DUMMYFUNCTION("""COMPUTED_VALUE"""),218.92)</f>
        <v>218.92</v>
      </c>
      <c r="F3270" s="1">
        <f>IFERROR(__xludf.DUMMYFUNCTION("""COMPUTED_VALUE"""),423295.0)</f>
        <v>423295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IFERROR(__xludf.DUMMYFUNCTION("""COMPUTED_VALUE"""),219.47)</f>
        <v>219.47</v>
      </c>
      <c r="C3271" s="1">
        <f>IFERROR(__xludf.DUMMYFUNCTION("""COMPUTED_VALUE"""),222.76)</f>
        <v>222.76</v>
      </c>
      <c r="D3271" s="1">
        <f>IFERROR(__xludf.DUMMYFUNCTION("""COMPUTED_VALUE"""),215.01)</f>
        <v>215.01</v>
      </c>
      <c r="E3271" s="1">
        <f>IFERROR(__xludf.DUMMYFUNCTION("""COMPUTED_VALUE"""),215.04)</f>
        <v>215.04</v>
      </c>
      <c r="F3271" s="1">
        <f>IFERROR(__xludf.DUMMYFUNCTION("""COMPUTED_VALUE"""),280359.0)</f>
        <v>280359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IFERROR(__xludf.DUMMYFUNCTION("""COMPUTED_VALUE"""),217.37)</f>
        <v>217.37</v>
      </c>
      <c r="C3272" s="1">
        <f>IFERROR(__xludf.DUMMYFUNCTION("""COMPUTED_VALUE"""),224.63)</f>
        <v>224.63</v>
      </c>
      <c r="D3272" s="1">
        <f>IFERROR(__xludf.DUMMYFUNCTION("""COMPUTED_VALUE"""),217.37)</f>
        <v>217.37</v>
      </c>
      <c r="E3272" s="1">
        <f>IFERROR(__xludf.DUMMYFUNCTION("""COMPUTED_VALUE"""),223.55)</f>
        <v>223.55</v>
      </c>
      <c r="F3272" s="1">
        <f>IFERROR(__xludf.DUMMYFUNCTION("""COMPUTED_VALUE"""),447467.0)</f>
        <v>447467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IFERROR(__xludf.DUMMYFUNCTION("""COMPUTED_VALUE"""),221.27)</f>
        <v>221.27</v>
      </c>
      <c r="C3273" s="1">
        <f>IFERROR(__xludf.DUMMYFUNCTION("""COMPUTED_VALUE"""),222.71)</f>
        <v>222.71</v>
      </c>
      <c r="D3273" s="1">
        <f>IFERROR(__xludf.DUMMYFUNCTION("""COMPUTED_VALUE"""),214.77)</f>
        <v>214.77</v>
      </c>
      <c r="E3273" s="1">
        <f>IFERROR(__xludf.DUMMYFUNCTION("""COMPUTED_VALUE"""),217.9)</f>
        <v>217.9</v>
      </c>
      <c r="F3273" s="1">
        <f>IFERROR(__xludf.DUMMYFUNCTION("""COMPUTED_VALUE"""),472038.0)</f>
        <v>472038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IFERROR(__xludf.DUMMYFUNCTION("""COMPUTED_VALUE"""),220.32)</f>
        <v>220.32</v>
      </c>
      <c r="C3274" s="1">
        <f>IFERROR(__xludf.DUMMYFUNCTION("""COMPUTED_VALUE"""),220.32)</f>
        <v>220.32</v>
      </c>
      <c r="D3274" s="1">
        <f>IFERROR(__xludf.DUMMYFUNCTION("""COMPUTED_VALUE"""),216.12)</f>
        <v>216.12</v>
      </c>
      <c r="E3274" s="1">
        <f>IFERROR(__xludf.DUMMYFUNCTION("""COMPUTED_VALUE"""),218.4)</f>
        <v>218.4</v>
      </c>
      <c r="F3274" s="1">
        <f>IFERROR(__xludf.DUMMYFUNCTION("""COMPUTED_VALUE"""),350556.0)</f>
        <v>350556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IFERROR(__xludf.DUMMYFUNCTION("""COMPUTED_VALUE"""),221.31)</f>
        <v>221.31</v>
      </c>
      <c r="C3275" s="1">
        <f>IFERROR(__xludf.DUMMYFUNCTION("""COMPUTED_VALUE"""),222.87)</f>
        <v>222.87</v>
      </c>
      <c r="D3275" s="1">
        <f>IFERROR(__xludf.DUMMYFUNCTION("""COMPUTED_VALUE"""),219.36)</f>
        <v>219.36</v>
      </c>
      <c r="E3275" s="1">
        <f>IFERROR(__xludf.DUMMYFUNCTION("""COMPUTED_VALUE"""),221.93)</f>
        <v>221.93</v>
      </c>
      <c r="F3275" s="1">
        <f>IFERROR(__xludf.DUMMYFUNCTION("""COMPUTED_VALUE"""),309728.0)</f>
        <v>309728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IFERROR(__xludf.DUMMYFUNCTION("""COMPUTED_VALUE"""),218.57)</f>
        <v>218.57</v>
      </c>
      <c r="C3276" s="1">
        <f>IFERROR(__xludf.DUMMYFUNCTION("""COMPUTED_VALUE"""),220.96)</f>
        <v>220.96</v>
      </c>
      <c r="D3276" s="1">
        <f>IFERROR(__xludf.DUMMYFUNCTION("""COMPUTED_VALUE"""),215.48)</f>
        <v>215.48</v>
      </c>
      <c r="E3276" s="1">
        <f>IFERROR(__xludf.DUMMYFUNCTION("""COMPUTED_VALUE"""),220.08)</f>
        <v>220.08</v>
      </c>
      <c r="F3276" s="1">
        <f>IFERROR(__xludf.DUMMYFUNCTION("""COMPUTED_VALUE"""),334338.0)</f>
        <v>334338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IFERROR(__xludf.DUMMYFUNCTION("""COMPUTED_VALUE"""),222.69)</f>
        <v>222.69</v>
      </c>
      <c r="C3277" s="1">
        <f>IFERROR(__xludf.DUMMYFUNCTION("""COMPUTED_VALUE"""),222.75)</f>
        <v>222.75</v>
      </c>
      <c r="D3277" s="1">
        <f>IFERROR(__xludf.DUMMYFUNCTION("""COMPUTED_VALUE"""),215.11)</f>
        <v>215.11</v>
      </c>
      <c r="E3277" s="1">
        <f>IFERROR(__xludf.DUMMYFUNCTION("""COMPUTED_VALUE"""),219.84)</f>
        <v>219.84</v>
      </c>
      <c r="F3277" s="1">
        <f>IFERROR(__xludf.DUMMYFUNCTION("""COMPUTED_VALUE"""),486164.0)</f>
        <v>486164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IFERROR(__xludf.DUMMYFUNCTION("""COMPUTED_VALUE"""),222.35)</f>
        <v>222.35</v>
      </c>
      <c r="C3278" s="1">
        <f>IFERROR(__xludf.DUMMYFUNCTION("""COMPUTED_VALUE"""),230.46)</f>
        <v>230.46</v>
      </c>
      <c r="D3278" s="1">
        <f>IFERROR(__xludf.DUMMYFUNCTION("""COMPUTED_VALUE"""),221.58)</f>
        <v>221.58</v>
      </c>
      <c r="E3278" s="1">
        <f>IFERROR(__xludf.DUMMYFUNCTION("""COMPUTED_VALUE"""),227.75)</f>
        <v>227.75</v>
      </c>
      <c r="F3278" s="1">
        <f>IFERROR(__xludf.DUMMYFUNCTION("""COMPUTED_VALUE"""),473351.0)</f>
        <v>473351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IFERROR(__xludf.DUMMYFUNCTION("""COMPUTED_VALUE"""),227.31)</f>
        <v>227.31</v>
      </c>
      <c r="C3279" s="1">
        <f>IFERROR(__xludf.DUMMYFUNCTION("""COMPUTED_VALUE"""),234.28)</f>
        <v>234.28</v>
      </c>
      <c r="D3279" s="1">
        <f>IFERROR(__xludf.DUMMYFUNCTION("""COMPUTED_VALUE"""),227.31)</f>
        <v>227.31</v>
      </c>
      <c r="E3279" s="1">
        <f>IFERROR(__xludf.DUMMYFUNCTION("""COMPUTED_VALUE"""),234.13)</f>
        <v>234.13</v>
      </c>
      <c r="F3279" s="1">
        <f>IFERROR(__xludf.DUMMYFUNCTION("""COMPUTED_VALUE"""),445055.0)</f>
        <v>445055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IFERROR(__xludf.DUMMYFUNCTION("""COMPUTED_VALUE"""),239.96)</f>
        <v>239.96</v>
      </c>
      <c r="C3280" s="1">
        <f>IFERROR(__xludf.DUMMYFUNCTION("""COMPUTED_VALUE"""),250.26)</f>
        <v>250.26</v>
      </c>
      <c r="D3280" s="1">
        <f>IFERROR(__xludf.DUMMYFUNCTION("""COMPUTED_VALUE"""),237.73)</f>
        <v>237.73</v>
      </c>
      <c r="E3280" s="1">
        <f>IFERROR(__xludf.DUMMYFUNCTION("""COMPUTED_VALUE"""),246.94)</f>
        <v>246.94</v>
      </c>
      <c r="F3280" s="1">
        <f>IFERROR(__xludf.DUMMYFUNCTION("""COMPUTED_VALUE"""),797284.0)</f>
        <v>797284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IFERROR(__xludf.DUMMYFUNCTION("""COMPUTED_VALUE"""),237.48)</f>
        <v>237.48</v>
      </c>
      <c r="C3281" s="1">
        <f>IFERROR(__xludf.DUMMYFUNCTION("""COMPUTED_VALUE"""),242.09)</f>
        <v>242.09</v>
      </c>
      <c r="D3281" s="1">
        <f>IFERROR(__xludf.DUMMYFUNCTION("""COMPUTED_VALUE"""),229.7)</f>
        <v>229.7</v>
      </c>
      <c r="E3281" s="1">
        <f>IFERROR(__xludf.DUMMYFUNCTION("""COMPUTED_VALUE"""),232.25)</f>
        <v>232.25</v>
      </c>
      <c r="F3281" s="1">
        <f>IFERROR(__xludf.DUMMYFUNCTION("""COMPUTED_VALUE"""),802301.0)</f>
        <v>802301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IFERROR(__xludf.DUMMYFUNCTION("""COMPUTED_VALUE"""),230.35)</f>
        <v>230.35</v>
      </c>
      <c r="C3282" s="1">
        <f>IFERROR(__xludf.DUMMYFUNCTION("""COMPUTED_VALUE"""),234.31)</f>
        <v>234.31</v>
      </c>
      <c r="D3282" s="1">
        <f>IFERROR(__xludf.DUMMYFUNCTION("""COMPUTED_VALUE"""),229.92)</f>
        <v>229.92</v>
      </c>
      <c r="E3282" s="1">
        <f>IFERROR(__xludf.DUMMYFUNCTION("""COMPUTED_VALUE"""),232.62)</f>
        <v>232.62</v>
      </c>
      <c r="F3282" s="1">
        <f>IFERROR(__xludf.DUMMYFUNCTION("""COMPUTED_VALUE"""),407230.0)</f>
        <v>407230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IFERROR(__xludf.DUMMYFUNCTION("""COMPUTED_VALUE"""),231.64)</f>
        <v>231.64</v>
      </c>
      <c r="C3283" s="1">
        <f>IFERROR(__xludf.DUMMYFUNCTION("""COMPUTED_VALUE"""),238.71)</f>
        <v>238.71</v>
      </c>
      <c r="D3283" s="1">
        <f>IFERROR(__xludf.DUMMYFUNCTION("""COMPUTED_VALUE"""),230.89)</f>
        <v>230.89</v>
      </c>
      <c r="E3283" s="1">
        <f>IFERROR(__xludf.DUMMYFUNCTION("""COMPUTED_VALUE"""),236.53)</f>
        <v>236.53</v>
      </c>
      <c r="F3283" s="1">
        <f>IFERROR(__xludf.DUMMYFUNCTION("""COMPUTED_VALUE"""),641060.0)</f>
        <v>641060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IFERROR(__xludf.DUMMYFUNCTION("""COMPUTED_VALUE"""),237.7)</f>
        <v>237.7</v>
      </c>
      <c r="C3284" s="1">
        <f>IFERROR(__xludf.DUMMYFUNCTION("""COMPUTED_VALUE"""),241.88)</f>
        <v>241.88</v>
      </c>
      <c r="D3284" s="1">
        <f>IFERROR(__xludf.DUMMYFUNCTION("""COMPUTED_VALUE"""),234.46)</f>
        <v>234.46</v>
      </c>
      <c r="E3284" s="1">
        <f>IFERROR(__xludf.DUMMYFUNCTION("""COMPUTED_VALUE"""),234.53)</f>
        <v>234.53</v>
      </c>
      <c r="F3284" s="1">
        <f>IFERROR(__xludf.DUMMYFUNCTION("""COMPUTED_VALUE"""),499702.0)</f>
        <v>499702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IFERROR(__xludf.DUMMYFUNCTION("""COMPUTED_VALUE"""),232.98)</f>
        <v>232.98</v>
      </c>
      <c r="C3285" s="1">
        <f>IFERROR(__xludf.DUMMYFUNCTION("""COMPUTED_VALUE"""),234.95)</f>
        <v>234.95</v>
      </c>
      <c r="D3285" s="1">
        <f>IFERROR(__xludf.DUMMYFUNCTION("""COMPUTED_VALUE"""),228.04)</f>
        <v>228.04</v>
      </c>
      <c r="E3285" s="1">
        <f>IFERROR(__xludf.DUMMYFUNCTION("""COMPUTED_VALUE"""),233.53)</f>
        <v>233.53</v>
      </c>
      <c r="F3285" s="1">
        <f>IFERROR(__xludf.DUMMYFUNCTION("""COMPUTED_VALUE"""),332110.0)</f>
        <v>332110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IFERROR(__xludf.DUMMYFUNCTION("""COMPUTED_VALUE"""),233.74)</f>
        <v>233.74</v>
      </c>
      <c r="C3286" s="1">
        <f>IFERROR(__xludf.DUMMYFUNCTION("""COMPUTED_VALUE"""),243.55)</f>
        <v>243.55</v>
      </c>
      <c r="D3286" s="1">
        <f>IFERROR(__xludf.DUMMYFUNCTION("""COMPUTED_VALUE"""),232.8)</f>
        <v>232.8</v>
      </c>
      <c r="E3286" s="1">
        <f>IFERROR(__xludf.DUMMYFUNCTION("""COMPUTED_VALUE"""),243.17)</f>
        <v>243.17</v>
      </c>
      <c r="F3286" s="1">
        <f>IFERROR(__xludf.DUMMYFUNCTION("""COMPUTED_VALUE"""),555244.0)</f>
        <v>555244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IFERROR(__xludf.DUMMYFUNCTION("""COMPUTED_VALUE"""),244.38)</f>
        <v>244.38</v>
      </c>
      <c r="C3287" s="1">
        <f>IFERROR(__xludf.DUMMYFUNCTION("""COMPUTED_VALUE"""),254.05)</f>
        <v>254.05</v>
      </c>
      <c r="D3287" s="1">
        <f>IFERROR(__xludf.DUMMYFUNCTION("""COMPUTED_VALUE"""),243.15)</f>
        <v>243.15</v>
      </c>
      <c r="E3287" s="1">
        <f>IFERROR(__xludf.DUMMYFUNCTION("""COMPUTED_VALUE"""),252.55)</f>
        <v>252.55</v>
      </c>
      <c r="F3287" s="1">
        <f>IFERROR(__xludf.DUMMYFUNCTION("""COMPUTED_VALUE"""),874692.0)</f>
        <v>874692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IFERROR(__xludf.DUMMYFUNCTION("""COMPUTED_VALUE"""),248.55)</f>
        <v>248.55</v>
      </c>
      <c r="C3288" s="1">
        <f>IFERROR(__xludf.DUMMYFUNCTION("""COMPUTED_VALUE"""),252.48)</f>
        <v>252.48</v>
      </c>
      <c r="D3288" s="1">
        <f>IFERROR(__xludf.DUMMYFUNCTION("""COMPUTED_VALUE"""),245.14)</f>
        <v>245.14</v>
      </c>
      <c r="E3288" s="1">
        <f>IFERROR(__xludf.DUMMYFUNCTION("""COMPUTED_VALUE"""),246.26)</f>
        <v>246.26</v>
      </c>
      <c r="F3288" s="1">
        <f>IFERROR(__xludf.DUMMYFUNCTION("""COMPUTED_VALUE"""),462679.0)</f>
        <v>462679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IFERROR(__xludf.DUMMYFUNCTION("""COMPUTED_VALUE"""),243.05)</f>
        <v>243.05</v>
      </c>
      <c r="C3289" s="1">
        <f>IFERROR(__xludf.DUMMYFUNCTION("""COMPUTED_VALUE"""),245.71)</f>
        <v>245.71</v>
      </c>
      <c r="D3289" s="1">
        <f>IFERROR(__xludf.DUMMYFUNCTION("""COMPUTED_VALUE"""),238.38)</f>
        <v>238.38</v>
      </c>
      <c r="E3289" s="1">
        <f>IFERROR(__xludf.DUMMYFUNCTION("""COMPUTED_VALUE"""),240.92)</f>
        <v>240.92</v>
      </c>
      <c r="F3289" s="1">
        <f>IFERROR(__xludf.DUMMYFUNCTION("""COMPUTED_VALUE"""),544743.0)</f>
        <v>544743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IFERROR(__xludf.DUMMYFUNCTION("""COMPUTED_VALUE"""),244.28)</f>
        <v>244.28</v>
      </c>
      <c r="C3290" s="1">
        <f>IFERROR(__xludf.DUMMYFUNCTION("""COMPUTED_VALUE"""),245.49)</f>
        <v>245.49</v>
      </c>
      <c r="D3290" s="1">
        <f>IFERROR(__xludf.DUMMYFUNCTION("""COMPUTED_VALUE"""),241.68)</f>
        <v>241.68</v>
      </c>
      <c r="E3290" s="1">
        <f>IFERROR(__xludf.DUMMYFUNCTION("""COMPUTED_VALUE"""),244.29)</f>
        <v>244.29</v>
      </c>
      <c r="F3290" s="1">
        <f>IFERROR(__xludf.DUMMYFUNCTION("""COMPUTED_VALUE"""),285656.0)</f>
        <v>285656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IFERROR(__xludf.DUMMYFUNCTION("""COMPUTED_VALUE"""),242.63)</f>
        <v>242.63</v>
      </c>
      <c r="C3291" s="1">
        <f>IFERROR(__xludf.DUMMYFUNCTION("""COMPUTED_VALUE"""),246.88)</f>
        <v>246.88</v>
      </c>
      <c r="D3291" s="1">
        <f>IFERROR(__xludf.DUMMYFUNCTION("""COMPUTED_VALUE"""),240.14)</f>
        <v>240.14</v>
      </c>
      <c r="E3291" s="1">
        <f>IFERROR(__xludf.DUMMYFUNCTION("""COMPUTED_VALUE"""),245.09)</f>
        <v>245.09</v>
      </c>
      <c r="F3291" s="1">
        <f>IFERROR(__xludf.DUMMYFUNCTION("""COMPUTED_VALUE"""),366844.0)</f>
        <v>366844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IFERROR(__xludf.DUMMYFUNCTION("""COMPUTED_VALUE"""),242.36)</f>
        <v>242.36</v>
      </c>
      <c r="C3292" s="1">
        <f>IFERROR(__xludf.DUMMYFUNCTION("""COMPUTED_VALUE"""),244.09)</f>
        <v>244.09</v>
      </c>
      <c r="D3292" s="1">
        <f>IFERROR(__xludf.DUMMYFUNCTION("""COMPUTED_VALUE"""),236.92)</f>
        <v>236.92</v>
      </c>
      <c r="E3292" s="1">
        <f>IFERROR(__xludf.DUMMYFUNCTION("""COMPUTED_VALUE"""),239.77)</f>
        <v>239.77</v>
      </c>
      <c r="F3292" s="1">
        <f>IFERROR(__xludf.DUMMYFUNCTION("""COMPUTED_VALUE"""),373709.0)</f>
        <v>373709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IFERROR(__xludf.DUMMYFUNCTION("""COMPUTED_VALUE"""),240.71)</f>
        <v>240.71</v>
      </c>
      <c r="C3293" s="1">
        <f>IFERROR(__xludf.DUMMYFUNCTION("""COMPUTED_VALUE"""),243.61)</f>
        <v>243.61</v>
      </c>
      <c r="D3293" s="1">
        <f>IFERROR(__xludf.DUMMYFUNCTION("""COMPUTED_VALUE"""),239.36)</f>
        <v>239.36</v>
      </c>
      <c r="E3293" s="1">
        <f>IFERROR(__xludf.DUMMYFUNCTION("""COMPUTED_VALUE"""),243.25)</f>
        <v>243.25</v>
      </c>
      <c r="F3293" s="1">
        <f>IFERROR(__xludf.DUMMYFUNCTION("""COMPUTED_VALUE"""),267942.0)</f>
        <v>267942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IFERROR(__xludf.DUMMYFUNCTION("""COMPUTED_VALUE"""),243.21)</f>
        <v>243.21</v>
      </c>
      <c r="C3294" s="1">
        <f>IFERROR(__xludf.DUMMYFUNCTION("""COMPUTED_VALUE"""),248.97)</f>
        <v>248.97</v>
      </c>
      <c r="D3294" s="1">
        <f>IFERROR(__xludf.DUMMYFUNCTION("""COMPUTED_VALUE"""),241.26)</f>
        <v>241.26</v>
      </c>
      <c r="E3294" s="1">
        <f>IFERROR(__xludf.DUMMYFUNCTION("""COMPUTED_VALUE"""),248.21)</f>
        <v>248.21</v>
      </c>
      <c r="F3294" s="1">
        <f>IFERROR(__xludf.DUMMYFUNCTION("""COMPUTED_VALUE"""),304668.0)</f>
        <v>304668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IFERROR(__xludf.DUMMYFUNCTION("""COMPUTED_VALUE"""),251.04)</f>
        <v>251.04</v>
      </c>
      <c r="C3295" s="1">
        <f>IFERROR(__xludf.DUMMYFUNCTION("""COMPUTED_VALUE"""),260.52)</f>
        <v>260.52</v>
      </c>
      <c r="D3295" s="1">
        <f>IFERROR(__xludf.DUMMYFUNCTION("""COMPUTED_VALUE"""),250.0)</f>
        <v>250</v>
      </c>
      <c r="E3295" s="1">
        <f>IFERROR(__xludf.DUMMYFUNCTION("""COMPUTED_VALUE"""),259.92)</f>
        <v>259.92</v>
      </c>
      <c r="F3295" s="1">
        <f>IFERROR(__xludf.DUMMYFUNCTION("""COMPUTED_VALUE"""),769655.0)</f>
        <v>769655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IFERROR(__xludf.DUMMYFUNCTION("""COMPUTED_VALUE"""),254.98)</f>
        <v>254.98</v>
      </c>
      <c r="C3296" s="1">
        <f>IFERROR(__xludf.DUMMYFUNCTION("""COMPUTED_VALUE"""),258.11)</f>
        <v>258.11</v>
      </c>
      <c r="D3296" s="1">
        <f>IFERROR(__xludf.DUMMYFUNCTION("""COMPUTED_VALUE"""),249.0)</f>
        <v>249</v>
      </c>
      <c r="E3296" s="1">
        <f>IFERROR(__xludf.DUMMYFUNCTION("""COMPUTED_VALUE"""),250.35)</f>
        <v>250.35</v>
      </c>
      <c r="F3296" s="1">
        <f>IFERROR(__xludf.DUMMYFUNCTION("""COMPUTED_VALUE"""),411316.0)</f>
        <v>411316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IFERROR(__xludf.DUMMYFUNCTION("""COMPUTED_VALUE"""),246.73)</f>
        <v>246.73</v>
      </c>
      <c r="C3297" s="1">
        <f>IFERROR(__xludf.DUMMYFUNCTION("""COMPUTED_VALUE"""),250.0)</f>
        <v>250</v>
      </c>
      <c r="D3297" s="1">
        <f>IFERROR(__xludf.DUMMYFUNCTION("""COMPUTED_VALUE"""),246.22)</f>
        <v>246.22</v>
      </c>
      <c r="E3297" s="1">
        <f>IFERROR(__xludf.DUMMYFUNCTION("""COMPUTED_VALUE"""),246.91)</f>
        <v>246.91</v>
      </c>
      <c r="F3297" s="1">
        <f>IFERROR(__xludf.DUMMYFUNCTION("""COMPUTED_VALUE"""),274405.0)</f>
        <v>274405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IFERROR(__xludf.DUMMYFUNCTION("""COMPUTED_VALUE"""),245.94)</f>
        <v>245.94</v>
      </c>
      <c r="C3298" s="1">
        <f>IFERROR(__xludf.DUMMYFUNCTION("""COMPUTED_VALUE"""),253.61)</f>
        <v>253.61</v>
      </c>
      <c r="D3298" s="1">
        <f>IFERROR(__xludf.DUMMYFUNCTION("""COMPUTED_VALUE"""),244.9)</f>
        <v>244.9</v>
      </c>
      <c r="E3298" s="1">
        <f>IFERROR(__xludf.DUMMYFUNCTION("""COMPUTED_VALUE"""),252.64)</f>
        <v>252.64</v>
      </c>
      <c r="F3298" s="1">
        <f>IFERROR(__xludf.DUMMYFUNCTION("""COMPUTED_VALUE"""),255356.0)</f>
        <v>255356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IFERROR(__xludf.DUMMYFUNCTION("""COMPUTED_VALUE"""),251.92)</f>
        <v>251.92</v>
      </c>
      <c r="C3299" s="1">
        <f>IFERROR(__xludf.DUMMYFUNCTION("""COMPUTED_VALUE"""),262.0)</f>
        <v>262</v>
      </c>
      <c r="D3299" s="1">
        <f>IFERROR(__xludf.DUMMYFUNCTION("""COMPUTED_VALUE"""),251.89)</f>
        <v>251.89</v>
      </c>
      <c r="E3299" s="1">
        <f>IFERROR(__xludf.DUMMYFUNCTION("""COMPUTED_VALUE"""),257.84)</f>
        <v>257.84</v>
      </c>
      <c r="F3299" s="1">
        <f>IFERROR(__xludf.DUMMYFUNCTION("""COMPUTED_VALUE"""),898356.0)</f>
        <v>898356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IFERROR(__xludf.DUMMYFUNCTION("""COMPUTED_VALUE"""),259.26)</f>
        <v>259.26</v>
      </c>
      <c r="C3300" s="1">
        <f>IFERROR(__xludf.DUMMYFUNCTION("""COMPUTED_VALUE"""),259.61)</f>
        <v>259.61</v>
      </c>
      <c r="D3300" s="1">
        <f>IFERROR(__xludf.DUMMYFUNCTION("""COMPUTED_VALUE"""),249.24)</f>
        <v>249.24</v>
      </c>
      <c r="E3300" s="1">
        <f>IFERROR(__xludf.DUMMYFUNCTION("""COMPUTED_VALUE"""),249.82)</f>
        <v>249.82</v>
      </c>
      <c r="F3300" s="1">
        <f>IFERROR(__xludf.DUMMYFUNCTION("""COMPUTED_VALUE"""),779156.0)</f>
        <v>779156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IFERROR(__xludf.DUMMYFUNCTION("""COMPUTED_VALUE"""),247.76)</f>
        <v>247.76</v>
      </c>
      <c r="C3301" s="1">
        <f>IFERROR(__xludf.DUMMYFUNCTION("""COMPUTED_VALUE"""),251.13)</f>
        <v>251.13</v>
      </c>
      <c r="D3301" s="1">
        <f>IFERROR(__xludf.DUMMYFUNCTION("""COMPUTED_VALUE"""),242.79)</f>
        <v>242.79</v>
      </c>
      <c r="E3301" s="1">
        <f>IFERROR(__xludf.DUMMYFUNCTION("""COMPUTED_VALUE"""),245.44)</f>
        <v>245.44</v>
      </c>
      <c r="F3301" s="1">
        <f>IFERROR(__xludf.DUMMYFUNCTION("""COMPUTED_VALUE"""),553608.0)</f>
        <v>553608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IFERROR(__xludf.DUMMYFUNCTION("""COMPUTED_VALUE"""),244.98)</f>
        <v>244.98</v>
      </c>
      <c r="C3302" s="1">
        <f>IFERROR(__xludf.DUMMYFUNCTION("""COMPUTED_VALUE"""),253.93)</f>
        <v>253.93</v>
      </c>
      <c r="D3302" s="1">
        <f>IFERROR(__xludf.DUMMYFUNCTION("""COMPUTED_VALUE"""),243.67)</f>
        <v>243.67</v>
      </c>
      <c r="E3302" s="1">
        <f>IFERROR(__xludf.DUMMYFUNCTION("""COMPUTED_VALUE"""),253.5)</f>
        <v>253.5</v>
      </c>
      <c r="F3302" s="1">
        <f>IFERROR(__xludf.DUMMYFUNCTION("""COMPUTED_VALUE"""),468636.0)</f>
        <v>468636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IFERROR(__xludf.DUMMYFUNCTION("""COMPUTED_VALUE"""),249.96)</f>
        <v>249.96</v>
      </c>
      <c r="C3303" s="1">
        <f>IFERROR(__xludf.DUMMYFUNCTION("""COMPUTED_VALUE"""),255.6)</f>
        <v>255.6</v>
      </c>
      <c r="D3303" s="1">
        <f>IFERROR(__xludf.DUMMYFUNCTION("""COMPUTED_VALUE"""),249.91)</f>
        <v>249.91</v>
      </c>
      <c r="E3303" s="1">
        <f>IFERROR(__xludf.DUMMYFUNCTION("""COMPUTED_VALUE"""),251.74)</f>
        <v>251.74</v>
      </c>
      <c r="F3303" s="1">
        <f>IFERROR(__xludf.DUMMYFUNCTION("""COMPUTED_VALUE"""),405513.0)</f>
        <v>405513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IFERROR(__xludf.DUMMYFUNCTION("""COMPUTED_VALUE"""),248.93)</f>
        <v>248.93</v>
      </c>
      <c r="C3304" s="1">
        <f>IFERROR(__xludf.DUMMYFUNCTION("""COMPUTED_VALUE"""),253.48)</f>
        <v>253.48</v>
      </c>
      <c r="D3304" s="1">
        <f>IFERROR(__xludf.DUMMYFUNCTION("""COMPUTED_VALUE"""),247.94)</f>
        <v>247.94</v>
      </c>
      <c r="E3304" s="1">
        <f>IFERROR(__xludf.DUMMYFUNCTION("""COMPUTED_VALUE"""),251.53)</f>
        <v>251.53</v>
      </c>
      <c r="F3304" s="1">
        <f>IFERROR(__xludf.DUMMYFUNCTION("""COMPUTED_VALUE"""),349109.0)</f>
        <v>349109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IFERROR(__xludf.DUMMYFUNCTION("""COMPUTED_VALUE"""),246.54)</f>
        <v>246.54</v>
      </c>
      <c r="C3305" s="1">
        <f>IFERROR(__xludf.DUMMYFUNCTION("""COMPUTED_VALUE"""),257.18)</f>
        <v>257.18</v>
      </c>
      <c r="D3305" s="1">
        <f>IFERROR(__xludf.DUMMYFUNCTION("""COMPUTED_VALUE"""),246.54)</f>
        <v>246.54</v>
      </c>
      <c r="E3305" s="1">
        <f>IFERROR(__xludf.DUMMYFUNCTION("""COMPUTED_VALUE"""),254.25)</f>
        <v>254.25</v>
      </c>
      <c r="F3305" s="1">
        <f>IFERROR(__xludf.DUMMYFUNCTION("""COMPUTED_VALUE"""),555187.0)</f>
        <v>555187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IFERROR(__xludf.DUMMYFUNCTION("""COMPUTED_VALUE"""),252.2)</f>
        <v>252.2</v>
      </c>
      <c r="C3306" s="1">
        <f>IFERROR(__xludf.DUMMYFUNCTION("""COMPUTED_VALUE"""),252.2)</f>
        <v>252.2</v>
      </c>
      <c r="D3306" s="1">
        <f>IFERROR(__xludf.DUMMYFUNCTION("""COMPUTED_VALUE"""),245.45)</f>
        <v>245.45</v>
      </c>
      <c r="E3306" s="1">
        <f>IFERROR(__xludf.DUMMYFUNCTION("""COMPUTED_VALUE"""),249.76)</f>
        <v>249.76</v>
      </c>
      <c r="F3306" s="1">
        <f>IFERROR(__xludf.DUMMYFUNCTION("""COMPUTED_VALUE"""),619879.0)</f>
        <v>619879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IFERROR(__xludf.DUMMYFUNCTION("""COMPUTED_VALUE"""),246.42)</f>
        <v>246.42</v>
      </c>
      <c r="C3307" s="1">
        <f>IFERROR(__xludf.DUMMYFUNCTION("""COMPUTED_VALUE"""),247.35)</f>
        <v>247.35</v>
      </c>
      <c r="D3307" s="1">
        <f>IFERROR(__xludf.DUMMYFUNCTION("""COMPUTED_VALUE"""),243.01)</f>
        <v>243.01</v>
      </c>
      <c r="E3307" s="1">
        <f>IFERROR(__xludf.DUMMYFUNCTION("""COMPUTED_VALUE"""),243.6)</f>
        <v>243.6</v>
      </c>
      <c r="F3307" s="1">
        <f>IFERROR(__xludf.DUMMYFUNCTION("""COMPUTED_VALUE"""),523605.0)</f>
        <v>523605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IFERROR(__xludf.DUMMYFUNCTION("""COMPUTED_VALUE"""),215.57)</f>
        <v>215.57</v>
      </c>
      <c r="C3308" s="1">
        <f>IFERROR(__xludf.DUMMYFUNCTION("""COMPUTED_VALUE"""),221.09)</f>
        <v>221.09</v>
      </c>
      <c r="D3308" s="1">
        <f>IFERROR(__xludf.DUMMYFUNCTION("""COMPUTED_VALUE"""),207.01)</f>
        <v>207.01</v>
      </c>
      <c r="E3308" s="1">
        <f>IFERROR(__xludf.DUMMYFUNCTION("""COMPUTED_VALUE"""),219.09)</f>
        <v>219.09</v>
      </c>
      <c r="F3308" s="1">
        <f>IFERROR(__xludf.DUMMYFUNCTION("""COMPUTED_VALUE"""),2281189.0)</f>
        <v>2281189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IFERROR(__xludf.DUMMYFUNCTION("""COMPUTED_VALUE"""),220.51)</f>
        <v>220.51</v>
      </c>
      <c r="C3309" s="1">
        <f>IFERROR(__xludf.DUMMYFUNCTION("""COMPUTED_VALUE"""),228.72)</f>
        <v>228.72</v>
      </c>
      <c r="D3309" s="1">
        <f>IFERROR(__xludf.DUMMYFUNCTION("""COMPUTED_VALUE"""),220.51)</f>
        <v>220.51</v>
      </c>
      <c r="E3309" s="1">
        <f>IFERROR(__xludf.DUMMYFUNCTION("""COMPUTED_VALUE"""),227.28)</f>
        <v>227.28</v>
      </c>
      <c r="F3309" s="1">
        <f>IFERROR(__xludf.DUMMYFUNCTION("""COMPUTED_VALUE"""),1145046.0)</f>
        <v>1145046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IFERROR(__xludf.DUMMYFUNCTION("""COMPUTED_VALUE"""),224.37)</f>
        <v>224.37</v>
      </c>
      <c r="C3310" s="1">
        <f>IFERROR(__xludf.DUMMYFUNCTION("""COMPUTED_VALUE"""),225.01)</f>
        <v>225.01</v>
      </c>
      <c r="D3310" s="1">
        <f>IFERROR(__xludf.DUMMYFUNCTION("""COMPUTED_VALUE"""),215.0)</f>
        <v>215</v>
      </c>
      <c r="E3310" s="1">
        <f>IFERROR(__xludf.DUMMYFUNCTION("""COMPUTED_VALUE"""),219.81)</f>
        <v>219.81</v>
      </c>
      <c r="F3310" s="1">
        <f>IFERROR(__xludf.DUMMYFUNCTION("""COMPUTED_VALUE"""),779834.0)</f>
        <v>779834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IFERROR(__xludf.DUMMYFUNCTION("""COMPUTED_VALUE"""),224.08)</f>
        <v>224.08</v>
      </c>
      <c r="C3311" s="1">
        <f>IFERROR(__xludf.DUMMYFUNCTION("""COMPUTED_VALUE"""),228.51)</f>
        <v>228.51</v>
      </c>
      <c r="D3311" s="1">
        <f>IFERROR(__xludf.DUMMYFUNCTION("""COMPUTED_VALUE"""),221.57)</f>
        <v>221.57</v>
      </c>
      <c r="E3311" s="1">
        <f>IFERROR(__xludf.DUMMYFUNCTION("""COMPUTED_VALUE"""),221.66)</f>
        <v>221.66</v>
      </c>
      <c r="F3311" s="1">
        <f>IFERROR(__xludf.DUMMYFUNCTION("""COMPUTED_VALUE"""),624963.0)</f>
        <v>624963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IFERROR(__xludf.DUMMYFUNCTION("""COMPUTED_VALUE"""),220.43)</f>
        <v>220.43</v>
      </c>
      <c r="C3312" s="1">
        <f>IFERROR(__xludf.DUMMYFUNCTION("""COMPUTED_VALUE"""),223.57)</f>
        <v>223.57</v>
      </c>
      <c r="D3312" s="1">
        <f>IFERROR(__xludf.DUMMYFUNCTION("""COMPUTED_VALUE"""),218.27)</f>
        <v>218.27</v>
      </c>
      <c r="E3312" s="1">
        <f>IFERROR(__xludf.DUMMYFUNCTION("""COMPUTED_VALUE"""),219.34)</f>
        <v>219.34</v>
      </c>
      <c r="F3312" s="1">
        <f>IFERROR(__xludf.DUMMYFUNCTION("""COMPUTED_VALUE"""),863163.0)</f>
        <v>863163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IFERROR(__xludf.DUMMYFUNCTION("""COMPUTED_VALUE"""),218.65)</f>
        <v>218.65</v>
      </c>
      <c r="C3313" s="1">
        <f>IFERROR(__xludf.DUMMYFUNCTION("""COMPUTED_VALUE"""),223.13)</f>
        <v>223.13</v>
      </c>
      <c r="D3313" s="1">
        <f>IFERROR(__xludf.DUMMYFUNCTION("""COMPUTED_VALUE"""),218.52)</f>
        <v>218.52</v>
      </c>
      <c r="E3313" s="1">
        <f>IFERROR(__xludf.DUMMYFUNCTION("""COMPUTED_VALUE"""),222.92)</f>
        <v>222.92</v>
      </c>
      <c r="F3313" s="1">
        <f>IFERROR(__xludf.DUMMYFUNCTION("""COMPUTED_VALUE"""),372768.0)</f>
        <v>372768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IFERROR(__xludf.DUMMYFUNCTION("""COMPUTED_VALUE"""),220.94)</f>
        <v>220.94</v>
      </c>
      <c r="C3314" s="1">
        <f>IFERROR(__xludf.DUMMYFUNCTION("""COMPUTED_VALUE"""),227.35)</f>
        <v>227.35</v>
      </c>
      <c r="D3314" s="1">
        <f>IFERROR(__xludf.DUMMYFUNCTION("""COMPUTED_VALUE"""),220.72)</f>
        <v>220.72</v>
      </c>
      <c r="E3314" s="1">
        <f>IFERROR(__xludf.DUMMYFUNCTION("""COMPUTED_VALUE"""),226.33)</f>
        <v>226.33</v>
      </c>
      <c r="F3314" s="1">
        <f>IFERROR(__xludf.DUMMYFUNCTION("""COMPUTED_VALUE"""),428005.0)</f>
        <v>428005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IFERROR(__xludf.DUMMYFUNCTION("""COMPUTED_VALUE"""),227.72)</f>
        <v>227.72</v>
      </c>
      <c r="C3315" s="1">
        <f>IFERROR(__xludf.DUMMYFUNCTION("""COMPUTED_VALUE"""),232.05)</f>
        <v>232.05</v>
      </c>
      <c r="D3315" s="1">
        <f>IFERROR(__xludf.DUMMYFUNCTION("""COMPUTED_VALUE"""),225.91)</f>
        <v>225.91</v>
      </c>
      <c r="E3315" s="1">
        <f>IFERROR(__xludf.DUMMYFUNCTION("""COMPUTED_VALUE"""),232.0)</f>
        <v>232</v>
      </c>
      <c r="F3315" s="1">
        <f>IFERROR(__xludf.DUMMYFUNCTION("""COMPUTED_VALUE"""),417556.0)</f>
        <v>417556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IFERROR(__xludf.DUMMYFUNCTION("""COMPUTED_VALUE"""),232.67)</f>
        <v>232.67</v>
      </c>
      <c r="C3316" s="1">
        <f>IFERROR(__xludf.DUMMYFUNCTION("""COMPUTED_VALUE"""),233.91)</f>
        <v>233.91</v>
      </c>
      <c r="D3316" s="1">
        <f>IFERROR(__xludf.DUMMYFUNCTION("""COMPUTED_VALUE"""),225.45)</f>
        <v>225.45</v>
      </c>
      <c r="E3316" s="1">
        <f>IFERROR(__xludf.DUMMYFUNCTION("""COMPUTED_VALUE"""),225.52)</f>
        <v>225.52</v>
      </c>
      <c r="F3316" s="1">
        <f>IFERROR(__xludf.DUMMYFUNCTION("""COMPUTED_VALUE"""),385304.0)</f>
        <v>385304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IFERROR(__xludf.DUMMYFUNCTION("""COMPUTED_VALUE"""),225.02)</f>
        <v>225.02</v>
      </c>
      <c r="C3317" s="1">
        <f>IFERROR(__xludf.DUMMYFUNCTION("""COMPUTED_VALUE"""),226.94)</f>
        <v>226.94</v>
      </c>
      <c r="D3317" s="1">
        <f>IFERROR(__xludf.DUMMYFUNCTION("""COMPUTED_VALUE"""),219.92)</f>
        <v>219.92</v>
      </c>
      <c r="E3317" s="1">
        <f>IFERROR(__xludf.DUMMYFUNCTION("""COMPUTED_VALUE"""),221.12)</f>
        <v>221.12</v>
      </c>
      <c r="F3317" s="1">
        <f>IFERROR(__xludf.DUMMYFUNCTION("""COMPUTED_VALUE"""),361690.0)</f>
        <v>361690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IFERROR(__xludf.DUMMYFUNCTION("""COMPUTED_VALUE"""),220.53)</f>
        <v>220.53</v>
      </c>
      <c r="C3318" s="1">
        <f>IFERROR(__xludf.DUMMYFUNCTION("""COMPUTED_VALUE"""),221.38)</f>
        <v>221.38</v>
      </c>
      <c r="D3318" s="1">
        <f>IFERROR(__xludf.DUMMYFUNCTION("""COMPUTED_VALUE"""),217.87)</f>
        <v>217.87</v>
      </c>
      <c r="E3318" s="1">
        <f>IFERROR(__xludf.DUMMYFUNCTION("""COMPUTED_VALUE"""),218.79)</f>
        <v>218.79</v>
      </c>
      <c r="F3318" s="1">
        <f>IFERROR(__xludf.DUMMYFUNCTION("""COMPUTED_VALUE"""),224440.0)</f>
        <v>224440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IFERROR(__xludf.DUMMYFUNCTION("""COMPUTED_VALUE"""),219.6)</f>
        <v>219.6</v>
      </c>
      <c r="C3319" s="1">
        <f>IFERROR(__xludf.DUMMYFUNCTION("""COMPUTED_VALUE"""),224.0)</f>
        <v>224</v>
      </c>
      <c r="D3319" s="1">
        <f>IFERROR(__xludf.DUMMYFUNCTION("""COMPUTED_VALUE"""),214.84)</f>
        <v>214.84</v>
      </c>
      <c r="E3319" s="1">
        <f>IFERROR(__xludf.DUMMYFUNCTION("""COMPUTED_VALUE"""),214.92)</f>
        <v>214.92</v>
      </c>
      <c r="F3319" s="1">
        <f>IFERROR(__xludf.DUMMYFUNCTION("""COMPUTED_VALUE"""),522593.0)</f>
        <v>522593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IFERROR(__xludf.DUMMYFUNCTION("""COMPUTED_VALUE"""),213.59)</f>
        <v>213.59</v>
      </c>
      <c r="C3320" s="1">
        <f>IFERROR(__xludf.DUMMYFUNCTION("""COMPUTED_VALUE"""),213.59)</f>
        <v>213.59</v>
      </c>
      <c r="D3320" s="1">
        <f>IFERROR(__xludf.DUMMYFUNCTION("""COMPUTED_VALUE"""),198.98)</f>
        <v>198.98</v>
      </c>
      <c r="E3320" s="1">
        <f>IFERROR(__xludf.DUMMYFUNCTION("""COMPUTED_VALUE"""),202.54)</f>
        <v>202.54</v>
      </c>
      <c r="F3320" s="1">
        <f>IFERROR(__xludf.DUMMYFUNCTION("""COMPUTED_VALUE"""),1307312.0)</f>
        <v>1307312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IFERROR(__xludf.DUMMYFUNCTION("""COMPUTED_VALUE"""),201.69)</f>
        <v>201.69</v>
      </c>
      <c r="C3321" s="1">
        <f>IFERROR(__xludf.DUMMYFUNCTION("""COMPUTED_VALUE"""),206.73)</f>
        <v>206.73</v>
      </c>
      <c r="D3321" s="1">
        <f>IFERROR(__xludf.DUMMYFUNCTION("""COMPUTED_VALUE"""),196.24)</f>
        <v>196.24</v>
      </c>
      <c r="E3321" s="1">
        <f>IFERROR(__xludf.DUMMYFUNCTION("""COMPUTED_VALUE"""),202.02)</f>
        <v>202.02</v>
      </c>
      <c r="F3321" s="1">
        <f>IFERROR(__xludf.DUMMYFUNCTION("""COMPUTED_VALUE"""),805470.0)</f>
        <v>805470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IFERROR(__xludf.DUMMYFUNCTION("""COMPUTED_VALUE"""),206.16)</f>
        <v>206.16</v>
      </c>
      <c r="C3322" s="1">
        <f>IFERROR(__xludf.DUMMYFUNCTION("""COMPUTED_VALUE"""),210.37)</f>
        <v>210.37</v>
      </c>
      <c r="D3322" s="1">
        <f>IFERROR(__xludf.DUMMYFUNCTION("""COMPUTED_VALUE"""),201.97)</f>
        <v>201.97</v>
      </c>
      <c r="E3322" s="1">
        <f>IFERROR(__xludf.DUMMYFUNCTION("""COMPUTED_VALUE"""),205.02)</f>
        <v>205.02</v>
      </c>
      <c r="F3322" s="1">
        <f>IFERROR(__xludf.DUMMYFUNCTION("""COMPUTED_VALUE"""),517268.0)</f>
        <v>517268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IFERROR(__xludf.DUMMYFUNCTION("""COMPUTED_VALUE"""),201.37)</f>
        <v>201.37</v>
      </c>
      <c r="C3323" s="1">
        <f>IFERROR(__xludf.DUMMYFUNCTION("""COMPUTED_VALUE"""),201.98)</f>
        <v>201.98</v>
      </c>
      <c r="D3323" s="1">
        <f>IFERROR(__xludf.DUMMYFUNCTION("""COMPUTED_VALUE"""),188.85)</f>
        <v>188.85</v>
      </c>
      <c r="E3323" s="1">
        <f>IFERROR(__xludf.DUMMYFUNCTION("""COMPUTED_VALUE"""),194.9)</f>
        <v>194.9</v>
      </c>
      <c r="F3323" s="1">
        <f>IFERROR(__xludf.DUMMYFUNCTION("""COMPUTED_VALUE"""),974053.0)</f>
        <v>974053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IFERROR(__xludf.DUMMYFUNCTION("""COMPUTED_VALUE"""),192.66)</f>
        <v>192.66</v>
      </c>
      <c r="C3324" s="1">
        <f>IFERROR(__xludf.DUMMYFUNCTION("""COMPUTED_VALUE"""),196.52)</f>
        <v>196.52</v>
      </c>
      <c r="D3324" s="1">
        <f>IFERROR(__xludf.DUMMYFUNCTION("""COMPUTED_VALUE"""),190.22)</f>
        <v>190.22</v>
      </c>
      <c r="E3324" s="1">
        <f>IFERROR(__xludf.DUMMYFUNCTION("""COMPUTED_VALUE"""),193.56)</f>
        <v>193.56</v>
      </c>
      <c r="F3324" s="1">
        <f>IFERROR(__xludf.DUMMYFUNCTION("""COMPUTED_VALUE"""),704534.0)</f>
        <v>704534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IFERROR(__xludf.DUMMYFUNCTION("""COMPUTED_VALUE"""),191.28)</f>
        <v>191.28</v>
      </c>
      <c r="C3325" s="1">
        <f>IFERROR(__xludf.DUMMYFUNCTION("""COMPUTED_VALUE"""),193.37)</f>
        <v>193.37</v>
      </c>
      <c r="D3325" s="1">
        <f>IFERROR(__xludf.DUMMYFUNCTION("""COMPUTED_VALUE"""),188.86)</f>
        <v>188.86</v>
      </c>
      <c r="E3325" s="1">
        <f>IFERROR(__xludf.DUMMYFUNCTION("""COMPUTED_VALUE"""),192.92)</f>
        <v>192.92</v>
      </c>
      <c r="F3325" s="1">
        <f>IFERROR(__xludf.DUMMYFUNCTION("""COMPUTED_VALUE"""),1096553.0)</f>
        <v>1096553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IFERROR(__xludf.DUMMYFUNCTION("""COMPUTED_VALUE"""),192.86)</f>
        <v>192.86</v>
      </c>
      <c r="C3326" s="1">
        <f>IFERROR(__xludf.DUMMYFUNCTION("""COMPUTED_VALUE"""),195.76)</f>
        <v>195.76</v>
      </c>
      <c r="D3326" s="1">
        <f>IFERROR(__xludf.DUMMYFUNCTION("""COMPUTED_VALUE"""),191.23)</f>
        <v>191.23</v>
      </c>
      <c r="E3326" s="1">
        <f>IFERROR(__xludf.DUMMYFUNCTION("""COMPUTED_VALUE"""),192.59)</f>
        <v>192.59</v>
      </c>
      <c r="F3326" s="1">
        <f>IFERROR(__xludf.DUMMYFUNCTION("""COMPUTED_VALUE"""),422912.0)</f>
        <v>422912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IFERROR(__xludf.DUMMYFUNCTION("""COMPUTED_VALUE"""),196.06)</f>
        <v>196.06</v>
      </c>
      <c r="C3327" s="1">
        <f>IFERROR(__xludf.DUMMYFUNCTION("""COMPUTED_VALUE"""),199.12)</f>
        <v>199.12</v>
      </c>
      <c r="D3327" s="1">
        <f>IFERROR(__xludf.DUMMYFUNCTION("""COMPUTED_VALUE"""),194.1)</f>
        <v>194.1</v>
      </c>
      <c r="E3327" s="1">
        <f>IFERROR(__xludf.DUMMYFUNCTION("""COMPUTED_VALUE"""),198.67)</f>
        <v>198.67</v>
      </c>
      <c r="F3327" s="1">
        <f>IFERROR(__xludf.DUMMYFUNCTION("""COMPUTED_VALUE"""),635618.0)</f>
        <v>635618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IFERROR(__xludf.DUMMYFUNCTION("""COMPUTED_VALUE"""),198.61)</f>
        <v>198.61</v>
      </c>
      <c r="C3328" s="1">
        <f>IFERROR(__xludf.DUMMYFUNCTION("""COMPUTED_VALUE"""),202.74)</f>
        <v>202.74</v>
      </c>
      <c r="D3328" s="1">
        <f>IFERROR(__xludf.DUMMYFUNCTION("""COMPUTED_VALUE"""),196.15)</f>
        <v>196.15</v>
      </c>
      <c r="E3328" s="1">
        <f>IFERROR(__xludf.DUMMYFUNCTION("""COMPUTED_VALUE"""),196.29)</f>
        <v>196.29</v>
      </c>
      <c r="F3328" s="1">
        <f>IFERROR(__xludf.DUMMYFUNCTION("""COMPUTED_VALUE"""),579569.0)</f>
        <v>579569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IFERROR(__xludf.DUMMYFUNCTION("""COMPUTED_VALUE"""),198.03)</f>
        <v>198.03</v>
      </c>
      <c r="C3329" s="1">
        <f>IFERROR(__xludf.DUMMYFUNCTION("""COMPUTED_VALUE"""),200.83)</f>
        <v>200.83</v>
      </c>
      <c r="D3329" s="1">
        <f>IFERROR(__xludf.DUMMYFUNCTION("""COMPUTED_VALUE"""),191.25)</f>
        <v>191.25</v>
      </c>
      <c r="E3329" s="1">
        <f>IFERROR(__xludf.DUMMYFUNCTION("""COMPUTED_VALUE"""),193.71)</f>
        <v>193.71</v>
      </c>
      <c r="F3329" s="1">
        <f>IFERROR(__xludf.DUMMYFUNCTION("""COMPUTED_VALUE"""),588285.0)</f>
        <v>588285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IFERROR(__xludf.DUMMYFUNCTION("""COMPUTED_VALUE"""),191.96)</f>
        <v>191.96</v>
      </c>
      <c r="C3330" s="1">
        <f>IFERROR(__xludf.DUMMYFUNCTION("""COMPUTED_VALUE"""),195.08)</f>
        <v>195.08</v>
      </c>
      <c r="D3330" s="1">
        <f>IFERROR(__xludf.DUMMYFUNCTION("""COMPUTED_VALUE"""),189.56)</f>
        <v>189.56</v>
      </c>
      <c r="E3330" s="1">
        <f>IFERROR(__xludf.DUMMYFUNCTION("""COMPUTED_VALUE"""),193.79)</f>
        <v>193.79</v>
      </c>
      <c r="F3330" s="1">
        <f>IFERROR(__xludf.DUMMYFUNCTION("""COMPUTED_VALUE"""),571623.0)</f>
        <v>571623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IFERROR(__xludf.DUMMYFUNCTION("""COMPUTED_VALUE"""),196.49)</f>
        <v>196.49</v>
      </c>
      <c r="C3331" s="1">
        <f>IFERROR(__xludf.DUMMYFUNCTION("""COMPUTED_VALUE"""),198.35)</f>
        <v>198.35</v>
      </c>
      <c r="D3331" s="1">
        <f>IFERROR(__xludf.DUMMYFUNCTION("""COMPUTED_VALUE"""),193.5)</f>
        <v>193.5</v>
      </c>
      <c r="E3331" s="1">
        <f>IFERROR(__xludf.DUMMYFUNCTION("""COMPUTED_VALUE"""),197.46)</f>
        <v>197.46</v>
      </c>
      <c r="F3331" s="1">
        <f>IFERROR(__xludf.DUMMYFUNCTION("""COMPUTED_VALUE"""),376252.0)</f>
        <v>376252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IFERROR(__xludf.DUMMYFUNCTION("""COMPUTED_VALUE"""),195.05)</f>
        <v>195.05</v>
      </c>
      <c r="C3332" s="1">
        <f>IFERROR(__xludf.DUMMYFUNCTION("""COMPUTED_VALUE"""),196.0)</f>
        <v>196</v>
      </c>
      <c r="D3332" s="1">
        <f>IFERROR(__xludf.DUMMYFUNCTION("""COMPUTED_VALUE"""),190.96)</f>
        <v>190.96</v>
      </c>
      <c r="E3332" s="1">
        <f>IFERROR(__xludf.DUMMYFUNCTION("""COMPUTED_VALUE"""),191.89)</f>
        <v>191.89</v>
      </c>
      <c r="F3332" s="1">
        <f>IFERROR(__xludf.DUMMYFUNCTION("""COMPUTED_VALUE"""),598361.0)</f>
        <v>598361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IFERROR(__xludf.DUMMYFUNCTION("""COMPUTED_VALUE"""),194.43)</f>
        <v>194.43</v>
      </c>
      <c r="C3333" s="1">
        <f>IFERROR(__xludf.DUMMYFUNCTION("""COMPUTED_VALUE"""),197.61)</f>
        <v>197.61</v>
      </c>
      <c r="D3333" s="1">
        <f>IFERROR(__xludf.DUMMYFUNCTION("""COMPUTED_VALUE"""),192.01)</f>
        <v>192.01</v>
      </c>
      <c r="E3333" s="1">
        <f>IFERROR(__xludf.DUMMYFUNCTION("""COMPUTED_VALUE"""),197.58)</f>
        <v>197.58</v>
      </c>
      <c r="F3333" s="1">
        <f>IFERROR(__xludf.DUMMYFUNCTION("""COMPUTED_VALUE"""),404159.0)</f>
        <v>404159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IFERROR(__xludf.DUMMYFUNCTION("""COMPUTED_VALUE"""),200.59)</f>
        <v>200.59</v>
      </c>
      <c r="C3334" s="1">
        <f>IFERROR(__xludf.DUMMYFUNCTION("""COMPUTED_VALUE"""),201.94)</f>
        <v>201.94</v>
      </c>
      <c r="D3334" s="1">
        <f>IFERROR(__xludf.DUMMYFUNCTION("""COMPUTED_VALUE"""),196.85)</f>
        <v>196.85</v>
      </c>
      <c r="E3334" s="1">
        <f>IFERROR(__xludf.DUMMYFUNCTION("""COMPUTED_VALUE"""),198.03)</f>
        <v>198.03</v>
      </c>
      <c r="F3334" s="1">
        <f>IFERROR(__xludf.DUMMYFUNCTION("""COMPUTED_VALUE"""),357897.0)</f>
        <v>357897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IFERROR(__xludf.DUMMYFUNCTION("""COMPUTED_VALUE"""),199.74)</f>
        <v>199.74</v>
      </c>
      <c r="C3335" s="1">
        <f>IFERROR(__xludf.DUMMYFUNCTION("""COMPUTED_VALUE"""),202.42)</f>
        <v>202.42</v>
      </c>
      <c r="D3335" s="1">
        <f>IFERROR(__xludf.DUMMYFUNCTION("""COMPUTED_VALUE"""),198.53)</f>
        <v>198.53</v>
      </c>
      <c r="E3335" s="1">
        <f>IFERROR(__xludf.DUMMYFUNCTION("""COMPUTED_VALUE"""),201.82)</f>
        <v>201.82</v>
      </c>
      <c r="F3335" s="1">
        <f>IFERROR(__xludf.DUMMYFUNCTION("""COMPUTED_VALUE"""),465658.0)</f>
        <v>465658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IFERROR(__xludf.DUMMYFUNCTION("""COMPUTED_VALUE"""),201.12)</f>
        <v>201.12</v>
      </c>
      <c r="C3336" s="1">
        <f>IFERROR(__xludf.DUMMYFUNCTION("""COMPUTED_VALUE"""),202.09)</f>
        <v>202.09</v>
      </c>
      <c r="D3336" s="1">
        <f>IFERROR(__xludf.DUMMYFUNCTION("""COMPUTED_VALUE"""),193.82)</f>
        <v>193.82</v>
      </c>
      <c r="E3336" s="1">
        <f>IFERROR(__xludf.DUMMYFUNCTION("""COMPUTED_VALUE"""),200.26)</f>
        <v>200.26</v>
      </c>
      <c r="F3336" s="1">
        <f>IFERROR(__xludf.DUMMYFUNCTION("""COMPUTED_VALUE"""),477804.0)</f>
        <v>477804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IFERROR(__xludf.DUMMYFUNCTION("""COMPUTED_VALUE"""),201.09)</f>
        <v>201.09</v>
      </c>
      <c r="C3337" s="1">
        <f>IFERROR(__xludf.DUMMYFUNCTION("""COMPUTED_VALUE"""),201.1)</f>
        <v>201.1</v>
      </c>
      <c r="D3337" s="1">
        <f>IFERROR(__xludf.DUMMYFUNCTION("""COMPUTED_VALUE"""),197.01)</f>
        <v>197.01</v>
      </c>
      <c r="E3337" s="1">
        <f>IFERROR(__xludf.DUMMYFUNCTION("""COMPUTED_VALUE"""),197.89)</f>
        <v>197.89</v>
      </c>
      <c r="F3337" s="1">
        <f>IFERROR(__xludf.DUMMYFUNCTION("""COMPUTED_VALUE"""),319262.0)</f>
        <v>319262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IFERROR(__xludf.DUMMYFUNCTION("""COMPUTED_VALUE"""),195.0)</f>
        <v>195</v>
      </c>
      <c r="C3338" s="1">
        <f>IFERROR(__xludf.DUMMYFUNCTION("""COMPUTED_VALUE"""),198.24)</f>
        <v>198.24</v>
      </c>
      <c r="D3338" s="1">
        <f>IFERROR(__xludf.DUMMYFUNCTION("""COMPUTED_VALUE"""),193.86)</f>
        <v>193.86</v>
      </c>
      <c r="E3338" s="1">
        <f>IFERROR(__xludf.DUMMYFUNCTION("""COMPUTED_VALUE"""),195.74)</f>
        <v>195.74</v>
      </c>
      <c r="F3338" s="1">
        <f>IFERROR(__xludf.DUMMYFUNCTION("""COMPUTED_VALUE"""),491123.0)</f>
        <v>491123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IFERROR(__xludf.DUMMYFUNCTION("""COMPUTED_VALUE"""),195.58)</f>
        <v>195.58</v>
      </c>
      <c r="C3339" s="1">
        <f>IFERROR(__xludf.DUMMYFUNCTION("""COMPUTED_VALUE"""),196.65)</f>
        <v>196.65</v>
      </c>
      <c r="D3339" s="1">
        <f>IFERROR(__xludf.DUMMYFUNCTION("""COMPUTED_VALUE"""),191.49)</f>
        <v>191.49</v>
      </c>
      <c r="E3339" s="1">
        <f>IFERROR(__xludf.DUMMYFUNCTION("""COMPUTED_VALUE"""),196.59)</f>
        <v>196.59</v>
      </c>
      <c r="F3339" s="1">
        <f>IFERROR(__xludf.DUMMYFUNCTION("""COMPUTED_VALUE"""),508814.0)</f>
        <v>508814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IFERROR(__xludf.DUMMYFUNCTION("""COMPUTED_VALUE"""),195.72)</f>
        <v>195.72</v>
      </c>
      <c r="C3340" s="1">
        <f>IFERROR(__xludf.DUMMYFUNCTION("""COMPUTED_VALUE"""),199.87)</f>
        <v>199.87</v>
      </c>
      <c r="D3340" s="1">
        <f>IFERROR(__xludf.DUMMYFUNCTION("""COMPUTED_VALUE"""),195.68)</f>
        <v>195.68</v>
      </c>
      <c r="E3340" s="1">
        <f>IFERROR(__xludf.DUMMYFUNCTION("""COMPUTED_VALUE"""),199.74)</f>
        <v>199.74</v>
      </c>
      <c r="F3340" s="1">
        <f>IFERROR(__xludf.DUMMYFUNCTION("""COMPUTED_VALUE"""),397657.0)</f>
        <v>397657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IFERROR(__xludf.DUMMYFUNCTION("""COMPUTED_VALUE"""),200.37)</f>
        <v>200.37</v>
      </c>
      <c r="C3341" s="1">
        <f>IFERROR(__xludf.DUMMYFUNCTION("""COMPUTED_VALUE"""),203.34)</f>
        <v>203.34</v>
      </c>
      <c r="D3341" s="1">
        <f>IFERROR(__xludf.DUMMYFUNCTION("""COMPUTED_VALUE"""),200.37)</f>
        <v>200.37</v>
      </c>
      <c r="E3341" s="1">
        <f>IFERROR(__xludf.DUMMYFUNCTION("""COMPUTED_VALUE"""),202.42)</f>
        <v>202.42</v>
      </c>
      <c r="F3341" s="1">
        <f>IFERROR(__xludf.DUMMYFUNCTION("""COMPUTED_VALUE"""),338407.0)</f>
        <v>338407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IFERROR(__xludf.DUMMYFUNCTION("""COMPUTED_VALUE"""),205.51)</f>
        <v>205.51</v>
      </c>
      <c r="C3342" s="1">
        <f>IFERROR(__xludf.DUMMYFUNCTION("""COMPUTED_VALUE"""),205.51)</f>
        <v>205.51</v>
      </c>
      <c r="D3342" s="1">
        <f>IFERROR(__xludf.DUMMYFUNCTION("""COMPUTED_VALUE"""),200.31)</f>
        <v>200.31</v>
      </c>
      <c r="E3342" s="1">
        <f>IFERROR(__xludf.DUMMYFUNCTION("""COMPUTED_VALUE"""),201.47)</f>
        <v>201.47</v>
      </c>
      <c r="F3342" s="1">
        <f>IFERROR(__xludf.DUMMYFUNCTION("""COMPUTED_VALUE"""),306915.0)</f>
        <v>306915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IFERROR(__xludf.DUMMYFUNCTION("""COMPUTED_VALUE"""),202.64)</f>
        <v>202.64</v>
      </c>
      <c r="C3343" s="1">
        <f>IFERROR(__xludf.DUMMYFUNCTION("""COMPUTED_VALUE"""),206.27)</f>
        <v>206.27</v>
      </c>
      <c r="D3343" s="1">
        <f>IFERROR(__xludf.DUMMYFUNCTION("""COMPUTED_VALUE"""),201.42)</f>
        <v>201.42</v>
      </c>
      <c r="E3343" s="1">
        <f>IFERROR(__xludf.DUMMYFUNCTION("""COMPUTED_VALUE"""),205.6)</f>
        <v>205.6</v>
      </c>
      <c r="F3343" s="1">
        <f>IFERROR(__xludf.DUMMYFUNCTION("""COMPUTED_VALUE"""),357207.0)</f>
        <v>357207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IFERROR(__xludf.DUMMYFUNCTION("""COMPUTED_VALUE"""),205.22)</f>
        <v>205.22</v>
      </c>
      <c r="C3344" s="1">
        <f>IFERROR(__xludf.DUMMYFUNCTION("""COMPUTED_VALUE"""),205.97)</f>
        <v>205.97</v>
      </c>
      <c r="D3344" s="1">
        <f>IFERROR(__xludf.DUMMYFUNCTION("""COMPUTED_VALUE"""),202.19)</f>
        <v>202.19</v>
      </c>
      <c r="E3344" s="1">
        <f>IFERROR(__xludf.DUMMYFUNCTION("""COMPUTED_VALUE"""),203.69)</f>
        <v>203.69</v>
      </c>
      <c r="F3344" s="1">
        <f>IFERROR(__xludf.DUMMYFUNCTION("""COMPUTED_VALUE"""),277476.0)</f>
        <v>277476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IFERROR(__xludf.DUMMYFUNCTION("""COMPUTED_VALUE"""),204.6)</f>
        <v>204.6</v>
      </c>
      <c r="C3345" s="1">
        <f>IFERROR(__xludf.DUMMYFUNCTION("""COMPUTED_VALUE"""),209.76)</f>
        <v>209.76</v>
      </c>
      <c r="D3345" s="1">
        <f>IFERROR(__xludf.DUMMYFUNCTION("""COMPUTED_VALUE"""),203.89)</f>
        <v>203.89</v>
      </c>
      <c r="E3345" s="1">
        <f>IFERROR(__xludf.DUMMYFUNCTION("""COMPUTED_VALUE"""),208.55)</f>
        <v>208.55</v>
      </c>
      <c r="F3345" s="1">
        <f>IFERROR(__xludf.DUMMYFUNCTION("""COMPUTED_VALUE"""),450606.0)</f>
        <v>450606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IFERROR(__xludf.DUMMYFUNCTION("""COMPUTED_VALUE"""),210.05)</f>
        <v>210.05</v>
      </c>
      <c r="C3346" s="1">
        <f>IFERROR(__xludf.DUMMYFUNCTION("""COMPUTED_VALUE"""),210.05)</f>
        <v>210.05</v>
      </c>
      <c r="D3346" s="1">
        <f>IFERROR(__xludf.DUMMYFUNCTION("""COMPUTED_VALUE"""),205.49)</f>
        <v>205.49</v>
      </c>
      <c r="E3346" s="1">
        <f>IFERROR(__xludf.DUMMYFUNCTION("""COMPUTED_VALUE"""),206.02)</f>
        <v>206.02</v>
      </c>
      <c r="F3346" s="1">
        <f>IFERROR(__xludf.DUMMYFUNCTION("""COMPUTED_VALUE"""),408885.0)</f>
        <v>408885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IFERROR(__xludf.DUMMYFUNCTION("""COMPUTED_VALUE"""),205.04)</f>
        <v>205.04</v>
      </c>
      <c r="C3347" s="1">
        <f>IFERROR(__xludf.DUMMYFUNCTION("""COMPUTED_VALUE"""),206.11)</f>
        <v>206.11</v>
      </c>
      <c r="D3347" s="1">
        <f>IFERROR(__xludf.DUMMYFUNCTION("""COMPUTED_VALUE"""),200.68)</f>
        <v>200.68</v>
      </c>
      <c r="E3347" s="1">
        <f>IFERROR(__xludf.DUMMYFUNCTION("""COMPUTED_VALUE"""),202.87)</f>
        <v>202.87</v>
      </c>
      <c r="F3347" s="1">
        <f>IFERROR(__xludf.DUMMYFUNCTION("""COMPUTED_VALUE"""),772084.0)</f>
        <v>772084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IFERROR(__xludf.DUMMYFUNCTION("""COMPUTED_VALUE"""),200.5)</f>
        <v>200.5</v>
      </c>
      <c r="C3348" s="1">
        <f>IFERROR(__xludf.DUMMYFUNCTION("""COMPUTED_VALUE"""),201.68)</f>
        <v>201.68</v>
      </c>
      <c r="D3348" s="1">
        <f>IFERROR(__xludf.DUMMYFUNCTION("""COMPUTED_VALUE"""),195.78)</f>
        <v>195.78</v>
      </c>
      <c r="E3348" s="1">
        <f>IFERROR(__xludf.DUMMYFUNCTION("""COMPUTED_VALUE"""),197.94)</f>
        <v>197.94</v>
      </c>
      <c r="F3348" s="1">
        <f>IFERROR(__xludf.DUMMYFUNCTION("""COMPUTED_VALUE"""),505081.0)</f>
        <v>505081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IFERROR(__xludf.DUMMYFUNCTION("""COMPUTED_VALUE"""),198.58)</f>
        <v>198.58</v>
      </c>
      <c r="C3349" s="1">
        <f>IFERROR(__xludf.DUMMYFUNCTION("""COMPUTED_VALUE"""),201.52)</f>
        <v>201.52</v>
      </c>
      <c r="D3349" s="1">
        <f>IFERROR(__xludf.DUMMYFUNCTION("""COMPUTED_VALUE"""),197.25)</f>
        <v>197.25</v>
      </c>
      <c r="E3349" s="1">
        <f>IFERROR(__xludf.DUMMYFUNCTION("""COMPUTED_VALUE"""),200.9)</f>
        <v>200.9</v>
      </c>
      <c r="F3349" s="1">
        <f>IFERROR(__xludf.DUMMYFUNCTION("""COMPUTED_VALUE"""),493680.0)</f>
        <v>493680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IFERROR(__xludf.DUMMYFUNCTION("""COMPUTED_VALUE"""),201.95)</f>
        <v>201.95</v>
      </c>
      <c r="C3350" s="1">
        <f>IFERROR(__xludf.DUMMYFUNCTION("""COMPUTED_VALUE"""),204.41)</f>
        <v>204.41</v>
      </c>
      <c r="D3350" s="1">
        <f>IFERROR(__xludf.DUMMYFUNCTION("""COMPUTED_VALUE"""),200.83)</f>
        <v>200.83</v>
      </c>
      <c r="E3350" s="1">
        <f>IFERROR(__xludf.DUMMYFUNCTION("""COMPUTED_VALUE"""),203.83)</f>
        <v>203.83</v>
      </c>
      <c r="F3350" s="1">
        <f>IFERROR(__xludf.DUMMYFUNCTION("""COMPUTED_VALUE"""),367600.0)</f>
        <v>367600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IFERROR(__xludf.DUMMYFUNCTION("""COMPUTED_VALUE"""),203.31)</f>
        <v>203.31</v>
      </c>
      <c r="C3351" s="1">
        <f>IFERROR(__xludf.DUMMYFUNCTION("""COMPUTED_VALUE"""),203.81)</f>
        <v>203.81</v>
      </c>
      <c r="D3351" s="1">
        <f>IFERROR(__xludf.DUMMYFUNCTION("""COMPUTED_VALUE"""),184.91)</f>
        <v>184.91</v>
      </c>
      <c r="E3351" s="1">
        <f>IFERROR(__xludf.DUMMYFUNCTION("""COMPUTED_VALUE"""),187.6)</f>
        <v>187.6</v>
      </c>
      <c r="F3351" s="1">
        <f>IFERROR(__xludf.DUMMYFUNCTION("""COMPUTED_VALUE"""),1619471.0)</f>
        <v>1619471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IFERROR(__xludf.DUMMYFUNCTION("""COMPUTED_VALUE"""),186.07)</f>
        <v>186.07</v>
      </c>
      <c r="C3352" s="1">
        <f>IFERROR(__xludf.DUMMYFUNCTION("""COMPUTED_VALUE"""),190.47)</f>
        <v>190.47</v>
      </c>
      <c r="D3352" s="1">
        <f>IFERROR(__xludf.DUMMYFUNCTION("""COMPUTED_VALUE"""),184.06)</f>
        <v>184.06</v>
      </c>
      <c r="E3352" s="1">
        <f>IFERROR(__xludf.DUMMYFUNCTION("""COMPUTED_VALUE"""),187.01)</f>
        <v>187.01</v>
      </c>
      <c r="F3352" s="1">
        <f>IFERROR(__xludf.DUMMYFUNCTION("""COMPUTED_VALUE"""),632371.0)</f>
        <v>632371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IFERROR(__xludf.DUMMYFUNCTION("""COMPUTED_VALUE"""),187.03)</f>
        <v>187.03</v>
      </c>
      <c r="C3353" s="1">
        <f>IFERROR(__xludf.DUMMYFUNCTION("""COMPUTED_VALUE"""),187.75)</f>
        <v>187.75</v>
      </c>
      <c r="D3353" s="1">
        <f>IFERROR(__xludf.DUMMYFUNCTION("""COMPUTED_VALUE"""),181.22)</f>
        <v>181.22</v>
      </c>
      <c r="E3353" s="1">
        <f>IFERROR(__xludf.DUMMYFUNCTION("""COMPUTED_VALUE"""),183.71)</f>
        <v>183.71</v>
      </c>
      <c r="F3353" s="1">
        <f>IFERROR(__xludf.DUMMYFUNCTION("""COMPUTED_VALUE"""),931848.0)</f>
        <v>931848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IFERROR(__xludf.DUMMYFUNCTION("""COMPUTED_VALUE"""),183.18)</f>
        <v>183.18</v>
      </c>
      <c r="C3354" s="1">
        <f>IFERROR(__xludf.DUMMYFUNCTION("""COMPUTED_VALUE"""),190.87)</f>
        <v>190.87</v>
      </c>
      <c r="D3354" s="1">
        <f>IFERROR(__xludf.DUMMYFUNCTION("""COMPUTED_VALUE"""),182.08)</f>
        <v>182.08</v>
      </c>
      <c r="E3354" s="1">
        <f>IFERROR(__xludf.DUMMYFUNCTION("""COMPUTED_VALUE"""),190.12)</f>
        <v>190.12</v>
      </c>
      <c r="F3354" s="1">
        <f>IFERROR(__xludf.DUMMYFUNCTION("""COMPUTED_VALUE"""),578675.0)</f>
        <v>578675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IFERROR(__xludf.DUMMYFUNCTION("""COMPUTED_VALUE"""),190.27)</f>
        <v>190.27</v>
      </c>
      <c r="C3355" s="1">
        <f>IFERROR(__xludf.DUMMYFUNCTION("""COMPUTED_VALUE"""),194.25)</f>
        <v>194.25</v>
      </c>
      <c r="D3355" s="1">
        <f>IFERROR(__xludf.DUMMYFUNCTION("""COMPUTED_VALUE"""),189.29)</f>
        <v>189.29</v>
      </c>
      <c r="E3355" s="1">
        <f>IFERROR(__xludf.DUMMYFUNCTION("""COMPUTED_VALUE"""),190.1)</f>
        <v>190.1</v>
      </c>
      <c r="F3355" s="1">
        <f>IFERROR(__xludf.DUMMYFUNCTION("""COMPUTED_VALUE"""),258874.0)</f>
        <v>258874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IFERROR(__xludf.DUMMYFUNCTION("""COMPUTED_VALUE"""),188.8)</f>
        <v>188.8</v>
      </c>
      <c r="C3356" s="1">
        <f>IFERROR(__xludf.DUMMYFUNCTION("""COMPUTED_VALUE"""),191.47)</f>
        <v>191.47</v>
      </c>
      <c r="D3356" s="1">
        <f>IFERROR(__xludf.DUMMYFUNCTION("""COMPUTED_VALUE"""),187.75)</f>
        <v>187.75</v>
      </c>
      <c r="E3356" s="1">
        <f>IFERROR(__xludf.DUMMYFUNCTION("""COMPUTED_VALUE"""),189.0)</f>
        <v>189</v>
      </c>
      <c r="F3356" s="1">
        <f>IFERROR(__xludf.DUMMYFUNCTION("""COMPUTED_VALUE"""),595128.0)</f>
        <v>595128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IFERROR(__xludf.DUMMYFUNCTION("""COMPUTED_VALUE"""),190.44)</f>
        <v>190.44</v>
      </c>
      <c r="C3357" s="1">
        <f>IFERROR(__xludf.DUMMYFUNCTION("""COMPUTED_VALUE"""),195.67)</f>
        <v>195.67</v>
      </c>
      <c r="D3357" s="1">
        <f>IFERROR(__xludf.DUMMYFUNCTION("""COMPUTED_VALUE"""),189.05)</f>
        <v>189.05</v>
      </c>
      <c r="E3357" s="1">
        <f>IFERROR(__xludf.DUMMYFUNCTION("""COMPUTED_VALUE"""),191.46)</f>
        <v>191.46</v>
      </c>
      <c r="F3357" s="1">
        <f>IFERROR(__xludf.DUMMYFUNCTION("""COMPUTED_VALUE"""),451733.0)</f>
        <v>451733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IFERROR(__xludf.DUMMYFUNCTION("""COMPUTED_VALUE"""),191.31)</f>
        <v>191.31</v>
      </c>
      <c r="C3358" s="1">
        <f>IFERROR(__xludf.DUMMYFUNCTION("""COMPUTED_VALUE"""),192.92)</f>
        <v>192.92</v>
      </c>
      <c r="D3358" s="1">
        <f>IFERROR(__xludf.DUMMYFUNCTION("""COMPUTED_VALUE"""),189.34)</f>
        <v>189.34</v>
      </c>
      <c r="E3358" s="1">
        <f>IFERROR(__xludf.DUMMYFUNCTION("""COMPUTED_VALUE"""),189.48)</f>
        <v>189.48</v>
      </c>
      <c r="F3358" s="1">
        <f>IFERROR(__xludf.DUMMYFUNCTION("""COMPUTED_VALUE"""),323485.0)</f>
        <v>323485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IFERROR(__xludf.DUMMYFUNCTION("""COMPUTED_VALUE"""),191.71)</f>
        <v>191.71</v>
      </c>
      <c r="C3359" s="1">
        <f>IFERROR(__xludf.DUMMYFUNCTION("""COMPUTED_VALUE"""),192.05)</f>
        <v>192.05</v>
      </c>
      <c r="D3359" s="1">
        <f>IFERROR(__xludf.DUMMYFUNCTION("""COMPUTED_VALUE"""),187.73)</f>
        <v>187.73</v>
      </c>
      <c r="E3359" s="1">
        <f>IFERROR(__xludf.DUMMYFUNCTION("""COMPUTED_VALUE"""),191.25)</f>
        <v>191.25</v>
      </c>
      <c r="F3359" s="1">
        <f>IFERROR(__xludf.DUMMYFUNCTION("""COMPUTED_VALUE"""),498074.0)</f>
        <v>498074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IFERROR(__xludf.DUMMYFUNCTION("""COMPUTED_VALUE"""),191.96)</f>
        <v>191.96</v>
      </c>
      <c r="C3360" s="1">
        <f>IFERROR(__xludf.DUMMYFUNCTION("""COMPUTED_VALUE"""),192.8)</f>
        <v>192.8</v>
      </c>
      <c r="D3360" s="1">
        <f>IFERROR(__xludf.DUMMYFUNCTION("""COMPUTED_VALUE"""),189.38)</f>
        <v>189.38</v>
      </c>
      <c r="E3360" s="1">
        <f>IFERROR(__xludf.DUMMYFUNCTION("""COMPUTED_VALUE"""),189.88)</f>
        <v>189.88</v>
      </c>
      <c r="F3360" s="1">
        <f>IFERROR(__xludf.DUMMYFUNCTION("""COMPUTED_VALUE"""),415393.0)</f>
        <v>415393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IFERROR(__xludf.DUMMYFUNCTION("""COMPUTED_VALUE"""),187.98)</f>
        <v>187.98</v>
      </c>
      <c r="C3361" s="1">
        <f>IFERROR(__xludf.DUMMYFUNCTION("""COMPUTED_VALUE"""),189.25)</f>
        <v>189.25</v>
      </c>
      <c r="D3361" s="1">
        <f>IFERROR(__xludf.DUMMYFUNCTION("""COMPUTED_VALUE"""),186.11)</f>
        <v>186.11</v>
      </c>
      <c r="E3361" s="1">
        <f>IFERROR(__xludf.DUMMYFUNCTION("""COMPUTED_VALUE"""),187.48)</f>
        <v>187.48</v>
      </c>
      <c r="F3361" s="1">
        <f>IFERROR(__xludf.DUMMYFUNCTION("""COMPUTED_VALUE"""),442106.0)</f>
        <v>442106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IFERROR(__xludf.DUMMYFUNCTION("""COMPUTED_VALUE"""),190.4)</f>
        <v>190.4</v>
      </c>
      <c r="C3362" s="1">
        <f>IFERROR(__xludf.DUMMYFUNCTION("""COMPUTED_VALUE"""),191.32)</f>
        <v>191.32</v>
      </c>
      <c r="D3362" s="1">
        <f>IFERROR(__xludf.DUMMYFUNCTION("""COMPUTED_VALUE"""),185.61)</f>
        <v>185.61</v>
      </c>
      <c r="E3362" s="1">
        <f>IFERROR(__xludf.DUMMYFUNCTION("""COMPUTED_VALUE"""),186.3)</f>
        <v>186.3</v>
      </c>
      <c r="F3362" s="1">
        <f>IFERROR(__xludf.DUMMYFUNCTION("""COMPUTED_VALUE"""),805665.0)</f>
        <v>805665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IFERROR(__xludf.DUMMYFUNCTION("""COMPUTED_VALUE"""),189.4)</f>
        <v>189.4</v>
      </c>
      <c r="C3363" s="1">
        <f>IFERROR(__xludf.DUMMYFUNCTION("""COMPUTED_VALUE"""),200.48)</f>
        <v>200.48</v>
      </c>
      <c r="D3363" s="1">
        <f>IFERROR(__xludf.DUMMYFUNCTION("""COMPUTED_VALUE"""),187.93)</f>
        <v>187.93</v>
      </c>
      <c r="E3363" s="1">
        <f>IFERROR(__xludf.DUMMYFUNCTION("""COMPUTED_VALUE"""),195.75)</f>
        <v>195.75</v>
      </c>
      <c r="F3363" s="1">
        <f>IFERROR(__xludf.DUMMYFUNCTION("""COMPUTED_VALUE"""),1166857.0)</f>
        <v>1166857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IFERROR(__xludf.DUMMYFUNCTION("""COMPUTED_VALUE"""),196.92)</f>
        <v>196.92</v>
      </c>
      <c r="C3364" s="1">
        <f>IFERROR(__xludf.DUMMYFUNCTION("""COMPUTED_VALUE"""),196.92)</f>
        <v>196.92</v>
      </c>
      <c r="D3364" s="1">
        <f>IFERROR(__xludf.DUMMYFUNCTION("""COMPUTED_VALUE"""),188.07)</f>
        <v>188.07</v>
      </c>
      <c r="E3364" s="1">
        <f>IFERROR(__xludf.DUMMYFUNCTION("""COMPUTED_VALUE"""),191.24)</f>
        <v>191.24</v>
      </c>
      <c r="F3364" s="1">
        <f>IFERROR(__xludf.DUMMYFUNCTION("""COMPUTED_VALUE"""),588670.0)</f>
        <v>588670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IFERROR(__xludf.DUMMYFUNCTION("""COMPUTED_VALUE"""),190.77)</f>
        <v>190.77</v>
      </c>
      <c r="C3365" s="1">
        <f>IFERROR(__xludf.DUMMYFUNCTION("""COMPUTED_VALUE"""),193.69)</f>
        <v>193.69</v>
      </c>
      <c r="D3365" s="1">
        <f>IFERROR(__xludf.DUMMYFUNCTION("""COMPUTED_VALUE"""),188.85)</f>
        <v>188.85</v>
      </c>
      <c r="E3365" s="1">
        <f>IFERROR(__xludf.DUMMYFUNCTION("""COMPUTED_VALUE"""),192.36)</f>
        <v>192.36</v>
      </c>
      <c r="F3365" s="1">
        <f>IFERROR(__xludf.DUMMYFUNCTION("""COMPUTED_VALUE"""),418708.0)</f>
        <v>418708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IFERROR(__xludf.DUMMYFUNCTION("""COMPUTED_VALUE"""),190.92)</f>
        <v>190.92</v>
      </c>
      <c r="C3366" s="1">
        <f>IFERROR(__xludf.DUMMYFUNCTION("""COMPUTED_VALUE"""),191.63)</f>
        <v>191.63</v>
      </c>
      <c r="D3366" s="1">
        <f>IFERROR(__xludf.DUMMYFUNCTION("""COMPUTED_VALUE"""),186.85)</f>
        <v>186.85</v>
      </c>
      <c r="E3366" s="1">
        <f>IFERROR(__xludf.DUMMYFUNCTION("""COMPUTED_VALUE"""),188.18)</f>
        <v>188.18</v>
      </c>
      <c r="F3366" s="1">
        <f>IFERROR(__xludf.DUMMYFUNCTION("""COMPUTED_VALUE"""),398733.0)</f>
        <v>398733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IFERROR(__xludf.DUMMYFUNCTION("""COMPUTED_VALUE"""),188.1)</f>
        <v>188.1</v>
      </c>
      <c r="C3367" s="1">
        <f>IFERROR(__xludf.DUMMYFUNCTION("""COMPUTED_VALUE"""),198.41)</f>
        <v>198.41</v>
      </c>
      <c r="D3367" s="1">
        <f>IFERROR(__xludf.DUMMYFUNCTION("""COMPUTED_VALUE"""),185.59)</f>
        <v>185.59</v>
      </c>
      <c r="E3367" s="1">
        <f>IFERROR(__xludf.DUMMYFUNCTION("""COMPUTED_VALUE"""),196.78)</f>
        <v>196.78</v>
      </c>
      <c r="F3367" s="1">
        <f>IFERROR(__xludf.DUMMYFUNCTION("""COMPUTED_VALUE"""),1052154.0)</f>
        <v>1052154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IFERROR(__xludf.DUMMYFUNCTION("""COMPUTED_VALUE"""),197.27)</f>
        <v>197.27</v>
      </c>
      <c r="C3368" s="1">
        <f>IFERROR(__xludf.DUMMYFUNCTION("""COMPUTED_VALUE"""),199.54)</f>
        <v>199.54</v>
      </c>
      <c r="D3368" s="1">
        <f>IFERROR(__xludf.DUMMYFUNCTION("""COMPUTED_VALUE"""),194.53)</f>
        <v>194.53</v>
      </c>
      <c r="E3368" s="1">
        <f>IFERROR(__xludf.DUMMYFUNCTION("""COMPUTED_VALUE"""),199.26)</f>
        <v>199.26</v>
      </c>
      <c r="F3368" s="1">
        <f>IFERROR(__xludf.DUMMYFUNCTION("""COMPUTED_VALUE"""),595804.0)</f>
        <v>595804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IFERROR(__xludf.DUMMYFUNCTION("""COMPUTED_VALUE"""),200.33)</f>
        <v>200.33</v>
      </c>
      <c r="C3369" s="1">
        <f>IFERROR(__xludf.DUMMYFUNCTION("""COMPUTED_VALUE"""),200.69)</f>
        <v>200.69</v>
      </c>
      <c r="D3369" s="1">
        <f>IFERROR(__xludf.DUMMYFUNCTION("""COMPUTED_VALUE"""),197.55)</f>
        <v>197.55</v>
      </c>
      <c r="E3369" s="1">
        <f>IFERROR(__xludf.DUMMYFUNCTION("""COMPUTED_VALUE"""),198.33)</f>
        <v>198.33</v>
      </c>
      <c r="F3369" s="1">
        <f>IFERROR(__xludf.DUMMYFUNCTION("""COMPUTED_VALUE"""),748972.0)</f>
        <v>748972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IFERROR(__xludf.DUMMYFUNCTION("""COMPUTED_VALUE"""),198.81)</f>
        <v>198.81</v>
      </c>
      <c r="C3370" s="1">
        <f>IFERROR(__xludf.DUMMYFUNCTION("""COMPUTED_VALUE"""),202.55)</f>
        <v>202.55</v>
      </c>
      <c r="D3370" s="1">
        <f>IFERROR(__xludf.DUMMYFUNCTION("""COMPUTED_VALUE"""),197.03)</f>
        <v>197.03</v>
      </c>
      <c r="E3370" s="1">
        <f>IFERROR(__xludf.DUMMYFUNCTION("""COMPUTED_VALUE"""),201.34)</f>
        <v>201.34</v>
      </c>
      <c r="F3370" s="1">
        <f>IFERROR(__xludf.DUMMYFUNCTION("""COMPUTED_VALUE"""),580880.0)</f>
        <v>580880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IFERROR(__xludf.DUMMYFUNCTION("""COMPUTED_VALUE"""),200.16)</f>
        <v>200.16</v>
      </c>
      <c r="C3371" s="1">
        <f>IFERROR(__xludf.DUMMYFUNCTION("""COMPUTED_VALUE"""),205.29)</f>
        <v>205.29</v>
      </c>
      <c r="D3371" s="1">
        <f>IFERROR(__xludf.DUMMYFUNCTION("""COMPUTED_VALUE"""),198.42)</f>
        <v>198.42</v>
      </c>
      <c r="E3371" s="1">
        <f>IFERROR(__xludf.DUMMYFUNCTION("""COMPUTED_VALUE"""),202.3)</f>
        <v>202.3</v>
      </c>
      <c r="F3371" s="1">
        <f>IFERROR(__xludf.DUMMYFUNCTION("""COMPUTED_VALUE"""),561258.0)</f>
        <v>561258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IFERROR(__xludf.DUMMYFUNCTION("""COMPUTED_VALUE"""),199.48)</f>
        <v>199.48</v>
      </c>
      <c r="C3372" s="1">
        <f>IFERROR(__xludf.DUMMYFUNCTION("""COMPUTED_VALUE"""),201.53)</f>
        <v>201.53</v>
      </c>
      <c r="D3372" s="1">
        <f>IFERROR(__xludf.DUMMYFUNCTION("""COMPUTED_VALUE"""),191.73)</f>
        <v>191.73</v>
      </c>
      <c r="E3372" s="1">
        <f>IFERROR(__xludf.DUMMYFUNCTION("""COMPUTED_VALUE"""),199.38)</f>
        <v>199.38</v>
      </c>
      <c r="F3372" s="1">
        <f>IFERROR(__xludf.DUMMYFUNCTION("""COMPUTED_VALUE"""),726478.0)</f>
        <v>726478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IFERROR(__xludf.DUMMYFUNCTION("""COMPUTED_VALUE"""),199.71)</f>
        <v>199.71</v>
      </c>
      <c r="C3373" s="1">
        <f>IFERROR(__xludf.DUMMYFUNCTION("""COMPUTED_VALUE"""),202.0)</f>
        <v>202</v>
      </c>
      <c r="D3373" s="1">
        <f>IFERROR(__xludf.DUMMYFUNCTION("""COMPUTED_VALUE"""),194.21)</f>
        <v>194.21</v>
      </c>
      <c r="E3373" s="1">
        <f>IFERROR(__xludf.DUMMYFUNCTION("""COMPUTED_VALUE"""),194.89)</f>
        <v>194.89</v>
      </c>
      <c r="F3373" s="1">
        <f>IFERROR(__xludf.DUMMYFUNCTION("""COMPUTED_VALUE"""),514665.0)</f>
        <v>514665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IFERROR(__xludf.DUMMYFUNCTION("""COMPUTED_VALUE"""),195.28)</f>
        <v>195.28</v>
      </c>
      <c r="C3374" s="1">
        <f>IFERROR(__xludf.DUMMYFUNCTION("""COMPUTED_VALUE"""),197.14)</f>
        <v>197.14</v>
      </c>
      <c r="D3374" s="1">
        <f>IFERROR(__xludf.DUMMYFUNCTION("""COMPUTED_VALUE"""),193.73)</f>
        <v>193.73</v>
      </c>
      <c r="E3374" s="1">
        <f>IFERROR(__xludf.DUMMYFUNCTION("""COMPUTED_VALUE"""),194.12)</f>
        <v>194.12</v>
      </c>
      <c r="F3374" s="1">
        <f>IFERROR(__xludf.DUMMYFUNCTION("""COMPUTED_VALUE"""),304466.0)</f>
        <v>304466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IFERROR(__xludf.DUMMYFUNCTION("""COMPUTED_VALUE"""),194.14)</f>
        <v>194.14</v>
      </c>
      <c r="C3375" s="1">
        <f>IFERROR(__xludf.DUMMYFUNCTION("""COMPUTED_VALUE"""),199.28)</f>
        <v>199.28</v>
      </c>
      <c r="D3375" s="1">
        <f>IFERROR(__xludf.DUMMYFUNCTION("""COMPUTED_VALUE"""),194.14)</f>
        <v>194.14</v>
      </c>
      <c r="E3375" s="1">
        <f>IFERROR(__xludf.DUMMYFUNCTION("""COMPUTED_VALUE"""),196.05)</f>
        <v>196.05</v>
      </c>
      <c r="F3375" s="1">
        <f>IFERROR(__xludf.DUMMYFUNCTION("""COMPUTED_VALUE"""),604084.0)</f>
        <v>604084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IFERROR(__xludf.DUMMYFUNCTION("""COMPUTED_VALUE"""),194.48)</f>
        <v>194.48</v>
      </c>
      <c r="C3376" s="1">
        <f>IFERROR(__xludf.DUMMYFUNCTION("""COMPUTED_VALUE"""),197.2)</f>
        <v>197.2</v>
      </c>
      <c r="D3376" s="1">
        <f>IFERROR(__xludf.DUMMYFUNCTION("""COMPUTED_VALUE"""),190.46)</f>
        <v>190.46</v>
      </c>
      <c r="E3376" s="1">
        <f>IFERROR(__xludf.DUMMYFUNCTION("""COMPUTED_VALUE"""),193.38)</f>
        <v>193.38</v>
      </c>
      <c r="F3376" s="1">
        <f>IFERROR(__xludf.DUMMYFUNCTION("""COMPUTED_VALUE"""),663102.0)</f>
        <v>663102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IFERROR(__xludf.DUMMYFUNCTION("""COMPUTED_VALUE"""),194.0)</f>
        <v>194</v>
      </c>
      <c r="C3377" s="1">
        <f>IFERROR(__xludf.DUMMYFUNCTION("""COMPUTED_VALUE"""),196.96)</f>
        <v>196.96</v>
      </c>
      <c r="D3377" s="1">
        <f>IFERROR(__xludf.DUMMYFUNCTION("""COMPUTED_VALUE"""),190.43)</f>
        <v>190.43</v>
      </c>
      <c r="E3377" s="1">
        <f>IFERROR(__xludf.DUMMYFUNCTION("""COMPUTED_VALUE"""),196.34)</f>
        <v>196.34</v>
      </c>
      <c r="F3377" s="1">
        <f>IFERROR(__xludf.DUMMYFUNCTION("""COMPUTED_VALUE"""),315519.0)</f>
        <v>315519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IFERROR(__xludf.DUMMYFUNCTION("""COMPUTED_VALUE"""),199.39)</f>
        <v>199.39</v>
      </c>
      <c r="C3378" s="1">
        <f>IFERROR(__xludf.DUMMYFUNCTION("""COMPUTED_VALUE"""),202.83)</f>
        <v>202.83</v>
      </c>
      <c r="D3378" s="1">
        <f>IFERROR(__xludf.DUMMYFUNCTION("""COMPUTED_VALUE"""),197.05)</f>
        <v>197.05</v>
      </c>
      <c r="E3378" s="1">
        <f>IFERROR(__xludf.DUMMYFUNCTION("""COMPUTED_VALUE"""),200.68)</f>
        <v>200.68</v>
      </c>
      <c r="F3378" s="1">
        <f>IFERROR(__xludf.DUMMYFUNCTION("""COMPUTED_VALUE"""),424094.0)</f>
        <v>424094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IFERROR(__xludf.DUMMYFUNCTION("""COMPUTED_VALUE"""),199.88)</f>
        <v>199.88</v>
      </c>
      <c r="C3379" s="1">
        <f>IFERROR(__xludf.DUMMYFUNCTION("""COMPUTED_VALUE"""),200.81)</f>
        <v>200.81</v>
      </c>
      <c r="D3379" s="1">
        <f>IFERROR(__xludf.DUMMYFUNCTION("""COMPUTED_VALUE"""),196.16)</f>
        <v>196.16</v>
      </c>
      <c r="E3379" s="1">
        <f>IFERROR(__xludf.DUMMYFUNCTION("""COMPUTED_VALUE"""),199.11)</f>
        <v>199.11</v>
      </c>
      <c r="F3379" s="1">
        <f>IFERROR(__xludf.DUMMYFUNCTION("""COMPUTED_VALUE"""),365344.0)</f>
        <v>365344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IFERROR(__xludf.DUMMYFUNCTION("""COMPUTED_VALUE"""),199.58)</f>
        <v>199.58</v>
      </c>
      <c r="C3380" s="1">
        <f>IFERROR(__xludf.DUMMYFUNCTION("""COMPUTED_VALUE"""),202.65)</f>
        <v>202.65</v>
      </c>
      <c r="D3380" s="1">
        <f>IFERROR(__xludf.DUMMYFUNCTION("""COMPUTED_VALUE"""),198.51)</f>
        <v>198.51</v>
      </c>
      <c r="E3380" s="1">
        <f>IFERROR(__xludf.DUMMYFUNCTION("""COMPUTED_VALUE"""),201.58)</f>
        <v>201.58</v>
      </c>
      <c r="F3380" s="1">
        <f>IFERROR(__xludf.DUMMYFUNCTION("""COMPUTED_VALUE"""),324270.0)</f>
        <v>324270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IFERROR(__xludf.DUMMYFUNCTION("""COMPUTED_VALUE"""),199.66)</f>
        <v>199.66</v>
      </c>
      <c r="C3381" s="1">
        <f>IFERROR(__xludf.DUMMYFUNCTION("""COMPUTED_VALUE"""),206.23)</f>
        <v>206.23</v>
      </c>
      <c r="D3381" s="1">
        <f>IFERROR(__xludf.DUMMYFUNCTION("""COMPUTED_VALUE"""),197.29)</f>
        <v>197.29</v>
      </c>
      <c r="E3381" s="1">
        <f>IFERROR(__xludf.DUMMYFUNCTION("""COMPUTED_VALUE"""),203.45)</f>
        <v>203.45</v>
      </c>
      <c r="F3381" s="1">
        <f>IFERROR(__xludf.DUMMYFUNCTION("""COMPUTED_VALUE"""),373763.0)</f>
        <v>373763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IFERROR(__xludf.DUMMYFUNCTION("""COMPUTED_VALUE"""),203.39)</f>
        <v>203.39</v>
      </c>
      <c r="C3382" s="1">
        <f>IFERROR(__xludf.DUMMYFUNCTION("""COMPUTED_VALUE"""),203.96)</f>
        <v>203.96</v>
      </c>
      <c r="D3382" s="1">
        <f>IFERROR(__xludf.DUMMYFUNCTION("""COMPUTED_VALUE"""),199.34)</f>
        <v>199.34</v>
      </c>
      <c r="E3382" s="1">
        <f>IFERROR(__xludf.DUMMYFUNCTION("""COMPUTED_VALUE"""),203.17)</f>
        <v>203.17</v>
      </c>
      <c r="F3382" s="1">
        <f>IFERROR(__xludf.DUMMYFUNCTION("""COMPUTED_VALUE"""),343654.0)</f>
        <v>343654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IFERROR(__xludf.DUMMYFUNCTION("""COMPUTED_VALUE"""),203.48)</f>
        <v>203.48</v>
      </c>
      <c r="C3383" s="1">
        <f>IFERROR(__xludf.DUMMYFUNCTION("""COMPUTED_VALUE"""),204.99)</f>
        <v>204.99</v>
      </c>
      <c r="D3383" s="1">
        <f>IFERROR(__xludf.DUMMYFUNCTION("""COMPUTED_VALUE"""),197.55)</f>
        <v>197.55</v>
      </c>
      <c r="E3383" s="1">
        <f>IFERROR(__xludf.DUMMYFUNCTION("""COMPUTED_VALUE"""),197.68)</f>
        <v>197.68</v>
      </c>
      <c r="F3383" s="1">
        <f>IFERROR(__xludf.DUMMYFUNCTION("""COMPUTED_VALUE"""),294448.0)</f>
        <v>294448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IFERROR(__xludf.DUMMYFUNCTION("""COMPUTED_VALUE"""),197.84)</f>
        <v>197.84</v>
      </c>
      <c r="C3384" s="1">
        <f>IFERROR(__xludf.DUMMYFUNCTION("""COMPUTED_VALUE"""),207.92)</f>
        <v>207.92</v>
      </c>
      <c r="D3384" s="1">
        <f>IFERROR(__xludf.DUMMYFUNCTION("""COMPUTED_VALUE"""),197.84)</f>
        <v>197.84</v>
      </c>
      <c r="E3384" s="1">
        <f>IFERROR(__xludf.DUMMYFUNCTION("""COMPUTED_VALUE"""),205.48)</f>
        <v>205.48</v>
      </c>
      <c r="F3384" s="1">
        <f>IFERROR(__xludf.DUMMYFUNCTION("""COMPUTED_VALUE"""),475157.0)</f>
        <v>475157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IFERROR(__xludf.DUMMYFUNCTION("""COMPUTED_VALUE"""),205.26)</f>
        <v>205.26</v>
      </c>
      <c r="C3385" s="1">
        <f>IFERROR(__xludf.DUMMYFUNCTION("""COMPUTED_VALUE"""),209.07)</f>
        <v>209.07</v>
      </c>
      <c r="D3385" s="1">
        <f>IFERROR(__xludf.DUMMYFUNCTION("""COMPUTED_VALUE"""),205.26)</f>
        <v>205.26</v>
      </c>
      <c r="E3385" s="1">
        <f>IFERROR(__xludf.DUMMYFUNCTION("""COMPUTED_VALUE"""),208.0)</f>
        <v>208</v>
      </c>
      <c r="F3385" s="1">
        <f>IFERROR(__xludf.DUMMYFUNCTION("""COMPUTED_VALUE"""),392434.0)</f>
        <v>392434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IFERROR(__xludf.DUMMYFUNCTION("""COMPUTED_VALUE"""),208.76)</f>
        <v>208.76</v>
      </c>
      <c r="C3386" s="1">
        <f>IFERROR(__xludf.DUMMYFUNCTION("""COMPUTED_VALUE"""),210.72)</f>
        <v>210.72</v>
      </c>
      <c r="D3386" s="1">
        <f>IFERROR(__xludf.DUMMYFUNCTION("""COMPUTED_VALUE"""),206.99)</f>
        <v>206.99</v>
      </c>
      <c r="E3386" s="1">
        <f>IFERROR(__xludf.DUMMYFUNCTION("""COMPUTED_VALUE"""),207.42)</f>
        <v>207.42</v>
      </c>
      <c r="F3386" s="1">
        <f>IFERROR(__xludf.DUMMYFUNCTION("""COMPUTED_VALUE"""),549694.0)</f>
        <v>549694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IFERROR(__xludf.DUMMYFUNCTION("""COMPUTED_VALUE"""),207.06)</f>
        <v>207.06</v>
      </c>
      <c r="C3387" s="1">
        <f>IFERROR(__xludf.DUMMYFUNCTION("""COMPUTED_VALUE"""),209.74)</f>
        <v>209.74</v>
      </c>
      <c r="D3387" s="1">
        <f>IFERROR(__xludf.DUMMYFUNCTION("""COMPUTED_VALUE"""),206.09)</f>
        <v>206.09</v>
      </c>
      <c r="E3387" s="1">
        <f>IFERROR(__xludf.DUMMYFUNCTION("""COMPUTED_VALUE"""),208.97)</f>
        <v>208.97</v>
      </c>
      <c r="F3387" s="1">
        <f>IFERROR(__xludf.DUMMYFUNCTION("""COMPUTED_VALUE"""),350111.0)</f>
        <v>350111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IFERROR(__xludf.DUMMYFUNCTION("""COMPUTED_VALUE"""),210.72)</f>
        <v>210.72</v>
      </c>
      <c r="C3388" s="1">
        <f>IFERROR(__xludf.DUMMYFUNCTION("""COMPUTED_VALUE"""),211.96)</f>
        <v>211.96</v>
      </c>
      <c r="D3388" s="1">
        <f>IFERROR(__xludf.DUMMYFUNCTION("""COMPUTED_VALUE"""),206.09)</f>
        <v>206.09</v>
      </c>
      <c r="E3388" s="1">
        <f>IFERROR(__xludf.DUMMYFUNCTION("""COMPUTED_VALUE"""),209.99)</f>
        <v>209.99</v>
      </c>
      <c r="F3388" s="1">
        <f>IFERROR(__xludf.DUMMYFUNCTION("""COMPUTED_VALUE"""),667704.0)</f>
        <v>667704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IFERROR(__xludf.DUMMYFUNCTION("""COMPUTED_VALUE"""),205.3)</f>
        <v>205.3</v>
      </c>
      <c r="C3389" s="1">
        <f>IFERROR(__xludf.DUMMYFUNCTION("""COMPUTED_VALUE"""),211.84)</f>
        <v>211.84</v>
      </c>
      <c r="D3389" s="1">
        <f>IFERROR(__xludf.DUMMYFUNCTION("""COMPUTED_VALUE"""),204.06)</f>
        <v>204.06</v>
      </c>
      <c r="E3389" s="1">
        <f>IFERROR(__xludf.DUMMYFUNCTION("""COMPUTED_VALUE"""),209.53)</f>
        <v>209.53</v>
      </c>
      <c r="F3389" s="1">
        <f>IFERROR(__xludf.DUMMYFUNCTION("""COMPUTED_VALUE"""),725927.0)</f>
        <v>725927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IFERROR(__xludf.DUMMYFUNCTION("""COMPUTED_VALUE"""),207.77)</f>
        <v>207.77</v>
      </c>
      <c r="C3390" s="1">
        <f>IFERROR(__xludf.DUMMYFUNCTION("""COMPUTED_VALUE"""),208.84)</f>
        <v>208.84</v>
      </c>
      <c r="D3390" s="1">
        <f>IFERROR(__xludf.DUMMYFUNCTION("""COMPUTED_VALUE"""),203.97)</f>
        <v>203.97</v>
      </c>
      <c r="E3390" s="1">
        <f>IFERROR(__xludf.DUMMYFUNCTION("""COMPUTED_VALUE"""),206.31)</f>
        <v>206.31</v>
      </c>
      <c r="F3390" s="1">
        <f>IFERROR(__xludf.DUMMYFUNCTION("""COMPUTED_VALUE"""),450600.0)</f>
        <v>450600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IFERROR(__xludf.DUMMYFUNCTION("""COMPUTED_VALUE"""),204.95)</f>
        <v>204.95</v>
      </c>
      <c r="C3391" s="1">
        <f>IFERROR(__xludf.DUMMYFUNCTION("""COMPUTED_VALUE"""),204.95)</f>
        <v>204.95</v>
      </c>
      <c r="D3391" s="1">
        <f>IFERROR(__xludf.DUMMYFUNCTION("""COMPUTED_VALUE"""),201.13)</f>
        <v>201.13</v>
      </c>
      <c r="E3391" s="1">
        <f>IFERROR(__xludf.DUMMYFUNCTION("""COMPUTED_VALUE"""),204.17)</f>
        <v>204.17</v>
      </c>
      <c r="F3391" s="1">
        <f>IFERROR(__xludf.DUMMYFUNCTION("""COMPUTED_VALUE"""),438819.0)</f>
        <v>438819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IFERROR(__xludf.DUMMYFUNCTION("""COMPUTED_VALUE"""),201.83)</f>
        <v>201.83</v>
      </c>
      <c r="C3392" s="1">
        <f>IFERROR(__xludf.DUMMYFUNCTION("""COMPUTED_VALUE"""),209.4)</f>
        <v>209.4</v>
      </c>
      <c r="D3392" s="1">
        <f>IFERROR(__xludf.DUMMYFUNCTION("""COMPUTED_VALUE"""),201.48)</f>
        <v>201.48</v>
      </c>
      <c r="E3392" s="1">
        <f>IFERROR(__xludf.DUMMYFUNCTION("""COMPUTED_VALUE"""),207.81)</f>
        <v>207.81</v>
      </c>
      <c r="F3392" s="1">
        <f>IFERROR(__xludf.DUMMYFUNCTION("""COMPUTED_VALUE"""),1664990.0)</f>
        <v>1664990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IFERROR(__xludf.DUMMYFUNCTION("""COMPUTED_VALUE"""),207.46)</f>
        <v>207.46</v>
      </c>
      <c r="C3393" s="1">
        <f>IFERROR(__xludf.DUMMYFUNCTION("""COMPUTED_VALUE"""),208.63)</f>
        <v>208.63</v>
      </c>
      <c r="D3393" s="1">
        <f>IFERROR(__xludf.DUMMYFUNCTION("""COMPUTED_VALUE"""),205.15)</f>
        <v>205.15</v>
      </c>
      <c r="E3393" s="1">
        <f>IFERROR(__xludf.DUMMYFUNCTION("""COMPUTED_VALUE"""),206.3)</f>
        <v>206.3</v>
      </c>
      <c r="F3393" s="1">
        <f>IFERROR(__xludf.DUMMYFUNCTION("""COMPUTED_VALUE"""),352204.0)</f>
        <v>352204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IFERROR(__xludf.DUMMYFUNCTION("""COMPUTED_VALUE"""),206.55)</f>
        <v>206.55</v>
      </c>
      <c r="C3394" s="1">
        <f>IFERROR(__xludf.DUMMYFUNCTION("""COMPUTED_VALUE"""),207.03)</f>
        <v>207.03</v>
      </c>
      <c r="D3394" s="1">
        <f>IFERROR(__xludf.DUMMYFUNCTION("""COMPUTED_VALUE"""),201.12)</f>
        <v>201.12</v>
      </c>
      <c r="E3394" s="1">
        <f>IFERROR(__xludf.DUMMYFUNCTION("""COMPUTED_VALUE"""),204.33)</f>
        <v>204.33</v>
      </c>
      <c r="F3394" s="1">
        <f>IFERROR(__xludf.DUMMYFUNCTION("""COMPUTED_VALUE"""),446128.0)</f>
        <v>446128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IFERROR(__xludf.DUMMYFUNCTION("""COMPUTED_VALUE"""),203.71)</f>
        <v>203.71</v>
      </c>
      <c r="C3395" s="1">
        <f>IFERROR(__xludf.DUMMYFUNCTION("""COMPUTED_VALUE"""),207.29)</f>
        <v>207.29</v>
      </c>
      <c r="D3395" s="1">
        <f>IFERROR(__xludf.DUMMYFUNCTION("""COMPUTED_VALUE"""),202.5)</f>
        <v>202.5</v>
      </c>
      <c r="E3395" s="1">
        <f>IFERROR(__xludf.DUMMYFUNCTION("""COMPUTED_VALUE"""),205.74)</f>
        <v>205.74</v>
      </c>
      <c r="F3395" s="1">
        <f>IFERROR(__xludf.DUMMYFUNCTION("""COMPUTED_VALUE"""),440509.0)</f>
        <v>440509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IFERROR(__xludf.DUMMYFUNCTION("""COMPUTED_VALUE"""),205.93)</f>
        <v>205.93</v>
      </c>
      <c r="C3396" s="1">
        <f>IFERROR(__xludf.DUMMYFUNCTION("""COMPUTED_VALUE"""),209.49)</f>
        <v>209.49</v>
      </c>
      <c r="D3396" s="1">
        <f>IFERROR(__xludf.DUMMYFUNCTION("""COMPUTED_VALUE"""),204.33)</f>
        <v>204.33</v>
      </c>
      <c r="E3396" s="1">
        <f>IFERROR(__xludf.DUMMYFUNCTION("""COMPUTED_VALUE"""),209.18)</f>
        <v>209.18</v>
      </c>
      <c r="F3396" s="1">
        <f>IFERROR(__xludf.DUMMYFUNCTION("""COMPUTED_VALUE"""),271048.0)</f>
        <v>271048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IFERROR(__xludf.DUMMYFUNCTION("""COMPUTED_VALUE"""),211.54)</f>
        <v>211.54</v>
      </c>
      <c r="C3397" s="1">
        <f>IFERROR(__xludf.DUMMYFUNCTION("""COMPUTED_VALUE"""),212.91)</f>
        <v>212.91</v>
      </c>
      <c r="D3397" s="1">
        <f>IFERROR(__xludf.DUMMYFUNCTION("""COMPUTED_VALUE"""),209.49)</f>
        <v>209.49</v>
      </c>
      <c r="E3397" s="1">
        <f>IFERROR(__xludf.DUMMYFUNCTION("""COMPUTED_VALUE"""),210.25)</f>
        <v>210.25</v>
      </c>
      <c r="F3397" s="1">
        <f>IFERROR(__xludf.DUMMYFUNCTION("""COMPUTED_VALUE"""),396259.0)</f>
        <v>396259</v>
      </c>
    </row>
    <row r="3398">
      <c r="A3398" s="2">
        <f>IFERROR(__xludf.DUMMYFUNCTION("""COMPUTED_VALUE"""),45110.54166666667)</f>
        <v>45110.54167</v>
      </c>
      <c r="B3398" s="1">
        <f>IFERROR(__xludf.DUMMYFUNCTION("""COMPUTED_VALUE"""),209.79)</f>
        <v>209.79</v>
      </c>
      <c r="C3398" s="1">
        <f>IFERROR(__xludf.DUMMYFUNCTION("""COMPUTED_VALUE"""),210.95)</f>
        <v>210.95</v>
      </c>
      <c r="D3398" s="1">
        <f>IFERROR(__xludf.DUMMYFUNCTION("""COMPUTED_VALUE"""),207.54)</f>
        <v>207.54</v>
      </c>
      <c r="E3398" s="1">
        <f>IFERROR(__xludf.DUMMYFUNCTION("""COMPUTED_VALUE"""),208.67)</f>
        <v>208.67</v>
      </c>
      <c r="F3398" s="1">
        <f>IFERROR(__xludf.DUMMYFUNCTION("""COMPUTED_VALUE"""),192858.0)</f>
        <v>192858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IFERROR(__xludf.DUMMYFUNCTION("""COMPUTED_VALUE"""),208.13)</f>
        <v>208.13</v>
      </c>
      <c r="C3399" s="1">
        <f>IFERROR(__xludf.DUMMYFUNCTION("""COMPUTED_VALUE"""),209.86)</f>
        <v>209.86</v>
      </c>
      <c r="D3399" s="1">
        <f>IFERROR(__xludf.DUMMYFUNCTION("""COMPUTED_VALUE"""),206.1)</f>
        <v>206.1</v>
      </c>
      <c r="E3399" s="1">
        <f>IFERROR(__xludf.DUMMYFUNCTION("""COMPUTED_VALUE"""),206.92)</f>
        <v>206.92</v>
      </c>
      <c r="F3399" s="1">
        <f>IFERROR(__xludf.DUMMYFUNCTION("""COMPUTED_VALUE"""),259696.0)</f>
        <v>259696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IFERROR(__xludf.DUMMYFUNCTION("""COMPUTED_VALUE"""),203.82)</f>
        <v>203.82</v>
      </c>
      <c r="C3400" s="1">
        <f>IFERROR(__xludf.DUMMYFUNCTION("""COMPUTED_VALUE"""),208.28)</f>
        <v>208.28</v>
      </c>
      <c r="D3400" s="1">
        <f>IFERROR(__xludf.DUMMYFUNCTION("""COMPUTED_VALUE"""),201.03)</f>
        <v>201.03</v>
      </c>
      <c r="E3400" s="1">
        <f>IFERROR(__xludf.DUMMYFUNCTION("""COMPUTED_VALUE"""),207.36)</f>
        <v>207.36</v>
      </c>
      <c r="F3400" s="1">
        <f>IFERROR(__xludf.DUMMYFUNCTION("""COMPUTED_VALUE"""),416929.0)</f>
        <v>416929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IFERROR(__xludf.DUMMYFUNCTION("""COMPUTED_VALUE"""),207.23)</f>
        <v>207.23</v>
      </c>
      <c r="C3401" s="1">
        <f>IFERROR(__xludf.DUMMYFUNCTION("""COMPUTED_VALUE"""),209.04)</f>
        <v>209.04</v>
      </c>
      <c r="D3401" s="1">
        <f>IFERROR(__xludf.DUMMYFUNCTION("""COMPUTED_VALUE"""),206.38)</f>
        <v>206.38</v>
      </c>
      <c r="E3401" s="1">
        <f>IFERROR(__xludf.DUMMYFUNCTION("""COMPUTED_VALUE"""),206.89)</f>
        <v>206.89</v>
      </c>
      <c r="F3401" s="1">
        <f>IFERROR(__xludf.DUMMYFUNCTION("""COMPUTED_VALUE"""),264471.0)</f>
        <v>264471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IFERROR(__xludf.DUMMYFUNCTION("""COMPUTED_VALUE"""),202.9)</f>
        <v>202.9</v>
      </c>
      <c r="C3402" s="1">
        <f>IFERROR(__xludf.DUMMYFUNCTION("""COMPUTED_VALUE"""),210.08)</f>
        <v>210.08</v>
      </c>
      <c r="D3402" s="1">
        <f>IFERROR(__xludf.DUMMYFUNCTION("""COMPUTED_VALUE"""),202.9)</f>
        <v>202.9</v>
      </c>
      <c r="E3402" s="1">
        <f>IFERROR(__xludf.DUMMYFUNCTION("""COMPUTED_VALUE"""),208.8)</f>
        <v>208.8</v>
      </c>
      <c r="F3402" s="1">
        <f>IFERROR(__xludf.DUMMYFUNCTION("""COMPUTED_VALUE"""),401235.0)</f>
        <v>401235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IFERROR(__xludf.DUMMYFUNCTION("""COMPUTED_VALUE"""),208.53)</f>
        <v>208.53</v>
      </c>
      <c r="C3403" s="1">
        <f>IFERROR(__xludf.DUMMYFUNCTION("""COMPUTED_VALUE"""),210.55)</f>
        <v>210.55</v>
      </c>
      <c r="D3403" s="1">
        <f>IFERROR(__xludf.DUMMYFUNCTION("""COMPUTED_VALUE"""),204.66)</f>
        <v>204.66</v>
      </c>
      <c r="E3403" s="1">
        <f>IFERROR(__xludf.DUMMYFUNCTION("""COMPUTED_VALUE"""),208.31)</f>
        <v>208.31</v>
      </c>
      <c r="F3403" s="1">
        <f>IFERROR(__xludf.DUMMYFUNCTION("""COMPUTED_VALUE"""),362218.0)</f>
        <v>362218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IFERROR(__xludf.DUMMYFUNCTION("""COMPUTED_VALUE"""),212.39)</f>
        <v>212.39</v>
      </c>
      <c r="C3404" s="1">
        <f>IFERROR(__xludf.DUMMYFUNCTION("""COMPUTED_VALUE"""),212.82)</f>
        <v>212.82</v>
      </c>
      <c r="D3404" s="1">
        <f>IFERROR(__xludf.DUMMYFUNCTION("""COMPUTED_VALUE"""),209.93)</f>
        <v>209.93</v>
      </c>
      <c r="E3404" s="1">
        <f>IFERROR(__xludf.DUMMYFUNCTION("""COMPUTED_VALUE"""),211.0)</f>
        <v>211</v>
      </c>
      <c r="F3404" s="1">
        <f>IFERROR(__xludf.DUMMYFUNCTION("""COMPUTED_VALUE"""),197760.0)</f>
        <v>197760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IFERROR(__xludf.DUMMYFUNCTION("""COMPUTED_VALUE"""),211.45)</f>
        <v>211.45</v>
      </c>
      <c r="C3405" s="1">
        <f>IFERROR(__xludf.DUMMYFUNCTION("""COMPUTED_VALUE"""),211.63)</f>
        <v>211.63</v>
      </c>
      <c r="D3405" s="1">
        <f>IFERROR(__xludf.DUMMYFUNCTION("""COMPUTED_VALUE"""),208.23)</f>
        <v>208.23</v>
      </c>
      <c r="E3405" s="1">
        <f>IFERROR(__xludf.DUMMYFUNCTION("""COMPUTED_VALUE"""),209.16)</f>
        <v>209.16</v>
      </c>
      <c r="F3405" s="1">
        <f>IFERROR(__xludf.DUMMYFUNCTION("""COMPUTED_VALUE"""),343815.0)</f>
        <v>343815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IFERROR(__xludf.DUMMYFUNCTION("""COMPUTED_VALUE"""),209.31)</f>
        <v>209.31</v>
      </c>
      <c r="C3406" s="1">
        <f>IFERROR(__xludf.DUMMYFUNCTION("""COMPUTED_VALUE"""),209.98)</f>
        <v>209.98</v>
      </c>
      <c r="D3406" s="1">
        <f>IFERROR(__xludf.DUMMYFUNCTION("""COMPUTED_VALUE"""),207.33)</f>
        <v>207.33</v>
      </c>
      <c r="E3406" s="1">
        <f>IFERROR(__xludf.DUMMYFUNCTION("""COMPUTED_VALUE"""),207.56)</f>
        <v>207.56</v>
      </c>
      <c r="F3406" s="1">
        <f>IFERROR(__xludf.DUMMYFUNCTION("""COMPUTED_VALUE"""),305335.0)</f>
        <v>305335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IFERROR(__xludf.DUMMYFUNCTION("""COMPUTED_VALUE"""),207.65)</f>
        <v>207.65</v>
      </c>
      <c r="C3407" s="1">
        <f>IFERROR(__xludf.DUMMYFUNCTION("""COMPUTED_VALUE"""),210.16)</f>
        <v>210.16</v>
      </c>
      <c r="D3407" s="1">
        <f>IFERROR(__xludf.DUMMYFUNCTION("""COMPUTED_VALUE"""),204.26)</f>
        <v>204.26</v>
      </c>
      <c r="E3407" s="1">
        <f>IFERROR(__xludf.DUMMYFUNCTION("""COMPUTED_VALUE"""),209.34)</f>
        <v>209.34</v>
      </c>
      <c r="F3407" s="1">
        <f>IFERROR(__xludf.DUMMYFUNCTION("""COMPUTED_VALUE"""),316435.0)</f>
        <v>316435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IFERROR(__xludf.DUMMYFUNCTION("""COMPUTED_VALUE"""),208.5)</f>
        <v>208.5</v>
      </c>
      <c r="C3408" s="1">
        <f>IFERROR(__xludf.DUMMYFUNCTION("""COMPUTED_VALUE"""),208.5)</f>
        <v>208.5</v>
      </c>
      <c r="D3408" s="1">
        <f>IFERROR(__xludf.DUMMYFUNCTION("""COMPUTED_VALUE"""),200.5)</f>
        <v>200.5</v>
      </c>
      <c r="E3408" s="1">
        <f>IFERROR(__xludf.DUMMYFUNCTION("""COMPUTED_VALUE"""),201.34)</f>
        <v>201.34</v>
      </c>
      <c r="F3408" s="1">
        <f>IFERROR(__xludf.DUMMYFUNCTION("""COMPUTED_VALUE"""),858942.0)</f>
        <v>858942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IFERROR(__xludf.DUMMYFUNCTION("""COMPUTED_VALUE"""),201.82)</f>
        <v>201.82</v>
      </c>
      <c r="C3409" s="1">
        <f>IFERROR(__xludf.DUMMYFUNCTION("""COMPUTED_VALUE"""),205.1)</f>
        <v>205.1</v>
      </c>
      <c r="D3409" s="1">
        <f>IFERROR(__xludf.DUMMYFUNCTION("""COMPUTED_VALUE"""),201.68)</f>
        <v>201.68</v>
      </c>
      <c r="E3409" s="1">
        <f>IFERROR(__xludf.DUMMYFUNCTION("""COMPUTED_VALUE"""),204.02)</f>
        <v>204.02</v>
      </c>
      <c r="F3409" s="1">
        <f>IFERROR(__xludf.DUMMYFUNCTION("""COMPUTED_VALUE"""),776645.0)</f>
        <v>776645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IFERROR(__xludf.DUMMYFUNCTION("""COMPUTED_VALUE"""),205.39)</f>
        <v>205.39</v>
      </c>
      <c r="C3410" s="1">
        <f>IFERROR(__xludf.DUMMYFUNCTION("""COMPUTED_VALUE"""),205.39)</f>
        <v>205.39</v>
      </c>
      <c r="D3410" s="1">
        <f>IFERROR(__xludf.DUMMYFUNCTION("""COMPUTED_VALUE"""),202.14)</f>
        <v>202.14</v>
      </c>
      <c r="E3410" s="1">
        <f>IFERROR(__xludf.DUMMYFUNCTION("""COMPUTED_VALUE"""),203.99)</f>
        <v>203.99</v>
      </c>
      <c r="F3410" s="1">
        <f>IFERROR(__xludf.DUMMYFUNCTION("""COMPUTED_VALUE"""),321166.0)</f>
        <v>321166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IFERROR(__xludf.DUMMYFUNCTION("""COMPUTED_VALUE"""),202.02)</f>
        <v>202.02</v>
      </c>
      <c r="C3411" s="1">
        <f>IFERROR(__xludf.DUMMYFUNCTION("""COMPUTED_VALUE"""),207.23)</f>
        <v>207.23</v>
      </c>
      <c r="D3411" s="1">
        <f>IFERROR(__xludf.DUMMYFUNCTION("""COMPUTED_VALUE"""),197.55)</f>
        <v>197.55</v>
      </c>
      <c r="E3411" s="1">
        <f>IFERROR(__xludf.DUMMYFUNCTION("""COMPUTED_VALUE"""),206.38)</f>
        <v>206.38</v>
      </c>
      <c r="F3411" s="1">
        <f>IFERROR(__xludf.DUMMYFUNCTION("""COMPUTED_VALUE"""),688687.0)</f>
        <v>688687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IFERROR(__xludf.DUMMYFUNCTION("""COMPUTED_VALUE"""),201.88)</f>
        <v>201.88</v>
      </c>
      <c r="C3412" s="1">
        <f>IFERROR(__xludf.DUMMYFUNCTION("""COMPUTED_VALUE"""),207.32)</f>
        <v>207.32</v>
      </c>
      <c r="D3412" s="1">
        <f>IFERROR(__xludf.DUMMYFUNCTION("""COMPUTED_VALUE"""),201.88)</f>
        <v>201.88</v>
      </c>
      <c r="E3412" s="1">
        <f>IFERROR(__xludf.DUMMYFUNCTION("""COMPUTED_VALUE"""),207.25)</f>
        <v>207.25</v>
      </c>
      <c r="F3412" s="1">
        <f>IFERROR(__xludf.DUMMYFUNCTION("""COMPUTED_VALUE"""),285055.0)</f>
        <v>285055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IFERROR(__xludf.DUMMYFUNCTION("""COMPUTED_VALUE"""),205.1)</f>
        <v>205.1</v>
      </c>
      <c r="C3413" s="1">
        <f>IFERROR(__xludf.DUMMYFUNCTION("""COMPUTED_VALUE"""),212.38)</f>
        <v>212.38</v>
      </c>
      <c r="D3413" s="1">
        <f>IFERROR(__xludf.DUMMYFUNCTION("""COMPUTED_VALUE"""),205.1)</f>
        <v>205.1</v>
      </c>
      <c r="E3413" s="1">
        <f>IFERROR(__xludf.DUMMYFUNCTION("""COMPUTED_VALUE"""),211.07)</f>
        <v>211.07</v>
      </c>
      <c r="F3413" s="1">
        <f>IFERROR(__xludf.DUMMYFUNCTION("""COMPUTED_VALUE"""),407550.0)</f>
        <v>407550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IFERROR(__xludf.DUMMYFUNCTION("""COMPUTED_VALUE"""),211.27)</f>
        <v>211.27</v>
      </c>
      <c r="C3414" s="1">
        <f>IFERROR(__xludf.DUMMYFUNCTION("""COMPUTED_VALUE"""),213.99)</f>
        <v>213.99</v>
      </c>
      <c r="D3414" s="1">
        <f>IFERROR(__xludf.DUMMYFUNCTION("""COMPUTED_VALUE"""),209.24)</f>
        <v>209.24</v>
      </c>
      <c r="E3414" s="1">
        <f>IFERROR(__xludf.DUMMYFUNCTION("""COMPUTED_VALUE"""),213.03)</f>
        <v>213.03</v>
      </c>
      <c r="F3414" s="1">
        <f>IFERROR(__xludf.DUMMYFUNCTION("""COMPUTED_VALUE"""),497936.0)</f>
        <v>497936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IFERROR(__xludf.DUMMYFUNCTION("""COMPUTED_VALUE"""),214.0)</f>
        <v>214</v>
      </c>
      <c r="C3415" s="1">
        <f>IFERROR(__xludf.DUMMYFUNCTION("""COMPUTED_VALUE"""),215.43)</f>
        <v>215.43</v>
      </c>
      <c r="D3415" s="1">
        <f>IFERROR(__xludf.DUMMYFUNCTION("""COMPUTED_VALUE"""),208.06)</f>
        <v>208.06</v>
      </c>
      <c r="E3415" s="1">
        <f>IFERROR(__xludf.DUMMYFUNCTION("""COMPUTED_VALUE"""),208.51)</f>
        <v>208.51</v>
      </c>
      <c r="F3415" s="1">
        <f>IFERROR(__xludf.DUMMYFUNCTION("""COMPUTED_VALUE"""),278149.0)</f>
        <v>278149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IFERROR(__xludf.DUMMYFUNCTION("""COMPUTED_VALUE"""),211.24)</f>
        <v>211.24</v>
      </c>
      <c r="C3416" s="1">
        <f>IFERROR(__xludf.DUMMYFUNCTION("""COMPUTED_VALUE"""),211.48)</f>
        <v>211.48</v>
      </c>
      <c r="D3416" s="1">
        <f>IFERROR(__xludf.DUMMYFUNCTION("""COMPUTED_VALUE"""),205.86)</f>
        <v>205.86</v>
      </c>
      <c r="E3416" s="1">
        <f>IFERROR(__xludf.DUMMYFUNCTION("""COMPUTED_VALUE"""),210.49)</f>
        <v>210.49</v>
      </c>
      <c r="F3416" s="1">
        <f>IFERROR(__xludf.DUMMYFUNCTION("""COMPUTED_VALUE"""),408949.0)</f>
        <v>408949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IFERROR(__xludf.DUMMYFUNCTION("""COMPUTED_VALUE"""),210.91)</f>
        <v>210.91</v>
      </c>
      <c r="C3417" s="1">
        <f>IFERROR(__xludf.DUMMYFUNCTION("""COMPUTED_VALUE"""),212.98)</f>
        <v>212.98</v>
      </c>
      <c r="D3417" s="1">
        <f>IFERROR(__xludf.DUMMYFUNCTION("""COMPUTED_VALUE"""),209.31)</f>
        <v>209.31</v>
      </c>
      <c r="E3417" s="1">
        <f>IFERROR(__xludf.DUMMYFUNCTION("""COMPUTED_VALUE"""),209.54)</f>
        <v>209.54</v>
      </c>
      <c r="F3417" s="1">
        <f>IFERROR(__xludf.DUMMYFUNCTION("""COMPUTED_VALUE"""),317243.0)</f>
        <v>317243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IFERROR(__xludf.DUMMYFUNCTION("""COMPUTED_VALUE"""),208.0)</f>
        <v>208</v>
      </c>
      <c r="C3418" s="1">
        <f>IFERROR(__xludf.DUMMYFUNCTION("""COMPUTED_VALUE"""),210.71)</f>
        <v>210.71</v>
      </c>
      <c r="D3418" s="1">
        <f>IFERROR(__xludf.DUMMYFUNCTION("""COMPUTED_VALUE"""),206.81)</f>
        <v>206.81</v>
      </c>
      <c r="E3418" s="1">
        <f>IFERROR(__xludf.DUMMYFUNCTION("""COMPUTED_VALUE"""),209.31)</f>
        <v>209.31</v>
      </c>
      <c r="F3418" s="1">
        <f>IFERROR(__xludf.DUMMYFUNCTION("""COMPUTED_VALUE"""),263807.0)</f>
        <v>263807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IFERROR(__xludf.DUMMYFUNCTION("""COMPUTED_VALUE"""),207.62)</f>
        <v>207.62</v>
      </c>
      <c r="C3419" s="1">
        <f>IFERROR(__xludf.DUMMYFUNCTION("""COMPUTED_VALUE"""),208.5)</f>
        <v>208.5</v>
      </c>
      <c r="D3419" s="1">
        <f>IFERROR(__xludf.DUMMYFUNCTION("""COMPUTED_VALUE"""),204.24)</f>
        <v>204.24</v>
      </c>
      <c r="E3419" s="1">
        <f>IFERROR(__xludf.DUMMYFUNCTION("""COMPUTED_VALUE"""),206.01)</f>
        <v>206.01</v>
      </c>
      <c r="F3419" s="1">
        <f>IFERROR(__xludf.DUMMYFUNCTION("""COMPUTED_VALUE"""),383104.0)</f>
        <v>383104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IFERROR(__xludf.DUMMYFUNCTION("""COMPUTED_VALUE"""),205.88)</f>
        <v>205.88</v>
      </c>
      <c r="C3420" s="1">
        <f>IFERROR(__xludf.DUMMYFUNCTION("""COMPUTED_VALUE"""),206.32)</f>
        <v>206.32</v>
      </c>
      <c r="D3420" s="1">
        <f>IFERROR(__xludf.DUMMYFUNCTION("""COMPUTED_VALUE"""),201.52)</f>
        <v>201.52</v>
      </c>
      <c r="E3420" s="1">
        <f>IFERROR(__xludf.DUMMYFUNCTION("""COMPUTED_VALUE"""),201.54)</f>
        <v>201.54</v>
      </c>
      <c r="F3420" s="1">
        <f>IFERROR(__xludf.DUMMYFUNCTION("""COMPUTED_VALUE"""),627756.0)</f>
        <v>627756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IFERROR(__xludf.DUMMYFUNCTION("""COMPUTED_VALUE"""),201.67)</f>
        <v>201.67</v>
      </c>
      <c r="C3421" s="1">
        <f>IFERROR(__xludf.DUMMYFUNCTION("""COMPUTED_VALUE"""),209.22)</f>
        <v>209.22</v>
      </c>
      <c r="D3421" s="1">
        <f>IFERROR(__xludf.DUMMYFUNCTION("""COMPUTED_VALUE"""),201.03)</f>
        <v>201.03</v>
      </c>
      <c r="E3421" s="1">
        <f>IFERROR(__xludf.DUMMYFUNCTION("""COMPUTED_VALUE"""),206.9)</f>
        <v>206.9</v>
      </c>
      <c r="F3421" s="1">
        <f>IFERROR(__xludf.DUMMYFUNCTION("""COMPUTED_VALUE"""),678122.0)</f>
        <v>678122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IFERROR(__xludf.DUMMYFUNCTION("""COMPUTED_VALUE"""),207.1)</f>
        <v>207.1</v>
      </c>
      <c r="C3422" s="1">
        <f>IFERROR(__xludf.DUMMYFUNCTION("""COMPUTED_VALUE"""),208.0)</f>
        <v>208</v>
      </c>
      <c r="D3422" s="1">
        <f>IFERROR(__xludf.DUMMYFUNCTION("""COMPUTED_VALUE"""),204.12)</f>
        <v>204.12</v>
      </c>
      <c r="E3422" s="1">
        <f>IFERROR(__xludf.DUMMYFUNCTION("""COMPUTED_VALUE"""),205.28)</f>
        <v>205.28</v>
      </c>
      <c r="F3422" s="1">
        <f>IFERROR(__xludf.DUMMYFUNCTION("""COMPUTED_VALUE"""),616710.0)</f>
        <v>616710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IFERROR(__xludf.DUMMYFUNCTION("""COMPUTED_VALUE"""),203.85)</f>
        <v>203.85</v>
      </c>
      <c r="C3423" s="1">
        <f>IFERROR(__xludf.DUMMYFUNCTION("""COMPUTED_VALUE"""),206.62)</f>
        <v>206.62</v>
      </c>
      <c r="D3423" s="1">
        <f>IFERROR(__xludf.DUMMYFUNCTION("""COMPUTED_VALUE"""),201.92)</f>
        <v>201.92</v>
      </c>
      <c r="E3423" s="1">
        <f>IFERROR(__xludf.DUMMYFUNCTION("""COMPUTED_VALUE"""),206.24)</f>
        <v>206.24</v>
      </c>
      <c r="F3423" s="1">
        <f>IFERROR(__xludf.DUMMYFUNCTION("""COMPUTED_VALUE"""),573793.0)</f>
        <v>573793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IFERROR(__xludf.DUMMYFUNCTION("""COMPUTED_VALUE"""),212.27)</f>
        <v>212.27</v>
      </c>
      <c r="C3424" s="1">
        <f>IFERROR(__xludf.DUMMYFUNCTION("""COMPUTED_VALUE"""),218.83)</f>
        <v>218.83</v>
      </c>
      <c r="D3424" s="1">
        <f>IFERROR(__xludf.DUMMYFUNCTION("""COMPUTED_VALUE"""),210.98)</f>
        <v>210.98</v>
      </c>
      <c r="E3424" s="1">
        <f>IFERROR(__xludf.DUMMYFUNCTION("""COMPUTED_VALUE"""),215.8)</f>
        <v>215.8</v>
      </c>
      <c r="F3424" s="1">
        <f>IFERROR(__xludf.DUMMYFUNCTION("""COMPUTED_VALUE"""),958603.0)</f>
        <v>958603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IFERROR(__xludf.DUMMYFUNCTION("""COMPUTED_VALUE"""),216.02)</f>
        <v>216.02</v>
      </c>
      <c r="C3425" s="1">
        <f>IFERROR(__xludf.DUMMYFUNCTION("""COMPUTED_VALUE"""),217.81)</f>
        <v>217.81</v>
      </c>
      <c r="D3425" s="1">
        <f>IFERROR(__xludf.DUMMYFUNCTION("""COMPUTED_VALUE"""),214.0)</f>
        <v>214</v>
      </c>
      <c r="E3425" s="1">
        <f>IFERROR(__xludf.DUMMYFUNCTION("""COMPUTED_VALUE"""),217.61)</f>
        <v>217.61</v>
      </c>
      <c r="F3425" s="1">
        <f>IFERROR(__xludf.DUMMYFUNCTION("""COMPUTED_VALUE"""),775877.0)</f>
        <v>775877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IFERROR(__xludf.DUMMYFUNCTION("""COMPUTED_VALUE"""),217.34)</f>
        <v>217.34</v>
      </c>
      <c r="C3426" s="1">
        <f>IFERROR(__xludf.DUMMYFUNCTION("""COMPUTED_VALUE"""),217.72)</f>
        <v>217.72</v>
      </c>
      <c r="D3426" s="1">
        <f>IFERROR(__xludf.DUMMYFUNCTION("""COMPUTED_VALUE"""),212.55)</f>
        <v>212.55</v>
      </c>
      <c r="E3426" s="1">
        <f>IFERROR(__xludf.DUMMYFUNCTION("""COMPUTED_VALUE"""),214.46)</f>
        <v>214.46</v>
      </c>
      <c r="F3426" s="1">
        <f>IFERROR(__xludf.DUMMYFUNCTION("""COMPUTED_VALUE"""),491627.0)</f>
        <v>491627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IFERROR(__xludf.DUMMYFUNCTION("""COMPUTED_VALUE"""),212.62)</f>
        <v>212.62</v>
      </c>
      <c r="C3427" s="1">
        <f>IFERROR(__xludf.DUMMYFUNCTION("""COMPUTED_VALUE"""),217.31)</f>
        <v>217.31</v>
      </c>
      <c r="D3427" s="1">
        <f>IFERROR(__xludf.DUMMYFUNCTION("""COMPUTED_VALUE"""),212.62)</f>
        <v>212.62</v>
      </c>
      <c r="E3427" s="1">
        <f>IFERROR(__xludf.DUMMYFUNCTION("""COMPUTED_VALUE"""),216.9)</f>
        <v>216.9</v>
      </c>
      <c r="F3427" s="1">
        <f>IFERROR(__xludf.DUMMYFUNCTION("""COMPUTED_VALUE"""),340305.0)</f>
        <v>340305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IFERROR(__xludf.DUMMYFUNCTION("""COMPUTED_VALUE"""),215.48)</f>
        <v>215.48</v>
      </c>
      <c r="C3428" s="1">
        <f>IFERROR(__xludf.DUMMYFUNCTION("""COMPUTED_VALUE"""),216.27)</f>
        <v>216.27</v>
      </c>
      <c r="D3428" s="1">
        <f>IFERROR(__xludf.DUMMYFUNCTION("""COMPUTED_VALUE"""),209.46)</f>
        <v>209.46</v>
      </c>
      <c r="E3428" s="1">
        <f>IFERROR(__xludf.DUMMYFUNCTION("""COMPUTED_VALUE"""),210.07)</f>
        <v>210.07</v>
      </c>
      <c r="F3428" s="1">
        <f>IFERROR(__xludf.DUMMYFUNCTION("""COMPUTED_VALUE"""),556916.0)</f>
        <v>556916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IFERROR(__xludf.DUMMYFUNCTION("""COMPUTED_VALUE"""),207.89)</f>
        <v>207.89</v>
      </c>
      <c r="C3429" s="1">
        <f>IFERROR(__xludf.DUMMYFUNCTION("""COMPUTED_VALUE"""),208.75)</f>
        <v>208.75</v>
      </c>
      <c r="D3429" s="1">
        <f>IFERROR(__xludf.DUMMYFUNCTION("""COMPUTED_VALUE"""),201.83)</f>
        <v>201.83</v>
      </c>
      <c r="E3429" s="1">
        <f>IFERROR(__xludf.DUMMYFUNCTION("""COMPUTED_VALUE"""),201.97)</f>
        <v>201.97</v>
      </c>
      <c r="F3429" s="1">
        <f>IFERROR(__xludf.DUMMYFUNCTION("""COMPUTED_VALUE"""),584310.0)</f>
        <v>584310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IFERROR(__xludf.DUMMYFUNCTION("""COMPUTED_VALUE"""),202.11)</f>
        <v>202.11</v>
      </c>
      <c r="C3430" s="1">
        <f>IFERROR(__xludf.DUMMYFUNCTION("""COMPUTED_VALUE"""),203.19)</f>
        <v>203.19</v>
      </c>
      <c r="D3430" s="1">
        <f>IFERROR(__xludf.DUMMYFUNCTION("""COMPUTED_VALUE"""),199.5)</f>
        <v>199.5</v>
      </c>
      <c r="E3430" s="1">
        <f>IFERROR(__xludf.DUMMYFUNCTION("""COMPUTED_VALUE"""),199.87)</f>
        <v>199.87</v>
      </c>
      <c r="F3430" s="1">
        <f>IFERROR(__xludf.DUMMYFUNCTION("""COMPUTED_VALUE"""),452304.0)</f>
        <v>452304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IFERROR(__xludf.DUMMYFUNCTION("""COMPUTED_VALUE"""),197.63)</f>
        <v>197.63</v>
      </c>
      <c r="C3431" s="1">
        <f>IFERROR(__xludf.DUMMYFUNCTION("""COMPUTED_VALUE"""),199.7)</f>
        <v>199.7</v>
      </c>
      <c r="D3431" s="1">
        <f>IFERROR(__xludf.DUMMYFUNCTION("""COMPUTED_VALUE"""),196.85)</f>
        <v>196.85</v>
      </c>
      <c r="E3431" s="1">
        <f>IFERROR(__xludf.DUMMYFUNCTION("""COMPUTED_VALUE"""),198.9)</f>
        <v>198.9</v>
      </c>
      <c r="F3431" s="1">
        <f>IFERROR(__xludf.DUMMYFUNCTION("""COMPUTED_VALUE"""),417535.0)</f>
        <v>417535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IFERROR(__xludf.DUMMYFUNCTION("""COMPUTED_VALUE"""),199.03)</f>
        <v>199.03</v>
      </c>
      <c r="C3432" s="1">
        <f>IFERROR(__xludf.DUMMYFUNCTION("""COMPUTED_VALUE"""),201.63)</f>
        <v>201.63</v>
      </c>
      <c r="D3432" s="1">
        <f>IFERROR(__xludf.DUMMYFUNCTION("""COMPUTED_VALUE"""),198.66)</f>
        <v>198.66</v>
      </c>
      <c r="E3432" s="1">
        <f>IFERROR(__xludf.DUMMYFUNCTION("""COMPUTED_VALUE"""),200.91)</f>
        <v>200.91</v>
      </c>
      <c r="F3432" s="1">
        <f>IFERROR(__xludf.DUMMYFUNCTION("""COMPUTED_VALUE"""),310069.0)</f>
        <v>310069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IFERROR(__xludf.DUMMYFUNCTION("""COMPUTED_VALUE"""),201.0)</f>
        <v>201</v>
      </c>
      <c r="C3433" s="1">
        <f>IFERROR(__xludf.DUMMYFUNCTION("""COMPUTED_VALUE"""),202.61)</f>
        <v>202.61</v>
      </c>
      <c r="D3433" s="1">
        <f>IFERROR(__xludf.DUMMYFUNCTION("""COMPUTED_VALUE"""),198.88)</f>
        <v>198.88</v>
      </c>
      <c r="E3433" s="1">
        <f>IFERROR(__xludf.DUMMYFUNCTION("""COMPUTED_VALUE"""),200.22)</f>
        <v>200.22</v>
      </c>
      <c r="F3433" s="1">
        <f>IFERROR(__xludf.DUMMYFUNCTION("""COMPUTED_VALUE"""),289786.0)</f>
        <v>289786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IFERROR(__xludf.DUMMYFUNCTION("""COMPUTED_VALUE"""),201.8)</f>
        <v>201.8</v>
      </c>
      <c r="C3434" s="1">
        <f>IFERROR(__xludf.DUMMYFUNCTION("""COMPUTED_VALUE"""),203.4)</f>
        <v>203.4</v>
      </c>
      <c r="D3434" s="1">
        <f>IFERROR(__xludf.DUMMYFUNCTION("""COMPUTED_VALUE"""),201.24)</f>
        <v>201.24</v>
      </c>
      <c r="E3434" s="1">
        <f>IFERROR(__xludf.DUMMYFUNCTION("""COMPUTED_VALUE"""),202.0)</f>
        <v>202</v>
      </c>
      <c r="F3434" s="1">
        <f>IFERROR(__xludf.DUMMYFUNCTION("""COMPUTED_VALUE"""),278649.0)</f>
        <v>278649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IFERROR(__xludf.DUMMYFUNCTION("""COMPUTED_VALUE"""),202.41)</f>
        <v>202.41</v>
      </c>
      <c r="C3435" s="1">
        <f>IFERROR(__xludf.DUMMYFUNCTION("""COMPUTED_VALUE"""),203.23)</f>
        <v>203.23</v>
      </c>
      <c r="D3435" s="1">
        <f>IFERROR(__xludf.DUMMYFUNCTION("""COMPUTED_VALUE"""),198.4)</f>
        <v>198.4</v>
      </c>
      <c r="E3435" s="1">
        <f>IFERROR(__xludf.DUMMYFUNCTION("""COMPUTED_VALUE"""),198.62)</f>
        <v>198.62</v>
      </c>
      <c r="F3435" s="1">
        <f>IFERROR(__xludf.DUMMYFUNCTION("""COMPUTED_VALUE"""),388792.0)</f>
        <v>388792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IFERROR(__xludf.DUMMYFUNCTION("""COMPUTED_VALUE"""),198.7)</f>
        <v>198.7</v>
      </c>
      <c r="C3436" s="1">
        <f>IFERROR(__xludf.DUMMYFUNCTION("""COMPUTED_VALUE"""),202.16)</f>
        <v>202.16</v>
      </c>
      <c r="D3436" s="1">
        <f>IFERROR(__xludf.DUMMYFUNCTION("""COMPUTED_VALUE"""),198.7)</f>
        <v>198.7</v>
      </c>
      <c r="E3436" s="1">
        <f>IFERROR(__xludf.DUMMYFUNCTION("""COMPUTED_VALUE"""),200.39)</f>
        <v>200.39</v>
      </c>
      <c r="F3436" s="1">
        <f>IFERROR(__xludf.DUMMYFUNCTION("""COMPUTED_VALUE"""),249285.0)</f>
        <v>249285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IFERROR(__xludf.DUMMYFUNCTION("""COMPUTED_VALUE"""),200.84)</f>
        <v>200.84</v>
      </c>
      <c r="C3437" s="1">
        <f>IFERROR(__xludf.DUMMYFUNCTION("""COMPUTED_VALUE"""),202.28)</f>
        <v>202.28</v>
      </c>
      <c r="D3437" s="1">
        <f>IFERROR(__xludf.DUMMYFUNCTION("""COMPUTED_VALUE"""),197.89)</f>
        <v>197.89</v>
      </c>
      <c r="E3437" s="1">
        <f>IFERROR(__xludf.DUMMYFUNCTION("""COMPUTED_VALUE"""),198.76)</f>
        <v>198.76</v>
      </c>
      <c r="F3437" s="1">
        <f>IFERROR(__xludf.DUMMYFUNCTION("""COMPUTED_VALUE"""),317785.0)</f>
        <v>317785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IFERROR(__xludf.DUMMYFUNCTION("""COMPUTED_VALUE"""),199.71)</f>
        <v>199.71</v>
      </c>
      <c r="C3438" s="1">
        <f>IFERROR(__xludf.DUMMYFUNCTION("""COMPUTED_VALUE"""),204.33)</f>
        <v>204.33</v>
      </c>
      <c r="D3438" s="1">
        <f>IFERROR(__xludf.DUMMYFUNCTION("""COMPUTED_VALUE"""),198.96)</f>
        <v>198.96</v>
      </c>
      <c r="E3438" s="1">
        <f>IFERROR(__xludf.DUMMYFUNCTION("""COMPUTED_VALUE"""),203.89)</f>
        <v>203.89</v>
      </c>
      <c r="F3438" s="1">
        <f>IFERROR(__xludf.DUMMYFUNCTION("""COMPUTED_VALUE"""),290203.0)</f>
        <v>290203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IFERROR(__xludf.DUMMYFUNCTION("""COMPUTED_VALUE"""),204.63)</f>
        <v>204.63</v>
      </c>
      <c r="C3439" s="1">
        <f>IFERROR(__xludf.DUMMYFUNCTION("""COMPUTED_VALUE"""),210.9)</f>
        <v>210.9</v>
      </c>
      <c r="D3439" s="1">
        <f>IFERROR(__xludf.DUMMYFUNCTION("""COMPUTED_VALUE"""),204.63)</f>
        <v>204.63</v>
      </c>
      <c r="E3439" s="1">
        <f>IFERROR(__xludf.DUMMYFUNCTION("""COMPUTED_VALUE"""),209.68)</f>
        <v>209.68</v>
      </c>
      <c r="F3439" s="1">
        <f>IFERROR(__xludf.DUMMYFUNCTION("""COMPUTED_VALUE"""),354918.0)</f>
        <v>354918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IFERROR(__xludf.DUMMYFUNCTION("""COMPUTED_VALUE"""),209.7)</f>
        <v>209.7</v>
      </c>
      <c r="C3440" s="1">
        <f>IFERROR(__xludf.DUMMYFUNCTION("""COMPUTED_VALUE"""),211.25)</f>
        <v>211.25</v>
      </c>
      <c r="D3440" s="1">
        <f>IFERROR(__xludf.DUMMYFUNCTION("""COMPUTED_VALUE"""),206.56)</f>
        <v>206.56</v>
      </c>
      <c r="E3440" s="1">
        <f>IFERROR(__xludf.DUMMYFUNCTION("""COMPUTED_VALUE"""),206.82)</f>
        <v>206.82</v>
      </c>
      <c r="F3440" s="1">
        <f>IFERROR(__xludf.DUMMYFUNCTION("""COMPUTED_VALUE"""),400377.0)</f>
        <v>400377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IFERROR(__xludf.DUMMYFUNCTION("""COMPUTED_VALUE"""),209.35)</f>
        <v>209.35</v>
      </c>
      <c r="C3441" s="1">
        <f>IFERROR(__xludf.DUMMYFUNCTION("""COMPUTED_VALUE"""),210.39)</f>
        <v>210.39</v>
      </c>
      <c r="D3441" s="1">
        <f>IFERROR(__xludf.DUMMYFUNCTION("""COMPUTED_VALUE"""),206.93)</f>
        <v>206.93</v>
      </c>
      <c r="E3441" s="1">
        <f>IFERROR(__xludf.DUMMYFUNCTION("""COMPUTED_VALUE"""),209.62)</f>
        <v>209.62</v>
      </c>
      <c r="F3441" s="1">
        <f>IFERROR(__xludf.DUMMYFUNCTION("""COMPUTED_VALUE"""),282440.0)</f>
        <v>282440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IFERROR(__xludf.DUMMYFUNCTION("""COMPUTED_VALUE"""),209.06)</f>
        <v>209.06</v>
      </c>
      <c r="C3442" s="1">
        <f>IFERROR(__xludf.DUMMYFUNCTION("""COMPUTED_VALUE"""),209.06)</f>
        <v>209.06</v>
      </c>
      <c r="D3442" s="1">
        <f>IFERROR(__xludf.DUMMYFUNCTION("""COMPUTED_VALUE"""),204.2)</f>
        <v>204.2</v>
      </c>
      <c r="E3442" s="1">
        <f>IFERROR(__xludf.DUMMYFUNCTION("""COMPUTED_VALUE"""),204.29)</f>
        <v>204.29</v>
      </c>
      <c r="F3442" s="1">
        <f>IFERROR(__xludf.DUMMYFUNCTION("""COMPUTED_VALUE"""),371073.0)</f>
        <v>371073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IFERROR(__xludf.DUMMYFUNCTION("""COMPUTED_VALUE"""),204.05)</f>
        <v>204.05</v>
      </c>
      <c r="C3443" s="1">
        <f>IFERROR(__xludf.DUMMYFUNCTION("""COMPUTED_VALUE"""),206.14)</f>
        <v>206.14</v>
      </c>
      <c r="D3443" s="1">
        <f>IFERROR(__xludf.DUMMYFUNCTION("""COMPUTED_VALUE"""),203.56)</f>
        <v>203.56</v>
      </c>
      <c r="E3443" s="1">
        <f>IFERROR(__xludf.DUMMYFUNCTION("""COMPUTED_VALUE"""),204.44)</f>
        <v>204.44</v>
      </c>
      <c r="F3443" s="1">
        <f>IFERROR(__xludf.DUMMYFUNCTION("""COMPUTED_VALUE"""),263113.0)</f>
        <v>263113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IFERROR(__xludf.DUMMYFUNCTION("""COMPUTED_VALUE"""),202.56)</f>
        <v>202.56</v>
      </c>
      <c r="C3444" s="1">
        <f>IFERROR(__xludf.DUMMYFUNCTION("""COMPUTED_VALUE"""),205.34)</f>
        <v>205.34</v>
      </c>
      <c r="D3444" s="1">
        <f>IFERROR(__xludf.DUMMYFUNCTION("""COMPUTED_VALUE"""),201.81)</f>
        <v>201.81</v>
      </c>
      <c r="E3444" s="1">
        <f>IFERROR(__xludf.DUMMYFUNCTION("""COMPUTED_VALUE"""),204.39)</f>
        <v>204.39</v>
      </c>
      <c r="F3444" s="1">
        <f>IFERROR(__xludf.DUMMYFUNCTION("""COMPUTED_VALUE"""),367470.0)</f>
        <v>367470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IFERROR(__xludf.DUMMYFUNCTION("""COMPUTED_VALUE"""),203.59)</f>
        <v>203.59</v>
      </c>
      <c r="C3445" s="1">
        <f>IFERROR(__xludf.DUMMYFUNCTION("""COMPUTED_VALUE"""),204.08)</f>
        <v>204.08</v>
      </c>
      <c r="D3445" s="1">
        <f>IFERROR(__xludf.DUMMYFUNCTION("""COMPUTED_VALUE"""),198.61)</f>
        <v>198.61</v>
      </c>
      <c r="E3445" s="1">
        <f>IFERROR(__xludf.DUMMYFUNCTION("""COMPUTED_VALUE"""),199.74)</f>
        <v>199.74</v>
      </c>
      <c r="F3445" s="1">
        <f>IFERROR(__xludf.DUMMYFUNCTION("""COMPUTED_VALUE"""),555869.0)</f>
        <v>555869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IFERROR(__xludf.DUMMYFUNCTION("""COMPUTED_VALUE"""),200.75)</f>
        <v>200.75</v>
      </c>
      <c r="C3446" s="1">
        <f>IFERROR(__xludf.DUMMYFUNCTION("""COMPUTED_VALUE"""),203.27)</f>
        <v>203.27</v>
      </c>
      <c r="D3446" s="1">
        <f>IFERROR(__xludf.DUMMYFUNCTION("""COMPUTED_VALUE"""),199.54)</f>
        <v>199.54</v>
      </c>
      <c r="E3446" s="1">
        <f>IFERROR(__xludf.DUMMYFUNCTION("""COMPUTED_VALUE"""),199.66)</f>
        <v>199.66</v>
      </c>
      <c r="F3446" s="1">
        <f>IFERROR(__xludf.DUMMYFUNCTION("""COMPUTED_VALUE"""),419365.0)</f>
        <v>419365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IFERROR(__xludf.DUMMYFUNCTION("""COMPUTED_VALUE"""),198.88)</f>
        <v>198.88</v>
      </c>
      <c r="C3447" s="1">
        <f>IFERROR(__xludf.DUMMYFUNCTION("""COMPUTED_VALUE"""),199.92)</f>
        <v>199.92</v>
      </c>
      <c r="D3447" s="1">
        <f>IFERROR(__xludf.DUMMYFUNCTION("""COMPUTED_VALUE"""),195.04)</f>
        <v>195.04</v>
      </c>
      <c r="E3447" s="1">
        <f>IFERROR(__xludf.DUMMYFUNCTION("""COMPUTED_VALUE"""),197.11)</f>
        <v>197.11</v>
      </c>
      <c r="F3447" s="1">
        <f>IFERROR(__xludf.DUMMYFUNCTION("""COMPUTED_VALUE"""),519331.0)</f>
        <v>519331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IFERROR(__xludf.DUMMYFUNCTION("""COMPUTED_VALUE"""),195.06)</f>
        <v>195.06</v>
      </c>
      <c r="C3448" s="1">
        <f>IFERROR(__xludf.DUMMYFUNCTION("""COMPUTED_VALUE"""),205.03)</f>
        <v>205.03</v>
      </c>
      <c r="D3448" s="1">
        <f>IFERROR(__xludf.DUMMYFUNCTION("""COMPUTED_VALUE"""),195.06)</f>
        <v>195.06</v>
      </c>
      <c r="E3448" s="1">
        <f>IFERROR(__xludf.DUMMYFUNCTION("""COMPUTED_VALUE"""),203.61)</f>
        <v>203.61</v>
      </c>
      <c r="F3448" s="1">
        <f>IFERROR(__xludf.DUMMYFUNCTION("""COMPUTED_VALUE"""),619955.0)</f>
        <v>619955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IFERROR(__xludf.DUMMYFUNCTION("""COMPUTED_VALUE"""),205.85)</f>
        <v>205.85</v>
      </c>
      <c r="C3449" s="1">
        <f>IFERROR(__xludf.DUMMYFUNCTION("""COMPUTED_VALUE"""),208.15)</f>
        <v>208.15</v>
      </c>
      <c r="D3449" s="1">
        <f>IFERROR(__xludf.DUMMYFUNCTION("""COMPUTED_VALUE"""),201.7)</f>
        <v>201.7</v>
      </c>
      <c r="E3449" s="1">
        <f>IFERROR(__xludf.DUMMYFUNCTION("""COMPUTED_VALUE"""),207.76)</f>
        <v>207.76</v>
      </c>
      <c r="F3449" s="1">
        <f>IFERROR(__xludf.DUMMYFUNCTION("""COMPUTED_VALUE"""),543856.0)</f>
        <v>543856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IFERROR(__xludf.DUMMYFUNCTION("""COMPUTED_VALUE"""),207.31)</f>
        <v>207.31</v>
      </c>
      <c r="C3450" s="1">
        <f>IFERROR(__xludf.DUMMYFUNCTION("""COMPUTED_VALUE"""),212.6)</f>
        <v>212.6</v>
      </c>
      <c r="D3450" s="1">
        <f>IFERROR(__xludf.DUMMYFUNCTION("""COMPUTED_VALUE"""),205.72)</f>
        <v>205.72</v>
      </c>
      <c r="E3450" s="1">
        <f>IFERROR(__xludf.DUMMYFUNCTION("""COMPUTED_VALUE"""),207.88)</f>
        <v>207.88</v>
      </c>
      <c r="F3450" s="1">
        <f>IFERROR(__xludf.DUMMYFUNCTION("""COMPUTED_VALUE"""),628936.0)</f>
        <v>628936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IFERROR(__xludf.DUMMYFUNCTION("""COMPUTED_VALUE"""),207.37)</f>
        <v>207.37</v>
      </c>
      <c r="C3451" s="1">
        <f>IFERROR(__xludf.DUMMYFUNCTION("""COMPUTED_VALUE"""),211.98)</f>
        <v>211.98</v>
      </c>
      <c r="D3451" s="1">
        <f>IFERROR(__xludf.DUMMYFUNCTION("""COMPUTED_VALUE"""),205.99)</f>
        <v>205.99</v>
      </c>
      <c r="E3451" s="1">
        <f>IFERROR(__xludf.DUMMYFUNCTION("""COMPUTED_VALUE"""),210.57)</f>
        <v>210.57</v>
      </c>
      <c r="F3451" s="1">
        <f>IFERROR(__xludf.DUMMYFUNCTION("""COMPUTED_VALUE"""),667224.0)</f>
        <v>667224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IFERROR(__xludf.DUMMYFUNCTION("""COMPUTED_VALUE"""),209.89)</f>
        <v>209.89</v>
      </c>
      <c r="C3452" s="1">
        <f>IFERROR(__xludf.DUMMYFUNCTION("""COMPUTED_VALUE"""),211.21)</f>
        <v>211.21</v>
      </c>
      <c r="D3452" s="1">
        <f>IFERROR(__xludf.DUMMYFUNCTION("""COMPUTED_VALUE"""),208.46)</f>
        <v>208.46</v>
      </c>
      <c r="E3452" s="1">
        <f>IFERROR(__xludf.DUMMYFUNCTION("""COMPUTED_VALUE"""),208.53)</f>
        <v>208.53</v>
      </c>
      <c r="F3452" s="1">
        <f>IFERROR(__xludf.DUMMYFUNCTION("""COMPUTED_VALUE"""),775478.0)</f>
        <v>775478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IFERROR(__xludf.DUMMYFUNCTION("""COMPUTED_VALUE"""),210.2)</f>
        <v>210.2</v>
      </c>
      <c r="C3453" s="1">
        <f>IFERROR(__xludf.DUMMYFUNCTION("""COMPUTED_VALUE"""),213.04)</f>
        <v>213.04</v>
      </c>
      <c r="D3453" s="1">
        <f>IFERROR(__xludf.DUMMYFUNCTION("""COMPUTED_VALUE"""),207.88)</f>
        <v>207.88</v>
      </c>
      <c r="E3453" s="1">
        <f>IFERROR(__xludf.DUMMYFUNCTION("""COMPUTED_VALUE"""),208.63)</f>
        <v>208.63</v>
      </c>
      <c r="F3453" s="1">
        <f>IFERROR(__xludf.DUMMYFUNCTION("""COMPUTED_VALUE"""),725137.0)</f>
        <v>725137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IFERROR(__xludf.DUMMYFUNCTION("""COMPUTED_VALUE"""),205.0)</f>
        <v>205</v>
      </c>
      <c r="C3454" s="1">
        <f>IFERROR(__xludf.DUMMYFUNCTION("""COMPUTED_VALUE"""),205.0)</f>
        <v>205</v>
      </c>
      <c r="D3454" s="1">
        <f>IFERROR(__xludf.DUMMYFUNCTION("""COMPUTED_VALUE"""),193.58)</f>
        <v>193.58</v>
      </c>
      <c r="E3454" s="1">
        <f>IFERROR(__xludf.DUMMYFUNCTION("""COMPUTED_VALUE"""),198.15)</f>
        <v>198.15</v>
      </c>
      <c r="F3454" s="1">
        <f>IFERROR(__xludf.DUMMYFUNCTION("""COMPUTED_VALUE"""),1248457.0)</f>
        <v>1248457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IFERROR(__xludf.DUMMYFUNCTION("""COMPUTED_VALUE"""),196.07)</f>
        <v>196.07</v>
      </c>
      <c r="C3455" s="1">
        <f>IFERROR(__xludf.DUMMYFUNCTION("""COMPUTED_VALUE"""),202.72)</f>
        <v>202.72</v>
      </c>
      <c r="D3455" s="1">
        <f>IFERROR(__xludf.DUMMYFUNCTION("""COMPUTED_VALUE"""),192.4)</f>
        <v>192.4</v>
      </c>
      <c r="E3455" s="1">
        <f>IFERROR(__xludf.DUMMYFUNCTION("""COMPUTED_VALUE"""),199.62)</f>
        <v>199.62</v>
      </c>
      <c r="F3455" s="1">
        <f>IFERROR(__xludf.DUMMYFUNCTION("""COMPUTED_VALUE"""),765036.0)</f>
        <v>765036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IFERROR(__xludf.DUMMYFUNCTION("""COMPUTED_VALUE"""),198.26)</f>
        <v>198.26</v>
      </c>
      <c r="C3456" s="1">
        <f>IFERROR(__xludf.DUMMYFUNCTION("""COMPUTED_VALUE"""),199.0)</f>
        <v>199</v>
      </c>
      <c r="D3456" s="1">
        <f>IFERROR(__xludf.DUMMYFUNCTION("""COMPUTED_VALUE"""),196.14)</f>
        <v>196.14</v>
      </c>
      <c r="E3456" s="1">
        <f>IFERROR(__xludf.DUMMYFUNCTION("""COMPUTED_VALUE"""),197.57)</f>
        <v>197.57</v>
      </c>
      <c r="F3456" s="1">
        <f>IFERROR(__xludf.DUMMYFUNCTION("""COMPUTED_VALUE"""),395121.0)</f>
        <v>395121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IFERROR(__xludf.DUMMYFUNCTION("""COMPUTED_VALUE"""),196.55)</f>
        <v>196.55</v>
      </c>
      <c r="C3457" s="1">
        <f>IFERROR(__xludf.DUMMYFUNCTION("""COMPUTED_VALUE"""),197.98)</f>
        <v>197.98</v>
      </c>
      <c r="D3457" s="1">
        <f>IFERROR(__xludf.DUMMYFUNCTION("""COMPUTED_VALUE"""),194.2)</f>
        <v>194.2</v>
      </c>
      <c r="E3457" s="1">
        <f>IFERROR(__xludf.DUMMYFUNCTION("""COMPUTED_VALUE"""),194.44)</f>
        <v>194.44</v>
      </c>
      <c r="F3457" s="1">
        <f>IFERROR(__xludf.DUMMYFUNCTION("""COMPUTED_VALUE"""),337312.0)</f>
        <v>337312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IFERROR(__xludf.DUMMYFUNCTION("""COMPUTED_VALUE"""),195.07)</f>
        <v>195.07</v>
      </c>
      <c r="C3458" s="1">
        <f>IFERROR(__xludf.DUMMYFUNCTION("""COMPUTED_VALUE"""),195.27)</f>
        <v>195.27</v>
      </c>
      <c r="D3458" s="1">
        <f>IFERROR(__xludf.DUMMYFUNCTION("""COMPUTED_VALUE"""),191.1)</f>
        <v>191.1</v>
      </c>
      <c r="E3458" s="1">
        <f>IFERROR(__xludf.DUMMYFUNCTION("""COMPUTED_VALUE"""),194.94)</f>
        <v>194.94</v>
      </c>
      <c r="F3458" s="1">
        <f>IFERROR(__xludf.DUMMYFUNCTION("""COMPUTED_VALUE"""),403647.0)</f>
        <v>403647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IFERROR(__xludf.DUMMYFUNCTION("""COMPUTED_VALUE"""),194.06)</f>
        <v>194.06</v>
      </c>
      <c r="C3459" s="1">
        <f>IFERROR(__xludf.DUMMYFUNCTION("""COMPUTED_VALUE"""),196.76)</f>
        <v>196.76</v>
      </c>
      <c r="D3459" s="1">
        <f>IFERROR(__xludf.DUMMYFUNCTION("""COMPUTED_VALUE"""),192.75)</f>
        <v>192.75</v>
      </c>
      <c r="E3459" s="1">
        <f>IFERROR(__xludf.DUMMYFUNCTION("""COMPUTED_VALUE"""),195.31)</f>
        <v>195.31</v>
      </c>
      <c r="F3459" s="1">
        <f>IFERROR(__xludf.DUMMYFUNCTION("""COMPUTED_VALUE"""),433619.0)</f>
        <v>433619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IFERROR(__xludf.DUMMYFUNCTION("""COMPUTED_VALUE"""),198.04)</f>
        <v>198.04</v>
      </c>
      <c r="C3460" s="1">
        <f>IFERROR(__xludf.DUMMYFUNCTION("""COMPUTED_VALUE"""),198.9)</f>
        <v>198.9</v>
      </c>
      <c r="D3460" s="1">
        <f>IFERROR(__xludf.DUMMYFUNCTION("""COMPUTED_VALUE"""),195.47)</f>
        <v>195.47</v>
      </c>
      <c r="E3460" s="1">
        <f>IFERROR(__xludf.DUMMYFUNCTION("""COMPUTED_VALUE"""),195.98)</f>
        <v>195.98</v>
      </c>
      <c r="F3460" s="1">
        <f>IFERROR(__xludf.DUMMYFUNCTION("""COMPUTED_VALUE"""),365659.0)</f>
        <v>365659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IFERROR(__xludf.DUMMYFUNCTION("""COMPUTED_VALUE"""),195.42)</f>
        <v>195.42</v>
      </c>
      <c r="C3461" s="1">
        <f>IFERROR(__xludf.DUMMYFUNCTION("""COMPUTED_VALUE"""),195.42)</f>
        <v>195.42</v>
      </c>
      <c r="D3461" s="1">
        <f>IFERROR(__xludf.DUMMYFUNCTION("""COMPUTED_VALUE"""),191.0)</f>
        <v>191</v>
      </c>
      <c r="E3461" s="1">
        <f>IFERROR(__xludf.DUMMYFUNCTION("""COMPUTED_VALUE"""),193.39)</f>
        <v>193.39</v>
      </c>
      <c r="F3461" s="1">
        <f>IFERROR(__xludf.DUMMYFUNCTION("""COMPUTED_VALUE"""),524112.0)</f>
        <v>524112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IFERROR(__xludf.DUMMYFUNCTION("""COMPUTED_VALUE"""),191.59)</f>
        <v>191.59</v>
      </c>
      <c r="C3462" s="1">
        <f>IFERROR(__xludf.DUMMYFUNCTION("""COMPUTED_VALUE"""),193.01)</f>
        <v>193.01</v>
      </c>
      <c r="D3462" s="1">
        <f>IFERROR(__xludf.DUMMYFUNCTION("""COMPUTED_VALUE"""),190.59)</f>
        <v>190.59</v>
      </c>
      <c r="E3462" s="1">
        <f>IFERROR(__xludf.DUMMYFUNCTION("""COMPUTED_VALUE"""),191.68)</f>
        <v>191.68</v>
      </c>
      <c r="F3462" s="1">
        <f>IFERROR(__xludf.DUMMYFUNCTION("""COMPUTED_VALUE"""),317735.0)</f>
        <v>317735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IFERROR(__xludf.DUMMYFUNCTION("""COMPUTED_VALUE"""),192.42)</f>
        <v>192.42</v>
      </c>
      <c r="C3463" s="1">
        <f>IFERROR(__xludf.DUMMYFUNCTION("""COMPUTED_VALUE"""),193.76)</f>
        <v>193.76</v>
      </c>
      <c r="D3463" s="1">
        <f>IFERROR(__xludf.DUMMYFUNCTION("""COMPUTED_VALUE"""),187.01)</f>
        <v>187.01</v>
      </c>
      <c r="E3463" s="1">
        <f>IFERROR(__xludf.DUMMYFUNCTION("""COMPUTED_VALUE"""),190.9)</f>
        <v>190.9</v>
      </c>
      <c r="F3463" s="1">
        <f>IFERROR(__xludf.DUMMYFUNCTION("""COMPUTED_VALUE"""),415249.0)</f>
        <v>415249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IFERROR(__xludf.DUMMYFUNCTION("""COMPUTED_VALUE"""),189.87)</f>
        <v>189.87</v>
      </c>
      <c r="C3464" s="1">
        <f>IFERROR(__xludf.DUMMYFUNCTION("""COMPUTED_VALUE"""),192.3)</f>
        <v>192.3</v>
      </c>
      <c r="D3464" s="1">
        <f>IFERROR(__xludf.DUMMYFUNCTION("""COMPUTED_VALUE"""),187.25)</f>
        <v>187.25</v>
      </c>
      <c r="E3464" s="1">
        <f>IFERROR(__xludf.DUMMYFUNCTION("""COMPUTED_VALUE"""),191.15)</f>
        <v>191.15</v>
      </c>
      <c r="F3464" s="1">
        <f>IFERROR(__xludf.DUMMYFUNCTION("""COMPUTED_VALUE"""),481321.0)</f>
        <v>481321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IFERROR(__xludf.DUMMYFUNCTION("""COMPUTED_VALUE"""),189.64)</f>
        <v>189.64</v>
      </c>
      <c r="C3465" s="1">
        <f>IFERROR(__xludf.DUMMYFUNCTION("""COMPUTED_VALUE"""),195.56)</f>
        <v>195.56</v>
      </c>
      <c r="D3465" s="1">
        <f>IFERROR(__xludf.DUMMYFUNCTION("""COMPUTED_VALUE"""),188.79)</f>
        <v>188.79</v>
      </c>
      <c r="E3465" s="1">
        <f>IFERROR(__xludf.DUMMYFUNCTION("""COMPUTED_VALUE"""),193.46)</f>
        <v>193.46</v>
      </c>
      <c r="F3465" s="1">
        <f>IFERROR(__xludf.DUMMYFUNCTION("""COMPUTED_VALUE"""),439199.0)</f>
        <v>439199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IFERROR(__xludf.DUMMYFUNCTION("""COMPUTED_VALUE"""),191.72)</f>
        <v>191.72</v>
      </c>
      <c r="C3466" s="1">
        <f>IFERROR(__xludf.DUMMYFUNCTION("""COMPUTED_VALUE"""),194.03)</f>
        <v>194.03</v>
      </c>
      <c r="D3466" s="1">
        <f>IFERROR(__xludf.DUMMYFUNCTION("""COMPUTED_VALUE"""),190.93)</f>
        <v>190.93</v>
      </c>
      <c r="E3466" s="1">
        <f>IFERROR(__xludf.DUMMYFUNCTION("""COMPUTED_VALUE"""),193.07)</f>
        <v>193.07</v>
      </c>
      <c r="F3466" s="1">
        <f>IFERROR(__xludf.DUMMYFUNCTION("""COMPUTED_VALUE"""),227537.0)</f>
        <v>227537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IFERROR(__xludf.DUMMYFUNCTION("""COMPUTED_VALUE"""),193.44)</f>
        <v>193.44</v>
      </c>
      <c r="C3467" s="1">
        <f>IFERROR(__xludf.DUMMYFUNCTION("""COMPUTED_VALUE"""),197.67)</f>
        <v>197.67</v>
      </c>
      <c r="D3467" s="1">
        <f>IFERROR(__xludf.DUMMYFUNCTION("""COMPUTED_VALUE"""),192.8)</f>
        <v>192.8</v>
      </c>
      <c r="E3467" s="1">
        <f>IFERROR(__xludf.DUMMYFUNCTION("""COMPUTED_VALUE"""),195.63)</f>
        <v>195.63</v>
      </c>
      <c r="F3467" s="1">
        <f>IFERROR(__xludf.DUMMYFUNCTION("""COMPUTED_VALUE"""),279742.0)</f>
        <v>279742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IFERROR(__xludf.DUMMYFUNCTION("""COMPUTED_VALUE"""),195.98)</f>
        <v>195.98</v>
      </c>
      <c r="C3468" s="1">
        <f>IFERROR(__xludf.DUMMYFUNCTION("""COMPUTED_VALUE"""),197.41)</f>
        <v>197.41</v>
      </c>
      <c r="D3468" s="1">
        <f>IFERROR(__xludf.DUMMYFUNCTION("""COMPUTED_VALUE"""),194.14)</f>
        <v>194.14</v>
      </c>
      <c r="E3468" s="1">
        <f>IFERROR(__xludf.DUMMYFUNCTION("""COMPUTED_VALUE"""),197.08)</f>
        <v>197.08</v>
      </c>
      <c r="F3468" s="1">
        <f>IFERROR(__xludf.DUMMYFUNCTION("""COMPUTED_VALUE"""),232981.0)</f>
        <v>232981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IFERROR(__xludf.DUMMYFUNCTION("""COMPUTED_VALUE"""),196.38)</f>
        <v>196.38</v>
      </c>
      <c r="C3469" s="1">
        <f>IFERROR(__xludf.DUMMYFUNCTION("""COMPUTED_VALUE"""),196.38)</f>
        <v>196.38</v>
      </c>
      <c r="D3469" s="1">
        <f>IFERROR(__xludf.DUMMYFUNCTION("""COMPUTED_VALUE"""),188.12)</f>
        <v>188.12</v>
      </c>
      <c r="E3469" s="1">
        <f>IFERROR(__xludf.DUMMYFUNCTION("""COMPUTED_VALUE"""),189.03)</f>
        <v>189.03</v>
      </c>
      <c r="F3469" s="1">
        <f>IFERROR(__xludf.DUMMYFUNCTION("""COMPUTED_VALUE"""),346485.0)</f>
        <v>346485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IFERROR(__xludf.DUMMYFUNCTION("""COMPUTED_VALUE"""),189.11)</f>
        <v>189.11</v>
      </c>
      <c r="C3470" s="1">
        <f>IFERROR(__xludf.DUMMYFUNCTION("""COMPUTED_VALUE"""),191.51)</f>
        <v>191.51</v>
      </c>
      <c r="D3470" s="1">
        <f>IFERROR(__xludf.DUMMYFUNCTION("""COMPUTED_VALUE"""),187.0)</f>
        <v>187</v>
      </c>
      <c r="E3470" s="1">
        <f>IFERROR(__xludf.DUMMYFUNCTION("""COMPUTED_VALUE"""),191.02)</f>
        <v>191.02</v>
      </c>
      <c r="F3470" s="1">
        <f>IFERROR(__xludf.DUMMYFUNCTION("""COMPUTED_VALUE"""),333896.0)</f>
        <v>333896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IFERROR(__xludf.DUMMYFUNCTION("""COMPUTED_VALUE"""),191.63)</f>
        <v>191.63</v>
      </c>
      <c r="C3471" s="1">
        <f>IFERROR(__xludf.DUMMYFUNCTION("""COMPUTED_VALUE"""),195.55)</f>
        <v>195.55</v>
      </c>
      <c r="D3471" s="1">
        <f>IFERROR(__xludf.DUMMYFUNCTION("""COMPUTED_VALUE"""),188.92)</f>
        <v>188.92</v>
      </c>
      <c r="E3471" s="1">
        <f>IFERROR(__xludf.DUMMYFUNCTION("""COMPUTED_VALUE"""),192.74)</f>
        <v>192.74</v>
      </c>
      <c r="F3471" s="1">
        <f>IFERROR(__xludf.DUMMYFUNCTION("""COMPUTED_VALUE"""),297784.0)</f>
        <v>297784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IFERROR(__xludf.DUMMYFUNCTION("""COMPUTED_VALUE"""),190.79)</f>
        <v>190.79</v>
      </c>
      <c r="C3472" s="1">
        <f>IFERROR(__xludf.DUMMYFUNCTION("""COMPUTED_VALUE"""),194.4)</f>
        <v>194.4</v>
      </c>
      <c r="D3472" s="1">
        <f>IFERROR(__xludf.DUMMYFUNCTION("""COMPUTED_VALUE"""),190.07)</f>
        <v>190.07</v>
      </c>
      <c r="E3472" s="1">
        <f>IFERROR(__xludf.DUMMYFUNCTION("""COMPUTED_VALUE"""),191.95)</f>
        <v>191.95</v>
      </c>
      <c r="F3472" s="1">
        <f>IFERROR(__xludf.DUMMYFUNCTION("""COMPUTED_VALUE"""),300214.0)</f>
        <v>300214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IFERROR(__xludf.DUMMYFUNCTION("""COMPUTED_VALUE"""),190.1)</f>
        <v>190.1</v>
      </c>
      <c r="C3473" s="1">
        <f>IFERROR(__xludf.DUMMYFUNCTION("""COMPUTED_VALUE"""),190.98)</f>
        <v>190.98</v>
      </c>
      <c r="D3473" s="1">
        <f>IFERROR(__xludf.DUMMYFUNCTION("""COMPUTED_VALUE"""),184.74)</f>
        <v>184.74</v>
      </c>
      <c r="E3473" s="1">
        <f>IFERROR(__xludf.DUMMYFUNCTION("""COMPUTED_VALUE"""),185.16)</f>
        <v>185.16</v>
      </c>
      <c r="F3473" s="1">
        <f>IFERROR(__xludf.DUMMYFUNCTION("""COMPUTED_VALUE"""),442624.0)</f>
        <v>442624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IFERROR(__xludf.DUMMYFUNCTION("""COMPUTED_VALUE"""),185.74)</f>
        <v>185.74</v>
      </c>
      <c r="C3474" s="1">
        <f>IFERROR(__xludf.DUMMYFUNCTION("""COMPUTED_VALUE"""),189.48)</f>
        <v>189.48</v>
      </c>
      <c r="D3474" s="1">
        <f>IFERROR(__xludf.DUMMYFUNCTION("""COMPUTED_VALUE"""),185.35)</f>
        <v>185.35</v>
      </c>
      <c r="E3474" s="1">
        <f>IFERROR(__xludf.DUMMYFUNCTION("""COMPUTED_VALUE"""),187.4)</f>
        <v>187.4</v>
      </c>
      <c r="F3474" s="1">
        <f>IFERROR(__xludf.DUMMYFUNCTION("""COMPUTED_VALUE"""),806449.0)</f>
        <v>806449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IFERROR(__xludf.DUMMYFUNCTION("""COMPUTED_VALUE"""),187.38)</f>
        <v>187.38</v>
      </c>
      <c r="C3475" s="1">
        <f>IFERROR(__xludf.DUMMYFUNCTION("""COMPUTED_VALUE"""),189.46)</f>
        <v>189.46</v>
      </c>
      <c r="D3475" s="1">
        <f>IFERROR(__xludf.DUMMYFUNCTION("""COMPUTED_VALUE"""),184.98)</f>
        <v>184.98</v>
      </c>
      <c r="E3475" s="1">
        <f>IFERROR(__xludf.DUMMYFUNCTION("""COMPUTED_VALUE"""),185.41)</f>
        <v>185.41</v>
      </c>
      <c r="F3475" s="1">
        <f>IFERROR(__xludf.DUMMYFUNCTION("""COMPUTED_VALUE"""),461874.0)</f>
        <v>461874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IFERROR(__xludf.DUMMYFUNCTION("""COMPUTED_VALUE"""),184.09)</f>
        <v>184.09</v>
      </c>
      <c r="C3476" s="1">
        <f>IFERROR(__xludf.DUMMYFUNCTION("""COMPUTED_VALUE"""),184.66)</f>
        <v>184.66</v>
      </c>
      <c r="D3476" s="1">
        <f>IFERROR(__xludf.DUMMYFUNCTION("""COMPUTED_VALUE"""),181.12)</f>
        <v>181.12</v>
      </c>
      <c r="E3476" s="1">
        <f>IFERROR(__xludf.DUMMYFUNCTION("""COMPUTED_VALUE"""),181.25)</f>
        <v>181.25</v>
      </c>
      <c r="F3476" s="1">
        <f>IFERROR(__xludf.DUMMYFUNCTION("""COMPUTED_VALUE"""),379566.0)</f>
        <v>379566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IFERROR(__xludf.DUMMYFUNCTION("""COMPUTED_VALUE"""),181.31)</f>
        <v>181.31</v>
      </c>
      <c r="C3477" s="1">
        <f>IFERROR(__xludf.DUMMYFUNCTION("""COMPUTED_VALUE"""),185.68)</f>
        <v>185.68</v>
      </c>
      <c r="D3477" s="1">
        <f>IFERROR(__xludf.DUMMYFUNCTION("""COMPUTED_VALUE"""),180.97)</f>
        <v>180.97</v>
      </c>
      <c r="E3477" s="1">
        <f>IFERROR(__xludf.DUMMYFUNCTION("""COMPUTED_VALUE"""),183.65)</f>
        <v>183.65</v>
      </c>
      <c r="F3477" s="1">
        <f>IFERROR(__xludf.DUMMYFUNCTION("""COMPUTED_VALUE"""),428918.0)</f>
        <v>428918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IFERROR(__xludf.DUMMYFUNCTION("""COMPUTED_VALUE"""),181.22)</f>
        <v>181.22</v>
      </c>
      <c r="C3478" s="1">
        <f>IFERROR(__xludf.DUMMYFUNCTION("""COMPUTED_VALUE"""),181.26)</f>
        <v>181.26</v>
      </c>
      <c r="D3478" s="1">
        <f>IFERROR(__xludf.DUMMYFUNCTION("""COMPUTED_VALUE"""),170.9)</f>
        <v>170.9</v>
      </c>
      <c r="E3478" s="1">
        <f>IFERROR(__xludf.DUMMYFUNCTION("""COMPUTED_VALUE"""),172.69)</f>
        <v>172.69</v>
      </c>
      <c r="F3478" s="1">
        <f>IFERROR(__xludf.DUMMYFUNCTION("""COMPUTED_VALUE"""),1005731.0)</f>
        <v>1005731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IFERROR(__xludf.DUMMYFUNCTION("""COMPUTED_VALUE"""),173.12)</f>
        <v>173.12</v>
      </c>
      <c r="C3479" s="1">
        <f>IFERROR(__xludf.DUMMYFUNCTION("""COMPUTED_VALUE"""),176.98)</f>
        <v>176.98</v>
      </c>
      <c r="D3479" s="1">
        <f>IFERROR(__xludf.DUMMYFUNCTION("""COMPUTED_VALUE"""),172.11)</f>
        <v>172.11</v>
      </c>
      <c r="E3479" s="1">
        <f>IFERROR(__xludf.DUMMYFUNCTION("""COMPUTED_VALUE"""),175.07)</f>
        <v>175.07</v>
      </c>
      <c r="F3479" s="1">
        <f>IFERROR(__xludf.DUMMYFUNCTION("""COMPUTED_VALUE"""),549681.0)</f>
        <v>549681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IFERROR(__xludf.DUMMYFUNCTION("""COMPUTED_VALUE"""),176.42)</f>
        <v>176.42</v>
      </c>
      <c r="C3480" s="1">
        <f>IFERROR(__xludf.DUMMYFUNCTION("""COMPUTED_VALUE"""),177.34)</f>
        <v>177.34</v>
      </c>
      <c r="D3480" s="1">
        <f>IFERROR(__xludf.DUMMYFUNCTION("""COMPUTED_VALUE"""),172.24)</f>
        <v>172.24</v>
      </c>
      <c r="E3480" s="1">
        <f>IFERROR(__xludf.DUMMYFUNCTION("""COMPUTED_VALUE"""),172.59)</f>
        <v>172.59</v>
      </c>
      <c r="F3480" s="1">
        <f>IFERROR(__xludf.DUMMYFUNCTION("""COMPUTED_VALUE"""),438678.0)</f>
        <v>438678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IFERROR(__xludf.DUMMYFUNCTION("""COMPUTED_VALUE"""),174.77)</f>
        <v>174.77</v>
      </c>
      <c r="C3481" s="1">
        <f>IFERROR(__xludf.DUMMYFUNCTION("""COMPUTED_VALUE"""),175.07)</f>
        <v>175.07</v>
      </c>
      <c r="D3481" s="1">
        <f>IFERROR(__xludf.DUMMYFUNCTION("""COMPUTED_VALUE"""),164.42)</f>
        <v>164.42</v>
      </c>
      <c r="E3481" s="1">
        <f>IFERROR(__xludf.DUMMYFUNCTION("""COMPUTED_VALUE"""),164.52)</f>
        <v>164.52</v>
      </c>
      <c r="F3481" s="1">
        <f>IFERROR(__xludf.DUMMYFUNCTION("""COMPUTED_VALUE"""),1217449.0)</f>
        <v>1217449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IFERROR(__xludf.DUMMYFUNCTION("""COMPUTED_VALUE"""),166.59)</f>
        <v>166.59</v>
      </c>
      <c r="C3482" s="1">
        <f>IFERROR(__xludf.DUMMYFUNCTION("""COMPUTED_VALUE"""),170.47)</f>
        <v>170.47</v>
      </c>
      <c r="D3482" s="1">
        <f>IFERROR(__xludf.DUMMYFUNCTION("""COMPUTED_VALUE"""),165.91)</f>
        <v>165.91</v>
      </c>
      <c r="E3482" s="1">
        <f>IFERROR(__xludf.DUMMYFUNCTION("""COMPUTED_VALUE"""),168.36)</f>
        <v>168.36</v>
      </c>
      <c r="F3482" s="1">
        <f>IFERROR(__xludf.DUMMYFUNCTION("""COMPUTED_VALUE"""),818808.0)</f>
        <v>818808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IFERROR(__xludf.DUMMYFUNCTION("""COMPUTED_VALUE"""),167.78)</f>
        <v>167.78</v>
      </c>
      <c r="C3483" s="1">
        <f>IFERROR(__xludf.DUMMYFUNCTION("""COMPUTED_VALUE"""),168.29)</f>
        <v>168.29</v>
      </c>
      <c r="D3483" s="1">
        <f>IFERROR(__xludf.DUMMYFUNCTION("""COMPUTED_VALUE"""),161.65)</f>
        <v>161.65</v>
      </c>
      <c r="E3483" s="1">
        <f>IFERROR(__xludf.DUMMYFUNCTION("""COMPUTED_VALUE"""),167.52)</f>
        <v>167.52</v>
      </c>
      <c r="F3483" s="1">
        <f>IFERROR(__xludf.DUMMYFUNCTION("""COMPUTED_VALUE"""),680849.0)</f>
        <v>680849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IFERROR(__xludf.DUMMYFUNCTION("""COMPUTED_VALUE"""),169.18)</f>
        <v>169.18</v>
      </c>
      <c r="C3484" s="1">
        <f>IFERROR(__xludf.DUMMYFUNCTION("""COMPUTED_VALUE"""),174.82)</f>
        <v>174.82</v>
      </c>
      <c r="D3484" s="1">
        <f>IFERROR(__xludf.DUMMYFUNCTION("""COMPUTED_VALUE"""),169.0)</f>
        <v>169</v>
      </c>
      <c r="E3484" s="1">
        <f>IFERROR(__xludf.DUMMYFUNCTION("""COMPUTED_VALUE"""),174.71)</f>
        <v>174.71</v>
      </c>
      <c r="F3484" s="1">
        <f>IFERROR(__xludf.DUMMYFUNCTION("""COMPUTED_VALUE"""),543390.0)</f>
        <v>543390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IFERROR(__xludf.DUMMYFUNCTION("""COMPUTED_VALUE"""),178.81)</f>
        <v>178.81</v>
      </c>
      <c r="C3485" s="1">
        <f>IFERROR(__xludf.DUMMYFUNCTION("""COMPUTED_VALUE"""),183.52)</f>
        <v>183.52</v>
      </c>
      <c r="D3485" s="1">
        <f>IFERROR(__xludf.DUMMYFUNCTION("""COMPUTED_VALUE"""),178.81)</f>
        <v>178.81</v>
      </c>
      <c r="E3485" s="1">
        <f>IFERROR(__xludf.DUMMYFUNCTION("""COMPUTED_VALUE"""),181.91)</f>
        <v>181.91</v>
      </c>
      <c r="F3485" s="1">
        <f>IFERROR(__xludf.DUMMYFUNCTION("""COMPUTED_VALUE"""),564245.0)</f>
        <v>564245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IFERROR(__xludf.DUMMYFUNCTION("""COMPUTED_VALUE"""),181.06)</f>
        <v>181.06</v>
      </c>
      <c r="C3486" s="1">
        <f>IFERROR(__xludf.DUMMYFUNCTION("""COMPUTED_VALUE"""),184.31)</f>
        <v>184.31</v>
      </c>
      <c r="D3486" s="1">
        <f>IFERROR(__xludf.DUMMYFUNCTION("""COMPUTED_VALUE"""),180.31)</f>
        <v>180.31</v>
      </c>
      <c r="E3486" s="1">
        <f>IFERROR(__xludf.DUMMYFUNCTION("""COMPUTED_VALUE"""),181.37)</f>
        <v>181.37</v>
      </c>
      <c r="F3486" s="1">
        <f>IFERROR(__xludf.DUMMYFUNCTION("""COMPUTED_VALUE"""),623690.0)</f>
        <v>623690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IFERROR(__xludf.DUMMYFUNCTION("""COMPUTED_VALUE"""),181.19)</f>
        <v>181.19</v>
      </c>
      <c r="C3487" s="1">
        <f>IFERROR(__xludf.DUMMYFUNCTION("""COMPUTED_VALUE"""),185.34)</f>
        <v>185.34</v>
      </c>
      <c r="D3487" s="1">
        <f>IFERROR(__xludf.DUMMYFUNCTION("""COMPUTED_VALUE"""),180.39)</f>
        <v>180.39</v>
      </c>
      <c r="E3487" s="1">
        <f>IFERROR(__xludf.DUMMYFUNCTION("""COMPUTED_VALUE"""),182.81)</f>
        <v>182.81</v>
      </c>
      <c r="F3487" s="1">
        <f>IFERROR(__xludf.DUMMYFUNCTION("""COMPUTED_VALUE"""),663420.0)</f>
        <v>663420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IFERROR(__xludf.DUMMYFUNCTION("""COMPUTED_VALUE"""),179.0)</f>
        <v>179</v>
      </c>
      <c r="C3488" s="1">
        <f>IFERROR(__xludf.DUMMYFUNCTION("""COMPUTED_VALUE"""),185.38)</f>
        <v>185.38</v>
      </c>
      <c r="D3488" s="1">
        <f>IFERROR(__xludf.DUMMYFUNCTION("""COMPUTED_VALUE"""),173.57)</f>
        <v>173.57</v>
      </c>
      <c r="E3488" s="1">
        <f>IFERROR(__xludf.DUMMYFUNCTION("""COMPUTED_VALUE"""),175.97)</f>
        <v>175.97</v>
      </c>
      <c r="F3488" s="1">
        <f>IFERROR(__xludf.DUMMYFUNCTION("""COMPUTED_VALUE"""),953047.0)</f>
        <v>953047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IFERROR(__xludf.DUMMYFUNCTION("""COMPUTED_VALUE"""),177.21)</f>
        <v>177.21</v>
      </c>
      <c r="C3489" s="1">
        <f>IFERROR(__xludf.DUMMYFUNCTION("""COMPUTED_VALUE"""),177.99)</f>
        <v>177.99</v>
      </c>
      <c r="D3489" s="1">
        <f>IFERROR(__xludf.DUMMYFUNCTION("""COMPUTED_VALUE"""),168.43)</f>
        <v>168.43</v>
      </c>
      <c r="E3489" s="1">
        <f>IFERROR(__xludf.DUMMYFUNCTION("""COMPUTED_VALUE"""),169.47)</f>
        <v>169.47</v>
      </c>
      <c r="F3489" s="1">
        <f>IFERROR(__xludf.DUMMYFUNCTION("""COMPUTED_VALUE"""),640073.0)</f>
        <v>640073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IFERROR(__xludf.DUMMYFUNCTION("""COMPUTED_VALUE"""),170.42)</f>
        <v>170.42</v>
      </c>
      <c r="C3490" s="1">
        <f>IFERROR(__xludf.DUMMYFUNCTION("""COMPUTED_VALUE"""),173.11)</f>
        <v>173.11</v>
      </c>
      <c r="D3490" s="1">
        <f>IFERROR(__xludf.DUMMYFUNCTION("""COMPUTED_VALUE"""),166.87)</f>
        <v>166.87</v>
      </c>
      <c r="E3490" s="1">
        <f>IFERROR(__xludf.DUMMYFUNCTION("""COMPUTED_VALUE"""),171.99)</f>
        <v>171.99</v>
      </c>
      <c r="F3490" s="1">
        <f>IFERROR(__xludf.DUMMYFUNCTION("""COMPUTED_VALUE"""),642577.0)</f>
        <v>642577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IFERROR(__xludf.DUMMYFUNCTION("""COMPUTED_VALUE"""),170.77)</f>
        <v>170.77</v>
      </c>
      <c r="C3491" s="1">
        <f>IFERROR(__xludf.DUMMYFUNCTION("""COMPUTED_VALUE"""),172.0)</f>
        <v>172</v>
      </c>
      <c r="D3491" s="1">
        <f>IFERROR(__xludf.DUMMYFUNCTION("""COMPUTED_VALUE"""),168.24)</f>
        <v>168.24</v>
      </c>
      <c r="E3491" s="1">
        <f>IFERROR(__xludf.DUMMYFUNCTION("""COMPUTED_VALUE"""),170.03)</f>
        <v>170.03</v>
      </c>
      <c r="F3491" s="1">
        <f>IFERROR(__xludf.DUMMYFUNCTION("""COMPUTED_VALUE"""),614138.0)</f>
        <v>614138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IFERROR(__xludf.DUMMYFUNCTION("""COMPUTED_VALUE"""),175.95)</f>
        <v>175.95</v>
      </c>
      <c r="C3492" s="1">
        <f>IFERROR(__xludf.DUMMYFUNCTION("""COMPUTED_VALUE"""),179.81)</f>
        <v>179.81</v>
      </c>
      <c r="D3492" s="1">
        <f>IFERROR(__xludf.DUMMYFUNCTION("""COMPUTED_VALUE"""),174.92)</f>
        <v>174.92</v>
      </c>
      <c r="E3492" s="1">
        <f>IFERROR(__xludf.DUMMYFUNCTION("""COMPUTED_VALUE"""),178.37)</f>
        <v>178.37</v>
      </c>
      <c r="F3492" s="1">
        <f>IFERROR(__xludf.DUMMYFUNCTION("""COMPUTED_VALUE"""),1184274.0)</f>
        <v>1184274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IFERROR(__xludf.DUMMYFUNCTION("""COMPUTED_VALUE"""),179.01)</f>
        <v>179.01</v>
      </c>
      <c r="C3493" s="1">
        <f>IFERROR(__xludf.DUMMYFUNCTION("""COMPUTED_VALUE"""),189.59)</f>
        <v>189.59</v>
      </c>
      <c r="D3493" s="1">
        <f>IFERROR(__xludf.DUMMYFUNCTION("""COMPUTED_VALUE"""),179.01)</f>
        <v>179.01</v>
      </c>
      <c r="E3493" s="1">
        <f>IFERROR(__xludf.DUMMYFUNCTION("""COMPUTED_VALUE"""),187.57)</f>
        <v>187.57</v>
      </c>
      <c r="F3493" s="1">
        <f>IFERROR(__xludf.DUMMYFUNCTION("""COMPUTED_VALUE"""),1066668.0)</f>
        <v>1066668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IFERROR(__xludf.DUMMYFUNCTION("""COMPUTED_VALUE"""),188.02)</f>
        <v>188.02</v>
      </c>
      <c r="C3494" s="1">
        <f>IFERROR(__xludf.DUMMYFUNCTION("""COMPUTED_VALUE"""),190.32)</f>
        <v>190.32</v>
      </c>
      <c r="D3494" s="1">
        <f>IFERROR(__xludf.DUMMYFUNCTION("""COMPUTED_VALUE"""),186.38)</f>
        <v>186.38</v>
      </c>
      <c r="E3494" s="1">
        <f>IFERROR(__xludf.DUMMYFUNCTION("""COMPUTED_VALUE"""),189.56)</f>
        <v>189.56</v>
      </c>
      <c r="F3494" s="1">
        <f>IFERROR(__xludf.DUMMYFUNCTION("""COMPUTED_VALUE"""),526486.0)</f>
        <v>526486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IFERROR(__xludf.DUMMYFUNCTION("""COMPUTED_VALUE"""),191.95)</f>
        <v>191.95</v>
      </c>
      <c r="C3495" s="1">
        <f>IFERROR(__xludf.DUMMYFUNCTION("""COMPUTED_VALUE"""),191.95)</f>
        <v>191.95</v>
      </c>
      <c r="D3495" s="1">
        <f>IFERROR(__xludf.DUMMYFUNCTION("""COMPUTED_VALUE"""),188.64)</f>
        <v>188.64</v>
      </c>
      <c r="E3495" s="1">
        <f>IFERROR(__xludf.DUMMYFUNCTION("""COMPUTED_VALUE"""),189.04)</f>
        <v>189.04</v>
      </c>
      <c r="F3495" s="1">
        <f>IFERROR(__xludf.DUMMYFUNCTION("""COMPUTED_VALUE"""),429082.0)</f>
        <v>429082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IFERROR(__xludf.DUMMYFUNCTION("""COMPUTED_VALUE"""),188.96)</f>
        <v>188.96</v>
      </c>
      <c r="C3496" s="1">
        <f>IFERROR(__xludf.DUMMYFUNCTION("""COMPUTED_VALUE"""),191.61)</f>
        <v>191.61</v>
      </c>
      <c r="D3496" s="1">
        <f>IFERROR(__xludf.DUMMYFUNCTION("""COMPUTED_VALUE"""),186.92)</f>
        <v>186.92</v>
      </c>
      <c r="E3496" s="1">
        <f>IFERROR(__xludf.DUMMYFUNCTION("""COMPUTED_VALUE"""),190.53)</f>
        <v>190.53</v>
      </c>
      <c r="F3496" s="1">
        <f>IFERROR(__xludf.DUMMYFUNCTION("""COMPUTED_VALUE"""),327697.0)</f>
        <v>327697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IFERROR(__xludf.DUMMYFUNCTION("""COMPUTED_VALUE"""),190.76)</f>
        <v>190.76</v>
      </c>
      <c r="C3497" s="1">
        <f>IFERROR(__xludf.DUMMYFUNCTION("""COMPUTED_VALUE"""),194.87)</f>
        <v>194.87</v>
      </c>
      <c r="D3497" s="1">
        <f>IFERROR(__xludf.DUMMYFUNCTION("""COMPUTED_VALUE"""),190.01)</f>
        <v>190.01</v>
      </c>
      <c r="E3497" s="1">
        <f>IFERROR(__xludf.DUMMYFUNCTION("""COMPUTED_VALUE"""),192.25)</f>
        <v>192.25</v>
      </c>
      <c r="F3497" s="1">
        <f>IFERROR(__xludf.DUMMYFUNCTION("""COMPUTED_VALUE"""),501966.0)</f>
        <v>501966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IFERROR(__xludf.DUMMYFUNCTION("""COMPUTED_VALUE"""),194.25)</f>
        <v>194.25</v>
      </c>
      <c r="C3498" s="1">
        <f>IFERROR(__xludf.DUMMYFUNCTION("""COMPUTED_VALUE"""),198.82)</f>
        <v>198.82</v>
      </c>
      <c r="D3498" s="1">
        <f>IFERROR(__xludf.DUMMYFUNCTION("""COMPUTED_VALUE"""),194.18)</f>
        <v>194.18</v>
      </c>
      <c r="E3498" s="1">
        <f>IFERROR(__xludf.DUMMYFUNCTION("""COMPUTED_VALUE"""),194.95)</f>
        <v>194.95</v>
      </c>
      <c r="F3498" s="1">
        <f>IFERROR(__xludf.DUMMYFUNCTION("""COMPUTED_VALUE"""),387268.0)</f>
        <v>387268</v>
      </c>
    </row>
    <row r="3499">
      <c r="A3499" s="2">
        <f>IFERROR(__xludf.DUMMYFUNCTION("""COMPUTED_VALUE"""),45254.54166666667)</f>
        <v>45254.54167</v>
      </c>
      <c r="B3499" s="1">
        <f>IFERROR(__xludf.DUMMYFUNCTION("""COMPUTED_VALUE"""),194.82)</f>
        <v>194.82</v>
      </c>
      <c r="C3499" s="1">
        <f>IFERROR(__xludf.DUMMYFUNCTION("""COMPUTED_VALUE"""),196.92)</f>
        <v>196.92</v>
      </c>
      <c r="D3499" s="1">
        <f>IFERROR(__xludf.DUMMYFUNCTION("""COMPUTED_VALUE"""),194.46)</f>
        <v>194.46</v>
      </c>
      <c r="E3499" s="1">
        <f>IFERROR(__xludf.DUMMYFUNCTION("""COMPUTED_VALUE"""),196.91)</f>
        <v>196.91</v>
      </c>
      <c r="F3499" s="1">
        <f>IFERROR(__xludf.DUMMYFUNCTION("""COMPUTED_VALUE"""),142629.0)</f>
        <v>142629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IFERROR(__xludf.DUMMYFUNCTION("""COMPUTED_VALUE"""),196.06)</f>
        <v>196.06</v>
      </c>
      <c r="C3500" s="1">
        <f>IFERROR(__xludf.DUMMYFUNCTION("""COMPUTED_VALUE"""),197.87)</f>
        <v>197.87</v>
      </c>
      <c r="D3500" s="1">
        <f>IFERROR(__xludf.DUMMYFUNCTION("""COMPUTED_VALUE"""),194.34)</f>
        <v>194.34</v>
      </c>
      <c r="E3500" s="1">
        <f>IFERROR(__xludf.DUMMYFUNCTION("""COMPUTED_VALUE"""),194.7)</f>
        <v>194.7</v>
      </c>
      <c r="F3500" s="1">
        <f>IFERROR(__xludf.DUMMYFUNCTION("""COMPUTED_VALUE"""),414484.0)</f>
        <v>414484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IFERROR(__xludf.DUMMYFUNCTION("""COMPUTED_VALUE"""),194.19)</f>
        <v>194.19</v>
      </c>
      <c r="C3501" s="1">
        <f>IFERROR(__xludf.DUMMYFUNCTION("""COMPUTED_VALUE"""),197.17)</f>
        <v>197.17</v>
      </c>
      <c r="D3501" s="1">
        <f>IFERROR(__xludf.DUMMYFUNCTION("""COMPUTED_VALUE"""),191.8)</f>
        <v>191.8</v>
      </c>
      <c r="E3501" s="1">
        <f>IFERROR(__xludf.DUMMYFUNCTION("""COMPUTED_VALUE"""),195.22)</f>
        <v>195.22</v>
      </c>
      <c r="F3501" s="1">
        <f>IFERROR(__xludf.DUMMYFUNCTION("""COMPUTED_VALUE"""),413450.0)</f>
        <v>413450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IFERROR(__xludf.DUMMYFUNCTION("""COMPUTED_VALUE"""),197.27)</f>
        <v>197.27</v>
      </c>
      <c r="C3502" s="1">
        <f>IFERROR(__xludf.DUMMYFUNCTION("""COMPUTED_VALUE"""),198.31)</f>
        <v>198.31</v>
      </c>
      <c r="D3502" s="1">
        <f>IFERROR(__xludf.DUMMYFUNCTION("""COMPUTED_VALUE"""),195.95)</f>
        <v>195.95</v>
      </c>
      <c r="E3502" s="1">
        <f>IFERROR(__xludf.DUMMYFUNCTION("""COMPUTED_VALUE"""),197.1)</f>
        <v>197.1</v>
      </c>
      <c r="F3502" s="1">
        <f>IFERROR(__xludf.DUMMYFUNCTION("""COMPUTED_VALUE"""),468845.0)</f>
        <v>468845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IFERROR(__xludf.DUMMYFUNCTION("""COMPUTED_VALUE"""),197.41)</f>
        <v>197.41</v>
      </c>
      <c r="C3503" s="1">
        <f>IFERROR(__xludf.DUMMYFUNCTION("""COMPUTED_VALUE"""),199.05)</f>
        <v>199.05</v>
      </c>
      <c r="D3503" s="1">
        <f>IFERROR(__xludf.DUMMYFUNCTION("""COMPUTED_VALUE"""),194.67)</f>
        <v>194.67</v>
      </c>
      <c r="E3503" s="1">
        <f>IFERROR(__xludf.DUMMYFUNCTION("""COMPUTED_VALUE"""),197.08)</f>
        <v>197.08</v>
      </c>
      <c r="F3503" s="1">
        <f>IFERROR(__xludf.DUMMYFUNCTION("""COMPUTED_VALUE"""),408996.0)</f>
        <v>408996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IFERROR(__xludf.DUMMYFUNCTION("""COMPUTED_VALUE"""),196.37)</f>
        <v>196.37</v>
      </c>
      <c r="C3504" s="1">
        <f>IFERROR(__xludf.DUMMYFUNCTION("""COMPUTED_VALUE"""),201.82)</f>
        <v>201.82</v>
      </c>
      <c r="D3504" s="1">
        <f>IFERROR(__xludf.DUMMYFUNCTION("""COMPUTED_VALUE"""),195.76)</f>
        <v>195.76</v>
      </c>
      <c r="E3504" s="1">
        <f>IFERROR(__xludf.DUMMYFUNCTION("""COMPUTED_VALUE"""),201.68)</f>
        <v>201.68</v>
      </c>
      <c r="F3504" s="1">
        <f>IFERROR(__xludf.DUMMYFUNCTION("""COMPUTED_VALUE"""),321214.0)</f>
        <v>321214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IFERROR(__xludf.DUMMYFUNCTION("""COMPUTED_VALUE"""),199.98)</f>
        <v>199.98</v>
      </c>
      <c r="C3505" s="1">
        <f>IFERROR(__xludf.DUMMYFUNCTION("""COMPUTED_VALUE"""),202.69)</f>
        <v>202.69</v>
      </c>
      <c r="D3505" s="1">
        <f>IFERROR(__xludf.DUMMYFUNCTION("""COMPUTED_VALUE"""),199.57)</f>
        <v>199.57</v>
      </c>
      <c r="E3505" s="1">
        <f>IFERROR(__xludf.DUMMYFUNCTION("""COMPUTED_VALUE"""),200.61)</f>
        <v>200.61</v>
      </c>
      <c r="F3505" s="1">
        <f>IFERROR(__xludf.DUMMYFUNCTION("""COMPUTED_VALUE"""),400064.0)</f>
        <v>400064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IFERROR(__xludf.DUMMYFUNCTION("""COMPUTED_VALUE"""),199.28)</f>
        <v>199.28</v>
      </c>
      <c r="C3506" s="1">
        <f>IFERROR(__xludf.DUMMYFUNCTION("""COMPUTED_VALUE"""),199.28)</f>
        <v>199.28</v>
      </c>
      <c r="D3506" s="1">
        <f>IFERROR(__xludf.DUMMYFUNCTION("""COMPUTED_VALUE"""),196.0)</f>
        <v>196</v>
      </c>
      <c r="E3506" s="1">
        <f>IFERROR(__xludf.DUMMYFUNCTION("""COMPUTED_VALUE"""),198.34)</f>
        <v>198.34</v>
      </c>
      <c r="F3506" s="1">
        <f>IFERROR(__xludf.DUMMYFUNCTION("""COMPUTED_VALUE"""),330076.0)</f>
        <v>330076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IFERROR(__xludf.DUMMYFUNCTION("""COMPUTED_VALUE"""),200.51)</f>
        <v>200.51</v>
      </c>
      <c r="C3507" s="1">
        <f>IFERROR(__xludf.DUMMYFUNCTION("""COMPUTED_VALUE"""),202.76)</f>
        <v>202.76</v>
      </c>
      <c r="D3507" s="1">
        <f>IFERROR(__xludf.DUMMYFUNCTION("""COMPUTED_VALUE"""),199.55)</f>
        <v>199.55</v>
      </c>
      <c r="E3507" s="1">
        <f>IFERROR(__xludf.DUMMYFUNCTION("""COMPUTED_VALUE"""),200.68)</f>
        <v>200.68</v>
      </c>
      <c r="F3507" s="1">
        <f>IFERROR(__xludf.DUMMYFUNCTION("""COMPUTED_VALUE"""),298055.0)</f>
        <v>298055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IFERROR(__xludf.DUMMYFUNCTION("""COMPUTED_VALUE"""),200.3)</f>
        <v>200.3</v>
      </c>
      <c r="C3508" s="1">
        <f>IFERROR(__xludf.DUMMYFUNCTION("""COMPUTED_VALUE"""),203.6)</f>
        <v>203.6</v>
      </c>
      <c r="D3508" s="1">
        <f>IFERROR(__xludf.DUMMYFUNCTION("""COMPUTED_VALUE"""),200.08)</f>
        <v>200.08</v>
      </c>
      <c r="E3508" s="1">
        <f>IFERROR(__xludf.DUMMYFUNCTION("""COMPUTED_VALUE"""),202.77)</f>
        <v>202.77</v>
      </c>
      <c r="F3508" s="1">
        <f>IFERROR(__xludf.DUMMYFUNCTION("""COMPUTED_VALUE"""),433824.0)</f>
        <v>433824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IFERROR(__xludf.DUMMYFUNCTION("""COMPUTED_VALUE"""),202.39)</f>
        <v>202.39</v>
      </c>
      <c r="C3509" s="1">
        <f>IFERROR(__xludf.DUMMYFUNCTION("""COMPUTED_VALUE"""),204.95)</f>
        <v>204.95</v>
      </c>
      <c r="D3509" s="1">
        <f>IFERROR(__xludf.DUMMYFUNCTION("""COMPUTED_VALUE"""),201.49)</f>
        <v>201.49</v>
      </c>
      <c r="E3509" s="1">
        <f>IFERROR(__xludf.DUMMYFUNCTION("""COMPUTED_VALUE"""),204.46)</f>
        <v>204.46</v>
      </c>
      <c r="F3509" s="1">
        <f>IFERROR(__xludf.DUMMYFUNCTION("""COMPUTED_VALUE"""),507749.0)</f>
        <v>507749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IFERROR(__xludf.DUMMYFUNCTION("""COMPUTED_VALUE"""),205.0)</f>
        <v>205</v>
      </c>
      <c r="C3510" s="1">
        <f>IFERROR(__xludf.DUMMYFUNCTION("""COMPUTED_VALUE"""),208.28)</f>
        <v>208.28</v>
      </c>
      <c r="D3510" s="1">
        <f>IFERROR(__xludf.DUMMYFUNCTION("""COMPUTED_VALUE"""),204.74)</f>
        <v>204.74</v>
      </c>
      <c r="E3510" s="1">
        <f>IFERROR(__xludf.DUMMYFUNCTION("""COMPUTED_VALUE"""),206.5)</f>
        <v>206.5</v>
      </c>
      <c r="F3510" s="1">
        <f>IFERROR(__xludf.DUMMYFUNCTION("""COMPUTED_VALUE"""),458102.0)</f>
        <v>458102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IFERROR(__xludf.DUMMYFUNCTION("""COMPUTED_VALUE"""),207.17)</f>
        <v>207.17</v>
      </c>
      <c r="C3511" s="1">
        <f>IFERROR(__xludf.DUMMYFUNCTION("""COMPUTED_VALUE"""),210.96)</f>
        <v>210.96</v>
      </c>
      <c r="D3511" s="1">
        <f>IFERROR(__xludf.DUMMYFUNCTION("""COMPUTED_VALUE"""),204.66)</f>
        <v>204.66</v>
      </c>
      <c r="E3511" s="1">
        <f>IFERROR(__xludf.DUMMYFUNCTION("""COMPUTED_VALUE"""),210.73)</f>
        <v>210.73</v>
      </c>
      <c r="F3511" s="1">
        <f>IFERROR(__xludf.DUMMYFUNCTION("""COMPUTED_VALUE"""),582938.0)</f>
        <v>582938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IFERROR(__xludf.DUMMYFUNCTION("""COMPUTED_VALUE"""),210.88)</f>
        <v>210.88</v>
      </c>
      <c r="C3512" s="1">
        <f>IFERROR(__xludf.DUMMYFUNCTION("""COMPUTED_VALUE"""),218.46)</f>
        <v>218.46</v>
      </c>
      <c r="D3512" s="1">
        <f>IFERROR(__xludf.DUMMYFUNCTION("""COMPUTED_VALUE"""),208.88)</f>
        <v>208.88</v>
      </c>
      <c r="E3512" s="1">
        <f>IFERROR(__xludf.DUMMYFUNCTION("""COMPUTED_VALUE"""),217.98)</f>
        <v>217.98</v>
      </c>
      <c r="F3512" s="1">
        <f>IFERROR(__xludf.DUMMYFUNCTION("""COMPUTED_VALUE"""),400573.0)</f>
        <v>400573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IFERROR(__xludf.DUMMYFUNCTION("""COMPUTED_VALUE"""),221.5)</f>
        <v>221.5</v>
      </c>
      <c r="C3513" s="1">
        <f>IFERROR(__xludf.DUMMYFUNCTION("""COMPUTED_VALUE"""),231.79)</f>
        <v>231.79</v>
      </c>
      <c r="D3513" s="1">
        <f>IFERROR(__xludf.DUMMYFUNCTION("""COMPUTED_VALUE"""),220.09)</f>
        <v>220.09</v>
      </c>
      <c r="E3513" s="1">
        <f>IFERROR(__xludf.DUMMYFUNCTION("""COMPUTED_VALUE"""),229.26)</f>
        <v>229.26</v>
      </c>
      <c r="F3513" s="1">
        <f>IFERROR(__xludf.DUMMYFUNCTION("""COMPUTED_VALUE"""),1071508.0)</f>
        <v>1071508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IFERROR(__xludf.DUMMYFUNCTION("""COMPUTED_VALUE"""),229.3)</f>
        <v>229.3</v>
      </c>
      <c r="C3514" s="1">
        <f>IFERROR(__xludf.DUMMYFUNCTION("""COMPUTED_VALUE"""),230.97)</f>
        <v>230.97</v>
      </c>
      <c r="D3514" s="1">
        <f>IFERROR(__xludf.DUMMYFUNCTION("""COMPUTED_VALUE"""),226.14)</f>
        <v>226.14</v>
      </c>
      <c r="E3514" s="1">
        <f>IFERROR(__xludf.DUMMYFUNCTION("""COMPUTED_VALUE"""),230.81)</f>
        <v>230.81</v>
      </c>
      <c r="F3514" s="1">
        <f>IFERROR(__xludf.DUMMYFUNCTION("""COMPUTED_VALUE"""),926101.0)</f>
        <v>926101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IFERROR(__xludf.DUMMYFUNCTION("""COMPUTED_VALUE"""),232.74)</f>
        <v>232.74</v>
      </c>
      <c r="C3515" s="1">
        <f>IFERROR(__xludf.DUMMYFUNCTION("""COMPUTED_VALUE"""),233.81)</f>
        <v>233.81</v>
      </c>
      <c r="D3515" s="1">
        <f>IFERROR(__xludf.DUMMYFUNCTION("""COMPUTED_VALUE"""),227.22)</f>
        <v>227.22</v>
      </c>
      <c r="E3515" s="1">
        <f>IFERROR(__xludf.DUMMYFUNCTION("""COMPUTED_VALUE"""),228.09)</f>
        <v>228.09</v>
      </c>
      <c r="F3515" s="1">
        <f>IFERROR(__xludf.DUMMYFUNCTION("""COMPUTED_VALUE"""),561166.0)</f>
        <v>561166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IFERROR(__xludf.DUMMYFUNCTION("""COMPUTED_VALUE"""),230.15)</f>
        <v>230.15</v>
      </c>
      <c r="C3516" s="1">
        <f>IFERROR(__xludf.DUMMYFUNCTION("""COMPUTED_VALUE"""),236.0)</f>
        <v>236</v>
      </c>
      <c r="D3516" s="1">
        <f>IFERROR(__xludf.DUMMYFUNCTION("""COMPUTED_VALUE"""),229.14)</f>
        <v>229.14</v>
      </c>
      <c r="E3516" s="1">
        <f>IFERROR(__xludf.DUMMYFUNCTION("""COMPUTED_VALUE"""),235.65)</f>
        <v>235.65</v>
      </c>
      <c r="F3516" s="1">
        <f>IFERROR(__xludf.DUMMYFUNCTION("""COMPUTED_VALUE"""),510543.0)</f>
        <v>510543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IFERROR(__xludf.DUMMYFUNCTION("""COMPUTED_VALUE"""),236.8)</f>
        <v>236.8</v>
      </c>
      <c r="C3517" s="1">
        <f>IFERROR(__xludf.DUMMYFUNCTION("""COMPUTED_VALUE"""),239.2)</f>
        <v>239.2</v>
      </c>
      <c r="D3517" s="1">
        <f>IFERROR(__xludf.DUMMYFUNCTION("""COMPUTED_VALUE"""),231.31)</f>
        <v>231.31</v>
      </c>
      <c r="E3517" s="1">
        <f>IFERROR(__xludf.DUMMYFUNCTION("""COMPUTED_VALUE"""),231.62)</f>
        <v>231.62</v>
      </c>
      <c r="F3517" s="1">
        <f>IFERROR(__xludf.DUMMYFUNCTION("""COMPUTED_VALUE"""),436047.0)</f>
        <v>436047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IFERROR(__xludf.DUMMYFUNCTION("""COMPUTED_VALUE"""),234.46)</f>
        <v>234.46</v>
      </c>
      <c r="C3518" s="1">
        <f>IFERROR(__xludf.DUMMYFUNCTION("""COMPUTED_VALUE"""),236.0)</f>
        <v>236</v>
      </c>
      <c r="D3518" s="1">
        <f>IFERROR(__xludf.DUMMYFUNCTION("""COMPUTED_VALUE"""),232.33)</f>
        <v>232.33</v>
      </c>
      <c r="E3518" s="1">
        <f>IFERROR(__xludf.DUMMYFUNCTION("""COMPUTED_VALUE"""),235.72)</f>
        <v>235.72</v>
      </c>
      <c r="F3518" s="1">
        <f>IFERROR(__xludf.DUMMYFUNCTION("""COMPUTED_VALUE"""),369161.0)</f>
        <v>369161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IFERROR(__xludf.DUMMYFUNCTION("""COMPUTED_VALUE"""),237.2)</f>
        <v>237.2</v>
      </c>
      <c r="C3519" s="1">
        <f>IFERROR(__xludf.DUMMYFUNCTION("""COMPUTED_VALUE"""),238.48)</f>
        <v>238.48</v>
      </c>
      <c r="D3519" s="1">
        <f>IFERROR(__xludf.DUMMYFUNCTION("""COMPUTED_VALUE"""),234.66)</f>
        <v>234.66</v>
      </c>
      <c r="E3519" s="1">
        <f>IFERROR(__xludf.DUMMYFUNCTION("""COMPUTED_VALUE"""),236.23)</f>
        <v>236.23</v>
      </c>
      <c r="F3519" s="1">
        <f>IFERROR(__xludf.DUMMYFUNCTION("""COMPUTED_VALUE"""),263124.0)</f>
        <v>263124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IFERROR(__xludf.DUMMYFUNCTION("""COMPUTED_VALUE"""),236.75)</f>
        <v>236.75</v>
      </c>
      <c r="C3520" s="1">
        <f>IFERROR(__xludf.DUMMYFUNCTION("""COMPUTED_VALUE"""),239.64)</f>
        <v>239.64</v>
      </c>
      <c r="D3520" s="1">
        <f>IFERROR(__xludf.DUMMYFUNCTION("""COMPUTED_VALUE"""),235.1)</f>
        <v>235.1</v>
      </c>
      <c r="E3520" s="1">
        <f>IFERROR(__xludf.DUMMYFUNCTION("""COMPUTED_VALUE"""),238.17)</f>
        <v>238.17</v>
      </c>
      <c r="F3520" s="1">
        <f>IFERROR(__xludf.DUMMYFUNCTION("""COMPUTED_VALUE"""),270219.0)</f>
        <v>270219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IFERROR(__xludf.DUMMYFUNCTION("""COMPUTED_VALUE"""),238.45)</f>
        <v>238.45</v>
      </c>
      <c r="C3521" s="1">
        <f>IFERROR(__xludf.DUMMYFUNCTION("""COMPUTED_VALUE"""),239.76)</f>
        <v>239.76</v>
      </c>
      <c r="D3521" s="1">
        <f>IFERROR(__xludf.DUMMYFUNCTION("""COMPUTED_VALUE"""),237.11)</f>
        <v>237.11</v>
      </c>
      <c r="E3521" s="1">
        <f>IFERROR(__xludf.DUMMYFUNCTION("""COMPUTED_VALUE"""),238.84)</f>
        <v>238.84</v>
      </c>
      <c r="F3521" s="1">
        <f>IFERROR(__xludf.DUMMYFUNCTION("""COMPUTED_VALUE"""),268700.0)</f>
        <v>268700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IFERROR(__xludf.DUMMYFUNCTION("""COMPUTED_VALUE"""),239.16)</f>
        <v>239.16</v>
      </c>
      <c r="C3522" s="1">
        <f>IFERROR(__xludf.DUMMYFUNCTION("""COMPUTED_VALUE"""),239.84)</f>
        <v>239.84</v>
      </c>
      <c r="D3522" s="1">
        <f>IFERROR(__xludf.DUMMYFUNCTION("""COMPUTED_VALUE"""),238.04)</f>
        <v>238.04</v>
      </c>
      <c r="E3522" s="1">
        <f>IFERROR(__xludf.DUMMYFUNCTION("""COMPUTED_VALUE"""),238.78)</f>
        <v>238.78</v>
      </c>
      <c r="F3522" s="1">
        <f>IFERROR(__xludf.DUMMYFUNCTION("""COMPUTED_VALUE"""),329534.0)</f>
        <v>329534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IFERROR(__xludf.DUMMYFUNCTION("""COMPUTED_VALUE"""),237.11)</f>
        <v>237.11</v>
      </c>
      <c r="C3523" s="1">
        <f>IFERROR(__xludf.DUMMYFUNCTION("""COMPUTED_VALUE"""),238.49)</f>
        <v>238.49</v>
      </c>
      <c r="D3523" s="1">
        <f>IFERROR(__xludf.DUMMYFUNCTION("""COMPUTED_VALUE"""),235.26)</f>
        <v>235.26</v>
      </c>
      <c r="E3523" s="1">
        <f>IFERROR(__xludf.DUMMYFUNCTION("""COMPUTED_VALUE"""),236.4)</f>
        <v>236.4</v>
      </c>
      <c r="F3523" s="1">
        <f>IFERROR(__xludf.DUMMYFUNCTION("""COMPUTED_VALUE"""),226542.0)</f>
        <v>226542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IFERROR(__xludf.DUMMYFUNCTION("GOOGLEFINANCE(""NYSE:edu"", ""all"", DATE(2010,1,1), DATE(2023,12,31),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IFERROR(__xludf.DUMMYFUNCTION("""COMPUTED_VALUE"""),40182.666666666664)</f>
        <v>40182.66667</v>
      </c>
      <c r="B2" s="1">
        <f>IFERROR(__xludf.DUMMYFUNCTION("""COMPUTED_VALUE"""),19.16)</f>
        <v>19.16</v>
      </c>
      <c r="C2" s="1">
        <f>IFERROR(__xludf.DUMMYFUNCTION("""COMPUTED_VALUE"""),19.26)</f>
        <v>19.26</v>
      </c>
      <c r="D2" s="1">
        <f>IFERROR(__xludf.DUMMYFUNCTION("""COMPUTED_VALUE"""),18.74)</f>
        <v>18.74</v>
      </c>
      <c r="E2" s="1">
        <f>IFERROR(__xludf.DUMMYFUNCTION("""COMPUTED_VALUE"""),18.81)</f>
        <v>18.81</v>
      </c>
      <c r="F2" s="1">
        <f>IFERROR(__xludf.DUMMYFUNCTION("""COMPUTED_VALUE"""),319617.0)</f>
        <v>319617</v>
      </c>
    </row>
    <row r="3">
      <c r="A3" s="2">
        <f>IFERROR(__xludf.DUMMYFUNCTION("""COMPUTED_VALUE"""),40183.666666666664)</f>
        <v>40183.66667</v>
      </c>
      <c r="B3" s="1">
        <f>IFERROR(__xludf.DUMMYFUNCTION("""COMPUTED_VALUE"""),18.88)</f>
        <v>18.88</v>
      </c>
      <c r="C3" s="1">
        <f>IFERROR(__xludf.DUMMYFUNCTION("""COMPUTED_VALUE"""),19.24)</f>
        <v>19.24</v>
      </c>
      <c r="D3" s="1">
        <f>IFERROR(__xludf.DUMMYFUNCTION("""COMPUTED_VALUE"""),18.86)</f>
        <v>18.86</v>
      </c>
      <c r="E3" s="1">
        <f>IFERROR(__xludf.DUMMYFUNCTION("""COMPUTED_VALUE"""),19.17)</f>
        <v>19.17</v>
      </c>
      <c r="F3" s="1">
        <f>IFERROR(__xludf.DUMMYFUNCTION("""COMPUTED_VALUE"""),191277.0)</f>
        <v>191277</v>
      </c>
    </row>
    <row r="4">
      <c r="A4" s="2">
        <f>IFERROR(__xludf.DUMMYFUNCTION("""COMPUTED_VALUE"""),40184.666666666664)</f>
        <v>40184.66667</v>
      </c>
      <c r="B4" s="1">
        <f>IFERROR(__xludf.DUMMYFUNCTION("""COMPUTED_VALUE"""),19.29)</f>
        <v>19.29</v>
      </c>
      <c r="C4" s="1">
        <f>IFERROR(__xludf.DUMMYFUNCTION("""COMPUTED_VALUE"""),19.78)</f>
        <v>19.78</v>
      </c>
      <c r="D4" s="1">
        <f>IFERROR(__xludf.DUMMYFUNCTION("""COMPUTED_VALUE"""),19.17)</f>
        <v>19.17</v>
      </c>
      <c r="E4" s="1">
        <f>IFERROR(__xludf.DUMMYFUNCTION("""COMPUTED_VALUE"""),19.67)</f>
        <v>19.67</v>
      </c>
      <c r="F4" s="1">
        <f>IFERROR(__xludf.DUMMYFUNCTION("""COMPUTED_VALUE"""),546915.0)</f>
        <v>546915</v>
      </c>
    </row>
    <row r="5">
      <c r="A5" s="2">
        <f>IFERROR(__xludf.DUMMYFUNCTION("""COMPUTED_VALUE"""),40185.666666666664)</f>
        <v>40185.66667</v>
      </c>
      <c r="B5" s="1">
        <f>IFERROR(__xludf.DUMMYFUNCTION("""COMPUTED_VALUE"""),19.74)</f>
        <v>19.74</v>
      </c>
      <c r="C5" s="1">
        <f>IFERROR(__xludf.DUMMYFUNCTION("""COMPUTED_VALUE"""),20.0)</f>
        <v>20</v>
      </c>
      <c r="D5" s="1">
        <f>IFERROR(__xludf.DUMMYFUNCTION("""COMPUTED_VALUE"""),19.65)</f>
        <v>19.65</v>
      </c>
      <c r="E5" s="1">
        <f>IFERROR(__xludf.DUMMYFUNCTION("""COMPUTED_VALUE"""),19.99)</f>
        <v>19.99</v>
      </c>
      <c r="F5" s="1">
        <f>IFERROR(__xludf.DUMMYFUNCTION("""COMPUTED_VALUE"""),346196.0)</f>
        <v>346196</v>
      </c>
    </row>
    <row r="6">
      <c r="A6" s="2">
        <f>IFERROR(__xludf.DUMMYFUNCTION("""COMPUTED_VALUE"""),40186.666666666664)</f>
        <v>40186.66667</v>
      </c>
      <c r="B6" s="1">
        <f>IFERROR(__xludf.DUMMYFUNCTION("""COMPUTED_VALUE"""),19.63)</f>
        <v>19.63</v>
      </c>
      <c r="C6" s="1">
        <f>IFERROR(__xludf.DUMMYFUNCTION("""COMPUTED_VALUE"""),20.0)</f>
        <v>20</v>
      </c>
      <c r="D6" s="1">
        <f>IFERROR(__xludf.DUMMYFUNCTION("""COMPUTED_VALUE"""),19.59)</f>
        <v>19.59</v>
      </c>
      <c r="E6" s="1">
        <f>IFERROR(__xludf.DUMMYFUNCTION("""COMPUTED_VALUE"""),19.92)</f>
        <v>19.92</v>
      </c>
      <c r="F6" s="1">
        <f>IFERROR(__xludf.DUMMYFUNCTION("""COMPUTED_VALUE"""),350742.0)</f>
        <v>350742</v>
      </c>
    </row>
    <row r="7">
      <c r="A7" s="2">
        <f>IFERROR(__xludf.DUMMYFUNCTION("""COMPUTED_VALUE"""),40189.666666666664)</f>
        <v>40189.66667</v>
      </c>
      <c r="B7" s="1">
        <f>IFERROR(__xludf.DUMMYFUNCTION("""COMPUTED_VALUE"""),19.79)</f>
        <v>19.79</v>
      </c>
      <c r="C7" s="1">
        <f>IFERROR(__xludf.DUMMYFUNCTION("""COMPUTED_VALUE"""),19.91)</f>
        <v>19.91</v>
      </c>
      <c r="D7" s="1">
        <f>IFERROR(__xludf.DUMMYFUNCTION("""COMPUTED_VALUE"""),19.34)</f>
        <v>19.34</v>
      </c>
      <c r="E7" s="1">
        <f>IFERROR(__xludf.DUMMYFUNCTION("""COMPUTED_VALUE"""),19.68)</f>
        <v>19.68</v>
      </c>
      <c r="F7" s="1">
        <f>IFERROR(__xludf.DUMMYFUNCTION("""COMPUTED_VALUE"""),261205.0)</f>
        <v>261205</v>
      </c>
    </row>
    <row r="8">
      <c r="A8" s="2">
        <f>IFERROR(__xludf.DUMMYFUNCTION("""COMPUTED_VALUE"""),40190.666666666664)</f>
        <v>40190.66667</v>
      </c>
      <c r="B8" s="1">
        <f>IFERROR(__xludf.DUMMYFUNCTION("""COMPUTED_VALUE"""),19.5)</f>
        <v>19.5</v>
      </c>
      <c r="C8" s="1">
        <f>IFERROR(__xludf.DUMMYFUNCTION("""COMPUTED_VALUE"""),19.75)</f>
        <v>19.75</v>
      </c>
      <c r="D8" s="1">
        <f>IFERROR(__xludf.DUMMYFUNCTION("""COMPUTED_VALUE"""),19.36)</f>
        <v>19.36</v>
      </c>
      <c r="E8" s="1">
        <f>IFERROR(__xludf.DUMMYFUNCTION("""COMPUTED_VALUE"""),19.44)</f>
        <v>19.44</v>
      </c>
      <c r="F8" s="1">
        <f>IFERROR(__xludf.DUMMYFUNCTION("""COMPUTED_VALUE"""),209403.0)</f>
        <v>209403</v>
      </c>
    </row>
    <row r="9">
      <c r="A9" s="2">
        <f>IFERROR(__xludf.DUMMYFUNCTION("""COMPUTED_VALUE"""),40191.666666666664)</f>
        <v>40191.66667</v>
      </c>
      <c r="B9" s="1">
        <f>IFERROR(__xludf.DUMMYFUNCTION("""COMPUTED_VALUE"""),19.45)</f>
        <v>19.45</v>
      </c>
      <c r="C9" s="1">
        <f>IFERROR(__xludf.DUMMYFUNCTION("""COMPUTED_VALUE"""),19.75)</f>
        <v>19.75</v>
      </c>
      <c r="D9" s="1">
        <f>IFERROR(__xludf.DUMMYFUNCTION("""COMPUTED_VALUE"""),19.44)</f>
        <v>19.44</v>
      </c>
      <c r="E9" s="1">
        <f>IFERROR(__xludf.DUMMYFUNCTION("""COMPUTED_VALUE"""),19.73)</f>
        <v>19.73</v>
      </c>
      <c r="F9" s="1">
        <f>IFERROR(__xludf.DUMMYFUNCTION("""COMPUTED_VALUE"""),178881.0)</f>
        <v>178881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IFERROR(__xludf.DUMMYFUNCTION("""COMPUTED_VALUE"""),19.63)</f>
        <v>19.63</v>
      </c>
      <c r="C10" s="1">
        <f>IFERROR(__xludf.DUMMYFUNCTION("""COMPUTED_VALUE"""),19.86)</f>
        <v>19.86</v>
      </c>
      <c r="D10" s="1">
        <f>IFERROR(__xludf.DUMMYFUNCTION("""COMPUTED_VALUE"""),19.42)</f>
        <v>19.42</v>
      </c>
      <c r="E10" s="1">
        <f>IFERROR(__xludf.DUMMYFUNCTION("""COMPUTED_VALUE"""),19.48)</f>
        <v>19.48</v>
      </c>
      <c r="F10" s="1">
        <f>IFERROR(__xludf.DUMMYFUNCTION("""COMPUTED_VALUE"""),280821.0)</f>
        <v>280821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IFERROR(__xludf.DUMMYFUNCTION("""COMPUTED_VALUE"""),19.39)</f>
        <v>19.39</v>
      </c>
      <c r="C11" s="1">
        <f>IFERROR(__xludf.DUMMYFUNCTION("""COMPUTED_VALUE"""),19.43)</f>
        <v>19.43</v>
      </c>
      <c r="D11" s="1">
        <f>IFERROR(__xludf.DUMMYFUNCTION("""COMPUTED_VALUE"""),17.86)</f>
        <v>17.86</v>
      </c>
      <c r="E11" s="1">
        <f>IFERROR(__xludf.DUMMYFUNCTION("""COMPUTED_VALUE"""),18.03)</f>
        <v>18.03</v>
      </c>
      <c r="F11" s="1">
        <f>IFERROR(__xludf.DUMMYFUNCTION("""COMPUTED_VALUE"""),2116885.0)</f>
        <v>2116885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IFERROR(__xludf.DUMMYFUNCTION("""COMPUTED_VALUE"""),17.42)</f>
        <v>17.42</v>
      </c>
      <c r="C12" s="1">
        <f>IFERROR(__xludf.DUMMYFUNCTION("""COMPUTED_VALUE"""),20.0)</f>
        <v>20</v>
      </c>
      <c r="D12" s="1">
        <f>IFERROR(__xludf.DUMMYFUNCTION("""COMPUTED_VALUE"""),17.42)</f>
        <v>17.42</v>
      </c>
      <c r="E12" s="1">
        <f>IFERROR(__xludf.DUMMYFUNCTION("""COMPUTED_VALUE"""),19.84)</f>
        <v>19.84</v>
      </c>
      <c r="F12" s="1">
        <f>IFERROR(__xludf.DUMMYFUNCTION("""COMPUTED_VALUE"""),3490292.0)</f>
        <v>3490292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IFERROR(__xludf.DUMMYFUNCTION("""COMPUTED_VALUE"""),18.98)</f>
        <v>18.98</v>
      </c>
      <c r="C13" s="1">
        <f>IFERROR(__xludf.DUMMYFUNCTION("""COMPUTED_VALUE"""),19.23)</f>
        <v>19.23</v>
      </c>
      <c r="D13" s="1">
        <f>IFERROR(__xludf.DUMMYFUNCTION("""COMPUTED_VALUE"""),18.52)</f>
        <v>18.52</v>
      </c>
      <c r="E13" s="1">
        <f>IFERROR(__xludf.DUMMYFUNCTION("""COMPUTED_VALUE"""),19.11)</f>
        <v>19.11</v>
      </c>
      <c r="F13" s="1">
        <f>IFERROR(__xludf.DUMMYFUNCTION("""COMPUTED_VALUE"""),1806037.0)</f>
        <v>1806037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IFERROR(__xludf.DUMMYFUNCTION("""COMPUTED_VALUE"""),18.95)</f>
        <v>18.95</v>
      </c>
      <c r="C14" s="1">
        <f>IFERROR(__xludf.DUMMYFUNCTION("""COMPUTED_VALUE"""),19.36)</f>
        <v>19.36</v>
      </c>
      <c r="D14" s="1">
        <f>IFERROR(__xludf.DUMMYFUNCTION("""COMPUTED_VALUE"""),18.87)</f>
        <v>18.87</v>
      </c>
      <c r="E14" s="1">
        <f>IFERROR(__xludf.DUMMYFUNCTION("""COMPUTED_VALUE"""),19.11)</f>
        <v>19.11</v>
      </c>
      <c r="F14" s="1">
        <f>IFERROR(__xludf.DUMMYFUNCTION("""COMPUTED_VALUE"""),694185.0)</f>
        <v>694185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IFERROR(__xludf.DUMMYFUNCTION("""COMPUTED_VALUE"""),19.09)</f>
        <v>19.09</v>
      </c>
      <c r="C15" s="1">
        <f>IFERROR(__xludf.DUMMYFUNCTION("""COMPUTED_VALUE"""),19.09)</f>
        <v>19.09</v>
      </c>
      <c r="D15" s="1">
        <f>IFERROR(__xludf.DUMMYFUNCTION("""COMPUTED_VALUE"""),18.65)</f>
        <v>18.65</v>
      </c>
      <c r="E15" s="1">
        <f>IFERROR(__xludf.DUMMYFUNCTION("""COMPUTED_VALUE"""),18.7)</f>
        <v>18.7</v>
      </c>
      <c r="F15" s="1">
        <f>IFERROR(__xludf.DUMMYFUNCTION("""COMPUTED_VALUE"""),461977.0)</f>
        <v>461977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IFERROR(__xludf.DUMMYFUNCTION("""COMPUTED_VALUE"""),18.75)</f>
        <v>18.75</v>
      </c>
      <c r="C16" s="1">
        <f>IFERROR(__xludf.DUMMYFUNCTION("""COMPUTED_VALUE"""),18.75)</f>
        <v>18.75</v>
      </c>
      <c r="D16" s="1">
        <f>IFERROR(__xludf.DUMMYFUNCTION("""COMPUTED_VALUE"""),18.56)</f>
        <v>18.56</v>
      </c>
      <c r="E16" s="1">
        <f>IFERROR(__xludf.DUMMYFUNCTION("""COMPUTED_VALUE"""),18.67)</f>
        <v>18.67</v>
      </c>
      <c r="F16" s="1">
        <f>IFERROR(__xludf.DUMMYFUNCTION("""COMPUTED_VALUE"""),357283.0)</f>
        <v>357283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IFERROR(__xludf.DUMMYFUNCTION("""COMPUTED_VALUE"""),18.51)</f>
        <v>18.51</v>
      </c>
      <c r="C17" s="1">
        <f>IFERROR(__xludf.DUMMYFUNCTION("""COMPUTED_VALUE"""),18.68)</f>
        <v>18.68</v>
      </c>
      <c r="D17" s="1">
        <f>IFERROR(__xludf.DUMMYFUNCTION("""COMPUTED_VALUE"""),18.31)</f>
        <v>18.31</v>
      </c>
      <c r="E17" s="1">
        <f>IFERROR(__xludf.DUMMYFUNCTION("""COMPUTED_VALUE"""),18.32)</f>
        <v>18.32</v>
      </c>
      <c r="F17" s="1">
        <f>IFERROR(__xludf.DUMMYFUNCTION("""COMPUTED_VALUE"""),918936.0)</f>
        <v>918936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IFERROR(__xludf.DUMMYFUNCTION("""COMPUTED_VALUE"""),18.27)</f>
        <v>18.27</v>
      </c>
      <c r="C18" s="1">
        <f>IFERROR(__xludf.DUMMYFUNCTION("""COMPUTED_VALUE"""),18.3)</f>
        <v>18.3</v>
      </c>
      <c r="D18" s="1">
        <f>IFERROR(__xludf.DUMMYFUNCTION("""COMPUTED_VALUE"""),17.36)</f>
        <v>17.36</v>
      </c>
      <c r="E18" s="1">
        <f>IFERROR(__xludf.DUMMYFUNCTION("""COMPUTED_VALUE"""),17.83)</f>
        <v>17.83</v>
      </c>
      <c r="F18" s="1">
        <f>IFERROR(__xludf.DUMMYFUNCTION("""COMPUTED_VALUE"""),985746.0)</f>
        <v>985746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IFERROR(__xludf.DUMMYFUNCTION("""COMPUTED_VALUE"""),18.11)</f>
        <v>18.11</v>
      </c>
      <c r="C19" s="1">
        <f>IFERROR(__xludf.DUMMYFUNCTION("""COMPUTED_VALUE"""),18.11)</f>
        <v>18.11</v>
      </c>
      <c r="D19" s="1">
        <f>IFERROR(__xludf.DUMMYFUNCTION("""COMPUTED_VALUE"""),17.39)</f>
        <v>17.39</v>
      </c>
      <c r="E19" s="1">
        <f>IFERROR(__xludf.DUMMYFUNCTION("""COMPUTED_VALUE"""),17.44)</f>
        <v>17.44</v>
      </c>
      <c r="F19" s="1">
        <f>IFERROR(__xludf.DUMMYFUNCTION("""COMPUTED_VALUE"""),399944.0)</f>
        <v>399944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IFERROR(__xludf.DUMMYFUNCTION("""COMPUTED_VALUE"""),17.39)</f>
        <v>17.39</v>
      </c>
      <c r="C20" s="1">
        <f>IFERROR(__xludf.DUMMYFUNCTION("""COMPUTED_VALUE"""),17.49)</f>
        <v>17.49</v>
      </c>
      <c r="D20" s="1">
        <f>IFERROR(__xludf.DUMMYFUNCTION("""COMPUTED_VALUE"""),16.94)</f>
        <v>16.94</v>
      </c>
      <c r="E20" s="1">
        <f>IFERROR(__xludf.DUMMYFUNCTION("""COMPUTED_VALUE"""),17.0)</f>
        <v>17</v>
      </c>
      <c r="F20" s="1">
        <f>IFERROR(__xludf.DUMMYFUNCTION("""COMPUTED_VALUE"""),705665.0)</f>
        <v>705665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IFERROR(__xludf.DUMMYFUNCTION("""COMPUTED_VALUE"""),16.91)</f>
        <v>16.91</v>
      </c>
      <c r="C21" s="1">
        <f>IFERROR(__xludf.DUMMYFUNCTION("""COMPUTED_VALUE"""),17.27)</f>
        <v>17.27</v>
      </c>
      <c r="D21" s="1">
        <f>IFERROR(__xludf.DUMMYFUNCTION("""COMPUTED_VALUE"""),16.85)</f>
        <v>16.85</v>
      </c>
      <c r="E21" s="1">
        <f>IFERROR(__xludf.DUMMYFUNCTION("""COMPUTED_VALUE"""),17.25)</f>
        <v>17.25</v>
      </c>
      <c r="F21" s="1">
        <f>IFERROR(__xludf.DUMMYFUNCTION("""COMPUTED_VALUE"""),192391.0)</f>
        <v>192391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IFERROR(__xludf.DUMMYFUNCTION("""COMPUTED_VALUE"""),17.27)</f>
        <v>17.27</v>
      </c>
      <c r="C22" s="1">
        <f>IFERROR(__xludf.DUMMYFUNCTION("""COMPUTED_VALUE"""),17.7)</f>
        <v>17.7</v>
      </c>
      <c r="D22" s="1">
        <f>IFERROR(__xludf.DUMMYFUNCTION("""COMPUTED_VALUE"""),17.2)</f>
        <v>17.2</v>
      </c>
      <c r="E22" s="1">
        <f>IFERROR(__xludf.DUMMYFUNCTION("""COMPUTED_VALUE"""),17.62)</f>
        <v>17.62</v>
      </c>
      <c r="F22" s="1">
        <f>IFERROR(__xludf.DUMMYFUNCTION("""COMPUTED_VALUE"""),210542.0)</f>
        <v>210542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IFERROR(__xludf.DUMMYFUNCTION("""COMPUTED_VALUE"""),17.7)</f>
        <v>17.7</v>
      </c>
      <c r="C23" s="1">
        <f>IFERROR(__xludf.DUMMYFUNCTION("""COMPUTED_VALUE"""),17.98)</f>
        <v>17.98</v>
      </c>
      <c r="D23" s="1">
        <f>IFERROR(__xludf.DUMMYFUNCTION("""COMPUTED_VALUE"""),17.7)</f>
        <v>17.7</v>
      </c>
      <c r="E23" s="1">
        <f>IFERROR(__xludf.DUMMYFUNCTION("""COMPUTED_VALUE"""),17.86)</f>
        <v>17.86</v>
      </c>
      <c r="F23" s="1">
        <f>IFERROR(__xludf.DUMMYFUNCTION("""COMPUTED_VALUE"""),192788.0)</f>
        <v>192788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IFERROR(__xludf.DUMMYFUNCTION("""COMPUTED_VALUE"""),17.82)</f>
        <v>17.82</v>
      </c>
      <c r="C24" s="1">
        <f>IFERROR(__xludf.DUMMYFUNCTION("""COMPUTED_VALUE"""),17.85)</f>
        <v>17.85</v>
      </c>
      <c r="D24" s="1">
        <f>IFERROR(__xludf.DUMMYFUNCTION("""COMPUTED_VALUE"""),17.35)</f>
        <v>17.35</v>
      </c>
      <c r="E24" s="1">
        <f>IFERROR(__xludf.DUMMYFUNCTION("""COMPUTED_VALUE"""),17.36)</f>
        <v>17.36</v>
      </c>
      <c r="F24" s="1">
        <f>IFERROR(__xludf.DUMMYFUNCTION("""COMPUTED_VALUE"""),657165.0)</f>
        <v>657165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IFERROR(__xludf.DUMMYFUNCTION("""COMPUTED_VALUE"""),17.6)</f>
        <v>17.6</v>
      </c>
      <c r="C25" s="1">
        <f>IFERROR(__xludf.DUMMYFUNCTION("""COMPUTED_VALUE"""),17.89)</f>
        <v>17.89</v>
      </c>
      <c r="D25" s="1">
        <f>IFERROR(__xludf.DUMMYFUNCTION("""COMPUTED_VALUE"""),16.91)</f>
        <v>16.91</v>
      </c>
      <c r="E25" s="1">
        <f>IFERROR(__xludf.DUMMYFUNCTION("""COMPUTED_VALUE"""),17.25)</f>
        <v>17.25</v>
      </c>
      <c r="F25" s="1">
        <f>IFERROR(__xludf.DUMMYFUNCTION("""COMPUTED_VALUE"""),471098.0)</f>
        <v>471098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IFERROR(__xludf.DUMMYFUNCTION("""COMPUTED_VALUE"""),17.31)</f>
        <v>17.31</v>
      </c>
      <c r="C26" s="1">
        <f>IFERROR(__xludf.DUMMYFUNCTION("""COMPUTED_VALUE"""),17.33)</f>
        <v>17.33</v>
      </c>
      <c r="D26" s="1">
        <f>IFERROR(__xludf.DUMMYFUNCTION("""COMPUTED_VALUE"""),16.77)</f>
        <v>16.77</v>
      </c>
      <c r="E26" s="1">
        <f>IFERROR(__xludf.DUMMYFUNCTION("""COMPUTED_VALUE"""),16.83)</f>
        <v>16.83</v>
      </c>
      <c r="F26" s="1">
        <f>IFERROR(__xludf.DUMMYFUNCTION("""COMPUTED_VALUE"""),286159.0)</f>
        <v>286159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IFERROR(__xludf.DUMMYFUNCTION("""COMPUTED_VALUE"""),17.02)</f>
        <v>17.02</v>
      </c>
      <c r="C27" s="1">
        <f>IFERROR(__xludf.DUMMYFUNCTION("""COMPUTED_VALUE"""),17.08)</f>
        <v>17.08</v>
      </c>
      <c r="D27" s="1">
        <f>IFERROR(__xludf.DUMMYFUNCTION("""COMPUTED_VALUE"""),16.58)</f>
        <v>16.58</v>
      </c>
      <c r="E27" s="1">
        <f>IFERROR(__xludf.DUMMYFUNCTION("""COMPUTED_VALUE"""),16.67)</f>
        <v>16.67</v>
      </c>
      <c r="F27" s="1">
        <f>IFERROR(__xludf.DUMMYFUNCTION("""COMPUTED_VALUE"""),477910.0)</f>
        <v>477910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IFERROR(__xludf.DUMMYFUNCTION("""COMPUTED_VALUE"""),16.83)</f>
        <v>16.83</v>
      </c>
      <c r="C28" s="1">
        <f>IFERROR(__xludf.DUMMYFUNCTION("""COMPUTED_VALUE"""),17.16)</f>
        <v>17.16</v>
      </c>
      <c r="D28" s="1">
        <f>IFERROR(__xludf.DUMMYFUNCTION("""COMPUTED_VALUE"""),16.76)</f>
        <v>16.76</v>
      </c>
      <c r="E28" s="1">
        <f>IFERROR(__xludf.DUMMYFUNCTION("""COMPUTED_VALUE"""),17.07)</f>
        <v>17.07</v>
      </c>
      <c r="F28" s="1">
        <f>IFERROR(__xludf.DUMMYFUNCTION("""COMPUTED_VALUE"""),298518.0)</f>
        <v>298518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IFERROR(__xludf.DUMMYFUNCTION("""COMPUTED_VALUE"""),17.01)</f>
        <v>17.01</v>
      </c>
      <c r="C29" s="1">
        <f>IFERROR(__xludf.DUMMYFUNCTION("""COMPUTED_VALUE"""),17.41)</f>
        <v>17.41</v>
      </c>
      <c r="D29" s="1">
        <f>IFERROR(__xludf.DUMMYFUNCTION("""COMPUTED_VALUE"""),16.87)</f>
        <v>16.87</v>
      </c>
      <c r="E29" s="1">
        <f>IFERROR(__xludf.DUMMYFUNCTION("""COMPUTED_VALUE"""),17.26)</f>
        <v>17.26</v>
      </c>
      <c r="F29" s="1">
        <f>IFERROR(__xludf.DUMMYFUNCTION("""COMPUTED_VALUE"""),252906.0)</f>
        <v>252906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IFERROR(__xludf.DUMMYFUNCTION("""COMPUTED_VALUE"""),17.14)</f>
        <v>17.14</v>
      </c>
      <c r="C30" s="1">
        <f>IFERROR(__xludf.DUMMYFUNCTION("""COMPUTED_VALUE"""),17.55)</f>
        <v>17.55</v>
      </c>
      <c r="D30" s="1">
        <f>IFERROR(__xludf.DUMMYFUNCTION("""COMPUTED_VALUE"""),16.95)</f>
        <v>16.95</v>
      </c>
      <c r="E30" s="1">
        <f>IFERROR(__xludf.DUMMYFUNCTION("""COMPUTED_VALUE"""),17.49)</f>
        <v>17.49</v>
      </c>
      <c r="F30" s="1">
        <f>IFERROR(__xludf.DUMMYFUNCTION("""COMPUTED_VALUE"""),372024.0)</f>
        <v>372024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IFERROR(__xludf.DUMMYFUNCTION("""COMPUTED_VALUE"""),17.63)</f>
        <v>17.63</v>
      </c>
      <c r="C31" s="1">
        <f>IFERROR(__xludf.DUMMYFUNCTION("""COMPUTED_VALUE"""),17.93)</f>
        <v>17.93</v>
      </c>
      <c r="D31" s="1">
        <f>IFERROR(__xludf.DUMMYFUNCTION("""COMPUTED_VALUE"""),17.48)</f>
        <v>17.48</v>
      </c>
      <c r="E31" s="1">
        <f>IFERROR(__xludf.DUMMYFUNCTION("""COMPUTED_VALUE"""),17.88)</f>
        <v>17.88</v>
      </c>
      <c r="F31" s="1">
        <f>IFERROR(__xludf.DUMMYFUNCTION("""COMPUTED_VALUE"""),218612.0)</f>
        <v>218612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IFERROR(__xludf.DUMMYFUNCTION("""COMPUTED_VALUE"""),18.01)</f>
        <v>18.01</v>
      </c>
      <c r="C32" s="1">
        <f>IFERROR(__xludf.DUMMYFUNCTION("""COMPUTED_VALUE"""),18.09)</f>
        <v>18.09</v>
      </c>
      <c r="D32" s="1">
        <f>IFERROR(__xludf.DUMMYFUNCTION("""COMPUTED_VALUE"""),17.85)</f>
        <v>17.85</v>
      </c>
      <c r="E32" s="1">
        <f>IFERROR(__xludf.DUMMYFUNCTION("""COMPUTED_VALUE"""),18.05)</f>
        <v>18.05</v>
      </c>
      <c r="F32" s="1">
        <f>IFERROR(__xludf.DUMMYFUNCTION("""COMPUTED_VALUE"""),272182.0)</f>
        <v>272182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IFERROR(__xludf.DUMMYFUNCTION("""COMPUTED_VALUE"""),18.01)</f>
        <v>18.01</v>
      </c>
      <c r="C33" s="1">
        <f>IFERROR(__xludf.DUMMYFUNCTION("""COMPUTED_VALUE"""),18.27)</f>
        <v>18.27</v>
      </c>
      <c r="D33" s="1">
        <f>IFERROR(__xludf.DUMMYFUNCTION("""COMPUTED_VALUE"""),17.96)</f>
        <v>17.96</v>
      </c>
      <c r="E33" s="1">
        <f>IFERROR(__xludf.DUMMYFUNCTION("""COMPUTED_VALUE"""),18.15)</f>
        <v>18.15</v>
      </c>
      <c r="F33" s="1">
        <f>IFERROR(__xludf.DUMMYFUNCTION("""COMPUTED_VALUE"""),222580.0)</f>
        <v>222580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IFERROR(__xludf.DUMMYFUNCTION("""COMPUTED_VALUE"""),17.86)</f>
        <v>17.86</v>
      </c>
      <c r="C34" s="1">
        <f>IFERROR(__xludf.DUMMYFUNCTION("""COMPUTED_VALUE"""),18.5)</f>
        <v>18.5</v>
      </c>
      <c r="D34" s="1">
        <f>IFERROR(__xludf.DUMMYFUNCTION("""COMPUTED_VALUE"""),17.86)</f>
        <v>17.86</v>
      </c>
      <c r="E34" s="1">
        <f>IFERROR(__xludf.DUMMYFUNCTION("""COMPUTED_VALUE"""),18.27)</f>
        <v>18.27</v>
      </c>
      <c r="F34" s="1">
        <f>IFERROR(__xludf.DUMMYFUNCTION("""COMPUTED_VALUE"""),266540.0)</f>
        <v>266540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IFERROR(__xludf.DUMMYFUNCTION("""COMPUTED_VALUE"""),18.31)</f>
        <v>18.31</v>
      </c>
      <c r="C35" s="1">
        <f>IFERROR(__xludf.DUMMYFUNCTION("""COMPUTED_VALUE"""),18.74)</f>
        <v>18.74</v>
      </c>
      <c r="D35" s="1">
        <f>IFERROR(__xludf.DUMMYFUNCTION("""COMPUTED_VALUE"""),18.31)</f>
        <v>18.31</v>
      </c>
      <c r="E35" s="1">
        <f>IFERROR(__xludf.DUMMYFUNCTION("""COMPUTED_VALUE"""),18.48)</f>
        <v>18.48</v>
      </c>
      <c r="F35" s="1">
        <f>IFERROR(__xludf.DUMMYFUNCTION("""COMPUTED_VALUE"""),305794.0)</f>
        <v>305794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IFERROR(__xludf.DUMMYFUNCTION("""COMPUTED_VALUE"""),18.56)</f>
        <v>18.56</v>
      </c>
      <c r="C36" s="1">
        <f>IFERROR(__xludf.DUMMYFUNCTION("""COMPUTED_VALUE"""),19.23)</f>
        <v>19.23</v>
      </c>
      <c r="D36" s="1">
        <f>IFERROR(__xludf.DUMMYFUNCTION("""COMPUTED_VALUE"""),18.56)</f>
        <v>18.56</v>
      </c>
      <c r="E36" s="1">
        <f>IFERROR(__xludf.DUMMYFUNCTION("""COMPUTED_VALUE"""),19.04)</f>
        <v>19.04</v>
      </c>
      <c r="F36" s="1">
        <f>IFERROR(__xludf.DUMMYFUNCTION("""COMPUTED_VALUE"""),544788.0)</f>
        <v>544788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IFERROR(__xludf.DUMMYFUNCTION("""COMPUTED_VALUE"""),18.58)</f>
        <v>18.58</v>
      </c>
      <c r="C37" s="1">
        <f>IFERROR(__xludf.DUMMYFUNCTION("""COMPUTED_VALUE"""),19.2)</f>
        <v>19.2</v>
      </c>
      <c r="D37" s="1">
        <f>IFERROR(__xludf.DUMMYFUNCTION("""COMPUTED_VALUE"""),18.46)</f>
        <v>18.46</v>
      </c>
      <c r="E37" s="1">
        <f>IFERROR(__xludf.DUMMYFUNCTION("""COMPUTED_VALUE"""),19.17)</f>
        <v>19.17</v>
      </c>
      <c r="F37" s="1">
        <f>IFERROR(__xludf.DUMMYFUNCTION("""COMPUTED_VALUE"""),401240.0)</f>
        <v>401240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IFERROR(__xludf.DUMMYFUNCTION("""COMPUTED_VALUE"""),18.87)</f>
        <v>18.87</v>
      </c>
      <c r="C38" s="1">
        <f>IFERROR(__xludf.DUMMYFUNCTION("""COMPUTED_VALUE"""),19.83)</f>
        <v>19.83</v>
      </c>
      <c r="D38" s="1">
        <f>IFERROR(__xludf.DUMMYFUNCTION("""COMPUTED_VALUE"""),18.61)</f>
        <v>18.61</v>
      </c>
      <c r="E38" s="1">
        <f>IFERROR(__xludf.DUMMYFUNCTION("""COMPUTED_VALUE"""),19.77)</f>
        <v>19.77</v>
      </c>
      <c r="F38" s="1">
        <f>IFERROR(__xludf.DUMMYFUNCTION("""COMPUTED_VALUE"""),934862.0)</f>
        <v>934862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IFERROR(__xludf.DUMMYFUNCTION("""COMPUTED_VALUE"""),19.61)</f>
        <v>19.61</v>
      </c>
      <c r="C39" s="1">
        <f>IFERROR(__xludf.DUMMYFUNCTION("""COMPUTED_VALUE"""),19.63)</f>
        <v>19.63</v>
      </c>
      <c r="D39" s="1">
        <f>IFERROR(__xludf.DUMMYFUNCTION("""COMPUTED_VALUE"""),19.35)</f>
        <v>19.35</v>
      </c>
      <c r="E39" s="1">
        <f>IFERROR(__xludf.DUMMYFUNCTION("""COMPUTED_VALUE"""),19.55)</f>
        <v>19.55</v>
      </c>
      <c r="F39" s="1">
        <f>IFERROR(__xludf.DUMMYFUNCTION("""COMPUTED_VALUE"""),555674.0)</f>
        <v>555674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IFERROR(__xludf.DUMMYFUNCTION("""COMPUTED_VALUE"""),19.45)</f>
        <v>19.45</v>
      </c>
      <c r="C40" s="1">
        <f>IFERROR(__xludf.DUMMYFUNCTION("""COMPUTED_VALUE"""),19.75)</f>
        <v>19.75</v>
      </c>
      <c r="D40" s="1">
        <f>IFERROR(__xludf.DUMMYFUNCTION("""COMPUTED_VALUE"""),19.45)</f>
        <v>19.45</v>
      </c>
      <c r="E40" s="1">
        <f>IFERROR(__xludf.DUMMYFUNCTION("""COMPUTED_VALUE"""),19.66)</f>
        <v>19.66</v>
      </c>
      <c r="F40" s="1">
        <f>IFERROR(__xludf.DUMMYFUNCTION("""COMPUTED_VALUE"""),360201.0)</f>
        <v>360201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IFERROR(__xludf.DUMMYFUNCTION("""COMPUTED_VALUE"""),19.63)</f>
        <v>19.63</v>
      </c>
      <c r="C41" s="1">
        <f>IFERROR(__xludf.DUMMYFUNCTION("""COMPUTED_VALUE"""),19.93)</f>
        <v>19.93</v>
      </c>
      <c r="D41" s="1">
        <f>IFERROR(__xludf.DUMMYFUNCTION("""COMPUTED_VALUE"""),19.63)</f>
        <v>19.63</v>
      </c>
      <c r="E41" s="1">
        <f>IFERROR(__xludf.DUMMYFUNCTION("""COMPUTED_VALUE"""),19.73)</f>
        <v>19.73</v>
      </c>
      <c r="F41" s="1">
        <f>IFERROR(__xludf.DUMMYFUNCTION("""COMPUTED_VALUE"""),232471.0)</f>
        <v>232471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IFERROR(__xludf.DUMMYFUNCTION("""COMPUTED_VALUE"""),19.77)</f>
        <v>19.77</v>
      </c>
      <c r="C42" s="1">
        <f>IFERROR(__xludf.DUMMYFUNCTION("""COMPUTED_VALUE"""),19.87)</f>
        <v>19.87</v>
      </c>
      <c r="D42" s="1">
        <f>IFERROR(__xludf.DUMMYFUNCTION("""COMPUTED_VALUE"""),19.35)</f>
        <v>19.35</v>
      </c>
      <c r="E42" s="1">
        <f>IFERROR(__xludf.DUMMYFUNCTION("""COMPUTED_VALUE"""),19.57)</f>
        <v>19.57</v>
      </c>
      <c r="F42" s="1">
        <f>IFERROR(__xludf.DUMMYFUNCTION("""COMPUTED_VALUE"""),194895.0)</f>
        <v>194895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IFERROR(__xludf.DUMMYFUNCTION("""COMPUTED_VALUE"""),19.45)</f>
        <v>19.45</v>
      </c>
      <c r="C43" s="1">
        <f>IFERROR(__xludf.DUMMYFUNCTION("""COMPUTED_VALUE"""),19.55)</f>
        <v>19.55</v>
      </c>
      <c r="D43" s="1">
        <f>IFERROR(__xludf.DUMMYFUNCTION("""COMPUTED_VALUE"""),19.11)</f>
        <v>19.11</v>
      </c>
      <c r="E43" s="1">
        <f>IFERROR(__xludf.DUMMYFUNCTION("""COMPUTED_VALUE"""),19.14)</f>
        <v>19.14</v>
      </c>
      <c r="F43" s="1">
        <f>IFERROR(__xludf.DUMMYFUNCTION("""COMPUTED_VALUE"""),1008544.0)</f>
        <v>1008544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IFERROR(__xludf.DUMMYFUNCTION("""COMPUTED_VALUE"""),19.25)</f>
        <v>19.25</v>
      </c>
      <c r="C44" s="1">
        <f>IFERROR(__xludf.DUMMYFUNCTION("""COMPUTED_VALUE"""),19.5)</f>
        <v>19.5</v>
      </c>
      <c r="D44" s="1">
        <f>IFERROR(__xludf.DUMMYFUNCTION("""COMPUTED_VALUE"""),19.19)</f>
        <v>19.19</v>
      </c>
      <c r="E44" s="1">
        <f>IFERROR(__xludf.DUMMYFUNCTION("""COMPUTED_VALUE"""),19.25)</f>
        <v>19.25</v>
      </c>
      <c r="F44" s="1">
        <f>IFERROR(__xludf.DUMMYFUNCTION("""COMPUTED_VALUE"""),239654.0)</f>
        <v>239654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IFERROR(__xludf.DUMMYFUNCTION("""COMPUTED_VALUE"""),19.29)</f>
        <v>19.29</v>
      </c>
      <c r="C45" s="1">
        <f>IFERROR(__xludf.DUMMYFUNCTION("""COMPUTED_VALUE"""),19.5)</f>
        <v>19.5</v>
      </c>
      <c r="D45" s="1">
        <f>IFERROR(__xludf.DUMMYFUNCTION("""COMPUTED_VALUE"""),19.04)</f>
        <v>19.04</v>
      </c>
      <c r="E45" s="1">
        <f>IFERROR(__xludf.DUMMYFUNCTION("""COMPUTED_VALUE"""),19.25)</f>
        <v>19.25</v>
      </c>
      <c r="F45" s="1">
        <f>IFERROR(__xludf.DUMMYFUNCTION("""COMPUTED_VALUE"""),489914.0)</f>
        <v>489914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IFERROR(__xludf.DUMMYFUNCTION("""COMPUTED_VALUE"""),19.13)</f>
        <v>19.13</v>
      </c>
      <c r="C46" s="1">
        <f>IFERROR(__xludf.DUMMYFUNCTION("""COMPUTED_VALUE"""),19.49)</f>
        <v>19.49</v>
      </c>
      <c r="D46" s="1">
        <f>IFERROR(__xludf.DUMMYFUNCTION("""COMPUTED_VALUE"""),19.13)</f>
        <v>19.13</v>
      </c>
      <c r="E46" s="1">
        <f>IFERROR(__xludf.DUMMYFUNCTION("""COMPUTED_VALUE"""),19.33)</f>
        <v>19.33</v>
      </c>
      <c r="F46" s="1">
        <f>IFERROR(__xludf.DUMMYFUNCTION("""COMPUTED_VALUE"""),323780.0)</f>
        <v>323780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IFERROR(__xludf.DUMMYFUNCTION("""COMPUTED_VALUE"""),19.35)</f>
        <v>19.35</v>
      </c>
      <c r="C47" s="1">
        <f>IFERROR(__xludf.DUMMYFUNCTION("""COMPUTED_VALUE"""),20.34)</f>
        <v>20.34</v>
      </c>
      <c r="D47" s="1">
        <f>IFERROR(__xludf.DUMMYFUNCTION("""COMPUTED_VALUE"""),19.35)</f>
        <v>19.35</v>
      </c>
      <c r="E47" s="1">
        <f>IFERROR(__xludf.DUMMYFUNCTION("""COMPUTED_VALUE"""),20.06)</f>
        <v>20.06</v>
      </c>
      <c r="F47" s="1">
        <f>IFERROR(__xludf.DUMMYFUNCTION("""COMPUTED_VALUE"""),797379.0)</f>
        <v>797379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IFERROR(__xludf.DUMMYFUNCTION("""COMPUTED_VALUE"""),20.0)</f>
        <v>20</v>
      </c>
      <c r="C48" s="1">
        <f>IFERROR(__xludf.DUMMYFUNCTION("""COMPUTED_VALUE"""),20.57)</f>
        <v>20.57</v>
      </c>
      <c r="D48" s="1">
        <f>IFERROR(__xludf.DUMMYFUNCTION("""COMPUTED_VALUE"""),19.91)</f>
        <v>19.91</v>
      </c>
      <c r="E48" s="1">
        <f>IFERROR(__xludf.DUMMYFUNCTION("""COMPUTED_VALUE"""),20.51)</f>
        <v>20.51</v>
      </c>
      <c r="F48" s="1">
        <f>IFERROR(__xludf.DUMMYFUNCTION("""COMPUTED_VALUE"""),450765.0)</f>
        <v>450765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IFERROR(__xludf.DUMMYFUNCTION("""COMPUTED_VALUE"""),20.69)</f>
        <v>20.69</v>
      </c>
      <c r="C49" s="1">
        <f>IFERROR(__xludf.DUMMYFUNCTION("""COMPUTED_VALUE"""),21.49)</f>
        <v>21.49</v>
      </c>
      <c r="D49" s="1">
        <f>IFERROR(__xludf.DUMMYFUNCTION("""COMPUTED_VALUE"""),20.61)</f>
        <v>20.61</v>
      </c>
      <c r="E49" s="1">
        <f>IFERROR(__xludf.DUMMYFUNCTION("""COMPUTED_VALUE"""),21.41)</f>
        <v>21.41</v>
      </c>
      <c r="F49" s="1">
        <f>IFERROR(__xludf.DUMMYFUNCTION("""COMPUTED_VALUE"""),805278.0)</f>
        <v>805278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IFERROR(__xludf.DUMMYFUNCTION("""COMPUTED_VALUE"""),21.32)</f>
        <v>21.32</v>
      </c>
      <c r="C50" s="1">
        <f>IFERROR(__xludf.DUMMYFUNCTION("""COMPUTED_VALUE"""),21.53)</f>
        <v>21.53</v>
      </c>
      <c r="D50" s="1">
        <f>IFERROR(__xludf.DUMMYFUNCTION("""COMPUTED_VALUE"""),20.68)</f>
        <v>20.68</v>
      </c>
      <c r="E50" s="1">
        <f>IFERROR(__xludf.DUMMYFUNCTION("""COMPUTED_VALUE"""),20.88)</f>
        <v>20.88</v>
      </c>
      <c r="F50" s="1">
        <f>IFERROR(__xludf.DUMMYFUNCTION("""COMPUTED_VALUE"""),428791.0)</f>
        <v>428791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IFERROR(__xludf.DUMMYFUNCTION("""COMPUTED_VALUE"""),20.9)</f>
        <v>20.9</v>
      </c>
      <c r="C51" s="1">
        <f>IFERROR(__xludf.DUMMYFUNCTION("""COMPUTED_VALUE"""),21.32)</f>
        <v>21.32</v>
      </c>
      <c r="D51" s="1">
        <f>IFERROR(__xludf.DUMMYFUNCTION("""COMPUTED_VALUE"""),20.88)</f>
        <v>20.88</v>
      </c>
      <c r="E51" s="1">
        <f>IFERROR(__xludf.DUMMYFUNCTION("""COMPUTED_VALUE"""),21.25)</f>
        <v>21.25</v>
      </c>
      <c r="F51" s="1">
        <f>IFERROR(__xludf.DUMMYFUNCTION("""COMPUTED_VALUE"""),245361.0)</f>
        <v>245361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IFERROR(__xludf.DUMMYFUNCTION("""COMPUTED_VALUE"""),21.27)</f>
        <v>21.27</v>
      </c>
      <c r="C52" s="1">
        <f>IFERROR(__xludf.DUMMYFUNCTION("""COMPUTED_VALUE"""),22.0)</f>
        <v>22</v>
      </c>
      <c r="D52" s="1">
        <f>IFERROR(__xludf.DUMMYFUNCTION("""COMPUTED_VALUE"""),21.27)</f>
        <v>21.27</v>
      </c>
      <c r="E52" s="1">
        <f>IFERROR(__xludf.DUMMYFUNCTION("""COMPUTED_VALUE"""),21.98)</f>
        <v>21.98</v>
      </c>
      <c r="F52" s="1">
        <f>IFERROR(__xludf.DUMMYFUNCTION("""COMPUTED_VALUE"""),667237.0)</f>
        <v>667237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IFERROR(__xludf.DUMMYFUNCTION("""COMPUTED_VALUE"""),21.97)</f>
        <v>21.97</v>
      </c>
      <c r="C53" s="1">
        <f>IFERROR(__xludf.DUMMYFUNCTION("""COMPUTED_VALUE"""),22.13)</f>
        <v>22.13</v>
      </c>
      <c r="D53" s="1">
        <f>IFERROR(__xludf.DUMMYFUNCTION("""COMPUTED_VALUE"""),21.19)</f>
        <v>21.19</v>
      </c>
      <c r="E53" s="1">
        <f>IFERROR(__xludf.DUMMYFUNCTION("""COMPUTED_VALUE"""),21.26)</f>
        <v>21.26</v>
      </c>
      <c r="F53" s="1">
        <f>IFERROR(__xludf.DUMMYFUNCTION("""COMPUTED_VALUE"""),790152.0)</f>
        <v>790152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IFERROR(__xludf.DUMMYFUNCTION("""COMPUTED_VALUE"""),21.34)</f>
        <v>21.34</v>
      </c>
      <c r="C54" s="1">
        <f>IFERROR(__xludf.DUMMYFUNCTION("""COMPUTED_VALUE"""),21.58)</f>
        <v>21.58</v>
      </c>
      <c r="D54" s="1">
        <f>IFERROR(__xludf.DUMMYFUNCTION("""COMPUTED_VALUE"""),21.13)</f>
        <v>21.13</v>
      </c>
      <c r="E54" s="1">
        <f>IFERROR(__xludf.DUMMYFUNCTION("""COMPUTED_VALUE"""),21.28)</f>
        <v>21.28</v>
      </c>
      <c r="F54" s="1">
        <f>IFERROR(__xludf.DUMMYFUNCTION("""COMPUTED_VALUE"""),173180.0)</f>
        <v>173180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IFERROR(__xludf.DUMMYFUNCTION("""COMPUTED_VALUE"""),21.25)</f>
        <v>21.25</v>
      </c>
      <c r="C55" s="1">
        <f>IFERROR(__xludf.DUMMYFUNCTION("""COMPUTED_VALUE"""),21.79)</f>
        <v>21.79</v>
      </c>
      <c r="D55" s="1">
        <f>IFERROR(__xludf.DUMMYFUNCTION("""COMPUTED_VALUE"""),21.21)</f>
        <v>21.21</v>
      </c>
      <c r="E55" s="1">
        <f>IFERROR(__xludf.DUMMYFUNCTION("""COMPUTED_VALUE"""),21.73)</f>
        <v>21.73</v>
      </c>
      <c r="F55" s="1">
        <f>IFERROR(__xludf.DUMMYFUNCTION("""COMPUTED_VALUE"""),277079.0)</f>
        <v>277079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IFERROR(__xludf.DUMMYFUNCTION("""COMPUTED_VALUE"""),21.7)</f>
        <v>21.7</v>
      </c>
      <c r="C56" s="1">
        <f>IFERROR(__xludf.DUMMYFUNCTION("""COMPUTED_VALUE"""),22.02)</f>
        <v>22.02</v>
      </c>
      <c r="D56" s="1">
        <f>IFERROR(__xludf.DUMMYFUNCTION("""COMPUTED_VALUE"""),21.7)</f>
        <v>21.7</v>
      </c>
      <c r="E56" s="1">
        <f>IFERROR(__xludf.DUMMYFUNCTION("""COMPUTED_VALUE"""),21.99)</f>
        <v>21.99</v>
      </c>
      <c r="F56" s="1">
        <f>IFERROR(__xludf.DUMMYFUNCTION("""COMPUTED_VALUE"""),456540.0)</f>
        <v>456540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IFERROR(__xludf.DUMMYFUNCTION("""COMPUTED_VALUE"""),21.88)</f>
        <v>21.88</v>
      </c>
      <c r="C57" s="1">
        <f>IFERROR(__xludf.DUMMYFUNCTION("""COMPUTED_VALUE"""),21.94)</f>
        <v>21.94</v>
      </c>
      <c r="D57" s="1">
        <f>IFERROR(__xludf.DUMMYFUNCTION("""COMPUTED_VALUE"""),21.43)</f>
        <v>21.43</v>
      </c>
      <c r="E57" s="1">
        <f>IFERROR(__xludf.DUMMYFUNCTION("""COMPUTED_VALUE"""),21.44)</f>
        <v>21.44</v>
      </c>
      <c r="F57" s="1">
        <f>IFERROR(__xludf.DUMMYFUNCTION("""COMPUTED_VALUE"""),302278.0)</f>
        <v>302278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IFERROR(__xludf.DUMMYFUNCTION("""COMPUTED_VALUE"""),21.48)</f>
        <v>21.48</v>
      </c>
      <c r="C58" s="1">
        <f>IFERROR(__xludf.DUMMYFUNCTION("""COMPUTED_VALUE"""),21.65)</f>
        <v>21.65</v>
      </c>
      <c r="D58" s="1">
        <f>IFERROR(__xludf.DUMMYFUNCTION("""COMPUTED_VALUE"""),21.29)</f>
        <v>21.29</v>
      </c>
      <c r="E58" s="1">
        <f>IFERROR(__xludf.DUMMYFUNCTION("""COMPUTED_VALUE"""),21.42)</f>
        <v>21.42</v>
      </c>
      <c r="F58" s="1">
        <f>IFERROR(__xludf.DUMMYFUNCTION("""COMPUTED_VALUE"""),228052.0)</f>
        <v>228052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IFERROR(__xludf.DUMMYFUNCTION("""COMPUTED_VALUE"""),21.33)</f>
        <v>21.33</v>
      </c>
      <c r="C59" s="1">
        <f>IFERROR(__xludf.DUMMYFUNCTION("""COMPUTED_VALUE"""),21.53)</f>
        <v>21.53</v>
      </c>
      <c r="D59" s="1">
        <f>IFERROR(__xludf.DUMMYFUNCTION("""COMPUTED_VALUE"""),21.1)</f>
        <v>21.1</v>
      </c>
      <c r="E59" s="1">
        <f>IFERROR(__xludf.DUMMYFUNCTION("""COMPUTED_VALUE"""),21.25)</f>
        <v>21.25</v>
      </c>
      <c r="F59" s="1">
        <f>IFERROR(__xludf.DUMMYFUNCTION("""COMPUTED_VALUE"""),164445.0)</f>
        <v>164445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IFERROR(__xludf.DUMMYFUNCTION("""COMPUTED_VALUE"""),21.39)</f>
        <v>21.39</v>
      </c>
      <c r="C60" s="1">
        <f>IFERROR(__xludf.DUMMYFUNCTION("""COMPUTED_VALUE"""),21.72)</f>
        <v>21.72</v>
      </c>
      <c r="D60" s="1">
        <f>IFERROR(__xludf.DUMMYFUNCTION("""COMPUTED_VALUE"""),21.28)</f>
        <v>21.28</v>
      </c>
      <c r="E60" s="1">
        <f>IFERROR(__xludf.DUMMYFUNCTION("""COMPUTED_VALUE"""),21.68)</f>
        <v>21.68</v>
      </c>
      <c r="F60" s="1">
        <f>IFERROR(__xludf.DUMMYFUNCTION("""COMPUTED_VALUE"""),216831.0)</f>
        <v>216831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IFERROR(__xludf.DUMMYFUNCTION("""COMPUTED_VALUE"""),21.75)</f>
        <v>21.75</v>
      </c>
      <c r="C61" s="1">
        <f>IFERROR(__xludf.DUMMYFUNCTION("""COMPUTED_VALUE"""),21.85)</f>
        <v>21.85</v>
      </c>
      <c r="D61" s="1">
        <f>IFERROR(__xludf.DUMMYFUNCTION("""COMPUTED_VALUE"""),21.41)</f>
        <v>21.41</v>
      </c>
      <c r="E61" s="1">
        <f>IFERROR(__xludf.DUMMYFUNCTION("""COMPUTED_VALUE"""),21.67)</f>
        <v>21.67</v>
      </c>
      <c r="F61" s="1">
        <f>IFERROR(__xludf.DUMMYFUNCTION("""COMPUTED_VALUE"""),129604.0)</f>
        <v>129604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IFERROR(__xludf.DUMMYFUNCTION("""COMPUTED_VALUE"""),21.57)</f>
        <v>21.57</v>
      </c>
      <c r="C62" s="1">
        <f>IFERROR(__xludf.DUMMYFUNCTION("""COMPUTED_VALUE"""),21.86)</f>
        <v>21.86</v>
      </c>
      <c r="D62" s="1">
        <f>IFERROR(__xludf.DUMMYFUNCTION("""COMPUTED_VALUE"""),21.3)</f>
        <v>21.3</v>
      </c>
      <c r="E62" s="1">
        <f>IFERROR(__xludf.DUMMYFUNCTION("""COMPUTED_VALUE"""),21.38)</f>
        <v>21.38</v>
      </c>
      <c r="F62" s="1">
        <f>IFERROR(__xludf.DUMMYFUNCTION("""COMPUTED_VALUE"""),173746.0)</f>
        <v>173746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IFERROR(__xludf.DUMMYFUNCTION("""COMPUTED_VALUE"""),21.38)</f>
        <v>21.38</v>
      </c>
      <c r="C63" s="1">
        <f>IFERROR(__xludf.DUMMYFUNCTION("""COMPUTED_VALUE"""),21.48)</f>
        <v>21.48</v>
      </c>
      <c r="D63" s="1">
        <f>IFERROR(__xludf.DUMMYFUNCTION("""COMPUTED_VALUE"""),21.19)</f>
        <v>21.19</v>
      </c>
      <c r="E63" s="1">
        <f>IFERROR(__xludf.DUMMYFUNCTION("""COMPUTED_VALUE"""),21.48)</f>
        <v>21.48</v>
      </c>
      <c r="F63" s="1">
        <f>IFERROR(__xludf.DUMMYFUNCTION("""COMPUTED_VALUE"""),187526.0)</f>
        <v>187526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IFERROR(__xludf.DUMMYFUNCTION("""COMPUTED_VALUE"""),21.7)</f>
        <v>21.7</v>
      </c>
      <c r="C64" s="1">
        <f>IFERROR(__xludf.DUMMYFUNCTION("""COMPUTED_VALUE"""),22.2)</f>
        <v>22.2</v>
      </c>
      <c r="D64" s="1">
        <f>IFERROR(__xludf.DUMMYFUNCTION("""COMPUTED_VALUE"""),21.63)</f>
        <v>21.63</v>
      </c>
      <c r="E64" s="1">
        <f>IFERROR(__xludf.DUMMYFUNCTION("""COMPUTED_VALUE"""),22.09)</f>
        <v>22.09</v>
      </c>
      <c r="F64" s="1">
        <f>IFERROR(__xludf.DUMMYFUNCTION("""COMPUTED_VALUE"""),285055.0)</f>
        <v>285055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IFERROR(__xludf.DUMMYFUNCTION("""COMPUTED_VALUE"""),22.18)</f>
        <v>22.18</v>
      </c>
      <c r="C65" s="1">
        <f>IFERROR(__xludf.DUMMYFUNCTION("""COMPUTED_VALUE"""),22.5)</f>
        <v>22.5</v>
      </c>
      <c r="D65" s="1">
        <f>IFERROR(__xludf.DUMMYFUNCTION("""COMPUTED_VALUE"""),22.03)</f>
        <v>22.03</v>
      </c>
      <c r="E65" s="1">
        <f>IFERROR(__xludf.DUMMYFUNCTION("""COMPUTED_VALUE"""),22.46)</f>
        <v>22.46</v>
      </c>
      <c r="F65" s="1">
        <f>IFERROR(__xludf.DUMMYFUNCTION("""COMPUTED_VALUE"""),433129.0)</f>
        <v>433129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IFERROR(__xludf.DUMMYFUNCTION("""COMPUTED_VALUE"""),22.56)</f>
        <v>22.56</v>
      </c>
      <c r="C66" s="1">
        <f>IFERROR(__xludf.DUMMYFUNCTION("""COMPUTED_VALUE"""),22.56)</f>
        <v>22.56</v>
      </c>
      <c r="D66" s="1">
        <f>IFERROR(__xludf.DUMMYFUNCTION("""COMPUTED_VALUE"""),22.01)</f>
        <v>22.01</v>
      </c>
      <c r="E66" s="1">
        <f>IFERROR(__xludf.DUMMYFUNCTION("""COMPUTED_VALUE"""),22.01)</f>
        <v>22.01</v>
      </c>
      <c r="F66" s="1">
        <f>IFERROR(__xludf.DUMMYFUNCTION("""COMPUTED_VALUE"""),283251.0)</f>
        <v>283251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IFERROR(__xludf.DUMMYFUNCTION("""COMPUTED_VALUE"""),22.0)</f>
        <v>22</v>
      </c>
      <c r="C67" s="1">
        <f>IFERROR(__xludf.DUMMYFUNCTION("""COMPUTED_VALUE"""),22.0)</f>
        <v>22</v>
      </c>
      <c r="D67" s="1">
        <f>IFERROR(__xludf.DUMMYFUNCTION("""COMPUTED_VALUE"""),21.75)</f>
        <v>21.75</v>
      </c>
      <c r="E67" s="1">
        <f>IFERROR(__xludf.DUMMYFUNCTION("""COMPUTED_VALUE"""),21.96)</f>
        <v>21.96</v>
      </c>
      <c r="F67" s="1">
        <f>IFERROR(__xludf.DUMMYFUNCTION("""COMPUTED_VALUE"""),146678.0)</f>
        <v>146678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IFERROR(__xludf.DUMMYFUNCTION("""COMPUTED_VALUE"""),22.27)</f>
        <v>22.27</v>
      </c>
      <c r="C68" s="1">
        <f>IFERROR(__xludf.DUMMYFUNCTION("""COMPUTED_VALUE"""),22.3)</f>
        <v>22.3</v>
      </c>
      <c r="D68" s="1">
        <f>IFERROR(__xludf.DUMMYFUNCTION("""COMPUTED_VALUE"""),22.0)</f>
        <v>22</v>
      </c>
      <c r="E68" s="1">
        <f>IFERROR(__xludf.DUMMYFUNCTION("""COMPUTED_VALUE"""),22.1)</f>
        <v>22.1</v>
      </c>
      <c r="F68" s="1">
        <f>IFERROR(__xludf.DUMMYFUNCTION("""COMPUTED_VALUE"""),105403.0)</f>
        <v>105403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IFERROR(__xludf.DUMMYFUNCTION("""COMPUTED_VALUE"""),22.33)</f>
        <v>22.33</v>
      </c>
      <c r="C69" s="1">
        <f>IFERROR(__xludf.DUMMYFUNCTION("""COMPUTED_VALUE"""),22.33)</f>
        <v>22.33</v>
      </c>
      <c r="D69" s="1">
        <f>IFERROR(__xludf.DUMMYFUNCTION("""COMPUTED_VALUE"""),22.04)</f>
        <v>22.04</v>
      </c>
      <c r="E69" s="1">
        <f>IFERROR(__xludf.DUMMYFUNCTION("""COMPUTED_VALUE"""),22.1)</f>
        <v>22.1</v>
      </c>
      <c r="F69" s="1">
        <f>IFERROR(__xludf.DUMMYFUNCTION("""COMPUTED_VALUE"""),64124.0)</f>
        <v>64124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IFERROR(__xludf.DUMMYFUNCTION("""COMPUTED_VALUE"""),21.99)</f>
        <v>21.99</v>
      </c>
      <c r="C70" s="1">
        <f>IFERROR(__xludf.DUMMYFUNCTION("""COMPUTED_VALUE"""),22.58)</f>
        <v>22.58</v>
      </c>
      <c r="D70" s="1">
        <f>IFERROR(__xludf.DUMMYFUNCTION("""COMPUTED_VALUE"""),21.99)</f>
        <v>21.99</v>
      </c>
      <c r="E70" s="1">
        <f>IFERROR(__xludf.DUMMYFUNCTION("""COMPUTED_VALUE"""),22.51)</f>
        <v>22.51</v>
      </c>
      <c r="F70" s="1">
        <f>IFERROR(__xludf.DUMMYFUNCTION("""COMPUTED_VALUE"""),711483.0)</f>
        <v>711483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IFERROR(__xludf.DUMMYFUNCTION("""COMPUTED_VALUE"""),22.53)</f>
        <v>22.53</v>
      </c>
      <c r="C71" s="1">
        <f>IFERROR(__xludf.DUMMYFUNCTION("""COMPUTED_VALUE"""),23.6)</f>
        <v>23.6</v>
      </c>
      <c r="D71" s="1">
        <f>IFERROR(__xludf.DUMMYFUNCTION("""COMPUTED_VALUE"""),22.52)</f>
        <v>22.52</v>
      </c>
      <c r="E71" s="1">
        <f>IFERROR(__xludf.DUMMYFUNCTION("""COMPUTED_VALUE"""),23.3)</f>
        <v>23.3</v>
      </c>
      <c r="F71" s="1">
        <f>IFERROR(__xludf.DUMMYFUNCTION("""COMPUTED_VALUE"""),901387.0)</f>
        <v>901387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IFERROR(__xludf.DUMMYFUNCTION("""COMPUTED_VALUE"""),23.23)</f>
        <v>23.23</v>
      </c>
      <c r="C72" s="1">
        <f>IFERROR(__xludf.DUMMYFUNCTION("""COMPUTED_VALUE"""),23.45)</f>
        <v>23.45</v>
      </c>
      <c r="D72" s="1">
        <f>IFERROR(__xludf.DUMMYFUNCTION("""COMPUTED_VALUE"""),23.23)</f>
        <v>23.23</v>
      </c>
      <c r="E72" s="1">
        <f>IFERROR(__xludf.DUMMYFUNCTION("""COMPUTED_VALUE"""),23.27)</f>
        <v>23.27</v>
      </c>
      <c r="F72" s="1">
        <f>IFERROR(__xludf.DUMMYFUNCTION("""COMPUTED_VALUE"""),387975.0)</f>
        <v>387975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IFERROR(__xludf.DUMMYFUNCTION("""COMPUTED_VALUE"""),23.15)</f>
        <v>23.15</v>
      </c>
      <c r="C73" s="1">
        <f>IFERROR(__xludf.DUMMYFUNCTION("""COMPUTED_VALUE"""),23.17)</f>
        <v>23.17</v>
      </c>
      <c r="D73" s="1">
        <f>IFERROR(__xludf.DUMMYFUNCTION("""COMPUTED_VALUE"""),22.48)</f>
        <v>22.48</v>
      </c>
      <c r="E73" s="1">
        <f>IFERROR(__xludf.DUMMYFUNCTION("""COMPUTED_VALUE"""),22.65)</f>
        <v>22.65</v>
      </c>
      <c r="F73" s="1">
        <f>IFERROR(__xludf.DUMMYFUNCTION("""COMPUTED_VALUE"""),519966.0)</f>
        <v>519966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IFERROR(__xludf.DUMMYFUNCTION("""COMPUTED_VALUE"""),22.3)</f>
        <v>22.3</v>
      </c>
      <c r="C74" s="1">
        <f>IFERROR(__xludf.DUMMYFUNCTION("""COMPUTED_VALUE"""),23.04)</f>
        <v>23.04</v>
      </c>
      <c r="D74" s="1">
        <f>IFERROR(__xludf.DUMMYFUNCTION("""COMPUTED_VALUE"""),22.3)</f>
        <v>22.3</v>
      </c>
      <c r="E74" s="1">
        <f>IFERROR(__xludf.DUMMYFUNCTION("""COMPUTED_VALUE"""),23.0)</f>
        <v>23</v>
      </c>
      <c r="F74" s="1">
        <f>IFERROR(__xludf.DUMMYFUNCTION("""COMPUTED_VALUE"""),614395.0)</f>
        <v>614395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IFERROR(__xludf.DUMMYFUNCTION("""COMPUTED_VALUE"""),23.6)</f>
        <v>23.6</v>
      </c>
      <c r="C75" s="1">
        <f>IFERROR(__xludf.DUMMYFUNCTION("""COMPUTED_VALUE"""),25.16)</f>
        <v>25.16</v>
      </c>
      <c r="D75" s="1">
        <f>IFERROR(__xludf.DUMMYFUNCTION("""COMPUTED_VALUE"""),23.58)</f>
        <v>23.58</v>
      </c>
      <c r="E75" s="1">
        <f>IFERROR(__xludf.DUMMYFUNCTION("""COMPUTED_VALUE"""),24.96)</f>
        <v>24.96</v>
      </c>
      <c r="F75" s="1">
        <f>IFERROR(__xludf.DUMMYFUNCTION("""COMPUTED_VALUE"""),1291521.0)</f>
        <v>1291521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IFERROR(__xludf.DUMMYFUNCTION("""COMPUTED_VALUE"""),24.5)</f>
        <v>24.5</v>
      </c>
      <c r="C76" s="1">
        <f>IFERROR(__xludf.DUMMYFUNCTION("""COMPUTED_VALUE"""),24.7)</f>
        <v>24.7</v>
      </c>
      <c r="D76" s="1">
        <f>IFERROR(__xludf.DUMMYFUNCTION("""COMPUTED_VALUE"""),24.06)</f>
        <v>24.06</v>
      </c>
      <c r="E76" s="1">
        <f>IFERROR(__xludf.DUMMYFUNCTION("""COMPUTED_VALUE"""),24.1)</f>
        <v>24.1</v>
      </c>
      <c r="F76" s="1">
        <f>IFERROR(__xludf.DUMMYFUNCTION("""COMPUTED_VALUE"""),1093943.0)</f>
        <v>1093943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IFERROR(__xludf.DUMMYFUNCTION("""COMPUTED_VALUE"""),23.91)</f>
        <v>23.91</v>
      </c>
      <c r="C77" s="1">
        <f>IFERROR(__xludf.DUMMYFUNCTION("""COMPUTED_VALUE"""),24.23)</f>
        <v>24.23</v>
      </c>
      <c r="D77" s="1">
        <f>IFERROR(__xludf.DUMMYFUNCTION("""COMPUTED_VALUE"""),23.75)</f>
        <v>23.75</v>
      </c>
      <c r="E77" s="1">
        <f>IFERROR(__xludf.DUMMYFUNCTION("""COMPUTED_VALUE"""),24.06)</f>
        <v>24.06</v>
      </c>
      <c r="F77" s="1">
        <f>IFERROR(__xludf.DUMMYFUNCTION("""COMPUTED_VALUE"""),446467.0)</f>
        <v>446467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IFERROR(__xludf.DUMMYFUNCTION("""COMPUTED_VALUE"""),24.0)</f>
        <v>24</v>
      </c>
      <c r="C78" s="1">
        <f>IFERROR(__xludf.DUMMYFUNCTION("""COMPUTED_VALUE"""),24.02)</f>
        <v>24.02</v>
      </c>
      <c r="D78" s="1">
        <f>IFERROR(__xludf.DUMMYFUNCTION("""COMPUTED_VALUE"""),23.76)</f>
        <v>23.76</v>
      </c>
      <c r="E78" s="1">
        <f>IFERROR(__xludf.DUMMYFUNCTION("""COMPUTED_VALUE"""),23.89)</f>
        <v>23.89</v>
      </c>
      <c r="F78" s="1">
        <f>IFERROR(__xludf.DUMMYFUNCTION("""COMPUTED_VALUE"""),671496.0)</f>
        <v>671496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IFERROR(__xludf.DUMMYFUNCTION("""COMPUTED_VALUE"""),23.85)</f>
        <v>23.85</v>
      </c>
      <c r="C79" s="1">
        <f>IFERROR(__xludf.DUMMYFUNCTION("""COMPUTED_VALUE"""),24.0)</f>
        <v>24</v>
      </c>
      <c r="D79" s="1">
        <f>IFERROR(__xludf.DUMMYFUNCTION("""COMPUTED_VALUE"""),23.76)</f>
        <v>23.76</v>
      </c>
      <c r="E79" s="1">
        <f>IFERROR(__xludf.DUMMYFUNCTION("""COMPUTED_VALUE"""),23.91)</f>
        <v>23.91</v>
      </c>
      <c r="F79" s="1">
        <f>IFERROR(__xludf.DUMMYFUNCTION("""COMPUTED_VALUE"""),211755.0)</f>
        <v>211755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IFERROR(__xludf.DUMMYFUNCTION("""COMPUTED_VALUE"""),23.79)</f>
        <v>23.79</v>
      </c>
      <c r="C80" s="1">
        <f>IFERROR(__xludf.DUMMYFUNCTION("""COMPUTED_VALUE"""),23.99)</f>
        <v>23.99</v>
      </c>
      <c r="D80" s="1">
        <f>IFERROR(__xludf.DUMMYFUNCTION("""COMPUTED_VALUE"""),23.48)</f>
        <v>23.48</v>
      </c>
      <c r="E80" s="1">
        <f>IFERROR(__xludf.DUMMYFUNCTION("""COMPUTED_VALUE"""),23.55)</f>
        <v>23.55</v>
      </c>
      <c r="F80" s="1">
        <f>IFERROR(__xludf.DUMMYFUNCTION("""COMPUTED_VALUE"""),376785.0)</f>
        <v>376785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IFERROR(__xludf.DUMMYFUNCTION("""COMPUTED_VALUE"""),23.79)</f>
        <v>23.79</v>
      </c>
      <c r="C81" s="1">
        <f>IFERROR(__xludf.DUMMYFUNCTION("""COMPUTED_VALUE"""),23.79)</f>
        <v>23.79</v>
      </c>
      <c r="D81" s="1">
        <f>IFERROR(__xludf.DUMMYFUNCTION("""COMPUTED_VALUE"""),23.34)</f>
        <v>23.34</v>
      </c>
      <c r="E81" s="1">
        <f>IFERROR(__xludf.DUMMYFUNCTION("""COMPUTED_VALUE"""),23.52)</f>
        <v>23.52</v>
      </c>
      <c r="F81" s="1">
        <f>IFERROR(__xludf.DUMMYFUNCTION("""COMPUTED_VALUE"""),247721.0)</f>
        <v>247721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IFERROR(__xludf.DUMMYFUNCTION("""COMPUTED_VALUE"""),23.75)</f>
        <v>23.75</v>
      </c>
      <c r="C82" s="1">
        <f>IFERROR(__xludf.DUMMYFUNCTION("""COMPUTED_VALUE"""),23.76)</f>
        <v>23.76</v>
      </c>
      <c r="D82" s="1">
        <f>IFERROR(__xludf.DUMMYFUNCTION("""COMPUTED_VALUE"""),23.27)</f>
        <v>23.27</v>
      </c>
      <c r="E82" s="1">
        <f>IFERROR(__xludf.DUMMYFUNCTION("""COMPUTED_VALUE"""),23.37)</f>
        <v>23.37</v>
      </c>
      <c r="F82" s="1">
        <f>IFERROR(__xludf.DUMMYFUNCTION("""COMPUTED_VALUE"""),194924.0)</f>
        <v>194924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IFERROR(__xludf.DUMMYFUNCTION("""COMPUTED_VALUE"""),23.31)</f>
        <v>23.31</v>
      </c>
      <c r="C83" s="1">
        <f>IFERROR(__xludf.DUMMYFUNCTION("""COMPUTED_VALUE"""),23.62)</f>
        <v>23.62</v>
      </c>
      <c r="D83" s="1">
        <f>IFERROR(__xludf.DUMMYFUNCTION("""COMPUTED_VALUE"""),23.31)</f>
        <v>23.31</v>
      </c>
      <c r="E83" s="1">
        <f>IFERROR(__xludf.DUMMYFUNCTION("""COMPUTED_VALUE"""),23.39)</f>
        <v>23.39</v>
      </c>
      <c r="F83" s="1">
        <f>IFERROR(__xludf.DUMMYFUNCTION("""COMPUTED_VALUE"""),143750.0)</f>
        <v>143750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IFERROR(__xludf.DUMMYFUNCTION("""COMPUTED_VALUE"""),23.45)</f>
        <v>23.45</v>
      </c>
      <c r="C84" s="1">
        <f>IFERROR(__xludf.DUMMYFUNCTION("""COMPUTED_VALUE"""),23.79)</f>
        <v>23.79</v>
      </c>
      <c r="D84" s="1">
        <f>IFERROR(__xludf.DUMMYFUNCTION("""COMPUTED_VALUE"""),23.29)</f>
        <v>23.29</v>
      </c>
      <c r="E84" s="1">
        <f>IFERROR(__xludf.DUMMYFUNCTION("""COMPUTED_VALUE"""),23.78)</f>
        <v>23.78</v>
      </c>
      <c r="F84" s="1">
        <f>IFERROR(__xludf.DUMMYFUNCTION("""COMPUTED_VALUE"""),248596.0)</f>
        <v>248596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IFERROR(__xludf.DUMMYFUNCTION("""COMPUTED_VALUE"""),23.75)</f>
        <v>23.75</v>
      </c>
      <c r="C85" s="1">
        <f>IFERROR(__xludf.DUMMYFUNCTION("""COMPUTED_VALUE"""),23.78)</f>
        <v>23.78</v>
      </c>
      <c r="D85" s="1">
        <f>IFERROR(__xludf.DUMMYFUNCTION("""COMPUTED_VALUE"""),23.48)</f>
        <v>23.48</v>
      </c>
      <c r="E85" s="1">
        <f>IFERROR(__xludf.DUMMYFUNCTION("""COMPUTED_VALUE"""),23.61)</f>
        <v>23.61</v>
      </c>
      <c r="F85" s="1">
        <f>IFERROR(__xludf.DUMMYFUNCTION("""COMPUTED_VALUE"""),352348.0)</f>
        <v>352348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IFERROR(__xludf.DUMMYFUNCTION("""COMPUTED_VALUE"""),23.35)</f>
        <v>23.35</v>
      </c>
      <c r="C86" s="1">
        <f>IFERROR(__xludf.DUMMYFUNCTION("""COMPUTED_VALUE"""),23.38)</f>
        <v>23.38</v>
      </c>
      <c r="D86" s="1">
        <f>IFERROR(__xludf.DUMMYFUNCTION("""COMPUTED_VALUE"""),22.68)</f>
        <v>22.68</v>
      </c>
      <c r="E86" s="1">
        <f>IFERROR(__xludf.DUMMYFUNCTION("""COMPUTED_VALUE"""),22.76)</f>
        <v>22.76</v>
      </c>
      <c r="F86" s="1">
        <f>IFERROR(__xludf.DUMMYFUNCTION("""COMPUTED_VALUE"""),360875.0)</f>
        <v>360875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IFERROR(__xludf.DUMMYFUNCTION("""COMPUTED_VALUE"""),22.61)</f>
        <v>22.61</v>
      </c>
      <c r="C87" s="1">
        <f>IFERROR(__xludf.DUMMYFUNCTION("""COMPUTED_VALUE"""),22.9)</f>
        <v>22.9</v>
      </c>
      <c r="D87" s="1">
        <f>IFERROR(__xludf.DUMMYFUNCTION("""COMPUTED_VALUE"""),21.5)</f>
        <v>21.5</v>
      </c>
      <c r="E87" s="1">
        <f>IFERROR(__xludf.DUMMYFUNCTION("""COMPUTED_VALUE"""),22.37)</f>
        <v>22.37</v>
      </c>
      <c r="F87" s="1">
        <f>IFERROR(__xludf.DUMMYFUNCTION("""COMPUTED_VALUE"""),367774.0)</f>
        <v>367774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IFERROR(__xludf.DUMMYFUNCTION("""COMPUTED_VALUE"""),22.38)</f>
        <v>22.38</v>
      </c>
      <c r="C88" s="1">
        <f>IFERROR(__xludf.DUMMYFUNCTION("""COMPUTED_VALUE"""),22.38)</f>
        <v>22.38</v>
      </c>
      <c r="D88" s="1">
        <f>IFERROR(__xludf.DUMMYFUNCTION("""COMPUTED_VALUE"""),21.56)</f>
        <v>21.56</v>
      </c>
      <c r="E88" s="1">
        <f>IFERROR(__xludf.DUMMYFUNCTION("""COMPUTED_VALUE"""),21.82)</f>
        <v>21.82</v>
      </c>
      <c r="F88" s="1">
        <f>IFERROR(__xludf.DUMMYFUNCTION("""COMPUTED_VALUE"""),326911.0)</f>
        <v>326911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IFERROR(__xludf.DUMMYFUNCTION("""COMPUTED_VALUE"""),22.47)</f>
        <v>22.47</v>
      </c>
      <c r="C89" s="1">
        <f>IFERROR(__xludf.DUMMYFUNCTION("""COMPUTED_VALUE"""),23.45)</f>
        <v>23.45</v>
      </c>
      <c r="D89" s="1">
        <f>IFERROR(__xludf.DUMMYFUNCTION("""COMPUTED_VALUE"""),22.47)</f>
        <v>22.47</v>
      </c>
      <c r="E89" s="1">
        <f>IFERROR(__xludf.DUMMYFUNCTION("""COMPUTED_VALUE"""),23.33)</f>
        <v>23.33</v>
      </c>
      <c r="F89" s="1">
        <f>IFERROR(__xludf.DUMMYFUNCTION("""COMPUTED_VALUE"""),378584.0)</f>
        <v>378584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IFERROR(__xludf.DUMMYFUNCTION("""COMPUTED_VALUE"""),23.4)</f>
        <v>23.4</v>
      </c>
      <c r="C90" s="1">
        <f>IFERROR(__xludf.DUMMYFUNCTION("""COMPUTED_VALUE"""),23.4)</f>
        <v>23.4</v>
      </c>
      <c r="D90" s="1">
        <f>IFERROR(__xludf.DUMMYFUNCTION("""COMPUTED_VALUE"""),22.84)</f>
        <v>22.84</v>
      </c>
      <c r="E90" s="1">
        <f>IFERROR(__xludf.DUMMYFUNCTION("""COMPUTED_VALUE"""),22.97)</f>
        <v>22.97</v>
      </c>
      <c r="F90" s="1">
        <f>IFERROR(__xludf.DUMMYFUNCTION("""COMPUTED_VALUE"""),150155.0)</f>
        <v>150155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IFERROR(__xludf.DUMMYFUNCTION("""COMPUTED_VALUE"""),22.85)</f>
        <v>22.85</v>
      </c>
      <c r="C91" s="1">
        <f>IFERROR(__xludf.DUMMYFUNCTION("""COMPUTED_VALUE"""),23.57)</f>
        <v>23.57</v>
      </c>
      <c r="D91" s="1">
        <f>IFERROR(__xludf.DUMMYFUNCTION("""COMPUTED_VALUE"""),22.85)</f>
        <v>22.85</v>
      </c>
      <c r="E91" s="1">
        <f>IFERROR(__xludf.DUMMYFUNCTION("""COMPUTED_VALUE"""),23.52)</f>
        <v>23.52</v>
      </c>
      <c r="F91" s="1">
        <f>IFERROR(__xludf.DUMMYFUNCTION("""COMPUTED_VALUE"""),140792.0)</f>
        <v>140792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IFERROR(__xludf.DUMMYFUNCTION("""COMPUTED_VALUE"""),23.51)</f>
        <v>23.51</v>
      </c>
      <c r="C92" s="1">
        <f>IFERROR(__xludf.DUMMYFUNCTION("""COMPUTED_VALUE"""),23.59)</f>
        <v>23.59</v>
      </c>
      <c r="D92" s="1">
        <f>IFERROR(__xludf.DUMMYFUNCTION("""COMPUTED_VALUE"""),23.23)</f>
        <v>23.23</v>
      </c>
      <c r="E92" s="1">
        <f>IFERROR(__xludf.DUMMYFUNCTION("""COMPUTED_VALUE"""),23.29)</f>
        <v>23.29</v>
      </c>
      <c r="F92" s="1">
        <f>IFERROR(__xludf.DUMMYFUNCTION("""COMPUTED_VALUE"""),123959.0)</f>
        <v>123959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IFERROR(__xludf.DUMMYFUNCTION("""COMPUTED_VALUE"""),23.3)</f>
        <v>23.3</v>
      </c>
      <c r="C93" s="1">
        <f>IFERROR(__xludf.DUMMYFUNCTION("""COMPUTED_VALUE"""),23.51)</f>
        <v>23.51</v>
      </c>
      <c r="D93" s="1">
        <f>IFERROR(__xludf.DUMMYFUNCTION("""COMPUTED_VALUE"""),23.01)</f>
        <v>23.01</v>
      </c>
      <c r="E93" s="1">
        <f>IFERROR(__xludf.DUMMYFUNCTION("""COMPUTED_VALUE"""),23.2)</f>
        <v>23.2</v>
      </c>
      <c r="F93" s="1">
        <f>IFERROR(__xludf.DUMMYFUNCTION("""COMPUTED_VALUE"""),168670.0)</f>
        <v>168670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IFERROR(__xludf.DUMMYFUNCTION("""COMPUTED_VALUE"""),23.37)</f>
        <v>23.37</v>
      </c>
      <c r="C94" s="1">
        <f>IFERROR(__xludf.DUMMYFUNCTION("""COMPUTED_VALUE"""),23.44)</f>
        <v>23.44</v>
      </c>
      <c r="D94" s="1">
        <f>IFERROR(__xludf.DUMMYFUNCTION("""COMPUTED_VALUE"""),22.56)</f>
        <v>22.56</v>
      </c>
      <c r="E94" s="1">
        <f>IFERROR(__xludf.DUMMYFUNCTION("""COMPUTED_VALUE"""),23.39)</f>
        <v>23.39</v>
      </c>
      <c r="F94" s="1">
        <f>IFERROR(__xludf.DUMMYFUNCTION("""COMPUTED_VALUE"""),305077.0)</f>
        <v>305077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IFERROR(__xludf.DUMMYFUNCTION("""COMPUTED_VALUE"""),23.58)</f>
        <v>23.58</v>
      </c>
      <c r="C95" s="1">
        <f>IFERROR(__xludf.DUMMYFUNCTION("""COMPUTED_VALUE"""),23.92)</f>
        <v>23.92</v>
      </c>
      <c r="D95" s="1">
        <f>IFERROR(__xludf.DUMMYFUNCTION("""COMPUTED_VALUE"""),23.13)</f>
        <v>23.13</v>
      </c>
      <c r="E95" s="1">
        <f>IFERROR(__xludf.DUMMYFUNCTION("""COMPUTED_VALUE"""),23.34)</f>
        <v>23.34</v>
      </c>
      <c r="F95" s="1">
        <f>IFERROR(__xludf.DUMMYFUNCTION("""COMPUTED_VALUE"""),159403.0)</f>
        <v>159403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IFERROR(__xludf.DUMMYFUNCTION("""COMPUTED_VALUE"""),23.18)</f>
        <v>23.18</v>
      </c>
      <c r="C96" s="1">
        <f>IFERROR(__xludf.DUMMYFUNCTION("""COMPUTED_VALUE"""),23.48)</f>
        <v>23.48</v>
      </c>
      <c r="D96" s="1">
        <f>IFERROR(__xludf.DUMMYFUNCTION("""COMPUTED_VALUE"""),22.61)</f>
        <v>22.61</v>
      </c>
      <c r="E96" s="1">
        <f>IFERROR(__xludf.DUMMYFUNCTION("""COMPUTED_VALUE"""),22.91)</f>
        <v>22.91</v>
      </c>
      <c r="F96" s="1">
        <f>IFERROR(__xludf.DUMMYFUNCTION("""COMPUTED_VALUE"""),285526.0)</f>
        <v>285526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IFERROR(__xludf.DUMMYFUNCTION("""COMPUTED_VALUE"""),22.52)</f>
        <v>22.52</v>
      </c>
      <c r="C97" s="1">
        <f>IFERROR(__xludf.DUMMYFUNCTION("""COMPUTED_VALUE"""),22.81)</f>
        <v>22.81</v>
      </c>
      <c r="D97" s="1">
        <f>IFERROR(__xludf.DUMMYFUNCTION("""COMPUTED_VALUE"""),21.84)</f>
        <v>21.84</v>
      </c>
      <c r="E97" s="1">
        <f>IFERROR(__xludf.DUMMYFUNCTION("""COMPUTED_VALUE"""),21.84)</f>
        <v>21.84</v>
      </c>
      <c r="F97" s="1">
        <f>IFERROR(__xludf.DUMMYFUNCTION("""COMPUTED_VALUE"""),222850.0)</f>
        <v>222850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IFERROR(__xludf.DUMMYFUNCTION("""COMPUTED_VALUE"""),21.82)</f>
        <v>21.82</v>
      </c>
      <c r="C98" s="1">
        <f>IFERROR(__xludf.DUMMYFUNCTION("""COMPUTED_VALUE"""),22.43)</f>
        <v>22.43</v>
      </c>
      <c r="D98" s="1">
        <f>IFERROR(__xludf.DUMMYFUNCTION("""COMPUTED_VALUE"""),21.29)</f>
        <v>21.29</v>
      </c>
      <c r="E98" s="1">
        <f>IFERROR(__xludf.DUMMYFUNCTION("""COMPUTED_VALUE"""),22.16)</f>
        <v>22.16</v>
      </c>
      <c r="F98" s="1">
        <f>IFERROR(__xludf.DUMMYFUNCTION("""COMPUTED_VALUE"""),207862.0)</f>
        <v>207862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IFERROR(__xludf.DUMMYFUNCTION("""COMPUTED_VALUE"""),22.2)</f>
        <v>22.2</v>
      </c>
      <c r="C99" s="1">
        <f>IFERROR(__xludf.DUMMYFUNCTION("""COMPUTED_VALUE"""),22.84)</f>
        <v>22.84</v>
      </c>
      <c r="D99" s="1">
        <f>IFERROR(__xludf.DUMMYFUNCTION("""COMPUTED_VALUE"""),22.2)</f>
        <v>22.2</v>
      </c>
      <c r="E99" s="1">
        <f>IFERROR(__xludf.DUMMYFUNCTION("""COMPUTED_VALUE"""),22.54)</f>
        <v>22.54</v>
      </c>
      <c r="F99" s="1">
        <f>IFERROR(__xludf.DUMMYFUNCTION("""COMPUTED_VALUE"""),220109.0)</f>
        <v>220109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IFERROR(__xludf.DUMMYFUNCTION("""COMPUTED_VALUE"""),21.92)</f>
        <v>21.92</v>
      </c>
      <c r="C100" s="1">
        <f>IFERROR(__xludf.DUMMYFUNCTION("""COMPUTED_VALUE"""),22.16)</f>
        <v>22.16</v>
      </c>
      <c r="D100" s="1">
        <f>IFERROR(__xludf.DUMMYFUNCTION("""COMPUTED_VALUE"""),21.54)</f>
        <v>21.54</v>
      </c>
      <c r="E100" s="1">
        <f>IFERROR(__xludf.DUMMYFUNCTION("""COMPUTED_VALUE"""),22.15)</f>
        <v>22.15</v>
      </c>
      <c r="F100" s="1">
        <f>IFERROR(__xludf.DUMMYFUNCTION("""COMPUTED_VALUE"""),471320.0)</f>
        <v>471320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IFERROR(__xludf.DUMMYFUNCTION("""COMPUTED_VALUE"""),22.12)</f>
        <v>22.12</v>
      </c>
      <c r="C101" s="1">
        <f>IFERROR(__xludf.DUMMYFUNCTION("""COMPUTED_VALUE"""),23.0)</f>
        <v>23</v>
      </c>
      <c r="D101" s="1">
        <f>IFERROR(__xludf.DUMMYFUNCTION("""COMPUTED_VALUE"""),21.78)</f>
        <v>21.78</v>
      </c>
      <c r="E101" s="1">
        <f>IFERROR(__xludf.DUMMYFUNCTION("""COMPUTED_VALUE"""),21.92)</f>
        <v>21.92</v>
      </c>
      <c r="F101" s="1">
        <f>IFERROR(__xludf.DUMMYFUNCTION("""COMPUTED_VALUE"""),331175.0)</f>
        <v>331175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IFERROR(__xludf.DUMMYFUNCTION("""COMPUTED_VALUE"""),22.09)</f>
        <v>22.09</v>
      </c>
      <c r="C102" s="1">
        <f>IFERROR(__xludf.DUMMYFUNCTION("""COMPUTED_VALUE"""),23.05)</f>
        <v>23.05</v>
      </c>
      <c r="D102" s="1">
        <f>IFERROR(__xludf.DUMMYFUNCTION("""COMPUTED_VALUE"""),22.09)</f>
        <v>22.09</v>
      </c>
      <c r="E102" s="1">
        <f>IFERROR(__xludf.DUMMYFUNCTION("""COMPUTED_VALUE"""),23.05)</f>
        <v>23.05</v>
      </c>
      <c r="F102" s="1">
        <f>IFERROR(__xludf.DUMMYFUNCTION("""COMPUTED_VALUE"""),339214.0)</f>
        <v>339214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IFERROR(__xludf.DUMMYFUNCTION("""COMPUTED_VALUE"""),22.88)</f>
        <v>22.88</v>
      </c>
      <c r="C103" s="1">
        <f>IFERROR(__xludf.DUMMYFUNCTION("""COMPUTED_VALUE"""),23.14)</f>
        <v>23.14</v>
      </c>
      <c r="D103" s="1">
        <f>IFERROR(__xludf.DUMMYFUNCTION("""COMPUTED_VALUE"""),22.72)</f>
        <v>22.72</v>
      </c>
      <c r="E103" s="1">
        <f>IFERROR(__xludf.DUMMYFUNCTION("""COMPUTED_VALUE"""),22.92)</f>
        <v>22.92</v>
      </c>
      <c r="F103" s="1">
        <f>IFERROR(__xludf.DUMMYFUNCTION("""COMPUTED_VALUE"""),199071.0)</f>
        <v>199071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IFERROR(__xludf.DUMMYFUNCTION("""COMPUTED_VALUE"""),22.84)</f>
        <v>22.84</v>
      </c>
      <c r="C104" s="1">
        <f>IFERROR(__xludf.DUMMYFUNCTION("""COMPUTED_VALUE"""),23.05)</f>
        <v>23.05</v>
      </c>
      <c r="D104" s="1">
        <f>IFERROR(__xludf.DUMMYFUNCTION("""COMPUTED_VALUE"""),22.64)</f>
        <v>22.64</v>
      </c>
      <c r="E104" s="1">
        <f>IFERROR(__xludf.DUMMYFUNCTION("""COMPUTED_VALUE"""),22.64)</f>
        <v>22.64</v>
      </c>
      <c r="F104" s="1">
        <f>IFERROR(__xludf.DUMMYFUNCTION("""COMPUTED_VALUE"""),153659.0)</f>
        <v>153659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IFERROR(__xludf.DUMMYFUNCTION("""COMPUTED_VALUE"""),22.8)</f>
        <v>22.8</v>
      </c>
      <c r="C105" s="1">
        <f>IFERROR(__xludf.DUMMYFUNCTION("""COMPUTED_VALUE"""),22.87)</f>
        <v>22.87</v>
      </c>
      <c r="D105" s="1">
        <f>IFERROR(__xludf.DUMMYFUNCTION("""COMPUTED_VALUE"""),22.43)</f>
        <v>22.43</v>
      </c>
      <c r="E105" s="1">
        <f>IFERROR(__xludf.DUMMYFUNCTION("""COMPUTED_VALUE"""),22.49)</f>
        <v>22.49</v>
      </c>
      <c r="F105" s="1">
        <f>IFERROR(__xludf.DUMMYFUNCTION("""COMPUTED_VALUE"""),388610.0)</f>
        <v>388610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IFERROR(__xludf.DUMMYFUNCTION("""COMPUTED_VALUE"""),22.67)</f>
        <v>22.67</v>
      </c>
      <c r="C106" s="1">
        <f>IFERROR(__xludf.DUMMYFUNCTION("""COMPUTED_VALUE"""),23.89)</f>
        <v>23.89</v>
      </c>
      <c r="D106" s="1">
        <f>IFERROR(__xludf.DUMMYFUNCTION("""COMPUTED_VALUE"""),22.42)</f>
        <v>22.42</v>
      </c>
      <c r="E106" s="1">
        <f>IFERROR(__xludf.DUMMYFUNCTION("""COMPUTED_VALUE"""),23.86)</f>
        <v>23.86</v>
      </c>
      <c r="F106" s="1">
        <f>IFERROR(__xludf.DUMMYFUNCTION("""COMPUTED_VALUE"""),791370.0)</f>
        <v>791370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IFERROR(__xludf.DUMMYFUNCTION("""COMPUTED_VALUE"""),23.78)</f>
        <v>23.78</v>
      </c>
      <c r="C107" s="1">
        <f>IFERROR(__xludf.DUMMYFUNCTION("""COMPUTED_VALUE"""),24.17)</f>
        <v>24.17</v>
      </c>
      <c r="D107" s="1">
        <f>IFERROR(__xludf.DUMMYFUNCTION("""COMPUTED_VALUE"""),23.29)</f>
        <v>23.29</v>
      </c>
      <c r="E107" s="1">
        <f>IFERROR(__xludf.DUMMYFUNCTION("""COMPUTED_VALUE"""),23.39)</f>
        <v>23.39</v>
      </c>
      <c r="F107" s="1">
        <f>IFERROR(__xludf.DUMMYFUNCTION("""COMPUTED_VALUE"""),271652.0)</f>
        <v>271652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IFERROR(__xludf.DUMMYFUNCTION("""COMPUTED_VALUE"""),23.27)</f>
        <v>23.27</v>
      </c>
      <c r="C108" s="1">
        <f>IFERROR(__xludf.DUMMYFUNCTION("""COMPUTED_VALUE"""),23.33)</f>
        <v>23.33</v>
      </c>
      <c r="D108" s="1">
        <f>IFERROR(__xludf.DUMMYFUNCTION("""COMPUTED_VALUE"""),22.77)</f>
        <v>22.77</v>
      </c>
      <c r="E108" s="1">
        <f>IFERROR(__xludf.DUMMYFUNCTION("""COMPUTED_VALUE"""),22.81)</f>
        <v>22.81</v>
      </c>
      <c r="F108" s="1">
        <f>IFERROR(__xludf.DUMMYFUNCTION("""COMPUTED_VALUE"""),208194.0)</f>
        <v>208194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IFERROR(__xludf.DUMMYFUNCTION("""COMPUTED_VALUE"""),22.84)</f>
        <v>22.84</v>
      </c>
      <c r="C109" s="1">
        <f>IFERROR(__xludf.DUMMYFUNCTION("""COMPUTED_VALUE"""),22.94)</f>
        <v>22.94</v>
      </c>
      <c r="D109" s="1">
        <f>IFERROR(__xludf.DUMMYFUNCTION("""COMPUTED_VALUE"""),22.09)</f>
        <v>22.09</v>
      </c>
      <c r="E109" s="1">
        <f>IFERROR(__xludf.DUMMYFUNCTION("""COMPUTED_VALUE"""),22.44)</f>
        <v>22.44</v>
      </c>
      <c r="F109" s="1">
        <f>IFERROR(__xludf.DUMMYFUNCTION("""COMPUTED_VALUE"""),424644.0)</f>
        <v>424644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IFERROR(__xludf.DUMMYFUNCTION("""COMPUTED_VALUE"""),22.52)</f>
        <v>22.52</v>
      </c>
      <c r="C110" s="1">
        <f>IFERROR(__xludf.DUMMYFUNCTION("""COMPUTED_VALUE"""),22.9)</f>
        <v>22.9</v>
      </c>
      <c r="D110" s="1">
        <f>IFERROR(__xludf.DUMMYFUNCTION("""COMPUTED_VALUE"""),22.29)</f>
        <v>22.29</v>
      </c>
      <c r="E110" s="1">
        <f>IFERROR(__xludf.DUMMYFUNCTION("""COMPUTED_VALUE"""),22.34)</f>
        <v>22.34</v>
      </c>
      <c r="F110" s="1">
        <f>IFERROR(__xludf.DUMMYFUNCTION("""COMPUTED_VALUE"""),213398.0)</f>
        <v>213398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IFERROR(__xludf.DUMMYFUNCTION("""COMPUTED_VALUE"""),22.57)</f>
        <v>22.57</v>
      </c>
      <c r="C111" s="1">
        <f>IFERROR(__xludf.DUMMYFUNCTION("""COMPUTED_VALUE"""),23.01)</f>
        <v>23.01</v>
      </c>
      <c r="D111" s="1">
        <f>IFERROR(__xludf.DUMMYFUNCTION("""COMPUTED_VALUE"""),22.51)</f>
        <v>22.51</v>
      </c>
      <c r="E111" s="1">
        <f>IFERROR(__xludf.DUMMYFUNCTION("""COMPUTED_VALUE"""),22.97)</f>
        <v>22.97</v>
      </c>
      <c r="F111" s="1">
        <f>IFERROR(__xludf.DUMMYFUNCTION("""COMPUTED_VALUE"""),141056.0)</f>
        <v>141056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IFERROR(__xludf.DUMMYFUNCTION("""COMPUTED_VALUE"""),22.85)</f>
        <v>22.85</v>
      </c>
      <c r="C112" s="1">
        <f>IFERROR(__xludf.DUMMYFUNCTION("""COMPUTED_VALUE"""),23.28)</f>
        <v>23.28</v>
      </c>
      <c r="D112" s="1">
        <f>IFERROR(__xludf.DUMMYFUNCTION("""COMPUTED_VALUE"""),22.82)</f>
        <v>22.82</v>
      </c>
      <c r="E112" s="1">
        <f>IFERROR(__xludf.DUMMYFUNCTION("""COMPUTED_VALUE"""),23.18)</f>
        <v>23.18</v>
      </c>
      <c r="F112" s="1">
        <f>IFERROR(__xludf.DUMMYFUNCTION("""COMPUTED_VALUE"""),96499.0)</f>
        <v>96499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IFERROR(__xludf.DUMMYFUNCTION("""COMPUTED_VALUE"""),23.49)</f>
        <v>23.49</v>
      </c>
      <c r="C113" s="1">
        <f>IFERROR(__xludf.DUMMYFUNCTION("""COMPUTED_VALUE"""),23.99)</f>
        <v>23.99</v>
      </c>
      <c r="D113" s="1">
        <f>IFERROR(__xludf.DUMMYFUNCTION("""COMPUTED_VALUE"""),23.37)</f>
        <v>23.37</v>
      </c>
      <c r="E113" s="1">
        <f>IFERROR(__xludf.DUMMYFUNCTION("""COMPUTED_VALUE"""),23.84)</f>
        <v>23.84</v>
      </c>
      <c r="F113" s="1">
        <f>IFERROR(__xludf.DUMMYFUNCTION("""COMPUTED_VALUE"""),346512.0)</f>
        <v>346512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IFERROR(__xludf.DUMMYFUNCTION("""COMPUTED_VALUE"""),23.85)</f>
        <v>23.85</v>
      </c>
      <c r="C114" s="1">
        <f>IFERROR(__xludf.DUMMYFUNCTION("""COMPUTED_VALUE"""),24.75)</f>
        <v>24.75</v>
      </c>
      <c r="D114" s="1">
        <f>IFERROR(__xludf.DUMMYFUNCTION("""COMPUTED_VALUE"""),23.84)</f>
        <v>23.84</v>
      </c>
      <c r="E114" s="1">
        <f>IFERROR(__xludf.DUMMYFUNCTION("""COMPUTED_VALUE"""),24.73)</f>
        <v>24.73</v>
      </c>
      <c r="F114" s="1">
        <f>IFERROR(__xludf.DUMMYFUNCTION("""COMPUTED_VALUE"""),319197.0)</f>
        <v>319197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IFERROR(__xludf.DUMMYFUNCTION("""COMPUTED_VALUE"""),24.68)</f>
        <v>24.68</v>
      </c>
      <c r="C115" s="1">
        <f>IFERROR(__xludf.DUMMYFUNCTION("""COMPUTED_VALUE"""),25.63)</f>
        <v>25.63</v>
      </c>
      <c r="D115" s="1">
        <f>IFERROR(__xludf.DUMMYFUNCTION("""COMPUTED_VALUE"""),24.68)</f>
        <v>24.68</v>
      </c>
      <c r="E115" s="1">
        <f>IFERROR(__xludf.DUMMYFUNCTION("""COMPUTED_VALUE"""),25.13)</f>
        <v>25.13</v>
      </c>
      <c r="F115" s="1">
        <f>IFERROR(__xludf.DUMMYFUNCTION("""COMPUTED_VALUE"""),648420.0)</f>
        <v>648420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IFERROR(__xludf.DUMMYFUNCTION("""COMPUTED_VALUE"""),25.28)</f>
        <v>25.28</v>
      </c>
      <c r="C116" s="1">
        <f>IFERROR(__xludf.DUMMYFUNCTION("""COMPUTED_VALUE"""),25.34)</f>
        <v>25.34</v>
      </c>
      <c r="D116" s="1">
        <f>IFERROR(__xludf.DUMMYFUNCTION("""COMPUTED_VALUE"""),24.7)</f>
        <v>24.7</v>
      </c>
      <c r="E116" s="1">
        <f>IFERROR(__xludf.DUMMYFUNCTION("""COMPUTED_VALUE"""),24.97)</f>
        <v>24.97</v>
      </c>
      <c r="F116" s="1">
        <f>IFERROR(__xludf.DUMMYFUNCTION("""COMPUTED_VALUE"""),142306.0)</f>
        <v>142306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IFERROR(__xludf.DUMMYFUNCTION("""COMPUTED_VALUE"""),25.08)</f>
        <v>25.08</v>
      </c>
      <c r="C117" s="1">
        <f>IFERROR(__xludf.DUMMYFUNCTION("""COMPUTED_VALUE"""),25.48)</f>
        <v>25.48</v>
      </c>
      <c r="D117" s="1">
        <f>IFERROR(__xludf.DUMMYFUNCTION("""COMPUTED_VALUE"""),24.98)</f>
        <v>24.98</v>
      </c>
      <c r="E117" s="1">
        <f>IFERROR(__xludf.DUMMYFUNCTION("""COMPUTED_VALUE"""),25.34)</f>
        <v>25.34</v>
      </c>
      <c r="F117" s="1">
        <f>IFERROR(__xludf.DUMMYFUNCTION("""COMPUTED_VALUE"""),309556.0)</f>
        <v>309556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IFERROR(__xludf.DUMMYFUNCTION("""COMPUTED_VALUE"""),25.67)</f>
        <v>25.67</v>
      </c>
      <c r="C118" s="1">
        <f>IFERROR(__xludf.DUMMYFUNCTION("""COMPUTED_VALUE"""),25.75)</f>
        <v>25.75</v>
      </c>
      <c r="D118" s="1">
        <f>IFERROR(__xludf.DUMMYFUNCTION("""COMPUTED_VALUE"""),25.18)</f>
        <v>25.18</v>
      </c>
      <c r="E118" s="1">
        <f>IFERROR(__xludf.DUMMYFUNCTION("""COMPUTED_VALUE"""),25.66)</f>
        <v>25.66</v>
      </c>
      <c r="F118" s="1">
        <f>IFERROR(__xludf.DUMMYFUNCTION("""COMPUTED_VALUE"""),433130.0)</f>
        <v>433130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IFERROR(__xludf.DUMMYFUNCTION("""COMPUTED_VALUE"""),25.75)</f>
        <v>25.75</v>
      </c>
      <c r="C119" s="1">
        <f>IFERROR(__xludf.DUMMYFUNCTION("""COMPUTED_VALUE"""),25.94)</f>
        <v>25.94</v>
      </c>
      <c r="D119" s="1">
        <f>IFERROR(__xludf.DUMMYFUNCTION("""COMPUTED_VALUE"""),24.65)</f>
        <v>24.65</v>
      </c>
      <c r="E119" s="1">
        <f>IFERROR(__xludf.DUMMYFUNCTION("""COMPUTED_VALUE"""),24.75)</f>
        <v>24.75</v>
      </c>
      <c r="F119" s="1">
        <f>IFERROR(__xludf.DUMMYFUNCTION("""COMPUTED_VALUE"""),256875.0)</f>
        <v>256875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IFERROR(__xludf.DUMMYFUNCTION("""COMPUTED_VALUE"""),24.92)</f>
        <v>24.92</v>
      </c>
      <c r="C120" s="1">
        <f>IFERROR(__xludf.DUMMYFUNCTION("""COMPUTED_VALUE"""),25.07)</f>
        <v>25.07</v>
      </c>
      <c r="D120" s="1">
        <f>IFERROR(__xludf.DUMMYFUNCTION("""COMPUTED_VALUE"""),24.42)</f>
        <v>24.42</v>
      </c>
      <c r="E120" s="1">
        <f>IFERROR(__xludf.DUMMYFUNCTION("""COMPUTED_VALUE"""),24.88)</f>
        <v>24.88</v>
      </c>
      <c r="F120" s="1">
        <f>IFERROR(__xludf.DUMMYFUNCTION("""COMPUTED_VALUE"""),176864.0)</f>
        <v>176864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IFERROR(__xludf.DUMMYFUNCTION("""COMPUTED_VALUE"""),24.52)</f>
        <v>24.52</v>
      </c>
      <c r="C121" s="1">
        <f>IFERROR(__xludf.DUMMYFUNCTION("""COMPUTED_VALUE"""),24.79)</f>
        <v>24.79</v>
      </c>
      <c r="D121" s="1">
        <f>IFERROR(__xludf.DUMMYFUNCTION("""COMPUTED_VALUE"""),24.21)</f>
        <v>24.21</v>
      </c>
      <c r="E121" s="1">
        <f>IFERROR(__xludf.DUMMYFUNCTION("""COMPUTED_VALUE"""),24.31)</f>
        <v>24.31</v>
      </c>
      <c r="F121" s="1">
        <f>IFERROR(__xludf.DUMMYFUNCTION("""COMPUTED_VALUE"""),395053.0)</f>
        <v>395053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IFERROR(__xludf.DUMMYFUNCTION("""COMPUTED_VALUE"""),24.44)</f>
        <v>24.44</v>
      </c>
      <c r="C122" s="1">
        <f>IFERROR(__xludf.DUMMYFUNCTION("""COMPUTED_VALUE"""),25.19)</f>
        <v>25.19</v>
      </c>
      <c r="D122" s="1">
        <f>IFERROR(__xludf.DUMMYFUNCTION("""COMPUTED_VALUE"""),24.24)</f>
        <v>24.24</v>
      </c>
      <c r="E122" s="1">
        <f>IFERROR(__xludf.DUMMYFUNCTION("""COMPUTED_VALUE"""),25.19)</f>
        <v>25.19</v>
      </c>
      <c r="F122" s="1">
        <f>IFERROR(__xludf.DUMMYFUNCTION("""COMPUTED_VALUE"""),190735.0)</f>
        <v>190735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IFERROR(__xludf.DUMMYFUNCTION("""COMPUTED_VALUE"""),25.07)</f>
        <v>25.07</v>
      </c>
      <c r="C123" s="1">
        <f>IFERROR(__xludf.DUMMYFUNCTION("""COMPUTED_VALUE"""),25.89)</f>
        <v>25.89</v>
      </c>
      <c r="D123" s="1">
        <f>IFERROR(__xludf.DUMMYFUNCTION("""COMPUTED_VALUE"""),24.98)</f>
        <v>24.98</v>
      </c>
      <c r="E123" s="1">
        <f>IFERROR(__xludf.DUMMYFUNCTION("""COMPUTED_VALUE"""),25.65)</f>
        <v>25.65</v>
      </c>
      <c r="F123" s="1">
        <f>IFERROR(__xludf.DUMMYFUNCTION("""COMPUTED_VALUE"""),255027.0)</f>
        <v>255027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IFERROR(__xludf.DUMMYFUNCTION("""COMPUTED_VALUE"""),25.16)</f>
        <v>25.16</v>
      </c>
      <c r="C124" s="1">
        <f>IFERROR(__xludf.DUMMYFUNCTION("""COMPUTED_VALUE"""),25.16)</f>
        <v>25.16</v>
      </c>
      <c r="D124" s="1">
        <f>IFERROR(__xludf.DUMMYFUNCTION("""COMPUTED_VALUE"""),23.65)</f>
        <v>23.65</v>
      </c>
      <c r="E124" s="1">
        <f>IFERROR(__xludf.DUMMYFUNCTION("""COMPUTED_VALUE"""),23.74)</f>
        <v>23.74</v>
      </c>
      <c r="F124" s="1">
        <f>IFERROR(__xludf.DUMMYFUNCTION("""COMPUTED_VALUE"""),534830.0)</f>
        <v>534830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IFERROR(__xludf.DUMMYFUNCTION("""COMPUTED_VALUE"""),23.75)</f>
        <v>23.75</v>
      </c>
      <c r="C125" s="1">
        <f>IFERROR(__xludf.DUMMYFUNCTION("""COMPUTED_VALUE"""),23.94)</f>
        <v>23.94</v>
      </c>
      <c r="D125" s="1">
        <f>IFERROR(__xludf.DUMMYFUNCTION("""COMPUTED_VALUE"""),23.25)</f>
        <v>23.25</v>
      </c>
      <c r="E125" s="1">
        <f>IFERROR(__xludf.DUMMYFUNCTION("""COMPUTED_VALUE"""),23.3)</f>
        <v>23.3</v>
      </c>
      <c r="F125" s="1">
        <f>IFERROR(__xludf.DUMMYFUNCTION("""COMPUTED_VALUE"""),426950.0)</f>
        <v>426950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IFERROR(__xludf.DUMMYFUNCTION("""COMPUTED_VALUE"""),23.44)</f>
        <v>23.44</v>
      </c>
      <c r="C126" s="1">
        <f>IFERROR(__xludf.DUMMYFUNCTION("""COMPUTED_VALUE"""),23.45)</f>
        <v>23.45</v>
      </c>
      <c r="D126" s="1">
        <f>IFERROR(__xludf.DUMMYFUNCTION("""COMPUTED_VALUE"""),22.75)</f>
        <v>22.75</v>
      </c>
      <c r="E126" s="1">
        <f>IFERROR(__xludf.DUMMYFUNCTION("""COMPUTED_VALUE"""),23.09)</f>
        <v>23.09</v>
      </c>
      <c r="F126" s="1">
        <f>IFERROR(__xludf.DUMMYFUNCTION("""COMPUTED_VALUE"""),464653.0)</f>
        <v>464653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IFERROR(__xludf.DUMMYFUNCTION("""COMPUTED_VALUE"""),23.03)</f>
        <v>23.03</v>
      </c>
      <c r="C127" s="1">
        <f>IFERROR(__xludf.DUMMYFUNCTION("""COMPUTED_VALUE"""),23.12)</f>
        <v>23.12</v>
      </c>
      <c r="D127" s="1">
        <f>IFERROR(__xludf.DUMMYFUNCTION("""COMPUTED_VALUE"""),22.78)</f>
        <v>22.78</v>
      </c>
      <c r="E127" s="1">
        <f>IFERROR(__xludf.DUMMYFUNCTION("""COMPUTED_VALUE"""),22.98)</f>
        <v>22.98</v>
      </c>
      <c r="F127" s="1">
        <f>IFERROR(__xludf.DUMMYFUNCTION("""COMPUTED_VALUE"""),140752.0)</f>
        <v>140752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IFERROR(__xludf.DUMMYFUNCTION("""COMPUTED_VALUE"""),23.49)</f>
        <v>23.49</v>
      </c>
      <c r="C128" s="1">
        <f>IFERROR(__xludf.DUMMYFUNCTION("""COMPUTED_VALUE"""),23.64)</f>
        <v>23.64</v>
      </c>
      <c r="D128" s="1">
        <f>IFERROR(__xludf.DUMMYFUNCTION("""COMPUTED_VALUE"""),22.97)</f>
        <v>22.97</v>
      </c>
      <c r="E128" s="1">
        <f>IFERROR(__xludf.DUMMYFUNCTION("""COMPUTED_VALUE"""),23.22)</f>
        <v>23.22</v>
      </c>
      <c r="F128" s="1">
        <f>IFERROR(__xludf.DUMMYFUNCTION("""COMPUTED_VALUE"""),138872.0)</f>
        <v>138872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IFERROR(__xludf.DUMMYFUNCTION("""COMPUTED_VALUE"""),23.45)</f>
        <v>23.45</v>
      </c>
      <c r="C129" s="1">
        <f>IFERROR(__xludf.DUMMYFUNCTION("""COMPUTED_VALUE"""),24.09)</f>
        <v>24.09</v>
      </c>
      <c r="D129" s="1">
        <f>IFERROR(__xludf.DUMMYFUNCTION("""COMPUTED_VALUE"""),23.19)</f>
        <v>23.19</v>
      </c>
      <c r="E129" s="1">
        <f>IFERROR(__xludf.DUMMYFUNCTION("""COMPUTED_VALUE"""),24.07)</f>
        <v>24.07</v>
      </c>
      <c r="F129" s="1">
        <f>IFERROR(__xludf.DUMMYFUNCTION("""COMPUTED_VALUE"""),427576.0)</f>
        <v>427576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IFERROR(__xludf.DUMMYFUNCTION("""COMPUTED_VALUE"""),24.08)</f>
        <v>24.08</v>
      </c>
      <c r="C130" s="1">
        <f>IFERROR(__xludf.DUMMYFUNCTION("""COMPUTED_VALUE"""),24.69)</f>
        <v>24.69</v>
      </c>
      <c r="D130" s="1">
        <f>IFERROR(__xludf.DUMMYFUNCTION("""COMPUTED_VALUE"""),24.08)</f>
        <v>24.08</v>
      </c>
      <c r="E130" s="1">
        <f>IFERROR(__xludf.DUMMYFUNCTION("""COMPUTED_VALUE"""),24.68)</f>
        <v>24.68</v>
      </c>
      <c r="F130" s="1">
        <f>IFERROR(__xludf.DUMMYFUNCTION("""COMPUTED_VALUE"""),208817.0)</f>
        <v>208817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IFERROR(__xludf.DUMMYFUNCTION("""COMPUTED_VALUE"""),24.68)</f>
        <v>24.68</v>
      </c>
      <c r="C131" s="1">
        <f>IFERROR(__xludf.DUMMYFUNCTION("""COMPUTED_VALUE"""),25.5)</f>
        <v>25.5</v>
      </c>
      <c r="D131" s="1">
        <f>IFERROR(__xludf.DUMMYFUNCTION("""COMPUTED_VALUE"""),24.68)</f>
        <v>24.68</v>
      </c>
      <c r="E131" s="1">
        <f>IFERROR(__xludf.DUMMYFUNCTION("""COMPUTED_VALUE"""),25.38)</f>
        <v>25.38</v>
      </c>
      <c r="F131" s="1">
        <f>IFERROR(__xludf.DUMMYFUNCTION("""COMPUTED_VALUE"""),238989.0)</f>
        <v>238989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IFERROR(__xludf.DUMMYFUNCTION("""COMPUTED_VALUE"""),25.45)</f>
        <v>25.45</v>
      </c>
      <c r="C132" s="1">
        <f>IFERROR(__xludf.DUMMYFUNCTION("""COMPUTED_VALUE"""),25.61)</f>
        <v>25.61</v>
      </c>
      <c r="D132" s="1">
        <f>IFERROR(__xludf.DUMMYFUNCTION("""COMPUTED_VALUE"""),24.72)</f>
        <v>24.72</v>
      </c>
      <c r="E132" s="1">
        <f>IFERROR(__xludf.DUMMYFUNCTION("""COMPUTED_VALUE"""),24.82)</f>
        <v>24.82</v>
      </c>
      <c r="F132" s="1">
        <f>IFERROR(__xludf.DUMMYFUNCTION("""COMPUTED_VALUE"""),190291.0)</f>
        <v>190291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IFERROR(__xludf.DUMMYFUNCTION("""COMPUTED_VALUE"""),25.09)</f>
        <v>25.09</v>
      </c>
      <c r="C133" s="1">
        <f>IFERROR(__xludf.DUMMYFUNCTION("""COMPUTED_VALUE"""),25.3)</f>
        <v>25.3</v>
      </c>
      <c r="D133" s="1">
        <f>IFERROR(__xludf.DUMMYFUNCTION("""COMPUTED_VALUE"""),24.75)</f>
        <v>24.75</v>
      </c>
      <c r="E133" s="1">
        <f>IFERROR(__xludf.DUMMYFUNCTION("""COMPUTED_VALUE"""),24.9)</f>
        <v>24.9</v>
      </c>
      <c r="F133" s="1">
        <f>IFERROR(__xludf.DUMMYFUNCTION("""COMPUTED_VALUE"""),195087.0)</f>
        <v>195087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IFERROR(__xludf.DUMMYFUNCTION("""COMPUTED_VALUE"""),24.88)</f>
        <v>24.88</v>
      </c>
      <c r="C134" s="1">
        <f>IFERROR(__xludf.DUMMYFUNCTION("""COMPUTED_VALUE"""),25.3)</f>
        <v>25.3</v>
      </c>
      <c r="D134" s="1">
        <f>IFERROR(__xludf.DUMMYFUNCTION("""COMPUTED_VALUE"""),24.87)</f>
        <v>24.87</v>
      </c>
      <c r="E134" s="1">
        <f>IFERROR(__xludf.DUMMYFUNCTION("""COMPUTED_VALUE"""),24.92)</f>
        <v>24.92</v>
      </c>
      <c r="F134" s="1">
        <f>IFERROR(__xludf.DUMMYFUNCTION("""COMPUTED_VALUE"""),259795.0)</f>
        <v>259795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IFERROR(__xludf.DUMMYFUNCTION("""COMPUTED_VALUE"""),24.88)</f>
        <v>24.88</v>
      </c>
      <c r="C135" s="1">
        <f>IFERROR(__xludf.DUMMYFUNCTION("""COMPUTED_VALUE"""),24.88)</f>
        <v>24.88</v>
      </c>
      <c r="D135" s="1">
        <f>IFERROR(__xludf.DUMMYFUNCTION("""COMPUTED_VALUE"""),24.27)</f>
        <v>24.27</v>
      </c>
      <c r="E135" s="1">
        <f>IFERROR(__xludf.DUMMYFUNCTION("""COMPUTED_VALUE"""),24.51)</f>
        <v>24.51</v>
      </c>
      <c r="F135" s="1">
        <f>IFERROR(__xludf.DUMMYFUNCTION("""COMPUTED_VALUE"""),322572.0)</f>
        <v>322572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IFERROR(__xludf.DUMMYFUNCTION("""COMPUTED_VALUE"""),24.5)</f>
        <v>24.5</v>
      </c>
      <c r="C136" s="1">
        <f>IFERROR(__xludf.DUMMYFUNCTION("""COMPUTED_VALUE"""),24.76)</f>
        <v>24.76</v>
      </c>
      <c r="D136" s="1">
        <f>IFERROR(__xludf.DUMMYFUNCTION("""COMPUTED_VALUE"""),24.39)</f>
        <v>24.39</v>
      </c>
      <c r="E136" s="1">
        <f>IFERROR(__xludf.DUMMYFUNCTION("""COMPUTED_VALUE"""),24.41)</f>
        <v>24.41</v>
      </c>
      <c r="F136" s="1">
        <f>IFERROR(__xludf.DUMMYFUNCTION("""COMPUTED_VALUE"""),377634.0)</f>
        <v>377634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IFERROR(__xludf.DUMMYFUNCTION("""COMPUTED_VALUE"""),23.88)</f>
        <v>23.88</v>
      </c>
      <c r="C137" s="1">
        <f>IFERROR(__xludf.DUMMYFUNCTION("""COMPUTED_VALUE"""),24.26)</f>
        <v>24.26</v>
      </c>
      <c r="D137" s="1">
        <f>IFERROR(__xludf.DUMMYFUNCTION("""COMPUTED_VALUE"""),23.39)</f>
        <v>23.39</v>
      </c>
      <c r="E137" s="1">
        <f>IFERROR(__xludf.DUMMYFUNCTION("""COMPUTED_VALUE"""),24.2)</f>
        <v>24.2</v>
      </c>
      <c r="F137" s="1">
        <f>IFERROR(__xludf.DUMMYFUNCTION("""COMPUTED_VALUE"""),716830.0)</f>
        <v>716830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IFERROR(__xludf.DUMMYFUNCTION("""COMPUTED_VALUE"""),23.56)</f>
        <v>23.56</v>
      </c>
      <c r="C138" s="1">
        <f>IFERROR(__xludf.DUMMYFUNCTION("""COMPUTED_VALUE"""),24.38)</f>
        <v>24.38</v>
      </c>
      <c r="D138" s="1">
        <f>IFERROR(__xludf.DUMMYFUNCTION("""COMPUTED_VALUE"""),23.5)</f>
        <v>23.5</v>
      </c>
      <c r="E138" s="1">
        <f>IFERROR(__xludf.DUMMYFUNCTION("""COMPUTED_VALUE"""),24.38)</f>
        <v>24.38</v>
      </c>
      <c r="F138" s="1">
        <f>IFERROR(__xludf.DUMMYFUNCTION("""COMPUTED_VALUE"""),395946.0)</f>
        <v>395946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IFERROR(__xludf.DUMMYFUNCTION("""COMPUTED_VALUE"""),24.18)</f>
        <v>24.18</v>
      </c>
      <c r="C139" s="1">
        <f>IFERROR(__xludf.DUMMYFUNCTION("""COMPUTED_VALUE"""),24.6)</f>
        <v>24.6</v>
      </c>
      <c r="D139" s="1">
        <f>IFERROR(__xludf.DUMMYFUNCTION("""COMPUTED_VALUE"""),23.65)</f>
        <v>23.65</v>
      </c>
      <c r="E139" s="1">
        <f>IFERROR(__xludf.DUMMYFUNCTION("""COMPUTED_VALUE"""),23.76)</f>
        <v>23.76</v>
      </c>
      <c r="F139" s="1">
        <f>IFERROR(__xludf.DUMMYFUNCTION("""COMPUTED_VALUE"""),349394.0)</f>
        <v>349394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IFERROR(__xludf.DUMMYFUNCTION("""COMPUTED_VALUE"""),23.78)</f>
        <v>23.78</v>
      </c>
      <c r="C140" s="1">
        <f>IFERROR(__xludf.DUMMYFUNCTION("""COMPUTED_VALUE"""),24.06)</f>
        <v>24.06</v>
      </c>
      <c r="D140" s="1">
        <f>IFERROR(__xludf.DUMMYFUNCTION("""COMPUTED_VALUE"""),23.67)</f>
        <v>23.67</v>
      </c>
      <c r="E140" s="1">
        <f>IFERROR(__xludf.DUMMYFUNCTION("""COMPUTED_VALUE"""),23.89)</f>
        <v>23.89</v>
      </c>
      <c r="F140" s="1">
        <f>IFERROR(__xludf.DUMMYFUNCTION("""COMPUTED_VALUE"""),261548.0)</f>
        <v>261548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IFERROR(__xludf.DUMMYFUNCTION("""COMPUTED_VALUE"""),23.27)</f>
        <v>23.27</v>
      </c>
      <c r="C141" s="1">
        <f>IFERROR(__xludf.DUMMYFUNCTION("""COMPUTED_VALUE"""),24.68)</f>
        <v>24.68</v>
      </c>
      <c r="D141" s="1">
        <f>IFERROR(__xludf.DUMMYFUNCTION("""COMPUTED_VALUE"""),23.26)</f>
        <v>23.26</v>
      </c>
      <c r="E141" s="1">
        <f>IFERROR(__xludf.DUMMYFUNCTION("""COMPUTED_VALUE"""),24.49)</f>
        <v>24.49</v>
      </c>
      <c r="F141" s="1">
        <f>IFERROR(__xludf.DUMMYFUNCTION("""COMPUTED_VALUE"""),406733.0)</f>
        <v>406733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IFERROR(__xludf.DUMMYFUNCTION("""COMPUTED_VALUE"""),24.51)</f>
        <v>24.51</v>
      </c>
      <c r="C142" s="1">
        <f>IFERROR(__xludf.DUMMYFUNCTION("""COMPUTED_VALUE"""),24.92)</f>
        <v>24.92</v>
      </c>
      <c r="D142" s="1">
        <f>IFERROR(__xludf.DUMMYFUNCTION("""COMPUTED_VALUE"""),23.81)</f>
        <v>23.81</v>
      </c>
      <c r="E142" s="1">
        <f>IFERROR(__xludf.DUMMYFUNCTION("""COMPUTED_VALUE"""),24.15)</f>
        <v>24.15</v>
      </c>
      <c r="F142" s="1">
        <f>IFERROR(__xludf.DUMMYFUNCTION("""COMPUTED_VALUE"""),258238.0)</f>
        <v>258238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IFERROR(__xludf.DUMMYFUNCTION("""COMPUTED_VALUE"""),24.42)</f>
        <v>24.42</v>
      </c>
      <c r="C143" s="1">
        <f>IFERROR(__xludf.DUMMYFUNCTION("""COMPUTED_VALUE"""),24.42)</f>
        <v>24.42</v>
      </c>
      <c r="D143" s="1">
        <f>IFERROR(__xludf.DUMMYFUNCTION("""COMPUTED_VALUE"""),23.81)</f>
        <v>23.81</v>
      </c>
      <c r="E143" s="1">
        <f>IFERROR(__xludf.DUMMYFUNCTION("""COMPUTED_VALUE"""),24.07)</f>
        <v>24.07</v>
      </c>
      <c r="F143" s="1">
        <f>IFERROR(__xludf.DUMMYFUNCTION("""COMPUTED_VALUE"""),122973.0)</f>
        <v>122973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IFERROR(__xludf.DUMMYFUNCTION("""COMPUTED_VALUE"""),24.19)</f>
        <v>24.19</v>
      </c>
      <c r="C144" s="1">
        <f>IFERROR(__xludf.DUMMYFUNCTION("""COMPUTED_VALUE"""),24.19)</f>
        <v>24.19</v>
      </c>
      <c r="D144" s="1">
        <f>IFERROR(__xludf.DUMMYFUNCTION("""COMPUTED_VALUE"""),23.75)</f>
        <v>23.75</v>
      </c>
      <c r="E144" s="1">
        <f>IFERROR(__xludf.DUMMYFUNCTION("""COMPUTED_VALUE"""),23.82)</f>
        <v>23.82</v>
      </c>
      <c r="F144" s="1">
        <f>IFERROR(__xludf.DUMMYFUNCTION("""COMPUTED_VALUE"""),148930.0)</f>
        <v>148930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IFERROR(__xludf.DUMMYFUNCTION("""COMPUTED_VALUE"""),24.23)</f>
        <v>24.23</v>
      </c>
      <c r="C145" s="1">
        <f>IFERROR(__xludf.DUMMYFUNCTION("""COMPUTED_VALUE"""),24.69)</f>
        <v>24.69</v>
      </c>
      <c r="D145" s="1">
        <f>IFERROR(__xludf.DUMMYFUNCTION("""COMPUTED_VALUE"""),23.76)</f>
        <v>23.76</v>
      </c>
      <c r="E145" s="1">
        <f>IFERROR(__xludf.DUMMYFUNCTION("""COMPUTED_VALUE"""),23.92)</f>
        <v>23.92</v>
      </c>
      <c r="F145" s="1">
        <f>IFERROR(__xludf.DUMMYFUNCTION("""COMPUTED_VALUE"""),256134.0)</f>
        <v>256134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IFERROR(__xludf.DUMMYFUNCTION("""COMPUTED_VALUE"""),23.51)</f>
        <v>23.51</v>
      </c>
      <c r="C146" s="1">
        <f>IFERROR(__xludf.DUMMYFUNCTION("""COMPUTED_VALUE"""),24.5)</f>
        <v>24.5</v>
      </c>
      <c r="D146" s="1">
        <f>IFERROR(__xludf.DUMMYFUNCTION("""COMPUTED_VALUE"""),23.51)</f>
        <v>23.51</v>
      </c>
      <c r="E146" s="1">
        <f>IFERROR(__xludf.DUMMYFUNCTION("""COMPUTED_VALUE"""),24.45)</f>
        <v>24.45</v>
      </c>
      <c r="F146" s="1">
        <f>IFERROR(__xludf.DUMMYFUNCTION("""COMPUTED_VALUE"""),194025.0)</f>
        <v>194025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IFERROR(__xludf.DUMMYFUNCTION("""COMPUTED_VALUE"""),24.88)</f>
        <v>24.88</v>
      </c>
      <c r="C147" s="1">
        <f>IFERROR(__xludf.DUMMYFUNCTION("""COMPUTED_VALUE"""),24.95)</f>
        <v>24.95</v>
      </c>
      <c r="D147" s="1">
        <f>IFERROR(__xludf.DUMMYFUNCTION("""COMPUTED_VALUE"""),24.41)</f>
        <v>24.41</v>
      </c>
      <c r="E147" s="1">
        <f>IFERROR(__xludf.DUMMYFUNCTION("""COMPUTED_VALUE"""),24.64)</f>
        <v>24.64</v>
      </c>
      <c r="F147" s="1">
        <f>IFERROR(__xludf.DUMMYFUNCTION("""COMPUTED_VALUE"""),210997.0)</f>
        <v>210997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IFERROR(__xludf.DUMMYFUNCTION("""COMPUTED_VALUE"""),24.56)</f>
        <v>24.56</v>
      </c>
      <c r="C148" s="1">
        <f>IFERROR(__xludf.DUMMYFUNCTION("""COMPUTED_VALUE"""),24.74)</f>
        <v>24.74</v>
      </c>
      <c r="D148" s="1">
        <f>IFERROR(__xludf.DUMMYFUNCTION("""COMPUTED_VALUE"""),24.32)</f>
        <v>24.32</v>
      </c>
      <c r="E148" s="1">
        <f>IFERROR(__xludf.DUMMYFUNCTION("""COMPUTED_VALUE"""),24.55)</f>
        <v>24.55</v>
      </c>
      <c r="F148" s="1">
        <f>IFERROR(__xludf.DUMMYFUNCTION("""COMPUTED_VALUE"""),113750.0)</f>
        <v>113750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IFERROR(__xludf.DUMMYFUNCTION("""COMPUTED_VALUE"""),24.4)</f>
        <v>24.4</v>
      </c>
      <c r="C149" s="1">
        <f>IFERROR(__xludf.DUMMYFUNCTION("""COMPUTED_VALUE"""),24.69)</f>
        <v>24.69</v>
      </c>
      <c r="D149" s="1">
        <f>IFERROR(__xludf.DUMMYFUNCTION("""COMPUTED_VALUE"""),24.36)</f>
        <v>24.36</v>
      </c>
      <c r="E149" s="1">
        <f>IFERROR(__xludf.DUMMYFUNCTION("""COMPUTED_VALUE"""),24.65)</f>
        <v>24.65</v>
      </c>
      <c r="F149" s="1">
        <f>IFERROR(__xludf.DUMMYFUNCTION("""COMPUTED_VALUE"""),153569.0)</f>
        <v>153569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IFERROR(__xludf.DUMMYFUNCTION("""COMPUTED_VALUE"""),24.59)</f>
        <v>24.59</v>
      </c>
      <c r="C150" s="1">
        <f>IFERROR(__xludf.DUMMYFUNCTION("""COMPUTED_VALUE"""),25.0)</f>
        <v>25</v>
      </c>
      <c r="D150" s="1">
        <f>IFERROR(__xludf.DUMMYFUNCTION("""COMPUTED_VALUE"""),24.56)</f>
        <v>24.56</v>
      </c>
      <c r="E150" s="1">
        <f>IFERROR(__xludf.DUMMYFUNCTION("""COMPUTED_VALUE"""),24.86)</f>
        <v>24.86</v>
      </c>
      <c r="F150" s="1">
        <f>IFERROR(__xludf.DUMMYFUNCTION("""COMPUTED_VALUE"""),259430.0)</f>
        <v>259430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IFERROR(__xludf.DUMMYFUNCTION("""COMPUTED_VALUE"""),24.64)</f>
        <v>24.64</v>
      </c>
      <c r="C151" s="1">
        <f>IFERROR(__xludf.DUMMYFUNCTION("""COMPUTED_VALUE"""),25.24)</f>
        <v>25.24</v>
      </c>
      <c r="D151" s="1">
        <f>IFERROR(__xludf.DUMMYFUNCTION("""COMPUTED_VALUE"""),24.55)</f>
        <v>24.55</v>
      </c>
      <c r="E151" s="1">
        <f>IFERROR(__xludf.DUMMYFUNCTION("""COMPUTED_VALUE"""),25.22)</f>
        <v>25.22</v>
      </c>
      <c r="F151" s="1">
        <f>IFERROR(__xludf.DUMMYFUNCTION("""COMPUTED_VALUE"""),341458.0)</f>
        <v>341458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IFERROR(__xludf.DUMMYFUNCTION("""COMPUTED_VALUE"""),25.09)</f>
        <v>25.09</v>
      </c>
      <c r="C152" s="1">
        <f>IFERROR(__xludf.DUMMYFUNCTION("""COMPUTED_VALUE"""),25.36)</f>
        <v>25.36</v>
      </c>
      <c r="D152" s="1">
        <f>IFERROR(__xludf.DUMMYFUNCTION("""COMPUTED_VALUE"""),24.95)</f>
        <v>24.95</v>
      </c>
      <c r="E152" s="1">
        <f>IFERROR(__xludf.DUMMYFUNCTION("""COMPUTED_VALUE"""),25.2)</f>
        <v>25.2</v>
      </c>
      <c r="F152" s="1">
        <f>IFERROR(__xludf.DUMMYFUNCTION("""COMPUTED_VALUE"""),199711.0)</f>
        <v>199711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IFERROR(__xludf.DUMMYFUNCTION("""COMPUTED_VALUE"""),24.75)</f>
        <v>24.75</v>
      </c>
      <c r="C153" s="1">
        <f>IFERROR(__xludf.DUMMYFUNCTION("""COMPUTED_VALUE"""),25.04)</f>
        <v>25.04</v>
      </c>
      <c r="D153" s="1">
        <f>IFERROR(__xludf.DUMMYFUNCTION("""COMPUTED_VALUE"""),24.5)</f>
        <v>24.5</v>
      </c>
      <c r="E153" s="1">
        <f>IFERROR(__xludf.DUMMYFUNCTION("""COMPUTED_VALUE"""),24.76)</f>
        <v>24.76</v>
      </c>
      <c r="F153" s="1">
        <f>IFERROR(__xludf.DUMMYFUNCTION("""COMPUTED_VALUE"""),233916.0)</f>
        <v>233916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IFERROR(__xludf.DUMMYFUNCTION("""COMPUTED_VALUE"""),24.42)</f>
        <v>24.42</v>
      </c>
      <c r="C154" s="1">
        <f>IFERROR(__xludf.DUMMYFUNCTION("""COMPUTED_VALUE"""),24.51)</f>
        <v>24.51</v>
      </c>
      <c r="D154" s="1">
        <f>IFERROR(__xludf.DUMMYFUNCTION("""COMPUTED_VALUE"""),24.19)</f>
        <v>24.19</v>
      </c>
      <c r="E154" s="1">
        <f>IFERROR(__xludf.DUMMYFUNCTION("""COMPUTED_VALUE"""),24.31)</f>
        <v>24.31</v>
      </c>
      <c r="F154" s="1">
        <f>IFERROR(__xludf.DUMMYFUNCTION("""COMPUTED_VALUE"""),153776.0)</f>
        <v>153776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IFERROR(__xludf.DUMMYFUNCTION("""COMPUTED_VALUE"""),23.98)</f>
        <v>23.98</v>
      </c>
      <c r="C155" s="1">
        <f>IFERROR(__xludf.DUMMYFUNCTION("""COMPUTED_VALUE"""),24.2)</f>
        <v>24.2</v>
      </c>
      <c r="D155" s="1">
        <f>IFERROR(__xludf.DUMMYFUNCTION("""COMPUTED_VALUE"""),23.92)</f>
        <v>23.92</v>
      </c>
      <c r="E155" s="1">
        <f>IFERROR(__xludf.DUMMYFUNCTION("""COMPUTED_VALUE"""),24.02)</f>
        <v>24.02</v>
      </c>
      <c r="F155" s="1">
        <f>IFERROR(__xludf.DUMMYFUNCTION("""COMPUTED_VALUE"""),197997.0)</f>
        <v>197997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IFERROR(__xludf.DUMMYFUNCTION("""COMPUTED_VALUE"""),24.02)</f>
        <v>24.02</v>
      </c>
      <c r="C156" s="1">
        <f>IFERROR(__xludf.DUMMYFUNCTION("""COMPUTED_VALUE"""),24.08)</f>
        <v>24.08</v>
      </c>
      <c r="D156" s="1">
        <f>IFERROR(__xludf.DUMMYFUNCTION("""COMPUTED_VALUE"""),23.76)</f>
        <v>23.76</v>
      </c>
      <c r="E156" s="1">
        <f>IFERROR(__xludf.DUMMYFUNCTION("""COMPUTED_VALUE"""),23.93)</f>
        <v>23.93</v>
      </c>
      <c r="F156" s="1">
        <f>IFERROR(__xludf.DUMMYFUNCTION("""COMPUTED_VALUE"""),121347.0)</f>
        <v>121347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IFERROR(__xludf.DUMMYFUNCTION("""COMPUTED_VALUE"""),23.68)</f>
        <v>23.68</v>
      </c>
      <c r="C157" s="1">
        <f>IFERROR(__xludf.DUMMYFUNCTION("""COMPUTED_VALUE"""),24.09)</f>
        <v>24.09</v>
      </c>
      <c r="D157" s="1">
        <f>IFERROR(__xludf.DUMMYFUNCTION("""COMPUTED_VALUE"""),23.57)</f>
        <v>23.57</v>
      </c>
      <c r="E157" s="1">
        <f>IFERROR(__xludf.DUMMYFUNCTION("""COMPUTED_VALUE"""),24.02)</f>
        <v>24.02</v>
      </c>
      <c r="F157" s="1">
        <f>IFERROR(__xludf.DUMMYFUNCTION("""COMPUTED_VALUE"""),123173.0)</f>
        <v>123173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IFERROR(__xludf.DUMMYFUNCTION("""COMPUTED_VALUE"""),24.22)</f>
        <v>24.22</v>
      </c>
      <c r="C158" s="1">
        <f>IFERROR(__xludf.DUMMYFUNCTION("""COMPUTED_VALUE"""),24.36)</f>
        <v>24.36</v>
      </c>
      <c r="D158" s="1">
        <f>IFERROR(__xludf.DUMMYFUNCTION("""COMPUTED_VALUE"""),24.04)</f>
        <v>24.04</v>
      </c>
      <c r="E158" s="1">
        <f>IFERROR(__xludf.DUMMYFUNCTION("""COMPUTED_VALUE"""),24.16)</f>
        <v>24.16</v>
      </c>
      <c r="F158" s="1">
        <f>IFERROR(__xludf.DUMMYFUNCTION("""COMPUTED_VALUE"""),129579.0)</f>
        <v>129579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IFERROR(__xludf.DUMMYFUNCTION("""COMPUTED_VALUE"""),23.93)</f>
        <v>23.93</v>
      </c>
      <c r="C159" s="1">
        <f>IFERROR(__xludf.DUMMYFUNCTION("""COMPUTED_VALUE"""),24.32)</f>
        <v>24.32</v>
      </c>
      <c r="D159" s="1">
        <f>IFERROR(__xludf.DUMMYFUNCTION("""COMPUTED_VALUE"""),23.9)</f>
        <v>23.9</v>
      </c>
      <c r="E159" s="1">
        <f>IFERROR(__xludf.DUMMYFUNCTION("""COMPUTED_VALUE"""),24.22)</f>
        <v>24.22</v>
      </c>
      <c r="F159" s="1">
        <f>IFERROR(__xludf.DUMMYFUNCTION("""COMPUTED_VALUE"""),164666.0)</f>
        <v>164666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IFERROR(__xludf.DUMMYFUNCTION("""COMPUTED_VALUE"""),24.25)</f>
        <v>24.25</v>
      </c>
      <c r="C160" s="1">
        <f>IFERROR(__xludf.DUMMYFUNCTION("""COMPUTED_VALUE"""),24.61)</f>
        <v>24.61</v>
      </c>
      <c r="D160" s="1">
        <f>IFERROR(__xludf.DUMMYFUNCTION("""COMPUTED_VALUE"""),24.19)</f>
        <v>24.19</v>
      </c>
      <c r="E160" s="1">
        <f>IFERROR(__xludf.DUMMYFUNCTION("""COMPUTED_VALUE"""),24.55)</f>
        <v>24.55</v>
      </c>
      <c r="F160" s="1">
        <f>IFERROR(__xludf.DUMMYFUNCTION("""COMPUTED_VALUE"""),205396.0)</f>
        <v>205396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IFERROR(__xludf.DUMMYFUNCTION("""COMPUTED_VALUE"""),24.55)</f>
        <v>24.55</v>
      </c>
      <c r="C161" s="1">
        <f>IFERROR(__xludf.DUMMYFUNCTION("""COMPUTED_VALUE"""),25.29)</f>
        <v>25.29</v>
      </c>
      <c r="D161" s="1">
        <f>IFERROR(__xludf.DUMMYFUNCTION("""COMPUTED_VALUE"""),24.47)</f>
        <v>24.47</v>
      </c>
      <c r="E161" s="1">
        <f>IFERROR(__xludf.DUMMYFUNCTION("""COMPUTED_VALUE"""),25.23)</f>
        <v>25.23</v>
      </c>
      <c r="F161" s="1">
        <f>IFERROR(__xludf.DUMMYFUNCTION("""COMPUTED_VALUE"""),218537.0)</f>
        <v>218537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IFERROR(__xludf.DUMMYFUNCTION("""COMPUTED_VALUE"""),25.32)</f>
        <v>25.32</v>
      </c>
      <c r="C162" s="1">
        <f>IFERROR(__xludf.DUMMYFUNCTION("""COMPUTED_VALUE"""),25.43)</f>
        <v>25.43</v>
      </c>
      <c r="D162" s="1">
        <f>IFERROR(__xludf.DUMMYFUNCTION("""COMPUTED_VALUE"""),25.18)</f>
        <v>25.18</v>
      </c>
      <c r="E162" s="1">
        <f>IFERROR(__xludf.DUMMYFUNCTION("""COMPUTED_VALUE"""),25.21)</f>
        <v>25.21</v>
      </c>
      <c r="F162" s="1">
        <f>IFERROR(__xludf.DUMMYFUNCTION("""COMPUTED_VALUE"""),184534.0)</f>
        <v>184534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IFERROR(__xludf.DUMMYFUNCTION("""COMPUTED_VALUE"""),24.79)</f>
        <v>24.79</v>
      </c>
      <c r="C163" s="1">
        <f>IFERROR(__xludf.DUMMYFUNCTION("""COMPUTED_VALUE"""),25.33)</f>
        <v>25.33</v>
      </c>
      <c r="D163" s="1">
        <f>IFERROR(__xludf.DUMMYFUNCTION("""COMPUTED_VALUE"""),24.76)</f>
        <v>24.76</v>
      </c>
      <c r="E163" s="1">
        <f>IFERROR(__xludf.DUMMYFUNCTION("""COMPUTED_VALUE"""),25.2)</f>
        <v>25.2</v>
      </c>
      <c r="F163" s="1">
        <f>IFERROR(__xludf.DUMMYFUNCTION("""COMPUTED_VALUE"""),171130.0)</f>
        <v>171130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IFERROR(__xludf.DUMMYFUNCTION("""COMPUTED_VALUE"""),25.04)</f>
        <v>25.04</v>
      </c>
      <c r="C164" s="1">
        <f>IFERROR(__xludf.DUMMYFUNCTION("""COMPUTED_VALUE"""),25.73)</f>
        <v>25.73</v>
      </c>
      <c r="D164" s="1">
        <f>IFERROR(__xludf.DUMMYFUNCTION("""COMPUTED_VALUE"""),24.97)</f>
        <v>24.97</v>
      </c>
      <c r="E164" s="1">
        <f>IFERROR(__xludf.DUMMYFUNCTION("""COMPUTED_VALUE"""),25.44)</f>
        <v>25.44</v>
      </c>
      <c r="F164" s="1">
        <f>IFERROR(__xludf.DUMMYFUNCTION("""COMPUTED_VALUE"""),286888.0)</f>
        <v>286888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IFERROR(__xludf.DUMMYFUNCTION("""COMPUTED_VALUE"""),25.3)</f>
        <v>25.3</v>
      </c>
      <c r="C165" s="1">
        <f>IFERROR(__xludf.DUMMYFUNCTION("""COMPUTED_VALUE"""),25.6)</f>
        <v>25.6</v>
      </c>
      <c r="D165" s="1">
        <f>IFERROR(__xludf.DUMMYFUNCTION("""COMPUTED_VALUE"""),25.13)</f>
        <v>25.13</v>
      </c>
      <c r="E165" s="1">
        <f>IFERROR(__xludf.DUMMYFUNCTION("""COMPUTED_VALUE"""),25.19)</f>
        <v>25.19</v>
      </c>
      <c r="F165" s="1">
        <f>IFERROR(__xludf.DUMMYFUNCTION("""COMPUTED_VALUE"""),330692.0)</f>
        <v>330692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IFERROR(__xludf.DUMMYFUNCTION("""COMPUTED_VALUE"""),25.18)</f>
        <v>25.18</v>
      </c>
      <c r="C166" s="1">
        <f>IFERROR(__xludf.DUMMYFUNCTION("""COMPUTED_VALUE"""),25.43)</f>
        <v>25.43</v>
      </c>
      <c r="D166" s="1">
        <f>IFERROR(__xludf.DUMMYFUNCTION("""COMPUTED_VALUE"""),24.93)</f>
        <v>24.93</v>
      </c>
      <c r="E166" s="1">
        <f>IFERROR(__xludf.DUMMYFUNCTION("""COMPUTED_VALUE"""),25.18)</f>
        <v>25.18</v>
      </c>
      <c r="F166" s="1">
        <f>IFERROR(__xludf.DUMMYFUNCTION("""COMPUTED_VALUE"""),359389.0)</f>
        <v>359389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IFERROR(__xludf.DUMMYFUNCTION("""COMPUTED_VALUE"""),25.18)</f>
        <v>25.18</v>
      </c>
      <c r="C167" s="1">
        <f>IFERROR(__xludf.DUMMYFUNCTION("""COMPUTED_VALUE"""),25.47)</f>
        <v>25.47</v>
      </c>
      <c r="D167" s="1">
        <f>IFERROR(__xludf.DUMMYFUNCTION("""COMPUTED_VALUE"""),24.87)</f>
        <v>24.87</v>
      </c>
      <c r="E167" s="1">
        <f>IFERROR(__xludf.DUMMYFUNCTION("""COMPUTED_VALUE"""),24.87)</f>
        <v>24.87</v>
      </c>
      <c r="F167" s="1">
        <f>IFERROR(__xludf.DUMMYFUNCTION("""COMPUTED_VALUE"""),178041.0)</f>
        <v>178041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IFERROR(__xludf.DUMMYFUNCTION("""COMPUTED_VALUE"""),24.82)</f>
        <v>24.82</v>
      </c>
      <c r="C168" s="1">
        <f>IFERROR(__xludf.DUMMYFUNCTION("""COMPUTED_VALUE"""),25.05)</f>
        <v>25.05</v>
      </c>
      <c r="D168" s="1">
        <f>IFERROR(__xludf.DUMMYFUNCTION("""COMPUTED_VALUE"""),24.51)</f>
        <v>24.51</v>
      </c>
      <c r="E168" s="1">
        <f>IFERROR(__xludf.DUMMYFUNCTION("""COMPUTED_VALUE"""),24.65)</f>
        <v>24.65</v>
      </c>
      <c r="F168" s="1">
        <f>IFERROR(__xludf.DUMMYFUNCTION("""COMPUTED_VALUE"""),185215.0)</f>
        <v>185215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IFERROR(__xludf.DUMMYFUNCTION("""COMPUTED_VALUE"""),24.98)</f>
        <v>24.98</v>
      </c>
      <c r="C169" s="1">
        <f>IFERROR(__xludf.DUMMYFUNCTION("""COMPUTED_VALUE"""),25.17)</f>
        <v>25.17</v>
      </c>
      <c r="D169" s="1">
        <f>IFERROR(__xludf.DUMMYFUNCTION("""COMPUTED_VALUE"""),24.83)</f>
        <v>24.83</v>
      </c>
      <c r="E169" s="1">
        <f>IFERROR(__xludf.DUMMYFUNCTION("""COMPUTED_VALUE"""),25.02)</f>
        <v>25.02</v>
      </c>
      <c r="F169" s="1">
        <f>IFERROR(__xludf.DUMMYFUNCTION("""COMPUTED_VALUE"""),253714.0)</f>
        <v>253714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IFERROR(__xludf.DUMMYFUNCTION("""COMPUTED_VALUE"""),24.92)</f>
        <v>24.92</v>
      </c>
      <c r="C170" s="1">
        <f>IFERROR(__xludf.DUMMYFUNCTION("""COMPUTED_VALUE"""),25.17)</f>
        <v>25.17</v>
      </c>
      <c r="D170" s="1">
        <f>IFERROR(__xludf.DUMMYFUNCTION("""COMPUTED_VALUE"""),24.92)</f>
        <v>24.92</v>
      </c>
      <c r="E170" s="1">
        <f>IFERROR(__xludf.DUMMYFUNCTION("""COMPUTED_VALUE"""),25.13)</f>
        <v>25.13</v>
      </c>
      <c r="F170" s="1">
        <f>IFERROR(__xludf.DUMMYFUNCTION("""COMPUTED_VALUE"""),411369.0)</f>
        <v>411369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IFERROR(__xludf.DUMMYFUNCTION("""COMPUTED_VALUE"""),25.48)</f>
        <v>25.48</v>
      </c>
      <c r="C171" s="1">
        <f>IFERROR(__xludf.DUMMYFUNCTION("""COMPUTED_VALUE"""),26.15)</f>
        <v>26.15</v>
      </c>
      <c r="D171" s="1">
        <f>IFERROR(__xludf.DUMMYFUNCTION("""COMPUTED_VALUE"""),25.33)</f>
        <v>25.33</v>
      </c>
      <c r="E171" s="1">
        <f>IFERROR(__xludf.DUMMYFUNCTION("""COMPUTED_VALUE"""),25.75)</f>
        <v>25.75</v>
      </c>
      <c r="F171" s="1">
        <f>IFERROR(__xludf.DUMMYFUNCTION("""COMPUTED_VALUE"""),314876.0)</f>
        <v>314876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IFERROR(__xludf.DUMMYFUNCTION("""COMPUTED_VALUE"""),25.71)</f>
        <v>25.71</v>
      </c>
      <c r="C172" s="1">
        <f>IFERROR(__xludf.DUMMYFUNCTION("""COMPUTED_VALUE"""),25.85)</f>
        <v>25.85</v>
      </c>
      <c r="D172" s="1">
        <f>IFERROR(__xludf.DUMMYFUNCTION("""COMPUTED_VALUE"""),25.36)</f>
        <v>25.36</v>
      </c>
      <c r="E172" s="1">
        <f>IFERROR(__xludf.DUMMYFUNCTION("""COMPUTED_VALUE"""),25.37)</f>
        <v>25.37</v>
      </c>
      <c r="F172" s="1">
        <f>IFERROR(__xludf.DUMMYFUNCTION("""COMPUTED_VALUE"""),174694.0)</f>
        <v>174694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IFERROR(__xludf.DUMMYFUNCTION("""COMPUTED_VALUE"""),25.59)</f>
        <v>25.59</v>
      </c>
      <c r="C173" s="1">
        <f>IFERROR(__xludf.DUMMYFUNCTION("""COMPUTED_VALUE"""),25.72)</f>
        <v>25.72</v>
      </c>
      <c r="D173" s="1">
        <f>IFERROR(__xludf.DUMMYFUNCTION("""COMPUTED_VALUE"""),25.44)</f>
        <v>25.44</v>
      </c>
      <c r="E173" s="1">
        <f>IFERROR(__xludf.DUMMYFUNCTION("""COMPUTED_VALUE"""),25.7)</f>
        <v>25.7</v>
      </c>
      <c r="F173" s="1">
        <f>IFERROR(__xludf.DUMMYFUNCTION("""COMPUTED_VALUE"""),115755.0)</f>
        <v>115755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IFERROR(__xludf.DUMMYFUNCTION("""COMPUTED_VALUE"""),25.79)</f>
        <v>25.79</v>
      </c>
      <c r="C174" s="1">
        <f>IFERROR(__xludf.DUMMYFUNCTION("""COMPUTED_VALUE"""),25.85)</f>
        <v>25.85</v>
      </c>
      <c r="D174" s="1">
        <f>IFERROR(__xludf.DUMMYFUNCTION("""COMPUTED_VALUE"""),25.31)</f>
        <v>25.31</v>
      </c>
      <c r="E174" s="1">
        <f>IFERROR(__xludf.DUMMYFUNCTION("""COMPUTED_VALUE"""),25.42)</f>
        <v>25.42</v>
      </c>
      <c r="F174" s="1">
        <f>IFERROR(__xludf.DUMMYFUNCTION("""COMPUTED_VALUE"""),207217.0)</f>
        <v>207217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IFERROR(__xludf.DUMMYFUNCTION("""COMPUTED_VALUE"""),25.6)</f>
        <v>25.6</v>
      </c>
      <c r="C175" s="1">
        <f>IFERROR(__xludf.DUMMYFUNCTION("""COMPUTED_VALUE"""),25.76)</f>
        <v>25.76</v>
      </c>
      <c r="D175" s="1">
        <f>IFERROR(__xludf.DUMMYFUNCTION("""COMPUTED_VALUE"""),25.24)</f>
        <v>25.24</v>
      </c>
      <c r="E175" s="1">
        <f>IFERROR(__xludf.DUMMYFUNCTION("""COMPUTED_VALUE"""),25.51)</f>
        <v>25.51</v>
      </c>
      <c r="F175" s="1">
        <f>IFERROR(__xludf.DUMMYFUNCTION("""COMPUTED_VALUE"""),188416.0)</f>
        <v>188416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IFERROR(__xludf.DUMMYFUNCTION("""COMPUTED_VALUE"""),25.62)</f>
        <v>25.62</v>
      </c>
      <c r="C176" s="1">
        <f>IFERROR(__xludf.DUMMYFUNCTION("""COMPUTED_VALUE"""),25.69)</f>
        <v>25.69</v>
      </c>
      <c r="D176" s="1">
        <f>IFERROR(__xludf.DUMMYFUNCTION("""COMPUTED_VALUE"""),25.28)</f>
        <v>25.28</v>
      </c>
      <c r="E176" s="1">
        <f>IFERROR(__xludf.DUMMYFUNCTION("""COMPUTED_VALUE"""),25.5)</f>
        <v>25.5</v>
      </c>
      <c r="F176" s="1">
        <f>IFERROR(__xludf.DUMMYFUNCTION("""COMPUTED_VALUE"""),346179.0)</f>
        <v>346179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IFERROR(__xludf.DUMMYFUNCTION("""COMPUTED_VALUE"""),25.5)</f>
        <v>25.5</v>
      </c>
      <c r="C177" s="1">
        <f>IFERROR(__xludf.DUMMYFUNCTION("""COMPUTED_VALUE"""),25.68)</f>
        <v>25.68</v>
      </c>
      <c r="D177" s="1">
        <f>IFERROR(__xludf.DUMMYFUNCTION("""COMPUTED_VALUE"""),25.2)</f>
        <v>25.2</v>
      </c>
      <c r="E177" s="1">
        <f>IFERROR(__xludf.DUMMYFUNCTION("""COMPUTED_VALUE"""),25.54)</f>
        <v>25.54</v>
      </c>
      <c r="F177" s="1">
        <f>IFERROR(__xludf.DUMMYFUNCTION("""COMPUTED_VALUE"""),138447.0)</f>
        <v>138447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IFERROR(__xludf.DUMMYFUNCTION("""COMPUTED_VALUE"""),25.28)</f>
        <v>25.28</v>
      </c>
      <c r="C178" s="1">
        <f>IFERROR(__xludf.DUMMYFUNCTION("""COMPUTED_VALUE"""),26.1)</f>
        <v>26.1</v>
      </c>
      <c r="D178" s="1">
        <f>IFERROR(__xludf.DUMMYFUNCTION("""COMPUTED_VALUE"""),25.28)</f>
        <v>25.28</v>
      </c>
      <c r="E178" s="1">
        <f>IFERROR(__xludf.DUMMYFUNCTION("""COMPUTED_VALUE"""),25.96)</f>
        <v>25.96</v>
      </c>
      <c r="F178" s="1">
        <f>IFERROR(__xludf.DUMMYFUNCTION("""COMPUTED_VALUE"""),171265.0)</f>
        <v>171265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IFERROR(__xludf.DUMMYFUNCTION("""COMPUTED_VALUE"""),25.95)</f>
        <v>25.95</v>
      </c>
      <c r="C179" s="1">
        <f>IFERROR(__xludf.DUMMYFUNCTION("""COMPUTED_VALUE"""),26.26)</f>
        <v>26.26</v>
      </c>
      <c r="D179" s="1">
        <f>IFERROR(__xludf.DUMMYFUNCTION("""COMPUTED_VALUE"""),25.87)</f>
        <v>25.87</v>
      </c>
      <c r="E179" s="1">
        <f>IFERROR(__xludf.DUMMYFUNCTION("""COMPUTED_VALUE"""),26.11)</f>
        <v>26.11</v>
      </c>
      <c r="F179" s="1">
        <f>IFERROR(__xludf.DUMMYFUNCTION("""COMPUTED_VALUE"""),183179.0)</f>
        <v>183179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IFERROR(__xludf.DUMMYFUNCTION("""COMPUTED_VALUE"""),26.11)</f>
        <v>26.11</v>
      </c>
      <c r="C180" s="1">
        <f>IFERROR(__xludf.DUMMYFUNCTION("""COMPUTED_VALUE"""),26.68)</f>
        <v>26.68</v>
      </c>
      <c r="D180" s="1">
        <f>IFERROR(__xludf.DUMMYFUNCTION("""COMPUTED_VALUE"""),26.11)</f>
        <v>26.11</v>
      </c>
      <c r="E180" s="1">
        <f>IFERROR(__xludf.DUMMYFUNCTION("""COMPUTED_VALUE"""),26.51)</f>
        <v>26.51</v>
      </c>
      <c r="F180" s="1">
        <f>IFERROR(__xludf.DUMMYFUNCTION("""COMPUTED_VALUE"""),591951.0)</f>
        <v>591951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IFERROR(__xludf.DUMMYFUNCTION("""COMPUTED_VALUE"""),26.72)</f>
        <v>26.72</v>
      </c>
      <c r="C181" s="1">
        <f>IFERROR(__xludf.DUMMYFUNCTION("""COMPUTED_VALUE"""),27.45)</f>
        <v>27.45</v>
      </c>
      <c r="D181" s="1">
        <f>IFERROR(__xludf.DUMMYFUNCTION("""COMPUTED_VALUE"""),26.58)</f>
        <v>26.58</v>
      </c>
      <c r="E181" s="1">
        <f>IFERROR(__xludf.DUMMYFUNCTION("""COMPUTED_VALUE"""),27.44)</f>
        <v>27.44</v>
      </c>
      <c r="F181" s="1">
        <f>IFERROR(__xludf.DUMMYFUNCTION("""COMPUTED_VALUE"""),301121.0)</f>
        <v>301121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IFERROR(__xludf.DUMMYFUNCTION("""COMPUTED_VALUE"""),27.4)</f>
        <v>27.4</v>
      </c>
      <c r="C182" s="1">
        <f>IFERROR(__xludf.DUMMYFUNCTION("""COMPUTED_VALUE"""),27.8)</f>
        <v>27.8</v>
      </c>
      <c r="D182" s="1">
        <f>IFERROR(__xludf.DUMMYFUNCTION("""COMPUTED_VALUE"""),27.12)</f>
        <v>27.12</v>
      </c>
      <c r="E182" s="1">
        <f>IFERROR(__xludf.DUMMYFUNCTION("""COMPUTED_VALUE"""),27.7)</f>
        <v>27.7</v>
      </c>
      <c r="F182" s="1">
        <f>IFERROR(__xludf.DUMMYFUNCTION("""COMPUTED_VALUE"""),343688.0)</f>
        <v>343688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IFERROR(__xludf.DUMMYFUNCTION("""COMPUTED_VALUE"""),27.83)</f>
        <v>27.83</v>
      </c>
      <c r="C183" s="1">
        <f>IFERROR(__xludf.DUMMYFUNCTION("""COMPUTED_VALUE"""),27.97)</f>
        <v>27.97</v>
      </c>
      <c r="D183" s="1">
        <f>IFERROR(__xludf.DUMMYFUNCTION("""COMPUTED_VALUE"""),27.65)</f>
        <v>27.65</v>
      </c>
      <c r="E183" s="1">
        <f>IFERROR(__xludf.DUMMYFUNCTION("""COMPUTED_VALUE"""),27.92)</f>
        <v>27.92</v>
      </c>
      <c r="F183" s="1">
        <f>IFERROR(__xludf.DUMMYFUNCTION("""COMPUTED_VALUE"""),162713.0)</f>
        <v>162713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IFERROR(__xludf.DUMMYFUNCTION("""COMPUTED_VALUE"""),27.82)</f>
        <v>27.82</v>
      </c>
      <c r="C184" s="1">
        <f>IFERROR(__xludf.DUMMYFUNCTION("""COMPUTED_VALUE"""),29.07)</f>
        <v>29.07</v>
      </c>
      <c r="D184" s="1">
        <f>IFERROR(__xludf.DUMMYFUNCTION("""COMPUTED_VALUE"""),27.82)</f>
        <v>27.82</v>
      </c>
      <c r="E184" s="1">
        <f>IFERROR(__xludf.DUMMYFUNCTION("""COMPUTED_VALUE"""),28.32)</f>
        <v>28.32</v>
      </c>
      <c r="F184" s="1">
        <f>IFERROR(__xludf.DUMMYFUNCTION("""COMPUTED_VALUE"""),649040.0)</f>
        <v>649040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IFERROR(__xludf.DUMMYFUNCTION("""COMPUTED_VALUE"""),23.69)</f>
        <v>23.69</v>
      </c>
      <c r="C185" s="1">
        <f>IFERROR(__xludf.DUMMYFUNCTION("""COMPUTED_VALUE"""),25.0)</f>
        <v>25</v>
      </c>
      <c r="D185" s="1">
        <f>IFERROR(__xludf.DUMMYFUNCTION("""COMPUTED_VALUE"""),23.17)</f>
        <v>23.17</v>
      </c>
      <c r="E185" s="1">
        <f>IFERROR(__xludf.DUMMYFUNCTION("""COMPUTED_VALUE"""),24.79)</f>
        <v>24.79</v>
      </c>
      <c r="F185" s="1">
        <f>IFERROR(__xludf.DUMMYFUNCTION("""COMPUTED_VALUE"""),2728402.0)</f>
        <v>2728402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IFERROR(__xludf.DUMMYFUNCTION("""COMPUTED_VALUE"""),24.88)</f>
        <v>24.88</v>
      </c>
      <c r="C186" s="1">
        <f>IFERROR(__xludf.DUMMYFUNCTION("""COMPUTED_VALUE"""),25.0)</f>
        <v>25</v>
      </c>
      <c r="D186" s="1">
        <f>IFERROR(__xludf.DUMMYFUNCTION("""COMPUTED_VALUE"""),23.39)</f>
        <v>23.39</v>
      </c>
      <c r="E186" s="1">
        <f>IFERROR(__xludf.DUMMYFUNCTION("""COMPUTED_VALUE"""),23.42)</f>
        <v>23.42</v>
      </c>
      <c r="F186" s="1">
        <f>IFERROR(__xludf.DUMMYFUNCTION("""COMPUTED_VALUE"""),1034790.0)</f>
        <v>1034790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IFERROR(__xludf.DUMMYFUNCTION("""COMPUTED_VALUE"""),23.43)</f>
        <v>23.43</v>
      </c>
      <c r="C187" s="1">
        <f>IFERROR(__xludf.DUMMYFUNCTION("""COMPUTED_VALUE"""),23.88)</f>
        <v>23.88</v>
      </c>
      <c r="D187" s="1">
        <f>IFERROR(__xludf.DUMMYFUNCTION("""COMPUTED_VALUE"""),23.31)</f>
        <v>23.31</v>
      </c>
      <c r="E187" s="1">
        <f>IFERROR(__xludf.DUMMYFUNCTION("""COMPUTED_VALUE"""),23.8)</f>
        <v>23.8</v>
      </c>
      <c r="F187" s="1">
        <f>IFERROR(__xludf.DUMMYFUNCTION("""COMPUTED_VALUE"""),760307.0)</f>
        <v>760307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IFERROR(__xludf.DUMMYFUNCTION("""COMPUTED_VALUE"""),23.96)</f>
        <v>23.96</v>
      </c>
      <c r="C188" s="1">
        <f>IFERROR(__xludf.DUMMYFUNCTION("""COMPUTED_VALUE"""),24.34)</f>
        <v>24.34</v>
      </c>
      <c r="D188" s="1">
        <f>IFERROR(__xludf.DUMMYFUNCTION("""COMPUTED_VALUE"""),23.68)</f>
        <v>23.68</v>
      </c>
      <c r="E188" s="1">
        <f>IFERROR(__xludf.DUMMYFUNCTION("""COMPUTED_VALUE"""),24.3)</f>
        <v>24.3</v>
      </c>
      <c r="F188" s="1">
        <f>IFERROR(__xludf.DUMMYFUNCTION("""COMPUTED_VALUE"""),480027.0)</f>
        <v>480027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IFERROR(__xludf.DUMMYFUNCTION("""COMPUTED_VALUE"""),24.56)</f>
        <v>24.56</v>
      </c>
      <c r="C189" s="1">
        <f>IFERROR(__xludf.DUMMYFUNCTION("""COMPUTED_VALUE"""),24.73)</f>
        <v>24.73</v>
      </c>
      <c r="D189" s="1">
        <f>IFERROR(__xludf.DUMMYFUNCTION("""COMPUTED_VALUE"""),24.19)</f>
        <v>24.19</v>
      </c>
      <c r="E189" s="1">
        <f>IFERROR(__xludf.DUMMYFUNCTION("""COMPUTED_VALUE"""),24.4)</f>
        <v>24.4</v>
      </c>
      <c r="F189" s="1">
        <f>IFERROR(__xludf.DUMMYFUNCTION("""COMPUTED_VALUE"""),568828.0)</f>
        <v>568828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IFERROR(__xludf.DUMMYFUNCTION("""COMPUTED_VALUE"""),24.43)</f>
        <v>24.43</v>
      </c>
      <c r="C190" s="1">
        <f>IFERROR(__xludf.DUMMYFUNCTION("""COMPUTED_VALUE"""),24.66)</f>
        <v>24.66</v>
      </c>
      <c r="D190" s="1">
        <f>IFERROR(__xludf.DUMMYFUNCTION("""COMPUTED_VALUE"""),24.25)</f>
        <v>24.25</v>
      </c>
      <c r="E190" s="1">
        <f>IFERROR(__xludf.DUMMYFUNCTION("""COMPUTED_VALUE"""),24.64)</f>
        <v>24.64</v>
      </c>
      <c r="F190" s="1">
        <f>IFERROR(__xludf.DUMMYFUNCTION("""COMPUTED_VALUE"""),374342.0)</f>
        <v>374342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IFERROR(__xludf.DUMMYFUNCTION("""COMPUTED_VALUE"""),24.4)</f>
        <v>24.4</v>
      </c>
      <c r="C191" s="1">
        <f>IFERROR(__xludf.DUMMYFUNCTION("""COMPUTED_VALUE"""),24.77)</f>
        <v>24.77</v>
      </c>
      <c r="D191" s="1">
        <f>IFERROR(__xludf.DUMMYFUNCTION("""COMPUTED_VALUE"""),24.06)</f>
        <v>24.06</v>
      </c>
      <c r="E191" s="1">
        <f>IFERROR(__xludf.DUMMYFUNCTION("""COMPUTED_VALUE"""),24.13)</f>
        <v>24.13</v>
      </c>
      <c r="F191" s="1">
        <f>IFERROR(__xludf.DUMMYFUNCTION("""COMPUTED_VALUE"""),283024.0)</f>
        <v>283024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IFERROR(__xludf.DUMMYFUNCTION("""COMPUTED_VALUE"""),23.62)</f>
        <v>23.62</v>
      </c>
      <c r="C192" s="1">
        <f>IFERROR(__xludf.DUMMYFUNCTION("""COMPUTED_VALUE"""),23.81)</f>
        <v>23.81</v>
      </c>
      <c r="D192" s="1">
        <f>IFERROR(__xludf.DUMMYFUNCTION("""COMPUTED_VALUE"""),22.7)</f>
        <v>22.7</v>
      </c>
      <c r="E192" s="1">
        <f>IFERROR(__xludf.DUMMYFUNCTION("""COMPUTED_VALUE"""),23.22)</f>
        <v>23.22</v>
      </c>
      <c r="F192" s="1">
        <f>IFERROR(__xludf.DUMMYFUNCTION("""COMPUTED_VALUE"""),1225425.0)</f>
        <v>1225425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IFERROR(__xludf.DUMMYFUNCTION("""COMPUTED_VALUE"""),23.11)</f>
        <v>23.11</v>
      </c>
      <c r="C193" s="1">
        <f>IFERROR(__xludf.DUMMYFUNCTION("""COMPUTED_VALUE"""),23.36)</f>
        <v>23.36</v>
      </c>
      <c r="D193" s="1">
        <f>IFERROR(__xludf.DUMMYFUNCTION("""COMPUTED_VALUE"""),22.28)</f>
        <v>22.28</v>
      </c>
      <c r="E193" s="1">
        <f>IFERROR(__xludf.DUMMYFUNCTION("""COMPUTED_VALUE"""),22.45)</f>
        <v>22.45</v>
      </c>
      <c r="F193" s="1">
        <f>IFERROR(__xludf.DUMMYFUNCTION("""COMPUTED_VALUE"""),1040258.0)</f>
        <v>1040258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IFERROR(__xludf.DUMMYFUNCTION("""COMPUTED_VALUE"""),22.77)</f>
        <v>22.77</v>
      </c>
      <c r="C194" s="1">
        <f>IFERROR(__xludf.DUMMYFUNCTION("""COMPUTED_VALUE"""),23.16)</f>
        <v>23.16</v>
      </c>
      <c r="D194" s="1">
        <f>IFERROR(__xludf.DUMMYFUNCTION("""COMPUTED_VALUE"""),22.58)</f>
        <v>22.58</v>
      </c>
      <c r="E194" s="1">
        <f>IFERROR(__xludf.DUMMYFUNCTION("""COMPUTED_VALUE"""),22.71)</f>
        <v>22.71</v>
      </c>
      <c r="F194" s="1">
        <f>IFERROR(__xludf.DUMMYFUNCTION("""COMPUTED_VALUE"""),497115.0)</f>
        <v>497115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IFERROR(__xludf.DUMMYFUNCTION("""COMPUTED_VALUE"""),22.83)</f>
        <v>22.83</v>
      </c>
      <c r="C195" s="1">
        <f>IFERROR(__xludf.DUMMYFUNCTION("""COMPUTED_VALUE"""),22.91)</f>
        <v>22.91</v>
      </c>
      <c r="D195" s="1">
        <f>IFERROR(__xludf.DUMMYFUNCTION("""COMPUTED_VALUE"""),22.22)</f>
        <v>22.22</v>
      </c>
      <c r="E195" s="1">
        <f>IFERROR(__xludf.DUMMYFUNCTION("""COMPUTED_VALUE"""),22.26)</f>
        <v>22.26</v>
      </c>
      <c r="F195" s="1">
        <f>IFERROR(__xludf.DUMMYFUNCTION("""COMPUTED_VALUE"""),397235.0)</f>
        <v>397235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IFERROR(__xludf.DUMMYFUNCTION("""COMPUTED_VALUE"""),22.39)</f>
        <v>22.39</v>
      </c>
      <c r="C196" s="1">
        <f>IFERROR(__xludf.DUMMYFUNCTION("""COMPUTED_VALUE"""),23.21)</f>
        <v>23.21</v>
      </c>
      <c r="D196" s="1">
        <f>IFERROR(__xludf.DUMMYFUNCTION("""COMPUTED_VALUE"""),22.3)</f>
        <v>22.3</v>
      </c>
      <c r="E196" s="1">
        <f>IFERROR(__xludf.DUMMYFUNCTION("""COMPUTED_VALUE"""),22.79)</f>
        <v>22.79</v>
      </c>
      <c r="F196" s="1">
        <f>IFERROR(__xludf.DUMMYFUNCTION("""COMPUTED_VALUE"""),579609.0)</f>
        <v>579609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IFERROR(__xludf.DUMMYFUNCTION("""COMPUTED_VALUE"""),22.65)</f>
        <v>22.65</v>
      </c>
      <c r="C197" s="1">
        <f>IFERROR(__xludf.DUMMYFUNCTION("""COMPUTED_VALUE"""),22.82)</f>
        <v>22.82</v>
      </c>
      <c r="D197" s="1">
        <f>IFERROR(__xludf.DUMMYFUNCTION("""COMPUTED_VALUE"""),22.16)</f>
        <v>22.16</v>
      </c>
      <c r="E197" s="1">
        <f>IFERROR(__xludf.DUMMYFUNCTION("""COMPUTED_VALUE"""),22.41)</f>
        <v>22.41</v>
      </c>
      <c r="F197" s="1">
        <f>IFERROR(__xludf.DUMMYFUNCTION("""COMPUTED_VALUE"""),354372.0)</f>
        <v>354372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IFERROR(__xludf.DUMMYFUNCTION("""COMPUTED_VALUE"""),22.6)</f>
        <v>22.6</v>
      </c>
      <c r="C198" s="1">
        <f>IFERROR(__xludf.DUMMYFUNCTION("""COMPUTED_VALUE"""),22.99)</f>
        <v>22.99</v>
      </c>
      <c r="D198" s="1">
        <f>IFERROR(__xludf.DUMMYFUNCTION("""COMPUTED_VALUE"""),22.52)</f>
        <v>22.52</v>
      </c>
      <c r="E198" s="1">
        <f>IFERROR(__xludf.DUMMYFUNCTION("""COMPUTED_VALUE"""),22.77)</f>
        <v>22.77</v>
      </c>
      <c r="F198" s="1">
        <f>IFERROR(__xludf.DUMMYFUNCTION("""COMPUTED_VALUE"""),610881.0)</f>
        <v>610881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IFERROR(__xludf.DUMMYFUNCTION("""COMPUTED_VALUE"""),22.44)</f>
        <v>22.44</v>
      </c>
      <c r="C199" s="1">
        <f>IFERROR(__xludf.DUMMYFUNCTION("""COMPUTED_VALUE"""),22.77)</f>
        <v>22.77</v>
      </c>
      <c r="D199" s="1">
        <f>IFERROR(__xludf.DUMMYFUNCTION("""COMPUTED_VALUE"""),21.88)</f>
        <v>21.88</v>
      </c>
      <c r="E199" s="1">
        <f>IFERROR(__xludf.DUMMYFUNCTION("""COMPUTED_VALUE"""),22.71)</f>
        <v>22.71</v>
      </c>
      <c r="F199" s="1">
        <f>IFERROR(__xludf.DUMMYFUNCTION("""COMPUTED_VALUE"""),584426.0)</f>
        <v>584426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IFERROR(__xludf.DUMMYFUNCTION("""COMPUTED_VALUE"""),22.75)</f>
        <v>22.75</v>
      </c>
      <c r="C200" s="1">
        <f>IFERROR(__xludf.DUMMYFUNCTION("""COMPUTED_VALUE"""),22.92)</f>
        <v>22.92</v>
      </c>
      <c r="D200" s="1">
        <f>IFERROR(__xludf.DUMMYFUNCTION("""COMPUTED_VALUE"""),22.35)</f>
        <v>22.35</v>
      </c>
      <c r="E200" s="1">
        <f>IFERROR(__xludf.DUMMYFUNCTION("""COMPUTED_VALUE"""),22.88)</f>
        <v>22.88</v>
      </c>
      <c r="F200" s="1">
        <f>IFERROR(__xludf.DUMMYFUNCTION("""COMPUTED_VALUE"""),352758.0)</f>
        <v>352758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IFERROR(__xludf.DUMMYFUNCTION("""COMPUTED_VALUE"""),23.44)</f>
        <v>23.44</v>
      </c>
      <c r="C201" s="1">
        <f>IFERROR(__xludf.DUMMYFUNCTION("""COMPUTED_VALUE"""),24.61)</f>
        <v>24.61</v>
      </c>
      <c r="D201" s="1">
        <f>IFERROR(__xludf.DUMMYFUNCTION("""COMPUTED_VALUE"""),23.29)</f>
        <v>23.29</v>
      </c>
      <c r="E201" s="1">
        <f>IFERROR(__xludf.DUMMYFUNCTION("""COMPUTED_VALUE"""),23.52)</f>
        <v>23.52</v>
      </c>
      <c r="F201" s="1">
        <f>IFERROR(__xludf.DUMMYFUNCTION("""COMPUTED_VALUE"""),810368.0)</f>
        <v>810368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IFERROR(__xludf.DUMMYFUNCTION("""COMPUTED_VALUE"""),23.42)</f>
        <v>23.42</v>
      </c>
      <c r="C202" s="1">
        <f>IFERROR(__xludf.DUMMYFUNCTION("""COMPUTED_VALUE"""),23.7)</f>
        <v>23.7</v>
      </c>
      <c r="D202" s="1">
        <f>IFERROR(__xludf.DUMMYFUNCTION("""COMPUTED_VALUE"""),23.25)</f>
        <v>23.25</v>
      </c>
      <c r="E202" s="1">
        <f>IFERROR(__xludf.DUMMYFUNCTION("""COMPUTED_VALUE"""),23.36)</f>
        <v>23.36</v>
      </c>
      <c r="F202" s="1">
        <f>IFERROR(__xludf.DUMMYFUNCTION("""COMPUTED_VALUE"""),448691.0)</f>
        <v>448691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IFERROR(__xludf.DUMMYFUNCTION("""COMPUTED_VALUE"""),23.66)</f>
        <v>23.66</v>
      </c>
      <c r="C203" s="1">
        <f>IFERROR(__xludf.DUMMYFUNCTION("""COMPUTED_VALUE"""),23.77)</f>
        <v>23.77</v>
      </c>
      <c r="D203" s="1">
        <f>IFERROR(__xludf.DUMMYFUNCTION("""COMPUTED_VALUE"""),23.39)</f>
        <v>23.39</v>
      </c>
      <c r="E203" s="1">
        <f>IFERROR(__xludf.DUMMYFUNCTION("""COMPUTED_VALUE"""),23.59)</f>
        <v>23.59</v>
      </c>
      <c r="F203" s="1">
        <f>IFERROR(__xludf.DUMMYFUNCTION("""COMPUTED_VALUE"""),373179.0)</f>
        <v>373179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IFERROR(__xludf.DUMMYFUNCTION("""COMPUTED_VALUE"""),23.5)</f>
        <v>23.5</v>
      </c>
      <c r="C204" s="1">
        <f>IFERROR(__xludf.DUMMYFUNCTION("""COMPUTED_VALUE"""),23.78)</f>
        <v>23.78</v>
      </c>
      <c r="D204" s="1">
        <f>IFERROR(__xludf.DUMMYFUNCTION("""COMPUTED_VALUE"""),23.29)</f>
        <v>23.29</v>
      </c>
      <c r="E204" s="1">
        <f>IFERROR(__xludf.DUMMYFUNCTION("""COMPUTED_VALUE"""),23.57)</f>
        <v>23.57</v>
      </c>
      <c r="F204" s="1">
        <f>IFERROR(__xludf.DUMMYFUNCTION("""COMPUTED_VALUE"""),185381.0)</f>
        <v>185381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IFERROR(__xludf.DUMMYFUNCTION("""COMPUTED_VALUE"""),23.42)</f>
        <v>23.42</v>
      </c>
      <c r="C205" s="1">
        <f>IFERROR(__xludf.DUMMYFUNCTION("""COMPUTED_VALUE"""),24.69)</f>
        <v>24.69</v>
      </c>
      <c r="D205" s="1">
        <f>IFERROR(__xludf.DUMMYFUNCTION("""COMPUTED_VALUE"""),23.42)</f>
        <v>23.42</v>
      </c>
      <c r="E205" s="1">
        <f>IFERROR(__xludf.DUMMYFUNCTION("""COMPUTED_VALUE"""),24.65)</f>
        <v>24.65</v>
      </c>
      <c r="F205" s="1">
        <f>IFERROR(__xludf.DUMMYFUNCTION("""COMPUTED_VALUE"""),352463.0)</f>
        <v>352463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IFERROR(__xludf.DUMMYFUNCTION("""COMPUTED_VALUE"""),24.85)</f>
        <v>24.85</v>
      </c>
      <c r="C206" s="1">
        <f>IFERROR(__xludf.DUMMYFUNCTION("""COMPUTED_VALUE"""),25.86)</f>
        <v>25.86</v>
      </c>
      <c r="D206" s="1">
        <f>IFERROR(__xludf.DUMMYFUNCTION("""COMPUTED_VALUE"""),24.76)</f>
        <v>24.76</v>
      </c>
      <c r="E206" s="1">
        <f>IFERROR(__xludf.DUMMYFUNCTION("""COMPUTED_VALUE"""),25.72)</f>
        <v>25.72</v>
      </c>
      <c r="F206" s="1">
        <f>IFERROR(__xludf.DUMMYFUNCTION("""COMPUTED_VALUE"""),806247.0)</f>
        <v>806247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IFERROR(__xludf.DUMMYFUNCTION("""COMPUTED_VALUE"""),25.36)</f>
        <v>25.36</v>
      </c>
      <c r="C207" s="1">
        <f>IFERROR(__xludf.DUMMYFUNCTION("""COMPUTED_VALUE"""),26.16)</f>
        <v>26.16</v>
      </c>
      <c r="D207" s="1">
        <f>IFERROR(__xludf.DUMMYFUNCTION("""COMPUTED_VALUE"""),25.36)</f>
        <v>25.36</v>
      </c>
      <c r="E207" s="1">
        <f>IFERROR(__xludf.DUMMYFUNCTION("""COMPUTED_VALUE"""),26.05)</f>
        <v>26.05</v>
      </c>
      <c r="F207" s="1">
        <f>IFERROR(__xludf.DUMMYFUNCTION("""COMPUTED_VALUE"""),587317.0)</f>
        <v>587317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IFERROR(__xludf.DUMMYFUNCTION("""COMPUTED_VALUE"""),25.97)</f>
        <v>25.97</v>
      </c>
      <c r="C208" s="1">
        <f>IFERROR(__xludf.DUMMYFUNCTION("""COMPUTED_VALUE"""),26.48)</f>
        <v>26.48</v>
      </c>
      <c r="D208" s="1">
        <f>IFERROR(__xludf.DUMMYFUNCTION("""COMPUTED_VALUE"""),25.78)</f>
        <v>25.78</v>
      </c>
      <c r="E208" s="1">
        <f>IFERROR(__xludf.DUMMYFUNCTION("""COMPUTED_VALUE"""),25.92)</f>
        <v>25.92</v>
      </c>
      <c r="F208" s="1">
        <f>IFERROR(__xludf.DUMMYFUNCTION("""COMPUTED_VALUE"""),557344.0)</f>
        <v>557344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IFERROR(__xludf.DUMMYFUNCTION("""COMPUTED_VALUE"""),25.88)</f>
        <v>25.88</v>
      </c>
      <c r="C209" s="1">
        <f>IFERROR(__xludf.DUMMYFUNCTION("""COMPUTED_VALUE"""),26.14)</f>
        <v>26.14</v>
      </c>
      <c r="D209" s="1">
        <f>IFERROR(__xludf.DUMMYFUNCTION("""COMPUTED_VALUE"""),25.88)</f>
        <v>25.88</v>
      </c>
      <c r="E209" s="1">
        <f>IFERROR(__xludf.DUMMYFUNCTION("""COMPUTED_VALUE"""),26.07)</f>
        <v>26.07</v>
      </c>
      <c r="F209" s="1">
        <f>IFERROR(__xludf.DUMMYFUNCTION("""COMPUTED_VALUE"""),205547.0)</f>
        <v>205547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IFERROR(__xludf.DUMMYFUNCTION("""COMPUTED_VALUE"""),26.18)</f>
        <v>26.18</v>
      </c>
      <c r="C210" s="1">
        <f>IFERROR(__xludf.DUMMYFUNCTION("""COMPUTED_VALUE"""),26.94)</f>
        <v>26.94</v>
      </c>
      <c r="D210" s="1">
        <f>IFERROR(__xludf.DUMMYFUNCTION("""COMPUTED_VALUE"""),26.07)</f>
        <v>26.07</v>
      </c>
      <c r="E210" s="1">
        <f>IFERROR(__xludf.DUMMYFUNCTION("""COMPUTED_VALUE"""),26.84)</f>
        <v>26.84</v>
      </c>
      <c r="F210" s="1">
        <f>IFERROR(__xludf.DUMMYFUNCTION("""COMPUTED_VALUE"""),341748.0)</f>
        <v>341748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IFERROR(__xludf.DUMMYFUNCTION("""COMPUTED_VALUE"""),27.0)</f>
        <v>27</v>
      </c>
      <c r="C211" s="1">
        <f>IFERROR(__xludf.DUMMYFUNCTION("""COMPUTED_VALUE"""),27.5)</f>
        <v>27.5</v>
      </c>
      <c r="D211" s="1">
        <f>IFERROR(__xludf.DUMMYFUNCTION("""COMPUTED_VALUE"""),26.64)</f>
        <v>26.64</v>
      </c>
      <c r="E211" s="1">
        <f>IFERROR(__xludf.DUMMYFUNCTION("""COMPUTED_VALUE"""),26.74)</f>
        <v>26.74</v>
      </c>
      <c r="F211" s="1">
        <f>IFERROR(__xludf.DUMMYFUNCTION("""COMPUTED_VALUE"""),449047.0)</f>
        <v>449047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IFERROR(__xludf.DUMMYFUNCTION("""COMPUTED_VALUE"""),27.13)</f>
        <v>27.13</v>
      </c>
      <c r="C212" s="1">
        <f>IFERROR(__xludf.DUMMYFUNCTION("""COMPUTED_VALUE"""),27.2)</f>
        <v>27.2</v>
      </c>
      <c r="D212" s="1">
        <f>IFERROR(__xludf.DUMMYFUNCTION("""COMPUTED_VALUE"""),26.71)</f>
        <v>26.71</v>
      </c>
      <c r="E212" s="1">
        <f>IFERROR(__xludf.DUMMYFUNCTION("""COMPUTED_VALUE"""),26.88)</f>
        <v>26.88</v>
      </c>
      <c r="F212" s="1">
        <f>IFERROR(__xludf.DUMMYFUNCTION("""COMPUTED_VALUE"""),393107.0)</f>
        <v>393107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IFERROR(__xludf.DUMMYFUNCTION("""COMPUTED_VALUE"""),26.91)</f>
        <v>26.91</v>
      </c>
      <c r="C213" s="1">
        <f>IFERROR(__xludf.DUMMYFUNCTION("""COMPUTED_VALUE"""),27.0)</f>
        <v>27</v>
      </c>
      <c r="D213" s="1">
        <f>IFERROR(__xludf.DUMMYFUNCTION("""COMPUTED_VALUE"""),26.09)</f>
        <v>26.09</v>
      </c>
      <c r="E213" s="1">
        <f>IFERROR(__xludf.DUMMYFUNCTION("""COMPUTED_VALUE"""),26.56)</f>
        <v>26.56</v>
      </c>
      <c r="F213" s="1">
        <f>IFERROR(__xludf.DUMMYFUNCTION("""COMPUTED_VALUE"""),338722.0)</f>
        <v>338722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IFERROR(__xludf.DUMMYFUNCTION("""COMPUTED_VALUE"""),26.55)</f>
        <v>26.55</v>
      </c>
      <c r="C214" s="1">
        <f>IFERROR(__xludf.DUMMYFUNCTION("""COMPUTED_VALUE"""),26.86)</f>
        <v>26.86</v>
      </c>
      <c r="D214" s="1">
        <f>IFERROR(__xludf.DUMMYFUNCTION("""COMPUTED_VALUE"""),26.22)</f>
        <v>26.22</v>
      </c>
      <c r="E214" s="1">
        <f>IFERROR(__xludf.DUMMYFUNCTION("""COMPUTED_VALUE"""),26.47)</f>
        <v>26.47</v>
      </c>
      <c r="F214" s="1">
        <f>IFERROR(__xludf.DUMMYFUNCTION("""COMPUTED_VALUE"""),302843.0)</f>
        <v>302843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IFERROR(__xludf.DUMMYFUNCTION("""COMPUTED_VALUE"""),26.68)</f>
        <v>26.68</v>
      </c>
      <c r="C215" s="1">
        <f>IFERROR(__xludf.DUMMYFUNCTION("""COMPUTED_VALUE"""),26.71)</f>
        <v>26.71</v>
      </c>
      <c r="D215" s="1">
        <f>IFERROR(__xludf.DUMMYFUNCTION("""COMPUTED_VALUE"""),25.95)</f>
        <v>25.95</v>
      </c>
      <c r="E215" s="1">
        <f>IFERROR(__xludf.DUMMYFUNCTION("""COMPUTED_VALUE"""),26.0)</f>
        <v>26</v>
      </c>
      <c r="F215" s="1">
        <f>IFERROR(__xludf.DUMMYFUNCTION("""COMPUTED_VALUE"""),207384.0)</f>
        <v>207384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IFERROR(__xludf.DUMMYFUNCTION("""COMPUTED_VALUE"""),26.0)</f>
        <v>26</v>
      </c>
      <c r="C216" s="1">
        <f>IFERROR(__xludf.DUMMYFUNCTION("""COMPUTED_VALUE"""),26.25)</f>
        <v>26.25</v>
      </c>
      <c r="D216" s="1">
        <f>IFERROR(__xludf.DUMMYFUNCTION("""COMPUTED_VALUE"""),25.57)</f>
        <v>25.57</v>
      </c>
      <c r="E216" s="1">
        <f>IFERROR(__xludf.DUMMYFUNCTION("""COMPUTED_VALUE"""),25.84)</f>
        <v>25.84</v>
      </c>
      <c r="F216" s="1">
        <f>IFERROR(__xludf.DUMMYFUNCTION("""COMPUTED_VALUE"""),457534.0)</f>
        <v>457534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IFERROR(__xludf.DUMMYFUNCTION("""COMPUTED_VALUE"""),26.05)</f>
        <v>26.05</v>
      </c>
      <c r="C217" s="1">
        <f>IFERROR(__xludf.DUMMYFUNCTION("""COMPUTED_VALUE"""),26.44)</f>
        <v>26.44</v>
      </c>
      <c r="D217" s="1">
        <f>IFERROR(__xludf.DUMMYFUNCTION("""COMPUTED_VALUE"""),25.75)</f>
        <v>25.75</v>
      </c>
      <c r="E217" s="1">
        <f>IFERROR(__xludf.DUMMYFUNCTION("""COMPUTED_VALUE"""),26.26)</f>
        <v>26.26</v>
      </c>
      <c r="F217" s="1">
        <f>IFERROR(__xludf.DUMMYFUNCTION("""COMPUTED_VALUE"""),491254.0)</f>
        <v>491254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IFERROR(__xludf.DUMMYFUNCTION("""COMPUTED_VALUE"""),26.37)</f>
        <v>26.37</v>
      </c>
      <c r="C218" s="1">
        <f>IFERROR(__xludf.DUMMYFUNCTION("""COMPUTED_VALUE"""),28.38)</f>
        <v>28.38</v>
      </c>
      <c r="D218" s="1">
        <f>IFERROR(__xludf.DUMMYFUNCTION("""COMPUTED_VALUE"""),26.27)</f>
        <v>26.27</v>
      </c>
      <c r="E218" s="1">
        <f>IFERROR(__xludf.DUMMYFUNCTION("""COMPUTED_VALUE"""),27.7)</f>
        <v>27.7</v>
      </c>
      <c r="F218" s="1">
        <f>IFERROR(__xludf.DUMMYFUNCTION("""COMPUTED_VALUE"""),829040.0)</f>
        <v>829040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IFERROR(__xludf.DUMMYFUNCTION("""COMPUTED_VALUE"""),27.22)</f>
        <v>27.22</v>
      </c>
      <c r="C219" s="1">
        <f>IFERROR(__xludf.DUMMYFUNCTION("""COMPUTED_VALUE"""),27.75)</f>
        <v>27.75</v>
      </c>
      <c r="D219" s="1">
        <f>IFERROR(__xludf.DUMMYFUNCTION("""COMPUTED_VALUE"""),26.94)</f>
        <v>26.94</v>
      </c>
      <c r="E219" s="1">
        <f>IFERROR(__xludf.DUMMYFUNCTION("""COMPUTED_VALUE"""),27.48)</f>
        <v>27.48</v>
      </c>
      <c r="F219" s="1">
        <f>IFERROR(__xludf.DUMMYFUNCTION("""COMPUTED_VALUE"""),225713.0)</f>
        <v>225713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IFERROR(__xludf.DUMMYFUNCTION("""COMPUTED_VALUE"""),27.06)</f>
        <v>27.06</v>
      </c>
      <c r="C220" s="1">
        <f>IFERROR(__xludf.DUMMYFUNCTION("""COMPUTED_VALUE"""),27.43)</f>
        <v>27.43</v>
      </c>
      <c r="D220" s="1">
        <f>IFERROR(__xludf.DUMMYFUNCTION("""COMPUTED_VALUE"""),26.91)</f>
        <v>26.91</v>
      </c>
      <c r="E220" s="1">
        <f>IFERROR(__xludf.DUMMYFUNCTION("""COMPUTED_VALUE"""),26.94)</f>
        <v>26.94</v>
      </c>
      <c r="F220" s="1">
        <f>IFERROR(__xludf.DUMMYFUNCTION("""COMPUTED_VALUE"""),284442.0)</f>
        <v>284442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IFERROR(__xludf.DUMMYFUNCTION("""COMPUTED_VALUE"""),27.44)</f>
        <v>27.44</v>
      </c>
      <c r="C221" s="1">
        <f>IFERROR(__xludf.DUMMYFUNCTION("""COMPUTED_VALUE"""),27.44)</f>
        <v>27.44</v>
      </c>
      <c r="D221" s="1">
        <f>IFERROR(__xludf.DUMMYFUNCTION("""COMPUTED_VALUE"""),26.75)</f>
        <v>26.75</v>
      </c>
      <c r="E221" s="1">
        <f>IFERROR(__xludf.DUMMYFUNCTION("""COMPUTED_VALUE"""),26.83)</f>
        <v>26.83</v>
      </c>
      <c r="F221" s="1">
        <f>IFERROR(__xludf.DUMMYFUNCTION("""COMPUTED_VALUE"""),203605.0)</f>
        <v>203605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IFERROR(__xludf.DUMMYFUNCTION("""COMPUTED_VALUE"""),26.81)</f>
        <v>26.81</v>
      </c>
      <c r="C222" s="1">
        <f>IFERROR(__xludf.DUMMYFUNCTION("""COMPUTED_VALUE"""),26.81)</f>
        <v>26.81</v>
      </c>
      <c r="D222" s="1">
        <f>IFERROR(__xludf.DUMMYFUNCTION("""COMPUTED_VALUE"""),26.16)</f>
        <v>26.16</v>
      </c>
      <c r="E222" s="1">
        <f>IFERROR(__xludf.DUMMYFUNCTION("""COMPUTED_VALUE"""),26.44)</f>
        <v>26.44</v>
      </c>
      <c r="F222" s="1">
        <f>IFERROR(__xludf.DUMMYFUNCTION("""COMPUTED_VALUE"""),199074.0)</f>
        <v>199074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IFERROR(__xludf.DUMMYFUNCTION("""COMPUTED_VALUE"""),26.25)</f>
        <v>26.25</v>
      </c>
      <c r="C223" s="1">
        <f>IFERROR(__xludf.DUMMYFUNCTION("""COMPUTED_VALUE"""),27.22)</f>
        <v>27.22</v>
      </c>
      <c r="D223" s="1">
        <f>IFERROR(__xludf.DUMMYFUNCTION("""COMPUTED_VALUE"""),26.16)</f>
        <v>26.16</v>
      </c>
      <c r="E223" s="1">
        <f>IFERROR(__xludf.DUMMYFUNCTION("""COMPUTED_VALUE"""),27.16)</f>
        <v>27.16</v>
      </c>
      <c r="F223" s="1">
        <f>IFERROR(__xludf.DUMMYFUNCTION("""COMPUTED_VALUE"""),280749.0)</f>
        <v>280749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IFERROR(__xludf.DUMMYFUNCTION("""COMPUTED_VALUE"""),27.19)</f>
        <v>27.19</v>
      </c>
      <c r="C224" s="1">
        <f>IFERROR(__xludf.DUMMYFUNCTION("""COMPUTED_VALUE"""),27.52)</f>
        <v>27.52</v>
      </c>
      <c r="D224" s="1">
        <f>IFERROR(__xludf.DUMMYFUNCTION("""COMPUTED_VALUE"""),26.75)</f>
        <v>26.75</v>
      </c>
      <c r="E224" s="1">
        <f>IFERROR(__xludf.DUMMYFUNCTION("""COMPUTED_VALUE"""),26.87)</f>
        <v>26.87</v>
      </c>
      <c r="F224" s="1">
        <f>IFERROR(__xludf.DUMMYFUNCTION("""COMPUTED_VALUE"""),241222.0)</f>
        <v>241222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IFERROR(__xludf.DUMMYFUNCTION("""COMPUTED_VALUE"""),26.67)</f>
        <v>26.67</v>
      </c>
      <c r="C225" s="1">
        <f>IFERROR(__xludf.DUMMYFUNCTION("""COMPUTED_VALUE"""),26.99)</f>
        <v>26.99</v>
      </c>
      <c r="D225" s="1">
        <f>IFERROR(__xludf.DUMMYFUNCTION("""COMPUTED_VALUE"""),26.53)</f>
        <v>26.53</v>
      </c>
      <c r="E225" s="1">
        <f>IFERROR(__xludf.DUMMYFUNCTION("""COMPUTED_VALUE"""),26.84)</f>
        <v>26.84</v>
      </c>
      <c r="F225" s="1">
        <f>IFERROR(__xludf.DUMMYFUNCTION("""COMPUTED_VALUE"""),208819.0)</f>
        <v>208819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IFERROR(__xludf.DUMMYFUNCTION("""COMPUTED_VALUE"""),26.98)</f>
        <v>26.98</v>
      </c>
      <c r="C226" s="1">
        <f>IFERROR(__xludf.DUMMYFUNCTION("""COMPUTED_VALUE"""),27.45)</f>
        <v>27.45</v>
      </c>
      <c r="D226" s="1">
        <f>IFERROR(__xludf.DUMMYFUNCTION("""COMPUTED_VALUE"""),26.81)</f>
        <v>26.81</v>
      </c>
      <c r="E226" s="1">
        <f>IFERROR(__xludf.DUMMYFUNCTION("""COMPUTED_VALUE"""),27.2)</f>
        <v>27.2</v>
      </c>
      <c r="F226" s="1">
        <f>IFERROR(__xludf.DUMMYFUNCTION("""COMPUTED_VALUE"""),277751.0)</f>
        <v>277751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IFERROR(__xludf.DUMMYFUNCTION("""COMPUTED_VALUE"""),26.75)</f>
        <v>26.75</v>
      </c>
      <c r="C227" s="1">
        <f>IFERROR(__xludf.DUMMYFUNCTION("""COMPUTED_VALUE"""),27.07)</f>
        <v>27.07</v>
      </c>
      <c r="D227" s="1">
        <f>IFERROR(__xludf.DUMMYFUNCTION("""COMPUTED_VALUE"""),26.3)</f>
        <v>26.3</v>
      </c>
      <c r="E227" s="1">
        <f>IFERROR(__xludf.DUMMYFUNCTION("""COMPUTED_VALUE"""),26.35)</f>
        <v>26.35</v>
      </c>
      <c r="F227" s="1">
        <f>IFERROR(__xludf.DUMMYFUNCTION("""COMPUTED_VALUE"""),188794.0)</f>
        <v>188794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IFERROR(__xludf.DUMMYFUNCTION("""COMPUTED_VALUE"""),26.25)</f>
        <v>26.25</v>
      </c>
      <c r="C228" s="1">
        <f>IFERROR(__xludf.DUMMYFUNCTION("""COMPUTED_VALUE"""),26.56)</f>
        <v>26.56</v>
      </c>
      <c r="D228" s="1">
        <f>IFERROR(__xludf.DUMMYFUNCTION("""COMPUTED_VALUE"""),26.25)</f>
        <v>26.25</v>
      </c>
      <c r="E228" s="1">
        <f>IFERROR(__xludf.DUMMYFUNCTION("""COMPUTED_VALUE"""),26.5)</f>
        <v>26.5</v>
      </c>
      <c r="F228" s="1">
        <f>IFERROR(__xludf.DUMMYFUNCTION("""COMPUTED_VALUE"""),263947.0)</f>
        <v>263947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IFERROR(__xludf.DUMMYFUNCTION("""COMPUTED_VALUE"""),26.34)</f>
        <v>26.34</v>
      </c>
      <c r="C229" s="1">
        <f>IFERROR(__xludf.DUMMYFUNCTION("""COMPUTED_VALUE"""),27.23)</f>
        <v>27.23</v>
      </c>
      <c r="D229" s="1">
        <f>IFERROR(__xludf.DUMMYFUNCTION("""COMPUTED_VALUE"""),26.29)</f>
        <v>26.29</v>
      </c>
      <c r="E229" s="1">
        <f>IFERROR(__xludf.DUMMYFUNCTION("""COMPUTED_VALUE"""),27.01)</f>
        <v>27.01</v>
      </c>
      <c r="F229" s="1">
        <f>IFERROR(__xludf.DUMMYFUNCTION("""COMPUTED_VALUE"""),151026.0)</f>
        <v>151026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IFERROR(__xludf.DUMMYFUNCTION("""COMPUTED_VALUE"""),26.83)</f>
        <v>26.83</v>
      </c>
      <c r="C230" s="1">
        <f>IFERROR(__xludf.DUMMYFUNCTION("""COMPUTED_VALUE"""),26.83)</f>
        <v>26.83</v>
      </c>
      <c r="D230" s="1">
        <f>IFERROR(__xludf.DUMMYFUNCTION("""COMPUTED_VALUE"""),26.13)</f>
        <v>26.13</v>
      </c>
      <c r="E230" s="1">
        <f>IFERROR(__xludf.DUMMYFUNCTION("""COMPUTED_VALUE"""),26.51)</f>
        <v>26.51</v>
      </c>
      <c r="F230" s="1">
        <f>IFERROR(__xludf.DUMMYFUNCTION("""COMPUTED_VALUE"""),224078.0)</f>
        <v>224078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IFERROR(__xludf.DUMMYFUNCTION("""COMPUTED_VALUE"""),26.53)</f>
        <v>26.53</v>
      </c>
      <c r="C231" s="1">
        <f>IFERROR(__xludf.DUMMYFUNCTION("""COMPUTED_VALUE"""),26.86)</f>
        <v>26.86</v>
      </c>
      <c r="D231" s="1">
        <f>IFERROR(__xludf.DUMMYFUNCTION("""COMPUTED_VALUE"""),26.43)</f>
        <v>26.43</v>
      </c>
      <c r="E231" s="1">
        <f>IFERROR(__xludf.DUMMYFUNCTION("""COMPUTED_VALUE"""),26.45)</f>
        <v>26.45</v>
      </c>
      <c r="F231" s="1">
        <f>IFERROR(__xludf.DUMMYFUNCTION("""COMPUTED_VALUE"""),115710.0)</f>
        <v>115710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IFERROR(__xludf.DUMMYFUNCTION("""COMPUTED_VALUE"""),26.68)</f>
        <v>26.68</v>
      </c>
      <c r="C232" s="1">
        <f>IFERROR(__xludf.DUMMYFUNCTION("""COMPUTED_VALUE"""),26.79)</f>
        <v>26.79</v>
      </c>
      <c r="D232" s="1">
        <f>IFERROR(__xludf.DUMMYFUNCTION("""COMPUTED_VALUE"""),26.35)</f>
        <v>26.35</v>
      </c>
      <c r="E232" s="1">
        <f>IFERROR(__xludf.DUMMYFUNCTION("""COMPUTED_VALUE"""),26.45)</f>
        <v>26.45</v>
      </c>
      <c r="F232" s="1">
        <f>IFERROR(__xludf.DUMMYFUNCTION("""COMPUTED_VALUE"""),169782.0)</f>
        <v>169782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IFERROR(__xludf.DUMMYFUNCTION("""COMPUTED_VALUE"""),26.35)</f>
        <v>26.35</v>
      </c>
      <c r="C233" s="1">
        <f>IFERROR(__xludf.DUMMYFUNCTION("""COMPUTED_VALUE"""),26.57)</f>
        <v>26.57</v>
      </c>
      <c r="D233" s="1">
        <f>IFERROR(__xludf.DUMMYFUNCTION("""COMPUTED_VALUE"""),26.05)</f>
        <v>26.05</v>
      </c>
      <c r="E233" s="1">
        <f>IFERROR(__xludf.DUMMYFUNCTION("""COMPUTED_VALUE"""),26.22)</f>
        <v>26.22</v>
      </c>
      <c r="F233" s="1">
        <f>IFERROR(__xludf.DUMMYFUNCTION("""COMPUTED_VALUE"""),182561.0)</f>
        <v>182561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IFERROR(__xludf.DUMMYFUNCTION("""COMPUTED_VALUE"""),26.15)</f>
        <v>26.15</v>
      </c>
      <c r="C234" s="1">
        <f>IFERROR(__xludf.DUMMYFUNCTION("""COMPUTED_VALUE"""),26.17)</f>
        <v>26.17</v>
      </c>
      <c r="D234" s="1">
        <f>IFERROR(__xludf.DUMMYFUNCTION("""COMPUTED_VALUE"""),25.71)</f>
        <v>25.71</v>
      </c>
      <c r="E234" s="1">
        <f>IFERROR(__xludf.DUMMYFUNCTION("""COMPUTED_VALUE"""),25.79)</f>
        <v>25.79</v>
      </c>
      <c r="F234" s="1">
        <f>IFERROR(__xludf.DUMMYFUNCTION("""COMPUTED_VALUE"""),319011.0)</f>
        <v>319011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IFERROR(__xludf.DUMMYFUNCTION("""COMPUTED_VALUE"""),25.79)</f>
        <v>25.79</v>
      </c>
      <c r="C235" s="1">
        <f>IFERROR(__xludf.DUMMYFUNCTION("""COMPUTED_VALUE"""),25.81)</f>
        <v>25.81</v>
      </c>
      <c r="D235" s="1">
        <f>IFERROR(__xludf.DUMMYFUNCTION("""COMPUTED_VALUE"""),25.3)</f>
        <v>25.3</v>
      </c>
      <c r="E235" s="1">
        <f>IFERROR(__xludf.DUMMYFUNCTION("""COMPUTED_VALUE"""),25.43)</f>
        <v>25.43</v>
      </c>
      <c r="F235" s="1">
        <f>IFERROR(__xludf.DUMMYFUNCTION("""COMPUTED_VALUE"""),341847.0)</f>
        <v>341847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IFERROR(__xludf.DUMMYFUNCTION("""COMPUTED_VALUE"""),25.51)</f>
        <v>25.51</v>
      </c>
      <c r="C236" s="1">
        <f>IFERROR(__xludf.DUMMYFUNCTION("""COMPUTED_VALUE"""),25.88)</f>
        <v>25.88</v>
      </c>
      <c r="D236" s="1">
        <f>IFERROR(__xludf.DUMMYFUNCTION("""COMPUTED_VALUE"""),25.36)</f>
        <v>25.36</v>
      </c>
      <c r="E236" s="1">
        <f>IFERROR(__xludf.DUMMYFUNCTION("""COMPUTED_VALUE"""),25.37)</f>
        <v>25.37</v>
      </c>
      <c r="F236" s="1">
        <f>IFERROR(__xludf.DUMMYFUNCTION("""COMPUTED_VALUE"""),260862.0)</f>
        <v>260862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IFERROR(__xludf.DUMMYFUNCTION("""COMPUTED_VALUE"""),25.58)</f>
        <v>25.58</v>
      </c>
      <c r="C237" s="1">
        <f>IFERROR(__xludf.DUMMYFUNCTION("""COMPUTED_VALUE"""),25.58)</f>
        <v>25.58</v>
      </c>
      <c r="D237" s="1">
        <f>IFERROR(__xludf.DUMMYFUNCTION("""COMPUTED_VALUE"""),25.13)</f>
        <v>25.13</v>
      </c>
      <c r="E237" s="1">
        <f>IFERROR(__xludf.DUMMYFUNCTION("""COMPUTED_VALUE"""),25.29)</f>
        <v>25.29</v>
      </c>
      <c r="F237" s="1">
        <f>IFERROR(__xludf.DUMMYFUNCTION("""COMPUTED_VALUE"""),228695.0)</f>
        <v>228695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IFERROR(__xludf.DUMMYFUNCTION("""COMPUTED_VALUE"""),25.08)</f>
        <v>25.08</v>
      </c>
      <c r="C238" s="1">
        <f>IFERROR(__xludf.DUMMYFUNCTION("""COMPUTED_VALUE"""),26.16)</f>
        <v>26.16</v>
      </c>
      <c r="D238" s="1">
        <f>IFERROR(__xludf.DUMMYFUNCTION("""COMPUTED_VALUE"""),25.06)</f>
        <v>25.06</v>
      </c>
      <c r="E238" s="1">
        <f>IFERROR(__xludf.DUMMYFUNCTION("""COMPUTED_VALUE"""),25.94)</f>
        <v>25.94</v>
      </c>
      <c r="F238" s="1">
        <f>IFERROR(__xludf.DUMMYFUNCTION("""COMPUTED_VALUE"""),388475.0)</f>
        <v>388475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IFERROR(__xludf.DUMMYFUNCTION("""COMPUTED_VALUE"""),25.94)</f>
        <v>25.94</v>
      </c>
      <c r="C239" s="1">
        <f>IFERROR(__xludf.DUMMYFUNCTION("""COMPUTED_VALUE"""),26.4)</f>
        <v>26.4</v>
      </c>
      <c r="D239" s="1">
        <f>IFERROR(__xludf.DUMMYFUNCTION("""COMPUTED_VALUE"""),25.84)</f>
        <v>25.84</v>
      </c>
      <c r="E239" s="1">
        <f>IFERROR(__xludf.DUMMYFUNCTION("""COMPUTED_VALUE"""),26.4)</f>
        <v>26.4</v>
      </c>
      <c r="F239" s="1">
        <f>IFERROR(__xludf.DUMMYFUNCTION("""COMPUTED_VALUE"""),202351.0)</f>
        <v>202351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IFERROR(__xludf.DUMMYFUNCTION("""COMPUTED_VALUE"""),26.4)</f>
        <v>26.4</v>
      </c>
      <c r="C240" s="1">
        <f>IFERROR(__xludf.DUMMYFUNCTION("""COMPUTED_VALUE"""),26.58)</f>
        <v>26.58</v>
      </c>
      <c r="D240" s="1">
        <f>IFERROR(__xludf.DUMMYFUNCTION("""COMPUTED_VALUE"""),25.78)</f>
        <v>25.78</v>
      </c>
      <c r="E240" s="1">
        <f>IFERROR(__xludf.DUMMYFUNCTION("""COMPUTED_VALUE"""),25.94)</f>
        <v>25.94</v>
      </c>
      <c r="F240" s="1">
        <f>IFERROR(__xludf.DUMMYFUNCTION("""COMPUTED_VALUE"""),230197.0)</f>
        <v>230197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IFERROR(__xludf.DUMMYFUNCTION("""COMPUTED_VALUE"""),25.91)</f>
        <v>25.91</v>
      </c>
      <c r="C241" s="1">
        <f>IFERROR(__xludf.DUMMYFUNCTION("""COMPUTED_VALUE"""),26.35)</f>
        <v>26.35</v>
      </c>
      <c r="D241" s="1">
        <f>IFERROR(__xludf.DUMMYFUNCTION("""COMPUTED_VALUE"""),25.68)</f>
        <v>25.68</v>
      </c>
      <c r="E241" s="1">
        <f>IFERROR(__xludf.DUMMYFUNCTION("""COMPUTED_VALUE"""),26.2)</f>
        <v>26.2</v>
      </c>
      <c r="F241" s="1">
        <f>IFERROR(__xludf.DUMMYFUNCTION("""COMPUTED_VALUE"""),195489.0)</f>
        <v>195489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IFERROR(__xludf.DUMMYFUNCTION("""COMPUTED_VALUE"""),26.15)</f>
        <v>26.15</v>
      </c>
      <c r="C242" s="1">
        <f>IFERROR(__xludf.DUMMYFUNCTION("""COMPUTED_VALUE"""),26.57)</f>
        <v>26.57</v>
      </c>
      <c r="D242" s="1">
        <f>IFERROR(__xludf.DUMMYFUNCTION("""COMPUTED_VALUE"""),26.0)</f>
        <v>26</v>
      </c>
      <c r="E242" s="1">
        <f>IFERROR(__xludf.DUMMYFUNCTION("""COMPUTED_VALUE"""),26.07)</f>
        <v>26.07</v>
      </c>
      <c r="F242" s="1">
        <f>IFERROR(__xludf.DUMMYFUNCTION("""COMPUTED_VALUE"""),192292.0)</f>
        <v>192292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IFERROR(__xludf.DUMMYFUNCTION("""COMPUTED_VALUE"""),26.0)</f>
        <v>26</v>
      </c>
      <c r="C243" s="1">
        <f>IFERROR(__xludf.DUMMYFUNCTION("""COMPUTED_VALUE"""),26.65)</f>
        <v>26.65</v>
      </c>
      <c r="D243" s="1">
        <f>IFERROR(__xludf.DUMMYFUNCTION("""COMPUTED_VALUE"""),26.0)</f>
        <v>26</v>
      </c>
      <c r="E243" s="1">
        <f>IFERROR(__xludf.DUMMYFUNCTION("""COMPUTED_VALUE"""),26.51)</f>
        <v>26.51</v>
      </c>
      <c r="F243" s="1">
        <f>IFERROR(__xludf.DUMMYFUNCTION("""COMPUTED_VALUE"""),221441.0)</f>
        <v>221441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IFERROR(__xludf.DUMMYFUNCTION("""COMPUTED_VALUE"""),26.74)</f>
        <v>26.74</v>
      </c>
      <c r="C244" s="1">
        <f>IFERROR(__xludf.DUMMYFUNCTION("""COMPUTED_VALUE"""),27.5)</f>
        <v>27.5</v>
      </c>
      <c r="D244" s="1">
        <f>IFERROR(__xludf.DUMMYFUNCTION("""COMPUTED_VALUE"""),26.63)</f>
        <v>26.63</v>
      </c>
      <c r="E244" s="1">
        <f>IFERROR(__xludf.DUMMYFUNCTION("""COMPUTED_VALUE"""),27.41)</f>
        <v>27.41</v>
      </c>
      <c r="F244" s="1">
        <f>IFERROR(__xludf.DUMMYFUNCTION("""COMPUTED_VALUE"""),338048.0)</f>
        <v>338048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IFERROR(__xludf.DUMMYFUNCTION("""COMPUTED_VALUE"""),27.29)</f>
        <v>27.29</v>
      </c>
      <c r="C245" s="1">
        <f>IFERROR(__xludf.DUMMYFUNCTION("""COMPUTED_VALUE"""),27.29)</f>
        <v>27.29</v>
      </c>
      <c r="D245" s="1">
        <f>IFERROR(__xludf.DUMMYFUNCTION("""COMPUTED_VALUE"""),26.47)</f>
        <v>26.47</v>
      </c>
      <c r="E245" s="1">
        <f>IFERROR(__xludf.DUMMYFUNCTION("""COMPUTED_VALUE"""),26.52)</f>
        <v>26.52</v>
      </c>
      <c r="F245" s="1">
        <f>IFERROR(__xludf.DUMMYFUNCTION("""COMPUTED_VALUE"""),388406.0)</f>
        <v>388406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IFERROR(__xludf.DUMMYFUNCTION("""COMPUTED_VALUE"""),26.74)</f>
        <v>26.74</v>
      </c>
      <c r="C246" s="1">
        <f>IFERROR(__xludf.DUMMYFUNCTION("""COMPUTED_VALUE"""),26.74)</f>
        <v>26.74</v>
      </c>
      <c r="D246" s="1">
        <f>IFERROR(__xludf.DUMMYFUNCTION("""COMPUTED_VALUE"""),26.31)</f>
        <v>26.31</v>
      </c>
      <c r="E246" s="1">
        <f>IFERROR(__xludf.DUMMYFUNCTION("""COMPUTED_VALUE"""),26.46)</f>
        <v>26.46</v>
      </c>
      <c r="F246" s="1">
        <f>IFERROR(__xludf.DUMMYFUNCTION("""COMPUTED_VALUE"""),397512.0)</f>
        <v>397512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IFERROR(__xludf.DUMMYFUNCTION("""COMPUTED_VALUE"""),26.41)</f>
        <v>26.41</v>
      </c>
      <c r="C247" s="1">
        <f>IFERROR(__xludf.DUMMYFUNCTION("""COMPUTED_VALUE"""),27.27)</f>
        <v>27.27</v>
      </c>
      <c r="D247" s="1">
        <f>IFERROR(__xludf.DUMMYFUNCTION("""COMPUTED_VALUE"""),26.41)</f>
        <v>26.41</v>
      </c>
      <c r="E247" s="1">
        <f>IFERROR(__xludf.DUMMYFUNCTION("""COMPUTED_VALUE"""),27.1)</f>
        <v>27.1</v>
      </c>
      <c r="F247" s="1">
        <f>IFERROR(__xludf.DUMMYFUNCTION("""COMPUTED_VALUE"""),200488.0)</f>
        <v>200488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IFERROR(__xludf.DUMMYFUNCTION("""COMPUTED_VALUE"""),26.87)</f>
        <v>26.87</v>
      </c>
      <c r="C248" s="1">
        <f>IFERROR(__xludf.DUMMYFUNCTION("""COMPUTED_VALUE"""),27.02)</f>
        <v>27.02</v>
      </c>
      <c r="D248" s="1">
        <f>IFERROR(__xludf.DUMMYFUNCTION("""COMPUTED_VALUE"""),26.42)</f>
        <v>26.42</v>
      </c>
      <c r="E248" s="1">
        <f>IFERROR(__xludf.DUMMYFUNCTION("""COMPUTED_VALUE"""),26.51)</f>
        <v>26.51</v>
      </c>
      <c r="F248" s="1">
        <f>IFERROR(__xludf.DUMMYFUNCTION("""COMPUTED_VALUE"""),204583.0)</f>
        <v>204583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IFERROR(__xludf.DUMMYFUNCTION("""COMPUTED_VALUE"""),26.41)</f>
        <v>26.41</v>
      </c>
      <c r="C249" s="1">
        <f>IFERROR(__xludf.DUMMYFUNCTION("""COMPUTED_VALUE"""),26.72)</f>
        <v>26.72</v>
      </c>
      <c r="D249" s="1">
        <f>IFERROR(__xludf.DUMMYFUNCTION("""COMPUTED_VALUE"""),26.25)</f>
        <v>26.25</v>
      </c>
      <c r="E249" s="1">
        <f>IFERROR(__xludf.DUMMYFUNCTION("""COMPUTED_VALUE"""),26.68)</f>
        <v>26.68</v>
      </c>
      <c r="F249" s="1">
        <f>IFERROR(__xludf.DUMMYFUNCTION("""COMPUTED_VALUE"""),62981.0)</f>
        <v>62981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IFERROR(__xludf.DUMMYFUNCTION("""COMPUTED_VALUE"""),26.58)</f>
        <v>26.58</v>
      </c>
      <c r="C250" s="1">
        <f>IFERROR(__xludf.DUMMYFUNCTION("""COMPUTED_VALUE"""),26.75)</f>
        <v>26.75</v>
      </c>
      <c r="D250" s="1">
        <f>IFERROR(__xludf.DUMMYFUNCTION("""COMPUTED_VALUE"""),26.44)</f>
        <v>26.44</v>
      </c>
      <c r="E250" s="1">
        <f>IFERROR(__xludf.DUMMYFUNCTION("""COMPUTED_VALUE"""),26.5)</f>
        <v>26.5</v>
      </c>
      <c r="F250" s="1">
        <f>IFERROR(__xludf.DUMMYFUNCTION("""COMPUTED_VALUE"""),67921.0)</f>
        <v>67921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IFERROR(__xludf.DUMMYFUNCTION("""COMPUTED_VALUE"""),26.59)</f>
        <v>26.59</v>
      </c>
      <c r="C251" s="1">
        <f>IFERROR(__xludf.DUMMYFUNCTION("""COMPUTED_VALUE"""),26.66)</f>
        <v>26.66</v>
      </c>
      <c r="D251" s="1">
        <f>IFERROR(__xludf.DUMMYFUNCTION("""COMPUTED_VALUE"""),26.47)</f>
        <v>26.47</v>
      </c>
      <c r="E251" s="1">
        <f>IFERROR(__xludf.DUMMYFUNCTION("""COMPUTED_VALUE"""),26.62)</f>
        <v>26.62</v>
      </c>
      <c r="F251" s="1">
        <f>IFERROR(__xludf.DUMMYFUNCTION("""COMPUTED_VALUE"""),88649.0)</f>
        <v>88649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IFERROR(__xludf.DUMMYFUNCTION("""COMPUTED_VALUE"""),26.48)</f>
        <v>26.48</v>
      </c>
      <c r="C252" s="1">
        <f>IFERROR(__xludf.DUMMYFUNCTION("""COMPUTED_VALUE"""),26.64)</f>
        <v>26.64</v>
      </c>
      <c r="D252" s="1">
        <f>IFERROR(__xludf.DUMMYFUNCTION("""COMPUTED_VALUE"""),26.48)</f>
        <v>26.48</v>
      </c>
      <c r="E252" s="1">
        <f>IFERROR(__xludf.DUMMYFUNCTION("""COMPUTED_VALUE"""),26.49)</f>
        <v>26.49</v>
      </c>
      <c r="F252" s="1">
        <f>IFERROR(__xludf.DUMMYFUNCTION("""COMPUTED_VALUE"""),56978.0)</f>
        <v>56978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IFERROR(__xludf.DUMMYFUNCTION("""COMPUTED_VALUE"""),26.45)</f>
        <v>26.45</v>
      </c>
      <c r="C253" s="1">
        <f>IFERROR(__xludf.DUMMYFUNCTION("""COMPUTED_VALUE"""),26.56)</f>
        <v>26.56</v>
      </c>
      <c r="D253" s="1">
        <f>IFERROR(__xludf.DUMMYFUNCTION("""COMPUTED_VALUE"""),26.11)</f>
        <v>26.11</v>
      </c>
      <c r="E253" s="1">
        <f>IFERROR(__xludf.DUMMYFUNCTION("""COMPUTED_VALUE"""),26.31)</f>
        <v>26.31</v>
      </c>
      <c r="F253" s="1">
        <f>IFERROR(__xludf.DUMMYFUNCTION("""COMPUTED_VALUE"""),101327.0)</f>
        <v>101327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IFERROR(__xludf.DUMMYFUNCTION("""COMPUTED_VALUE"""),26.25)</f>
        <v>26.25</v>
      </c>
      <c r="C254" s="1">
        <f>IFERROR(__xludf.DUMMYFUNCTION("""COMPUTED_VALUE"""),26.68)</f>
        <v>26.68</v>
      </c>
      <c r="D254" s="1">
        <f>IFERROR(__xludf.DUMMYFUNCTION("""COMPUTED_VALUE"""),26.25)</f>
        <v>26.25</v>
      </c>
      <c r="E254" s="1">
        <f>IFERROR(__xludf.DUMMYFUNCTION("""COMPUTED_VALUE"""),26.37)</f>
        <v>26.37</v>
      </c>
      <c r="F254" s="1">
        <f>IFERROR(__xludf.DUMMYFUNCTION("""COMPUTED_VALUE"""),210921.0)</f>
        <v>210921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IFERROR(__xludf.DUMMYFUNCTION("""COMPUTED_VALUE"""),26.45)</f>
        <v>26.45</v>
      </c>
      <c r="C255" s="1">
        <f>IFERROR(__xludf.DUMMYFUNCTION("""COMPUTED_VALUE"""),26.53)</f>
        <v>26.53</v>
      </c>
      <c r="D255" s="1">
        <f>IFERROR(__xludf.DUMMYFUNCTION("""COMPUTED_VALUE"""),26.19)</f>
        <v>26.19</v>
      </c>
      <c r="E255" s="1">
        <f>IFERROR(__xludf.DUMMYFUNCTION("""COMPUTED_VALUE"""),26.28)</f>
        <v>26.28</v>
      </c>
      <c r="F255" s="1">
        <f>IFERROR(__xludf.DUMMYFUNCTION("""COMPUTED_VALUE"""),194081.0)</f>
        <v>194081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IFERROR(__xludf.DUMMYFUNCTION("""COMPUTED_VALUE"""),26.13)</f>
        <v>26.13</v>
      </c>
      <c r="C256" s="1">
        <f>IFERROR(__xludf.DUMMYFUNCTION("""COMPUTED_VALUE"""),26.29)</f>
        <v>26.29</v>
      </c>
      <c r="D256" s="1">
        <f>IFERROR(__xludf.DUMMYFUNCTION("""COMPUTED_VALUE"""),26.07)</f>
        <v>26.07</v>
      </c>
      <c r="E256" s="1">
        <f>IFERROR(__xludf.DUMMYFUNCTION("""COMPUTED_VALUE"""),26.18)</f>
        <v>26.18</v>
      </c>
      <c r="F256" s="1">
        <f>IFERROR(__xludf.DUMMYFUNCTION("""COMPUTED_VALUE"""),307271.0)</f>
        <v>307271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IFERROR(__xludf.DUMMYFUNCTION("""COMPUTED_VALUE"""),26.25)</f>
        <v>26.25</v>
      </c>
      <c r="C257" s="1">
        <f>IFERROR(__xludf.DUMMYFUNCTION("""COMPUTED_VALUE"""),26.67)</f>
        <v>26.67</v>
      </c>
      <c r="D257" s="1">
        <f>IFERROR(__xludf.DUMMYFUNCTION("""COMPUTED_VALUE"""),26.23)</f>
        <v>26.23</v>
      </c>
      <c r="E257" s="1">
        <f>IFERROR(__xludf.DUMMYFUNCTION("""COMPUTED_VALUE"""),26.31)</f>
        <v>26.31</v>
      </c>
      <c r="F257" s="1">
        <f>IFERROR(__xludf.DUMMYFUNCTION("""COMPUTED_VALUE"""),451207.0)</f>
        <v>451207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IFERROR(__xludf.DUMMYFUNCTION("""COMPUTED_VALUE"""),26.3)</f>
        <v>26.3</v>
      </c>
      <c r="C258" s="1">
        <f>IFERROR(__xludf.DUMMYFUNCTION("""COMPUTED_VALUE"""),26.44)</f>
        <v>26.44</v>
      </c>
      <c r="D258" s="1">
        <f>IFERROR(__xludf.DUMMYFUNCTION("""COMPUTED_VALUE"""),25.96)</f>
        <v>25.96</v>
      </c>
      <c r="E258" s="1">
        <f>IFERROR(__xludf.DUMMYFUNCTION("""COMPUTED_VALUE"""),26.39)</f>
        <v>26.39</v>
      </c>
      <c r="F258" s="1">
        <f>IFERROR(__xludf.DUMMYFUNCTION("""COMPUTED_VALUE"""),101225.0)</f>
        <v>101225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IFERROR(__xludf.DUMMYFUNCTION("""COMPUTED_VALUE"""),25.87)</f>
        <v>25.87</v>
      </c>
      <c r="C259" s="1">
        <f>IFERROR(__xludf.DUMMYFUNCTION("""COMPUTED_VALUE"""),26.14)</f>
        <v>26.14</v>
      </c>
      <c r="D259" s="1">
        <f>IFERROR(__xludf.DUMMYFUNCTION("""COMPUTED_VALUE"""),25.63)</f>
        <v>25.63</v>
      </c>
      <c r="E259" s="1">
        <f>IFERROR(__xludf.DUMMYFUNCTION("""COMPUTED_VALUE"""),26.14)</f>
        <v>26.14</v>
      </c>
      <c r="F259" s="1">
        <f>IFERROR(__xludf.DUMMYFUNCTION("""COMPUTED_VALUE"""),205867.0)</f>
        <v>205867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IFERROR(__xludf.DUMMYFUNCTION("""COMPUTED_VALUE"""),26.25)</f>
        <v>26.25</v>
      </c>
      <c r="C260" s="1">
        <f>IFERROR(__xludf.DUMMYFUNCTION("""COMPUTED_VALUE"""),26.65)</f>
        <v>26.65</v>
      </c>
      <c r="D260" s="1">
        <f>IFERROR(__xludf.DUMMYFUNCTION("""COMPUTED_VALUE"""),26.04)</f>
        <v>26.04</v>
      </c>
      <c r="E260" s="1">
        <f>IFERROR(__xludf.DUMMYFUNCTION("""COMPUTED_VALUE"""),26.1)</f>
        <v>26.1</v>
      </c>
      <c r="F260" s="1">
        <f>IFERROR(__xludf.DUMMYFUNCTION("""COMPUTED_VALUE"""),196708.0)</f>
        <v>196708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IFERROR(__xludf.DUMMYFUNCTION("""COMPUTED_VALUE"""),26.13)</f>
        <v>26.13</v>
      </c>
      <c r="C261" s="1">
        <f>IFERROR(__xludf.DUMMYFUNCTION("""COMPUTED_VALUE"""),26.31)</f>
        <v>26.31</v>
      </c>
      <c r="D261" s="1">
        <f>IFERROR(__xludf.DUMMYFUNCTION("""COMPUTED_VALUE"""),25.97)</f>
        <v>25.97</v>
      </c>
      <c r="E261" s="1">
        <f>IFERROR(__xludf.DUMMYFUNCTION("""COMPUTED_VALUE"""),26.31)</f>
        <v>26.31</v>
      </c>
      <c r="F261" s="1">
        <f>IFERROR(__xludf.DUMMYFUNCTION("""COMPUTED_VALUE"""),88957.0)</f>
        <v>88957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IFERROR(__xludf.DUMMYFUNCTION("""COMPUTED_VALUE"""),26.21)</f>
        <v>26.21</v>
      </c>
      <c r="C262" s="1">
        <f>IFERROR(__xludf.DUMMYFUNCTION("""COMPUTED_VALUE"""),27.33)</f>
        <v>27.33</v>
      </c>
      <c r="D262" s="1">
        <f>IFERROR(__xludf.DUMMYFUNCTION("""COMPUTED_VALUE"""),26.21)</f>
        <v>26.21</v>
      </c>
      <c r="E262" s="1">
        <f>IFERROR(__xludf.DUMMYFUNCTION("""COMPUTED_VALUE"""),27.16)</f>
        <v>27.16</v>
      </c>
      <c r="F262" s="1">
        <f>IFERROR(__xludf.DUMMYFUNCTION("""COMPUTED_VALUE"""),349017.0)</f>
        <v>349017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IFERROR(__xludf.DUMMYFUNCTION("""COMPUTED_VALUE"""),27.2)</f>
        <v>27.2</v>
      </c>
      <c r="C263" s="1">
        <f>IFERROR(__xludf.DUMMYFUNCTION("""COMPUTED_VALUE"""),27.2)</f>
        <v>27.2</v>
      </c>
      <c r="D263" s="1">
        <f>IFERROR(__xludf.DUMMYFUNCTION("""COMPUTED_VALUE"""),26.75)</f>
        <v>26.75</v>
      </c>
      <c r="E263" s="1">
        <f>IFERROR(__xludf.DUMMYFUNCTION("""COMPUTED_VALUE"""),26.93)</f>
        <v>26.93</v>
      </c>
      <c r="F263" s="1">
        <f>IFERROR(__xludf.DUMMYFUNCTION("""COMPUTED_VALUE"""),314608.0)</f>
        <v>314608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IFERROR(__xludf.DUMMYFUNCTION("""COMPUTED_VALUE"""),27.5)</f>
        <v>27.5</v>
      </c>
      <c r="C264" s="1">
        <f>IFERROR(__xludf.DUMMYFUNCTION("""COMPUTED_VALUE"""),28.0)</f>
        <v>28</v>
      </c>
      <c r="D264" s="1">
        <f>IFERROR(__xludf.DUMMYFUNCTION("""COMPUTED_VALUE"""),26.78)</f>
        <v>26.78</v>
      </c>
      <c r="E264" s="1">
        <f>IFERROR(__xludf.DUMMYFUNCTION("""COMPUTED_VALUE"""),26.85)</f>
        <v>26.85</v>
      </c>
      <c r="F264" s="1">
        <f>IFERROR(__xludf.DUMMYFUNCTION("""COMPUTED_VALUE"""),535051.0)</f>
        <v>535051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IFERROR(__xludf.DUMMYFUNCTION("""COMPUTED_VALUE"""),26.87)</f>
        <v>26.87</v>
      </c>
      <c r="C265" s="1">
        <f>IFERROR(__xludf.DUMMYFUNCTION("""COMPUTED_VALUE"""),26.94)</f>
        <v>26.94</v>
      </c>
      <c r="D265" s="1">
        <f>IFERROR(__xludf.DUMMYFUNCTION("""COMPUTED_VALUE"""),25.15)</f>
        <v>25.15</v>
      </c>
      <c r="E265" s="1">
        <f>IFERROR(__xludf.DUMMYFUNCTION("""COMPUTED_VALUE"""),25.42)</f>
        <v>25.42</v>
      </c>
      <c r="F265" s="1">
        <f>IFERROR(__xludf.DUMMYFUNCTION("""COMPUTED_VALUE"""),502849.0)</f>
        <v>502849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IFERROR(__xludf.DUMMYFUNCTION("""COMPUTED_VALUE"""),25.55)</f>
        <v>25.55</v>
      </c>
      <c r="C266" s="1">
        <f>IFERROR(__xludf.DUMMYFUNCTION("""COMPUTED_VALUE"""),25.55)</f>
        <v>25.55</v>
      </c>
      <c r="D266" s="1">
        <f>IFERROR(__xludf.DUMMYFUNCTION("""COMPUTED_VALUE"""),24.75)</f>
        <v>24.75</v>
      </c>
      <c r="E266" s="1">
        <f>IFERROR(__xludf.DUMMYFUNCTION("""COMPUTED_VALUE"""),25.04)</f>
        <v>25.04</v>
      </c>
      <c r="F266" s="1">
        <f>IFERROR(__xludf.DUMMYFUNCTION("""COMPUTED_VALUE"""),539219.0)</f>
        <v>539219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IFERROR(__xludf.DUMMYFUNCTION("""COMPUTED_VALUE"""),25.16)</f>
        <v>25.16</v>
      </c>
      <c r="C267" s="1">
        <f>IFERROR(__xludf.DUMMYFUNCTION("""COMPUTED_VALUE"""),25.5)</f>
        <v>25.5</v>
      </c>
      <c r="D267" s="1">
        <f>IFERROR(__xludf.DUMMYFUNCTION("""COMPUTED_VALUE"""),24.86)</f>
        <v>24.86</v>
      </c>
      <c r="E267" s="1">
        <f>IFERROR(__xludf.DUMMYFUNCTION("""COMPUTED_VALUE"""),24.94)</f>
        <v>24.94</v>
      </c>
      <c r="F267" s="1">
        <f>IFERROR(__xludf.DUMMYFUNCTION("""COMPUTED_VALUE"""),318729.0)</f>
        <v>318729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IFERROR(__xludf.DUMMYFUNCTION("""COMPUTED_VALUE"""),24.79)</f>
        <v>24.79</v>
      </c>
      <c r="C268" s="1">
        <f>IFERROR(__xludf.DUMMYFUNCTION("""COMPUTED_VALUE"""),25.32)</f>
        <v>25.32</v>
      </c>
      <c r="D268" s="1">
        <f>IFERROR(__xludf.DUMMYFUNCTION("""COMPUTED_VALUE"""),24.78)</f>
        <v>24.78</v>
      </c>
      <c r="E268" s="1">
        <f>IFERROR(__xludf.DUMMYFUNCTION("""COMPUTED_VALUE"""),25.31)</f>
        <v>25.31</v>
      </c>
      <c r="F268" s="1">
        <f>IFERROR(__xludf.DUMMYFUNCTION("""COMPUTED_VALUE"""),238679.0)</f>
        <v>238679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IFERROR(__xludf.DUMMYFUNCTION("""COMPUTED_VALUE"""),25.33)</f>
        <v>25.33</v>
      </c>
      <c r="C269" s="1">
        <f>IFERROR(__xludf.DUMMYFUNCTION("""COMPUTED_VALUE"""),25.33)</f>
        <v>25.33</v>
      </c>
      <c r="D269" s="1">
        <f>IFERROR(__xludf.DUMMYFUNCTION("""COMPUTED_VALUE"""),25.0)</f>
        <v>25</v>
      </c>
      <c r="E269" s="1">
        <f>IFERROR(__xludf.DUMMYFUNCTION("""COMPUTED_VALUE"""),25.26)</f>
        <v>25.26</v>
      </c>
      <c r="F269" s="1">
        <f>IFERROR(__xludf.DUMMYFUNCTION("""COMPUTED_VALUE"""),142863.0)</f>
        <v>142863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IFERROR(__xludf.DUMMYFUNCTION("""COMPUTED_VALUE"""),25.26)</f>
        <v>25.26</v>
      </c>
      <c r="C270" s="1">
        <f>IFERROR(__xludf.DUMMYFUNCTION("""COMPUTED_VALUE"""),25.97)</f>
        <v>25.97</v>
      </c>
      <c r="D270" s="1">
        <f>IFERROR(__xludf.DUMMYFUNCTION("""COMPUTED_VALUE"""),25.26)</f>
        <v>25.26</v>
      </c>
      <c r="E270" s="1">
        <f>IFERROR(__xludf.DUMMYFUNCTION("""COMPUTED_VALUE"""),25.45)</f>
        <v>25.45</v>
      </c>
      <c r="F270" s="1">
        <f>IFERROR(__xludf.DUMMYFUNCTION("""COMPUTED_VALUE"""),210523.0)</f>
        <v>210523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IFERROR(__xludf.DUMMYFUNCTION("""COMPUTED_VALUE"""),25.46)</f>
        <v>25.46</v>
      </c>
      <c r="C271" s="1">
        <f>IFERROR(__xludf.DUMMYFUNCTION("""COMPUTED_VALUE"""),25.52)</f>
        <v>25.52</v>
      </c>
      <c r="D271" s="1">
        <f>IFERROR(__xludf.DUMMYFUNCTION("""COMPUTED_VALUE"""),25.0)</f>
        <v>25</v>
      </c>
      <c r="E271" s="1">
        <f>IFERROR(__xludf.DUMMYFUNCTION("""COMPUTED_VALUE"""),25.04)</f>
        <v>25.04</v>
      </c>
      <c r="F271" s="1">
        <f>IFERROR(__xludf.DUMMYFUNCTION("""COMPUTED_VALUE"""),168362.0)</f>
        <v>168362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IFERROR(__xludf.DUMMYFUNCTION("""COMPUTED_VALUE"""),25.28)</f>
        <v>25.28</v>
      </c>
      <c r="C272" s="1">
        <f>IFERROR(__xludf.DUMMYFUNCTION("""COMPUTED_VALUE"""),25.28)</f>
        <v>25.28</v>
      </c>
      <c r="D272" s="1">
        <f>IFERROR(__xludf.DUMMYFUNCTION("""COMPUTED_VALUE"""),24.57)</f>
        <v>24.57</v>
      </c>
      <c r="E272" s="1">
        <f>IFERROR(__xludf.DUMMYFUNCTION("""COMPUTED_VALUE"""),24.72)</f>
        <v>24.72</v>
      </c>
      <c r="F272" s="1">
        <f>IFERROR(__xludf.DUMMYFUNCTION("""COMPUTED_VALUE"""),151312.0)</f>
        <v>151312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IFERROR(__xludf.DUMMYFUNCTION("""COMPUTED_VALUE"""),24.71)</f>
        <v>24.71</v>
      </c>
      <c r="C273" s="1">
        <f>IFERROR(__xludf.DUMMYFUNCTION("""COMPUTED_VALUE"""),24.71)</f>
        <v>24.71</v>
      </c>
      <c r="D273" s="1">
        <f>IFERROR(__xludf.DUMMYFUNCTION("""COMPUTED_VALUE"""),24.39)</f>
        <v>24.39</v>
      </c>
      <c r="E273" s="1">
        <f>IFERROR(__xludf.DUMMYFUNCTION("""COMPUTED_VALUE"""),24.67)</f>
        <v>24.67</v>
      </c>
      <c r="F273" s="1">
        <f>IFERROR(__xludf.DUMMYFUNCTION("""COMPUTED_VALUE"""),210477.0)</f>
        <v>210477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IFERROR(__xludf.DUMMYFUNCTION("""COMPUTED_VALUE"""),24.67)</f>
        <v>24.67</v>
      </c>
      <c r="C274" s="1">
        <f>IFERROR(__xludf.DUMMYFUNCTION("""COMPUTED_VALUE"""),24.88)</f>
        <v>24.88</v>
      </c>
      <c r="D274" s="1">
        <f>IFERROR(__xludf.DUMMYFUNCTION("""COMPUTED_VALUE"""),24.44)</f>
        <v>24.44</v>
      </c>
      <c r="E274" s="1">
        <f>IFERROR(__xludf.DUMMYFUNCTION("""COMPUTED_VALUE"""),24.81)</f>
        <v>24.81</v>
      </c>
      <c r="F274" s="1">
        <f>IFERROR(__xludf.DUMMYFUNCTION("""COMPUTED_VALUE"""),179728.0)</f>
        <v>179728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IFERROR(__xludf.DUMMYFUNCTION("""COMPUTED_VALUE"""),24.67)</f>
        <v>24.67</v>
      </c>
      <c r="C275" s="1">
        <f>IFERROR(__xludf.DUMMYFUNCTION("""COMPUTED_VALUE"""),25.14)</f>
        <v>25.14</v>
      </c>
      <c r="D275" s="1">
        <f>IFERROR(__xludf.DUMMYFUNCTION("""COMPUTED_VALUE"""),24.67)</f>
        <v>24.67</v>
      </c>
      <c r="E275" s="1">
        <f>IFERROR(__xludf.DUMMYFUNCTION("""COMPUTED_VALUE"""),24.9)</f>
        <v>24.9</v>
      </c>
      <c r="F275" s="1">
        <f>IFERROR(__xludf.DUMMYFUNCTION("""COMPUTED_VALUE"""),103084.0)</f>
        <v>103084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IFERROR(__xludf.DUMMYFUNCTION("""COMPUTED_VALUE"""),24.83)</f>
        <v>24.83</v>
      </c>
      <c r="C276" s="1">
        <f>IFERROR(__xludf.DUMMYFUNCTION("""COMPUTED_VALUE"""),25.2)</f>
        <v>25.2</v>
      </c>
      <c r="D276" s="1">
        <f>IFERROR(__xludf.DUMMYFUNCTION("""COMPUTED_VALUE"""),24.75)</f>
        <v>24.75</v>
      </c>
      <c r="E276" s="1">
        <f>IFERROR(__xludf.DUMMYFUNCTION("""COMPUTED_VALUE"""),25.0)</f>
        <v>25</v>
      </c>
      <c r="F276" s="1">
        <f>IFERROR(__xludf.DUMMYFUNCTION("""COMPUTED_VALUE"""),364666.0)</f>
        <v>364666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IFERROR(__xludf.DUMMYFUNCTION("""COMPUTED_VALUE"""),24.88)</f>
        <v>24.88</v>
      </c>
      <c r="C277" s="1">
        <f>IFERROR(__xludf.DUMMYFUNCTION("""COMPUTED_VALUE"""),24.9)</f>
        <v>24.9</v>
      </c>
      <c r="D277" s="1">
        <f>IFERROR(__xludf.DUMMYFUNCTION("""COMPUTED_VALUE"""),24.51)</f>
        <v>24.51</v>
      </c>
      <c r="E277" s="1">
        <f>IFERROR(__xludf.DUMMYFUNCTION("""COMPUTED_VALUE"""),24.59)</f>
        <v>24.59</v>
      </c>
      <c r="F277" s="1">
        <f>IFERROR(__xludf.DUMMYFUNCTION("""COMPUTED_VALUE"""),119106.0)</f>
        <v>119106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IFERROR(__xludf.DUMMYFUNCTION("""COMPUTED_VALUE"""),24.53)</f>
        <v>24.53</v>
      </c>
      <c r="C278" s="1">
        <f>IFERROR(__xludf.DUMMYFUNCTION("""COMPUTED_VALUE"""),24.65)</f>
        <v>24.65</v>
      </c>
      <c r="D278" s="1">
        <f>IFERROR(__xludf.DUMMYFUNCTION("""COMPUTED_VALUE"""),24.48)</f>
        <v>24.48</v>
      </c>
      <c r="E278" s="1">
        <f>IFERROR(__xludf.DUMMYFUNCTION("""COMPUTED_VALUE"""),24.53)</f>
        <v>24.53</v>
      </c>
      <c r="F278" s="1">
        <f>IFERROR(__xludf.DUMMYFUNCTION("""COMPUTED_VALUE"""),90651.0)</f>
        <v>90651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IFERROR(__xludf.DUMMYFUNCTION("""COMPUTED_VALUE"""),24.61)</f>
        <v>24.61</v>
      </c>
      <c r="C279" s="1">
        <f>IFERROR(__xludf.DUMMYFUNCTION("""COMPUTED_VALUE"""),24.61)</f>
        <v>24.61</v>
      </c>
      <c r="D279" s="1">
        <f>IFERROR(__xludf.DUMMYFUNCTION("""COMPUTED_VALUE"""),23.84)</f>
        <v>23.84</v>
      </c>
      <c r="E279" s="1">
        <f>IFERROR(__xludf.DUMMYFUNCTION("""COMPUTED_VALUE"""),23.96)</f>
        <v>23.96</v>
      </c>
      <c r="F279" s="1">
        <f>IFERROR(__xludf.DUMMYFUNCTION("""COMPUTED_VALUE"""),195796.0)</f>
        <v>195796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IFERROR(__xludf.DUMMYFUNCTION("""COMPUTED_VALUE"""),23.99)</f>
        <v>23.99</v>
      </c>
      <c r="C280" s="1">
        <f>IFERROR(__xludf.DUMMYFUNCTION("""COMPUTED_VALUE"""),24.03)</f>
        <v>24.03</v>
      </c>
      <c r="D280" s="1">
        <f>IFERROR(__xludf.DUMMYFUNCTION("""COMPUTED_VALUE"""),23.35)</f>
        <v>23.35</v>
      </c>
      <c r="E280" s="1">
        <f>IFERROR(__xludf.DUMMYFUNCTION("""COMPUTED_VALUE"""),23.75)</f>
        <v>23.75</v>
      </c>
      <c r="F280" s="1">
        <f>IFERROR(__xludf.DUMMYFUNCTION("""COMPUTED_VALUE"""),587134.0)</f>
        <v>587134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IFERROR(__xludf.DUMMYFUNCTION("""COMPUTED_VALUE"""),23.71)</f>
        <v>23.71</v>
      </c>
      <c r="C281" s="1">
        <f>IFERROR(__xludf.DUMMYFUNCTION("""COMPUTED_VALUE"""),23.88)</f>
        <v>23.88</v>
      </c>
      <c r="D281" s="1">
        <f>IFERROR(__xludf.DUMMYFUNCTION("""COMPUTED_VALUE"""),23.38)</f>
        <v>23.38</v>
      </c>
      <c r="E281" s="1">
        <f>IFERROR(__xludf.DUMMYFUNCTION("""COMPUTED_VALUE"""),23.5)</f>
        <v>23.5</v>
      </c>
      <c r="F281" s="1">
        <f>IFERROR(__xludf.DUMMYFUNCTION("""COMPUTED_VALUE"""),532017.0)</f>
        <v>532017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IFERROR(__xludf.DUMMYFUNCTION("""COMPUTED_VALUE"""),23.58)</f>
        <v>23.58</v>
      </c>
      <c r="C282" s="1">
        <f>IFERROR(__xludf.DUMMYFUNCTION("""COMPUTED_VALUE"""),23.73)</f>
        <v>23.73</v>
      </c>
      <c r="D282" s="1">
        <f>IFERROR(__xludf.DUMMYFUNCTION("""COMPUTED_VALUE"""),23.25)</f>
        <v>23.25</v>
      </c>
      <c r="E282" s="1">
        <f>IFERROR(__xludf.DUMMYFUNCTION("""COMPUTED_VALUE"""),23.72)</f>
        <v>23.72</v>
      </c>
      <c r="F282" s="1">
        <f>IFERROR(__xludf.DUMMYFUNCTION("""COMPUTED_VALUE"""),556489.0)</f>
        <v>556489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IFERROR(__xludf.DUMMYFUNCTION("""COMPUTED_VALUE"""),23.88)</f>
        <v>23.88</v>
      </c>
      <c r="C283" s="1">
        <f>IFERROR(__xludf.DUMMYFUNCTION("""COMPUTED_VALUE"""),23.96)</f>
        <v>23.96</v>
      </c>
      <c r="D283" s="1">
        <f>IFERROR(__xludf.DUMMYFUNCTION("""COMPUTED_VALUE"""),23.65)</f>
        <v>23.65</v>
      </c>
      <c r="E283" s="1">
        <f>IFERROR(__xludf.DUMMYFUNCTION("""COMPUTED_VALUE"""),23.79)</f>
        <v>23.79</v>
      </c>
      <c r="F283" s="1">
        <f>IFERROR(__xludf.DUMMYFUNCTION("""COMPUTED_VALUE"""),301019.0)</f>
        <v>301019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IFERROR(__xludf.DUMMYFUNCTION("""COMPUTED_VALUE"""),23.8)</f>
        <v>23.8</v>
      </c>
      <c r="C284" s="1">
        <f>IFERROR(__xludf.DUMMYFUNCTION("""COMPUTED_VALUE"""),24.38)</f>
        <v>24.38</v>
      </c>
      <c r="D284" s="1">
        <f>IFERROR(__xludf.DUMMYFUNCTION("""COMPUTED_VALUE"""),23.75)</f>
        <v>23.75</v>
      </c>
      <c r="E284" s="1">
        <f>IFERROR(__xludf.DUMMYFUNCTION("""COMPUTED_VALUE"""),24.27)</f>
        <v>24.27</v>
      </c>
      <c r="F284" s="1">
        <f>IFERROR(__xludf.DUMMYFUNCTION("""COMPUTED_VALUE"""),264407.0)</f>
        <v>264407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IFERROR(__xludf.DUMMYFUNCTION("""COMPUTED_VALUE"""),24.32)</f>
        <v>24.32</v>
      </c>
      <c r="C285" s="1">
        <f>IFERROR(__xludf.DUMMYFUNCTION("""COMPUTED_VALUE"""),24.51)</f>
        <v>24.51</v>
      </c>
      <c r="D285" s="1">
        <f>IFERROR(__xludf.DUMMYFUNCTION("""COMPUTED_VALUE"""),24.05)</f>
        <v>24.05</v>
      </c>
      <c r="E285" s="1">
        <f>IFERROR(__xludf.DUMMYFUNCTION("""COMPUTED_VALUE"""),24.28)</f>
        <v>24.28</v>
      </c>
      <c r="F285" s="1">
        <f>IFERROR(__xludf.DUMMYFUNCTION("""COMPUTED_VALUE"""),263724.0)</f>
        <v>263724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IFERROR(__xludf.DUMMYFUNCTION("""COMPUTED_VALUE"""),24.07)</f>
        <v>24.07</v>
      </c>
      <c r="C286" s="1">
        <f>IFERROR(__xludf.DUMMYFUNCTION("""COMPUTED_VALUE"""),24.29)</f>
        <v>24.29</v>
      </c>
      <c r="D286" s="1">
        <f>IFERROR(__xludf.DUMMYFUNCTION("""COMPUTED_VALUE"""),24.07)</f>
        <v>24.07</v>
      </c>
      <c r="E286" s="1">
        <f>IFERROR(__xludf.DUMMYFUNCTION("""COMPUTED_VALUE"""),24.18)</f>
        <v>24.18</v>
      </c>
      <c r="F286" s="1">
        <f>IFERROR(__xludf.DUMMYFUNCTION("""COMPUTED_VALUE"""),147803.0)</f>
        <v>147803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IFERROR(__xludf.DUMMYFUNCTION("""COMPUTED_VALUE"""),24.14)</f>
        <v>24.14</v>
      </c>
      <c r="C287" s="1">
        <f>IFERROR(__xludf.DUMMYFUNCTION("""COMPUTED_VALUE"""),24.48)</f>
        <v>24.48</v>
      </c>
      <c r="D287" s="1">
        <f>IFERROR(__xludf.DUMMYFUNCTION("""COMPUTED_VALUE"""),24.1)</f>
        <v>24.1</v>
      </c>
      <c r="E287" s="1">
        <f>IFERROR(__xludf.DUMMYFUNCTION("""COMPUTED_VALUE"""),24.26)</f>
        <v>24.26</v>
      </c>
      <c r="F287" s="1">
        <f>IFERROR(__xludf.DUMMYFUNCTION("""COMPUTED_VALUE"""),133668.0)</f>
        <v>133668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IFERROR(__xludf.DUMMYFUNCTION("""COMPUTED_VALUE"""),24.05)</f>
        <v>24.05</v>
      </c>
      <c r="C288" s="1">
        <f>IFERROR(__xludf.DUMMYFUNCTION("""COMPUTED_VALUE"""),24.15)</f>
        <v>24.15</v>
      </c>
      <c r="D288" s="1">
        <f>IFERROR(__xludf.DUMMYFUNCTION("""COMPUTED_VALUE"""),23.66)</f>
        <v>23.66</v>
      </c>
      <c r="E288" s="1">
        <f>IFERROR(__xludf.DUMMYFUNCTION("""COMPUTED_VALUE"""),23.72)</f>
        <v>23.72</v>
      </c>
      <c r="F288" s="1">
        <f>IFERROR(__xludf.DUMMYFUNCTION("""COMPUTED_VALUE"""),230233.0)</f>
        <v>230233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IFERROR(__xludf.DUMMYFUNCTION("""COMPUTED_VALUE"""),23.69)</f>
        <v>23.69</v>
      </c>
      <c r="C289" s="1">
        <f>IFERROR(__xludf.DUMMYFUNCTION("""COMPUTED_VALUE"""),23.76)</f>
        <v>23.76</v>
      </c>
      <c r="D289" s="1">
        <f>IFERROR(__xludf.DUMMYFUNCTION("""COMPUTED_VALUE"""),22.92)</f>
        <v>22.92</v>
      </c>
      <c r="E289" s="1">
        <f>IFERROR(__xludf.DUMMYFUNCTION("""COMPUTED_VALUE"""),23.25)</f>
        <v>23.25</v>
      </c>
      <c r="F289" s="1">
        <f>IFERROR(__xludf.DUMMYFUNCTION("""COMPUTED_VALUE"""),376591.0)</f>
        <v>376591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IFERROR(__xludf.DUMMYFUNCTION("""COMPUTED_VALUE"""),23.17)</f>
        <v>23.17</v>
      </c>
      <c r="C290" s="1">
        <f>IFERROR(__xludf.DUMMYFUNCTION("""COMPUTED_VALUE"""),23.6)</f>
        <v>23.6</v>
      </c>
      <c r="D290" s="1">
        <f>IFERROR(__xludf.DUMMYFUNCTION("""COMPUTED_VALUE"""),23.07)</f>
        <v>23.07</v>
      </c>
      <c r="E290" s="1">
        <f>IFERROR(__xludf.DUMMYFUNCTION("""COMPUTED_VALUE"""),23.28)</f>
        <v>23.28</v>
      </c>
      <c r="F290" s="1">
        <f>IFERROR(__xludf.DUMMYFUNCTION("""COMPUTED_VALUE"""),503307.0)</f>
        <v>503307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IFERROR(__xludf.DUMMYFUNCTION("""COMPUTED_VALUE"""),23.47)</f>
        <v>23.47</v>
      </c>
      <c r="C291" s="1">
        <f>IFERROR(__xludf.DUMMYFUNCTION("""COMPUTED_VALUE"""),24.23)</f>
        <v>24.23</v>
      </c>
      <c r="D291" s="1">
        <f>IFERROR(__xludf.DUMMYFUNCTION("""COMPUTED_VALUE"""),23.41)</f>
        <v>23.41</v>
      </c>
      <c r="E291" s="1">
        <f>IFERROR(__xludf.DUMMYFUNCTION("""COMPUTED_VALUE"""),24.2)</f>
        <v>24.2</v>
      </c>
      <c r="F291" s="1">
        <f>IFERROR(__xludf.DUMMYFUNCTION("""COMPUTED_VALUE"""),258790.0)</f>
        <v>258790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IFERROR(__xludf.DUMMYFUNCTION("""COMPUTED_VALUE"""),24.24)</f>
        <v>24.24</v>
      </c>
      <c r="C292" s="1">
        <f>IFERROR(__xludf.DUMMYFUNCTION("""COMPUTED_VALUE"""),24.43)</f>
        <v>24.43</v>
      </c>
      <c r="D292" s="1">
        <f>IFERROR(__xludf.DUMMYFUNCTION("""COMPUTED_VALUE"""),23.95)</f>
        <v>23.95</v>
      </c>
      <c r="E292" s="1">
        <f>IFERROR(__xludf.DUMMYFUNCTION("""COMPUTED_VALUE"""),24.15)</f>
        <v>24.15</v>
      </c>
      <c r="F292" s="1">
        <f>IFERROR(__xludf.DUMMYFUNCTION("""COMPUTED_VALUE"""),296028.0)</f>
        <v>296028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IFERROR(__xludf.DUMMYFUNCTION("""COMPUTED_VALUE"""),24.23)</f>
        <v>24.23</v>
      </c>
      <c r="C293" s="1">
        <f>IFERROR(__xludf.DUMMYFUNCTION("""COMPUTED_VALUE"""),24.23)</f>
        <v>24.23</v>
      </c>
      <c r="D293" s="1">
        <f>IFERROR(__xludf.DUMMYFUNCTION("""COMPUTED_VALUE"""),23.32)</f>
        <v>23.32</v>
      </c>
      <c r="E293" s="1">
        <f>IFERROR(__xludf.DUMMYFUNCTION("""COMPUTED_VALUE"""),23.32)</f>
        <v>23.32</v>
      </c>
      <c r="F293" s="1">
        <f>IFERROR(__xludf.DUMMYFUNCTION("""COMPUTED_VALUE"""),191654.0)</f>
        <v>191654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IFERROR(__xludf.DUMMYFUNCTION("""COMPUTED_VALUE"""),23.42)</f>
        <v>23.42</v>
      </c>
      <c r="C294" s="1">
        <f>IFERROR(__xludf.DUMMYFUNCTION("""COMPUTED_VALUE"""),23.89)</f>
        <v>23.89</v>
      </c>
      <c r="D294" s="1">
        <f>IFERROR(__xludf.DUMMYFUNCTION("""COMPUTED_VALUE"""),23.29)</f>
        <v>23.29</v>
      </c>
      <c r="E294" s="1">
        <f>IFERROR(__xludf.DUMMYFUNCTION("""COMPUTED_VALUE"""),23.78)</f>
        <v>23.78</v>
      </c>
      <c r="F294" s="1">
        <f>IFERROR(__xludf.DUMMYFUNCTION("""COMPUTED_VALUE"""),143057.0)</f>
        <v>143057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IFERROR(__xludf.DUMMYFUNCTION("""COMPUTED_VALUE"""),23.95)</f>
        <v>23.95</v>
      </c>
      <c r="C295" s="1">
        <f>IFERROR(__xludf.DUMMYFUNCTION("""COMPUTED_VALUE"""),24.08)</f>
        <v>24.08</v>
      </c>
      <c r="D295" s="1">
        <f>IFERROR(__xludf.DUMMYFUNCTION("""COMPUTED_VALUE"""),23.85)</f>
        <v>23.85</v>
      </c>
      <c r="E295" s="1">
        <f>IFERROR(__xludf.DUMMYFUNCTION("""COMPUTED_VALUE"""),24.04)</f>
        <v>24.04</v>
      </c>
      <c r="F295" s="1">
        <f>IFERROR(__xludf.DUMMYFUNCTION("""COMPUTED_VALUE"""),87961.0)</f>
        <v>87961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IFERROR(__xludf.DUMMYFUNCTION("""COMPUTED_VALUE"""),24.02)</f>
        <v>24.02</v>
      </c>
      <c r="C296" s="1">
        <f>IFERROR(__xludf.DUMMYFUNCTION("""COMPUTED_VALUE"""),24.02)</f>
        <v>24.02</v>
      </c>
      <c r="D296" s="1">
        <f>IFERROR(__xludf.DUMMYFUNCTION("""COMPUTED_VALUE"""),23.53)</f>
        <v>23.53</v>
      </c>
      <c r="E296" s="1">
        <f>IFERROR(__xludf.DUMMYFUNCTION("""COMPUTED_VALUE"""),23.57)</f>
        <v>23.57</v>
      </c>
      <c r="F296" s="1">
        <f>IFERROR(__xludf.DUMMYFUNCTION("""COMPUTED_VALUE"""),123760.0)</f>
        <v>123760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IFERROR(__xludf.DUMMYFUNCTION("""COMPUTED_VALUE"""),23.67)</f>
        <v>23.67</v>
      </c>
      <c r="C297" s="1">
        <f>IFERROR(__xludf.DUMMYFUNCTION("""COMPUTED_VALUE"""),23.67)</f>
        <v>23.67</v>
      </c>
      <c r="D297" s="1">
        <f>IFERROR(__xludf.DUMMYFUNCTION("""COMPUTED_VALUE"""),23.04)</f>
        <v>23.04</v>
      </c>
      <c r="E297" s="1">
        <f>IFERROR(__xludf.DUMMYFUNCTION("""COMPUTED_VALUE"""),23.28)</f>
        <v>23.28</v>
      </c>
      <c r="F297" s="1">
        <f>IFERROR(__xludf.DUMMYFUNCTION("""COMPUTED_VALUE"""),162148.0)</f>
        <v>162148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IFERROR(__xludf.DUMMYFUNCTION("""COMPUTED_VALUE"""),23.38)</f>
        <v>23.38</v>
      </c>
      <c r="C298" s="1">
        <f>IFERROR(__xludf.DUMMYFUNCTION("""COMPUTED_VALUE"""),23.38)</f>
        <v>23.38</v>
      </c>
      <c r="D298" s="1">
        <f>IFERROR(__xludf.DUMMYFUNCTION("""COMPUTED_VALUE"""),22.84)</f>
        <v>22.84</v>
      </c>
      <c r="E298" s="1">
        <f>IFERROR(__xludf.DUMMYFUNCTION("""COMPUTED_VALUE"""),22.88)</f>
        <v>22.88</v>
      </c>
      <c r="F298" s="1">
        <f>IFERROR(__xludf.DUMMYFUNCTION("""COMPUTED_VALUE"""),205505.0)</f>
        <v>205505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IFERROR(__xludf.DUMMYFUNCTION("""COMPUTED_VALUE"""),22.96)</f>
        <v>22.96</v>
      </c>
      <c r="C299" s="1">
        <f>IFERROR(__xludf.DUMMYFUNCTION("""COMPUTED_VALUE"""),22.96)</f>
        <v>22.96</v>
      </c>
      <c r="D299" s="1">
        <f>IFERROR(__xludf.DUMMYFUNCTION("""COMPUTED_VALUE"""),22.65)</f>
        <v>22.65</v>
      </c>
      <c r="E299" s="1">
        <f>IFERROR(__xludf.DUMMYFUNCTION("""COMPUTED_VALUE"""),22.75)</f>
        <v>22.75</v>
      </c>
      <c r="F299" s="1">
        <f>IFERROR(__xludf.DUMMYFUNCTION("""COMPUTED_VALUE"""),309205.0)</f>
        <v>309205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IFERROR(__xludf.DUMMYFUNCTION("""COMPUTED_VALUE"""),22.46)</f>
        <v>22.46</v>
      </c>
      <c r="C300" s="1">
        <f>IFERROR(__xludf.DUMMYFUNCTION("""COMPUTED_VALUE"""),22.61)</f>
        <v>22.61</v>
      </c>
      <c r="D300" s="1">
        <f>IFERROR(__xludf.DUMMYFUNCTION("""COMPUTED_VALUE"""),21.71)</f>
        <v>21.71</v>
      </c>
      <c r="E300" s="1">
        <f>IFERROR(__xludf.DUMMYFUNCTION("""COMPUTED_VALUE"""),22.45)</f>
        <v>22.45</v>
      </c>
      <c r="F300" s="1">
        <f>IFERROR(__xludf.DUMMYFUNCTION("""COMPUTED_VALUE"""),984040.0)</f>
        <v>984040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IFERROR(__xludf.DUMMYFUNCTION("""COMPUTED_VALUE"""),22.28)</f>
        <v>22.28</v>
      </c>
      <c r="C301" s="1">
        <f>IFERROR(__xludf.DUMMYFUNCTION("""COMPUTED_VALUE"""),23.54)</f>
        <v>23.54</v>
      </c>
      <c r="D301" s="1">
        <f>IFERROR(__xludf.DUMMYFUNCTION("""COMPUTED_VALUE"""),22.28)</f>
        <v>22.28</v>
      </c>
      <c r="E301" s="1">
        <f>IFERROR(__xludf.DUMMYFUNCTION("""COMPUTED_VALUE"""),23.51)</f>
        <v>23.51</v>
      </c>
      <c r="F301" s="1">
        <f>IFERROR(__xludf.DUMMYFUNCTION("""COMPUTED_VALUE"""),427716.0)</f>
        <v>427716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IFERROR(__xludf.DUMMYFUNCTION("""COMPUTED_VALUE"""),23.3)</f>
        <v>23.3</v>
      </c>
      <c r="C302" s="1">
        <f>IFERROR(__xludf.DUMMYFUNCTION("""COMPUTED_VALUE"""),23.9)</f>
        <v>23.9</v>
      </c>
      <c r="D302" s="1">
        <f>IFERROR(__xludf.DUMMYFUNCTION("""COMPUTED_VALUE"""),23.14)</f>
        <v>23.14</v>
      </c>
      <c r="E302" s="1">
        <f>IFERROR(__xludf.DUMMYFUNCTION("""COMPUTED_VALUE"""),23.41)</f>
        <v>23.41</v>
      </c>
      <c r="F302" s="1">
        <f>IFERROR(__xludf.DUMMYFUNCTION("""COMPUTED_VALUE"""),469802.0)</f>
        <v>469802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IFERROR(__xludf.DUMMYFUNCTION("""COMPUTED_VALUE"""),22.77)</f>
        <v>22.77</v>
      </c>
      <c r="C303" s="1">
        <f>IFERROR(__xludf.DUMMYFUNCTION("""COMPUTED_VALUE"""),23.58)</f>
        <v>23.58</v>
      </c>
      <c r="D303" s="1">
        <f>IFERROR(__xludf.DUMMYFUNCTION("""COMPUTED_VALUE"""),22.77)</f>
        <v>22.77</v>
      </c>
      <c r="E303" s="1">
        <f>IFERROR(__xludf.DUMMYFUNCTION("""COMPUTED_VALUE"""),23.2)</f>
        <v>23.2</v>
      </c>
      <c r="F303" s="1">
        <f>IFERROR(__xludf.DUMMYFUNCTION("""COMPUTED_VALUE"""),616887.0)</f>
        <v>616887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IFERROR(__xludf.DUMMYFUNCTION("""COMPUTED_VALUE"""),23.12)</f>
        <v>23.12</v>
      </c>
      <c r="C304" s="1">
        <f>IFERROR(__xludf.DUMMYFUNCTION("""COMPUTED_VALUE"""),23.75)</f>
        <v>23.75</v>
      </c>
      <c r="D304" s="1">
        <f>IFERROR(__xludf.DUMMYFUNCTION("""COMPUTED_VALUE"""),22.22)</f>
        <v>22.22</v>
      </c>
      <c r="E304" s="1">
        <f>IFERROR(__xludf.DUMMYFUNCTION("""COMPUTED_VALUE"""),22.82)</f>
        <v>22.82</v>
      </c>
      <c r="F304" s="1">
        <f>IFERROR(__xludf.DUMMYFUNCTION("""COMPUTED_VALUE"""),724489.0)</f>
        <v>724489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IFERROR(__xludf.DUMMYFUNCTION("""COMPUTED_VALUE"""),23.21)</f>
        <v>23.21</v>
      </c>
      <c r="C305" s="1">
        <f>IFERROR(__xludf.DUMMYFUNCTION("""COMPUTED_VALUE"""),23.43)</f>
        <v>23.43</v>
      </c>
      <c r="D305" s="1">
        <f>IFERROR(__xludf.DUMMYFUNCTION("""COMPUTED_VALUE"""),23.03)</f>
        <v>23.03</v>
      </c>
      <c r="E305" s="1">
        <f>IFERROR(__xludf.DUMMYFUNCTION("""COMPUTED_VALUE"""),23.13)</f>
        <v>23.13</v>
      </c>
      <c r="F305" s="1">
        <f>IFERROR(__xludf.DUMMYFUNCTION("""COMPUTED_VALUE"""),372939.0)</f>
        <v>372939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IFERROR(__xludf.DUMMYFUNCTION("""COMPUTED_VALUE"""),23.3)</f>
        <v>23.3</v>
      </c>
      <c r="C306" s="1">
        <f>IFERROR(__xludf.DUMMYFUNCTION("""COMPUTED_VALUE"""),23.35)</f>
        <v>23.35</v>
      </c>
      <c r="D306" s="1">
        <f>IFERROR(__xludf.DUMMYFUNCTION("""COMPUTED_VALUE"""),22.79)</f>
        <v>22.79</v>
      </c>
      <c r="E306" s="1">
        <f>IFERROR(__xludf.DUMMYFUNCTION("""COMPUTED_VALUE"""),22.91)</f>
        <v>22.91</v>
      </c>
      <c r="F306" s="1">
        <f>IFERROR(__xludf.DUMMYFUNCTION("""COMPUTED_VALUE"""),182172.0)</f>
        <v>182172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IFERROR(__xludf.DUMMYFUNCTION("""COMPUTED_VALUE"""),23.25)</f>
        <v>23.25</v>
      </c>
      <c r="C307" s="1">
        <f>IFERROR(__xludf.DUMMYFUNCTION("""COMPUTED_VALUE"""),24.33)</f>
        <v>24.33</v>
      </c>
      <c r="D307" s="1">
        <f>IFERROR(__xludf.DUMMYFUNCTION("""COMPUTED_VALUE"""),23.19)</f>
        <v>23.19</v>
      </c>
      <c r="E307" s="1">
        <f>IFERROR(__xludf.DUMMYFUNCTION("""COMPUTED_VALUE"""),24.29)</f>
        <v>24.29</v>
      </c>
      <c r="F307" s="1">
        <f>IFERROR(__xludf.DUMMYFUNCTION("""COMPUTED_VALUE"""),513657.0)</f>
        <v>513657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IFERROR(__xludf.DUMMYFUNCTION("""COMPUTED_VALUE"""),24.2)</f>
        <v>24.2</v>
      </c>
      <c r="C308" s="1">
        <f>IFERROR(__xludf.DUMMYFUNCTION("""COMPUTED_VALUE"""),24.45)</f>
        <v>24.45</v>
      </c>
      <c r="D308" s="1">
        <f>IFERROR(__xludf.DUMMYFUNCTION("""COMPUTED_VALUE"""),24.0)</f>
        <v>24</v>
      </c>
      <c r="E308" s="1">
        <f>IFERROR(__xludf.DUMMYFUNCTION("""COMPUTED_VALUE"""),24.37)</f>
        <v>24.37</v>
      </c>
      <c r="F308" s="1">
        <f>IFERROR(__xludf.DUMMYFUNCTION("""COMPUTED_VALUE"""),526099.0)</f>
        <v>526099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IFERROR(__xludf.DUMMYFUNCTION("""COMPUTED_VALUE"""),24.37)</f>
        <v>24.37</v>
      </c>
      <c r="C309" s="1">
        <f>IFERROR(__xludf.DUMMYFUNCTION("""COMPUTED_VALUE"""),24.83)</f>
        <v>24.83</v>
      </c>
      <c r="D309" s="1">
        <f>IFERROR(__xludf.DUMMYFUNCTION("""COMPUTED_VALUE"""),24.23)</f>
        <v>24.23</v>
      </c>
      <c r="E309" s="1">
        <f>IFERROR(__xludf.DUMMYFUNCTION("""COMPUTED_VALUE"""),24.74)</f>
        <v>24.74</v>
      </c>
      <c r="F309" s="1">
        <f>IFERROR(__xludf.DUMMYFUNCTION("""COMPUTED_VALUE"""),732009.0)</f>
        <v>732009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IFERROR(__xludf.DUMMYFUNCTION("""COMPUTED_VALUE"""),24.74)</f>
        <v>24.74</v>
      </c>
      <c r="C310" s="1">
        <f>IFERROR(__xludf.DUMMYFUNCTION("""COMPUTED_VALUE"""),25.21)</f>
        <v>25.21</v>
      </c>
      <c r="D310" s="1">
        <f>IFERROR(__xludf.DUMMYFUNCTION("""COMPUTED_VALUE"""),24.61)</f>
        <v>24.61</v>
      </c>
      <c r="E310" s="1">
        <f>IFERROR(__xludf.DUMMYFUNCTION("""COMPUTED_VALUE"""),24.7)</f>
        <v>24.7</v>
      </c>
      <c r="F310" s="1">
        <f>IFERROR(__xludf.DUMMYFUNCTION("""COMPUTED_VALUE"""),496746.0)</f>
        <v>496746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IFERROR(__xludf.DUMMYFUNCTION("""COMPUTED_VALUE"""),24.71)</f>
        <v>24.71</v>
      </c>
      <c r="C311" s="1">
        <f>IFERROR(__xludf.DUMMYFUNCTION("""COMPUTED_VALUE"""),24.79)</f>
        <v>24.79</v>
      </c>
      <c r="D311" s="1">
        <f>IFERROR(__xludf.DUMMYFUNCTION("""COMPUTED_VALUE"""),23.88)</f>
        <v>23.88</v>
      </c>
      <c r="E311" s="1">
        <f>IFERROR(__xludf.DUMMYFUNCTION("""COMPUTED_VALUE"""),24.49)</f>
        <v>24.49</v>
      </c>
      <c r="F311" s="1">
        <f>IFERROR(__xludf.DUMMYFUNCTION("""COMPUTED_VALUE"""),565957.0)</f>
        <v>565957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IFERROR(__xludf.DUMMYFUNCTION("""COMPUTED_VALUE"""),24.5)</f>
        <v>24.5</v>
      </c>
      <c r="C312" s="1">
        <f>IFERROR(__xludf.DUMMYFUNCTION("""COMPUTED_VALUE"""),24.8)</f>
        <v>24.8</v>
      </c>
      <c r="D312" s="1">
        <f>IFERROR(__xludf.DUMMYFUNCTION("""COMPUTED_VALUE"""),24.28)</f>
        <v>24.28</v>
      </c>
      <c r="E312" s="1">
        <f>IFERROR(__xludf.DUMMYFUNCTION("""COMPUTED_VALUE"""),24.37)</f>
        <v>24.37</v>
      </c>
      <c r="F312" s="1">
        <f>IFERROR(__xludf.DUMMYFUNCTION("""COMPUTED_VALUE"""),251220.0)</f>
        <v>251220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IFERROR(__xludf.DUMMYFUNCTION("""COMPUTED_VALUE"""),24.13)</f>
        <v>24.13</v>
      </c>
      <c r="C313" s="1">
        <f>IFERROR(__xludf.DUMMYFUNCTION("""COMPUTED_VALUE"""),24.84)</f>
        <v>24.84</v>
      </c>
      <c r="D313" s="1">
        <f>IFERROR(__xludf.DUMMYFUNCTION("""COMPUTED_VALUE"""),24.13)</f>
        <v>24.13</v>
      </c>
      <c r="E313" s="1">
        <f>IFERROR(__xludf.DUMMYFUNCTION("""COMPUTED_VALUE"""),24.73)</f>
        <v>24.73</v>
      </c>
      <c r="F313" s="1">
        <f>IFERROR(__xludf.DUMMYFUNCTION("""COMPUTED_VALUE"""),258376.0)</f>
        <v>258376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IFERROR(__xludf.DUMMYFUNCTION("""COMPUTED_VALUE"""),24.88)</f>
        <v>24.88</v>
      </c>
      <c r="C314" s="1">
        <f>IFERROR(__xludf.DUMMYFUNCTION("""COMPUTED_VALUE"""),25.3)</f>
        <v>25.3</v>
      </c>
      <c r="D314" s="1">
        <f>IFERROR(__xludf.DUMMYFUNCTION("""COMPUTED_VALUE"""),24.88)</f>
        <v>24.88</v>
      </c>
      <c r="E314" s="1">
        <f>IFERROR(__xludf.DUMMYFUNCTION("""COMPUTED_VALUE"""),25.0)</f>
        <v>25</v>
      </c>
      <c r="F314" s="1">
        <f>IFERROR(__xludf.DUMMYFUNCTION("""COMPUTED_VALUE"""),245854.0)</f>
        <v>245854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IFERROR(__xludf.DUMMYFUNCTION("""COMPUTED_VALUE"""),24.85)</f>
        <v>24.85</v>
      </c>
      <c r="C315" s="1">
        <f>IFERROR(__xludf.DUMMYFUNCTION("""COMPUTED_VALUE"""),25.3)</f>
        <v>25.3</v>
      </c>
      <c r="D315" s="1">
        <f>IFERROR(__xludf.DUMMYFUNCTION("""COMPUTED_VALUE"""),24.73)</f>
        <v>24.73</v>
      </c>
      <c r="E315" s="1">
        <f>IFERROR(__xludf.DUMMYFUNCTION("""COMPUTED_VALUE"""),25.02)</f>
        <v>25.02</v>
      </c>
      <c r="F315" s="1">
        <f>IFERROR(__xludf.DUMMYFUNCTION("""COMPUTED_VALUE"""),315812.0)</f>
        <v>315812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IFERROR(__xludf.DUMMYFUNCTION("""COMPUTED_VALUE"""),25.42)</f>
        <v>25.42</v>
      </c>
      <c r="C316" s="1">
        <f>IFERROR(__xludf.DUMMYFUNCTION("""COMPUTED_VALUE"""),26.11)</f>
        <v>26.11</v>
      </c>
      <c r="D316" s="1">
        <f>IFERROR(__xludf.DUMMYFUNCTION("""COMPUTED_VALUE"""),25.2)</f>
        <v>25.2</v>
      </c>
      <c r="E316" s="1">
        <f>IFERROR(__xludf.DUMMYFUNCTION("""COMPUTED_VALUE"""),25.9)</f>
        <v>25.9</v>
      </c>
      <c r="F316" s="1">
        <f>IFERROR(__xludf.DUMMYFUNCTION("""COMPUTED_VALUE"""),312991.0)</f>
        <v>312991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IFERROR(__xludf.DUMMYFUNCTION("""COMPUTED_VALUE"""),25.95)</f>
        <v>25.95</v>
      </c>
      <c r="C317" s="1">
        <f>IFERROR(__xludf.DUMMYFUNCTION("""COMPUTED_VALUE"""),26.11)</f>
        <v>26.11</v>
      </c>
      <c r="D317" s="1">
        <f>IFERROR(__xludf.DUMMYFUNCTION("""COMPUTED_VALUE"""),25.57)</f>
        <v>25.57</v>
      </c>
      <c r="E317" s="1">
        <f>IFERROR(__xludf.DUMMYFUNCTION("""COMPUTED_VALUE"""),25.97)</f>
        <v>25.97</v>
      </c>
      <c r="F317" s="1">
        <f>IFERROR(__xludf.DUMMYFUNCTION("""COMPUTED_VALUE"""),165671.0)</f>
        <v>165671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IFERROR(__xludf.DUMMYFUNCTION("""COMPUTED_VALUE"""),25.87)</f>
        <v>25.87</v>
      </c>
      <c r="C318" s="1">
        <f>IFERROR(__xludf.DUMMYFUNCTION("""COMPUTED_VALUE"""),26.41)</f>
        <v>26.41</v>
      </c>
      <c r="D318" s="1">
        <f>IFERROR(__xludf.DUMMYFUNCTION("""COMPUTED_VALUE"""),25.77)</f>
        <v>25.77</v>
      </c>
      <c r="E318" s="1">
        <f>IFERROR(__xludf.DUMMYFUNCTION("""COMPUTED_VALUE"""),26.27)</f>
        <v>26.27</v>
      </c>
      <c r="F318" s="1">
        <f>IFERROR(__xludf.DUMMYFUNCTION("""COMPUTED_VALUE"""),364624.0)</f>
        <v>364624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IFERROR(__xludf.DUMMYFUNCTION("""COMPUTED_VALUE"""),27.06)</f>
        <v>27.06</v>
      </c>
      <c r="C319" s="1">
        <f>IFERROR(__xludf.DUMMYFUNCTION("""COMPUTED_VALUE"""),28.96)</f>
        <v>28.96</v>
      </c>
      <c r="D319" s="1">
        <f>IFERROR(__xludf.DUMMYFUNCTION("""COMPUTED_VALUE"""),27.01)</f>
        <v>27.01</v>
      </c>
      <c r="E319" s="1">
        <f>IFERROR(__xludf.DUMMYFUNCTION("""COMPUTED_VALUE"""),28.83)</f>
        <v>28.83</v>
      </c>
      <c r="F319" s="1">
        <f>IFERROR(__xludf.DUMMYFUNCTION("""COMPUTED_VALUE"""),1271445.0)</f>
        <v>1271445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IFERROR(__xludf.DUMMYFUNCTION("""COMPUTED_VALUE"""),28.75)</f>
        <v>28.75</v>
      </c>
      <c r="C320" s="1">
        <f>IFERROR(__xludf.DUMMYFUNCTION("""COMPUTED_VALUE"""),29.99)</f>
        <v>29.99</v>
      </c>
      <c r="D320" s="1">
        <f>IFERROR(__xludf.DUMMYFUNCTION("""COMPUTED_VALUE"""),28.65)</f>
        <v>28.65</v>
      </c>
      <c r="E320" s="1">
        <f>IFERROR(__xludf.DUMMYFUNCTION("""COMPUTED_VALUE"""),29.96)</f>
        <v>29.96</v>
      </c>
      <c r="F320" s="1">
        <f>IFERROR(__xludf.DUMMYFUNCTION("""COMPUTED_VALUE"""),887566.0)</f>
        <v>887566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IFERROR(__xludf.DUMMYFUNCTION("""COMPUTED_VALUE"""),29.87)</f>
        <v>29.87</v>
      </c>
      <c r="C321" s="1">
        <f>IFERROR(__xludf.DUMMYFUNCTION("""COMPUTED_VALUE"""),30.05)</f>
        <v>30.05</v>
      </c>
      <c r="D321" s="1">
        <f>IFERROR(__xludf.DUMMYFUNCTION("""COMPUTED_VALUE"""),29.2)</f>
        <v>29.2</v>
      </c>
      <c r="E321" s="1">
        <f>IFERROR(__xludf.DUMMYFUNCTION("""COMPUTED_VALUE"""),29.52)</f>
        <v>29.52</v>
      </c>
      <c r="F321" s="1">
        <f>IFERROR(__xludf.DUMMYFUNCTION("""COMPUTED_VALUE"""),752958.0)</f>
        <v>752958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IFERROR(__xludf.DUMMYFUNCTION("""COMPUTED_VALUE"""),29.58)</f>
        <v>29.58</v>
      </c>
      <c r="C322" s="1">
        <f>IFERROR(__xludf.DUMMYFUNCTION("""COMPUTED_VALUE"""),29.58)</f>
        <v>29.58</v>
      </c>
      <c r="D322" s="1">
        <f>IFERROR(__xludf.DUMMYFUNCTION("""COMPUTED_VALUE"""),28.88)</f>
        <v>28.88</v>
      </c>
      <c r="E322" s="1">
        <f>IFERROR(__xludf.DUMMYFUNCTION("""COMPUTED_VALUE"""),28.95)</f>
        <v>28.95</v>
      </c>
      <c r="F322" s="1">
        <f>IFERROR(__xludf.DUMMYFUNCTION("""COMPUTED_VALUE"""),273295.0)</f>
        <v>273295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IFERROR(__xludf.DUMMYFUNCTION("""COMPUTED_VALUE"""),28.9)</f>
        <v>28.9</v>
      </c>
      <c r="C323" s="1">
        <f>IFERROR(__xludf.DUMMYFUNCTION("""COMPUTED_VALUE"""),28.96)</f>
        <v>28.96</v>
      </c>
      <c r="D323" s="1">
        <f>IFERROR(__xludf.DUMMYFUNCTION("""COMPUTED_VALUE"""),27.86)</f>
        <v>27.86</v>
      </c>
      <c r="E323" s="1">
        <f>IFERROR(__xludf.DUMMYFUNCTION("""COMPUTED_VALUE"""),28.23)</f>
        <v>28.23</v>
      </c>
      <c r="F323" s="1">
        <f>IFERROR(__xludf.DUMMYFUNCTION("""COMPUTED_VALUE"""),421649.0)</f>
        <v>421649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IFERROR(__xludf.DUMMYFUNCTION("""COMPUTED_VALUE"""),28.41)</f>
        <v>28.41</v>
      </c>
      <c r="C324" s="1">
        <f>IFERROR(__xludf.DUMMYFUNCTION("""COMPUTED_VALUE"""),28.58)</f>
        <v>28.58</v>
      </c>
      <c r="D324" s="1">
        <f>IFERROR(__xludf.DUMMYFUNCTION("""COMPUTED_VALUE"""),28.15)</f>
        <v>28.15</v>
      </c>
      <c r="E324" s="1">
        <f>IFERROR(__xludf.DUMMYFUNCTION("""COMPUTED_VALUE"""),28.45)</f>
        <v>28.45</v>
      </c>
      <c r="F324" s="1">
        <f>IFERROR(__xludf.DUMMYFUNCTION("""COMPUTED_VALUE"""),267917.0)</f>
        <v>267917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IFERROR(__xludf.DUMMYFUNCTION("""COMPUTED_VALUE"""),28.31)</f>
        <v>28.31</v>
      </c>
      <c r="C325" s="1">
        <f>IFERROR(__xludf.DUMMYFUNCTION("""COMPUTED_VALUE"""),29.15)</f>
        <v>29.15</v>
      </c>
      <c r="D325" s="1">
        <f>IFERROR(__xludf.DUMMYFUNCTION("""COMPUTED_VALUE"""),28.25)</f>
        <v>28.25</v>
      </c>
      <c r="E325" s="1">
        <f>IFERROR(__xludf.DUMMYFUNCTION("""COMPUTED_VALUE"""),28.81)</f>
        <v>28.81</v>
      </c>
      <c r="F325" s="1">
        <f>IFERROR(__xludf.DUMMYFUNCTION("""COMPUTED_VALUE"""),343391.0)</f>
        <v>343391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IFERROR(__xludf.DUMMYFUNCTION("""COMPUTED_VALUE"""),28.78)</f>
        <v>28.78</v>
      </c>
      <c r="C326" s="1">
        <f>IFERROR(__xludf.DUMMYFUNCTION("""COMPUTED_VALUE"""),29.55)</f>
        <v>29.55</v>
      </c>
      <c r="D326" s="1">
        <f>IFERROR(__xludf.DUMMYFUNCTION("""COMPUTED_VALUE"""),28.57)</f>
        <v>28.57</v>
      </c>
      <c r="E326" s="1">
        <f>IFERROR(__xludf.DUMMYFUNCTION("""COMPUTED_VALUE"""),29.17)</f>
        <v>29.17</v>
      </c>
      <c r="F326" s="1">
        <f>IFERROR(__xludf.DUMMYFUNCTION("""COMPUTED_VALUE"""),348167.0)</f>
        <v>348167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IFERROR(__xludf.DUMMYFUNCTION("""COMPUTED_VALUE"""),28.94)</f>
        <v>28.94</v>
      </c>
      <c r="C327" s="1">
        <f>IFERROR(__xludf.DUMMYFUNCTION("""COMPUTED_VALUE"""),29.21)</f>
        <v>29.21</v>
      </c>
      <c r="D327" s="1">
        <f>IFERROR(__xludf.DUMMYFUNCTION("""COMPUTED_VALUE"""),28.63)</f>
        <v>28.63</v>
      </c>
      <c r="E327" s="1">
        <f>IFERROR(__xludf.DUMMYFUNCTION("""COMPUTED_VALUE"""),29.08)</f>
        <v>29.08</v>
      </c>
      <c r="F327" s="1">
        <f>IFERROR(__xludf.DUMMYFUNCTION("""COMPUTED_VALUE"""),226184.0)</f>
        <v>226184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IFERROR(__xludf.DUMMYFUNCTION("""COMPUTED_VALUE"""),29.0)</f>
        <v>29</v>
      </c>
      <c r="C328" s="1">
        <f>IFERROR(__xludf.DUMMYFUNCTION("""COMPUTED_VALUE"""),29.39)</f>
        <v>29.39</v>
      </c>
      <c r="D328" s="1">
        <f>IFERROR(__xludf.DUMMYFUNCTION("""COMPUTED_VALUE"""),28.81)</f>
        <v>28.81</v>
      </c>
      <c r="E328" s="1">
        <f>IFERROR(__xludf.DUMMYFUNCTION("""COMPUTED_VALUE"""),29.07)</f>
        <v>29.07</v>
      </c>
      <c r="F328" s="1">
        <f>IFERROR(__xludf.DUMMYFUNCTION("""COMPUTED_VALUE"""),212024.0)</f>
        <v>212024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IFERROR(__xludf.DUMMYFUNCTION("""COMPUTED_VALUE"""),29.18)</f>
        <v>29.18</v>
      </c>
      <c r="C329" s="1">
        <f>IFERROR(__xludf.DUMMYFUNCTION("""COMPUTED_VALUE"""),29.75)</f>
        <v>29.75</v>
      </c>
      <c r="D329" s="1">
        <f>IFERROR(__xludf.DUMMYFUNCTION("""COMPUTED_VALUE"""),29.15)</f>
        <v>29.15</v>
      </c>
      <c r="E329" s="1">
        <f>IFERROR(__xludf.DUMMYFUNCTION("""COMPUTED_VALUE"""),29.68)</f>
        <v>29.68</v>
      </c>
      <c r="F329" s="1">
        <f>IFERROR(__xludf.DUMMYFUNCTION("""COMPUTED_VALUE"""),325195.0)</f>
        <v>325195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IFERROR(__xludf.DUMMYFUNCTION("""COMPUTED_VALUE"""),29.86)</f>
        <v>29.86</v>
      </c>
      <c r="C330" s="1">
        <f>IFERROR(__xludf.DUMMYFUNCTION("""COMPUTED_VALUE"""),29.99)</f>
        <v>29.99</v>
      </c>
      <c r="D330" s="1">
        <f>IFERROR(__xludf.DUMMYFUNCTION("""COMPUTED_VALUE"""),29.28)</f>
        <v>29.28</v>
      </c>
      <c r="E330" s="1">
        <f>IFERROR(__xludf.DUMMYFUNCTION("""COMPUTED_VALUE"""),29.47)</f>
        <v>29.47</v>
      </c>
      <c r="F330" s="1">
        <f>IFERROR(__xludf.DUMMYFUNCTION("""COMPUTED_VALUE"""),208945.0)</f>
        <v>208945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IFERROR(__xludf.DUMMYFUNCTION("""COMPUTED_VALUE"""),29.66)</f>
        <v>29.66</v>
      </c>
      <c r="C331" s="1">
        <f>IFERROR(__xludf.DUMMYFUNCTION("""COMPUTED_VALUE"""),29.94)</f>
        <v>29.94</v>
      </c>
      <c r="D331" s="1">
        <f>IFERROR(__xludf.DUMMYFUNCTION("""COMPUTED_VALUE"""),29.44)</f>
        <v>29.44</v>
      </c>
      <c r="E331" s="1">
        <f>IFERROR(__xludf.DUMMYFUNCTION("""COMPUTED_VALUE"""),29.58)</f>
        <v>29.58</v>
      </c>
      <c r="F331" s="1">
        <f>IFERROR(__xludf.DUMMYFUNCTION("""COMPUTED_VALUE"""),116715.0)</f>
        <v>116715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IFERROR(__xludf.DUMMYFUNCTION("""COMPUTED_VALUE"""),29.57)</f>
        <v>29.57</v>
      </c>
      <c r="C332" s="1">
        <f>IFERROR(__xludf.DUMMYFUNCTION("""COMPUTED_VALUE"""),30.48)</f>
        <v>30.48</v>
      </c>
      <c r="D332" s="1">
        <f>IFERROR(__xludf.DUMMYFUNCTION("""COMPUTED_VALUE"""),29.54)</f>
        <v>29.54</v>
      </c>
      <c r="E332" s="1">
        <f>IFERROR(__xludf.DUMMYFUNCTION("""COMPUTED_VALUE"""),29.68)</f>
        <v>29.68</v>
      </c>
      <c r="F332" s="1">
        <f>IFERROR(__xludf.DUMMYFUNCTION("""COMPUTED_VALUE"""),343726.0)</f>
        <v>343726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IFERROR(__xludf.DUMMYFUNCTION("""COMPUTED_VALUE"""),30.76)</f>
        <v>30.76</v>
      </c>
      <c r="C333" s="1">
        <f>IFERROR(__xludf.DUMMYFUNCTION("""COMPUTED_VALUE"""),32.97)</f>
        <v>32.97</v>
      </c>
      <c r="D333" s="1">
        <f>IFERROR(__xludf.DUMMYFUNCTION("""COMPUTED_VALUE"""),30.65)</f>
        <v>30.65</v>
      </c>
      <c r="E333" s="1">
        <f>IFERROR(__xludf.DUMMYFUNCTION("""COMPUTED_VALUE"""),32.05)</f>
        <v>32.05</v>
      </c>
      <c r="F333" s="1">
        <f>IFERROR(__xludf.DUMMYFUNCTION("""COMPUTED_VALUE"""),1228795.0)</f>
        <v>1228795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IFERROR(__xludf.DUMMYFUNCTION("""COMPUTED_VALUE"""),31.99)</f>
        <v>31.99</v>
      </c>
      <c r="C334" s="1">
        <f>IFERROR(__xludf.DUMMYFUNCTION("""COMPUTED_VALUE"""),32.25)</f>
        <v>32.25</v>
      </c>
      <c r="D334" s="1">
        <f>IFERROR(__xludf.DUMMYFUNCTION("""COMPUTED_VALUE"""),31.21)</f>
        <v>31.21</v>
      </c>
      <c r="E334" s="1">
        <f>IFERROR(__xludf.DUMMYFUNCTION("""COMPUTED_VALUE"""),31.31)</f>
        <v>31.31</v>
      </c>
      <c r="F334" s="1">
        <f>IFERROR(__xludf.DUMMYFUNCTION("""COMPUTED_VALUE"""),418594.0)</f>
        <v>418594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IFERROR(__xludf.DUMMYFUNCTION("""COMPUTED_VALUE"""),31.37)</f>
        <v>31.37</v>
      </c>
      <c r="C335" s="1">
        <f>IFERROR(__xludf.DUMMYFUNCTION("""COMPUTED_VALUE"""),31.46)</f>
        <v>31.46</v>
      </c>
      <c r="D335" s="1">
        <f>IFERROR(__xludf.DUMMYFUNCTION("""COMPUTED_VALUE"""),30.82)</f>
        <v>30.82</v>
      </c>
      <c r="E335" s="1">
        <f>IFERROR(__xludf.DUMMYFUNCTION("""COMPUTED_VALUE"""),31.2)</f>
        <v>31.2</v>
      </c>
      <c r="F335" s="1">
        <f>IFERROR(__xludf.DUMMYFUNCTION("""COMPUTED_VALUE"""),182363.0)</f>
        <v>182363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IFERROR(__xludf.DUMMYFUNCTION("""COMPUTED_VALUE"""),31.22)</f>
        <v>31.22</v>
      </c>
      <c r="C336" s="1">
        <f>IFERROR(__xludf.DUMMYFUNCTION("""COMPUTED_VALUE"""),31.95)</f>
        <v>31.95</v>
      </c>
      <c r="D336" s="1">
        <f>IFERROR(__xludf.DUMMYFUNCTION("""COMPUTED_VALUE"""),31.2)</f>
        <v>31.2</v>
      </c>
      <c r="E336" s="1">
        <f>IFERROR(__xludf.DUMMYFUNCTION("""COMPUTED_VALUE"""),31.4)</f>
        <v>31.4</v>
      </c>
      <c r="F336" s="1">
        <f>IFERROR(__xludf.DUMMYFUNCTION("""COMPUTED_VALUE"""),185299.0)</f>
        <v>185299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IFERROR(__xludf.DUMMYFUNCTION("""COMPUTED_VALUE"""),31.25)</f>
        <v>31.25</v>
      </c>
      <c r="C337" s="1">
        <f>IFERROR(__xludf.DUMMYFUNCTION("""COMPUTED_VALUE"""),31.35)</f>
        <v>31.35</v>
      </c>
      <c r="D337" s="1">
        <f>IFERROR(__xludf.DUMMYFUNCTION("""COMPUTED_VALUE"""),29.97)</f>
        <v>29.97</v>
      </c>
      <c r="E337" s="1">
        <f>IFERROR(__xludf.DUMMYFUNCTION("""COMPUTED_VALUE"""),30.34)</f>
        <v>30.34</v>
      </c>
      <c r="F337" s="1">
        <f>IFERROR(__xludf.DUMMYFUNCTION("""COMPUTED_VALUE"""),229226.0)</f>
        <v>229226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IFERROR(__xludf.DUMMYFUNCTION("""COMPUTED_VALUE"""),30.38)</f>
        <v>30.38</v>
      </c>
      <c r="C338" s="1">
        <f>IFERROR(__xludf.DUMMYFUNCTION("""COMPUTED_VALUE"""),30.64)</f>
        <v>30.64</v>
      </c>
      <c r="D338" s="1">
        <f>IFERROR(__xludf.DUMMYFUNCTION("""COMPUTED_VALUE"""),28.93)</f>
        <v>28.93</v>
      </c>
      <c r="E338" s="1">
        <f>IFERROR(__xludf.DUMMYFUNCTION("""COMPUTED_VALUE"""),30.1)</f>
        <v>30.1</v>
      </c>
      <c r="F338" s="1">
        <f>IFERROR(__xludf.DUMMYFUNCTION("""COMPUTED_VALUE"""),500097.0)</f>
        <v>500097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IFERROR(__xludf.DUMMYFUNCTION("""COMPUTED_VALUE"""),30.0)</f>
        <v>30</v>
      </c>
      <c r="C339" s="1">
        <f>IFERROR(__xludf.DUMMYFUNCTION("""COMPUTED_VALUE"""),30.3)</f>
        <v>30.3</v>
      </c>
      <c r="D339" s="1">
        <f>IFERROR(__xludf.DUMMYFUNCTION("""COMPUTED_VALUE"""),29.45)</f>
        <v>29.45</v>
      </c>
      <c r="E339" s="1">
        <f>IFERROR(__xludf.DUMMYFUNCTION("""COMPUTED_VALUE"""),29.58)</f>
        <v>29.58</v>
      </c>
      <c r="F339" s="1">
        <f>IFERROR(__xludf.DUMMYFUNCTION("""COMPUTED_VALUE"""),420109.0)</f>
        <v>420109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IFERROR(__xludf.DUMMYFUNCTION("""COMPUTED_VALUE"""),30.02)</f>
        <v>30.02</v>
      </c>
      <c r="C340" s="1">
        <f>IFERROR(__xludf.DUMMYFUNCTION("""COMPUTED_VALUE"""),30.21)</f>
        <v>30.21</v>
      </c>
      <c r="D340" s="1">
        <f>IFERROR(__xludf.DUMMYFUNCTION("""COMPUTED_VALUE"""),29.5)</f>
        <v>29.5</v>
      </c>
      <c r="E340" s="1">
        <f>IFERROR(__xludf.DUMMYFUNCTION("""COMPUTED_VALUE"""),29.81)</f>
        <v>29.81</v>
      </c>
      <c r="F340" s="1">
        <f>IFERROR(__xludf.DUMMYFUNCTION("""COMPUTED_VALUE"""),159632.0)</f>
        <v>159632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IFERROR(__xludf.DUMMYFUNCTION("""COMPUTED_VALUE"""),29.81)</f>
        <v>29.81</v>
      </c>
      <c r="C341" s="1">
        <f>IFERROR(__xludf.DUMMYFUNCTION("""COMPUTED_VALUE"""),30.03)</f>
        <v>30.03</v>
      </c>
      <c r="D341" s="1">
        <f>IFERROR(__xludf.DUMMYFUNCTION("""COMPUTED_VALUE"""),29.54)</f>
        <v>29.54</v>
      </c>
      <c r="E341" s="1">
        <f>IFERROR(__xludf.DUMMYFUNCTION("""COMPUTED_VALUE"""),29.95)</f>
        <v>29.95</v>
      </c>
      <c r="F341" s="1">
        <f>IFERROR(__xludf.DUMMYFUNCTION("""COMPUTED_VALUE"""),134017.0)</f>
        <v>134017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IFERROR(__xludf.DUMMYFUNCTION("""COMPUTED_VALUE"""),30.16)</f>
        <v>30.16</v>
      </c>
      <c r="C342" s="1">
        <f>IFERROR(__xludf.DUMMYFUNCTION("""COMPUTED_VALUE"""),30.2)</f>
        <v>30.2</v>
      </c>
      <c r="D342" s="1">
        <f>IFERROR(__xludf.DUMMYFUNCTION("""COMPUTED_VALUE"""),29.67)</f>
        <v>29.67</v>
      </c>
      <c r="E342" s="1">
        <f>IFERROR(__xludf.DUMMYFUNCTION("""COMPUTED_VALUE"""),30.0)</f>
        <v>30</v>
      </c>
      <c r="F342" s="1">
        <f>IFERROR(__xludf.DUMMYFUNCTION("""COMPUTED_VALUE"""),93845.0)</f>
        <v>93845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IFERROR(__xludf.DUMMYFUNCTION("""COMPUTED_VALUE"""),30.0)</f>
        <v>30</v>
      </c>
      <c r="C343" s="1">
        <f>IFERROR(__xludf.DUMMYFUNCTION("""COMPUTED_VALUE"""),30.48)</f>
        <v>30.48</v>
      </c>
      <c r="D343" s="1">
        <f>IFERROR(__xludf.DUMMYFUNCTION("""COMPUTED_VALUE"""),29.52)</f>
        <v>29.52</v>
      </c>
      <c r="E343" s="1">
        <f>IFERROR(__xludf.DUMMYFUNCTION("""COMPUTED_VALUE"""),29.88)</f>
        <v>29.88</v>
      </c>
      <c r="F343" s="1">
        <f>IFERROR(__xludf.DUMMYFUNCTION("""COMPUTED_VALUE"""),299192.0)</f>
        <v>299192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IFERROR(__xludf.DUMMYFUNCTION("""COMPUTED_VALUE"""),29.63)</f>
        <v>29.63</v>
      </c>
      <c r="C344" s="1">
        <f>IFERROR(__xludf.DUMMYFUNCTION("""COMPUTED_VALUE"""),31.12)</f>
        <v>31.12</v>
      </c>
      <c r="D344" s="1">
        <f>IFERROR(__xludf.DUMMYFUNCTION("""COMPUTED_VALUE"""),29.54)</f>
        <v>29.54</v>
      </c>
      <c r="E344" s="1">
        <f>IFERROR(__xludf.DUMMYFUNCTION("""COMPUTED_VALUE"""),30.89)</f>
        <v>30.89</v>
      </c>
      <c r="F344" s="1">
        <f>IFERROR(__xludf.DUMMYFUNCTION("""COMPUTED_VALUE"""),236985.0)</f>
        <v>236985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IFERROR(__xludf.DUMMYFUNCTION("""COMPUTED_VALUE"""),30.75)</f>
        <v>30.75</v>
      </c>
      <c r="C345" s="1">
        <f>IFERROR(__xludf.DUMMYFUNCTION("""COMPUTED_VALUE"""),30.89)</f>
        <v>30.89</v>
      </c>
      <c r="D345" s="1">
        <f>IFERROR(__xludf.DUMMYFUNCTION("""COMPUTED_VALUE"""),29.98)</f>
        <v>29.98</v>
      </c>
      <c r="E345" s="1">
        <f>IFERROR(__xludf.DUMMYFUNCTION("""COMPUTED_VALUE"""),30.1)</f>
        <v>30.1</v>
      </c>
      <c r="F345" s="1">
        <f>IFERROR(__xludf.DUMMYFUNCTION("""COMPUTED_VALUE"""),233914.0)</f>
        <v>233914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IFERROR(__xludf.DUMMYFUNCTION("""COMPUTED_VALUE"""),29.84)</f>
        <v>29.84</v>
      </c>
      <c r="C346" s="1">
        <f>IFERROR(__xludf.DUMMYFUNCTION("""COMPUTED_VALUE"""),30.18)</f>
        <v>30.18</v>
      </c>
      <c r="D346" s="1">
        <f>IFERROR(__xludf.DUMMYFUNCTION("""COMPUTED_VALUE"""),29.7)</f>
        <v>29.7</v>
      </c>
      <c r="E346" s="1">
        <f>IFERROR(__xludf.DUMMYFUNCTION("""COMPUTED_VALUE"""),29.78)</f>
        <v>29.78</v>
      </c>
      <c r="F346" s="1">
        <f>IFERROR(__xludf.DUMMYFUNCTION("""COMPUTED_VALUE"""),177133.0)</f>
        <v>177133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IFERROR(__xludf.DUMMYFUNCTION("""COMPUTED_VALUE"""),29.6)</f>
        <v>29.6</v>
      </c>
      <c r="C347" s="1">
        <f>IFERROR(__xludf.DUMMYFUNCTION("""COMPUTED_VALUE"""),29.92)</f>
        <v>29.92</v>
      </c>
      <c r="D347" s="1">
        <f>IFERROR(__xludf.DUMMYFUNCTION("""COMPUTED_VALUE"""),28.7)</f>
        <v>28.7</v>
      </c>
      <c r="E347" s="1">
        <f>IFERROR(__xludf.DUMMYFUNCTION("""COMPUTED_VALUE"""),29.0)</f>
        <v>29</v>
      </c>
      <c r="F347" s="1">
        <f>IFERROR(__xludf.DUMMYFUNCTION("""COMPUTED_VALUE"""),319649.0)</f>
        <v>319649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IFERROR(__xludf.DUMMYFUNCTION("""COMPUTED_VALUE"""),28.97)</f>
        <v>28.97</v>
      </c>
      <c r="C348" s="1">
        <f>IFERROR(__xludf.DUMMYFUNCTION("""COMPUTED_VALUE"""),30.27)</f>
        <v>30.27</v>
      </c>
      <c r="D348" s="1">
        <f>IFERROR(__xludf.DUMMYFUNCTION("""COMPUTED_VALUE"""),28.97)</f>
        <v>28.97</v>
      </c>
      <c r="E348" s="1">
        <f>IFERROR(__xludf.DUMMYFUNCTION("""COMPUTED_VALUE"""),30.22)</f>
        <v>30.22</v>
      </c>
      <c r="F348" s="1">
        <f>IFERROR(__xludf.DUMMYFUNCTION("""COMPUTED_VALUE"""),434820.0)</f>
        <v>434820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IFERROR(__xludf.DUMMYFUNCTION("""COMPUTED_VALUE"""),30.1)</f>
        <v>30.1</v>
      </c>
      <c r="C349" s="1">
        <f>IFERROR(__xludf.DUMMYFUNCTION("""COMPUTED_VALUE"""),30.84)</f>
        <v>30.84</v>
      </c>
      <c r="D349" s="1">
        <f>IFERROR(__xludf.DUMMYFUNCTION("""COMPUTED_VALUE"""),30.09)</f>
        <v>30.09</v>
      </c>
      <c r="E349" s="1">
        <f>IFERROR(__xludf.DUMMYFUNCTION("""COMPUTED_VALUE"""),30.26)</f>
        <v>30.26</v>
      </c>
      <c r="F349" s="1">
        <f>IFERROR(__xludf.DUMMYFUNCTION("""COMPUTED_VALUE"""),311189.0)</f>
        <v>311189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IFERROR(__xludf.DUMMYFUNCTION("""COMPUTED_VALUE"""),30.32)</f>
        <v>30.32</v>
      </c>
      <c r="C350" s="1">
        <f>IFERROR(__xludf.DUMMYFUNCTION("""COMPUTED_VALUE"""),30.32)</f>
        <v>30.32</v>
      </c>
      <c r="D350" s="1">
        <f>IFERROR(__xludf.DUMMYFUNCTION("""COMPUTED_VALUE"""),29.94)</f>
        <v>29.94</v>
      </c>
      <c r="E350" s="1">
        <f>IFERROR(__xludf.DUMMYFUNCTION("""COMPUTED_VALUE"""),30.07)</f>
        <v>30.07</v>
      </c>
      <c r="F350" s="1">
        <f>IFERROR(__xludf.DUMMYFUNCTION("""COMPUTED_VALUE"""),233850.0)</f>
        <v>233850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IFERROR(__xludf.DUMMYFUNCTION("""COMPUTED_VALUE"""),29.75)</f>
        <v>29.75</v>
      </c>
      <c r="C351" s="1">
        <f>IFERROR(__xludf.DUMMYFUNCTION("""COMPUTED_VALUE"""),29.83)</f>
        <v>29.83</v>
      </c>
      <c r="D351" s="1">
        <f>IFERROR(__xludf.DUMMYFUNCTION("""COMPUTED_VALUE"""),28.92)</f>
        <v>28.92</v>
      </c>
      <c r="E351" s="1">
        <f>IFERROR(__xludf.DUMMYFUNCTION("""COMPUTED_VALUE"""),29.06)</f>
        <v>29.06</v>
      </c>
      <c r="F351" s="1">
        <f>IFERROR(__xludf.DUMMYFUNCTION("""COMPUTED_VALUE"""),342170.0)</f>
        <v>342170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IFERROR(__xludf.DUMMYFUNCTION("""COMPUTED_VALUE"""),29.21)</f>
        <v>29.21</v>
      </c>
      <c r="C352" s="1">
        <f>IFERROR(__xludf.DUMMYFUNCTION("""COMPUTED_VALUE"""),29.45)</f>
        <v>29.45</v>
      </c>
      <c r="D352" s="1">
        <f>IFERROR(__xludf.DUMMYFUNCTION("""COMPUTED_VALUE"""),28.94)</f>
        <v>28.94</v>
      </c>
      <c r="E352" s="1">
        <f>IFERROR(__xludf.DUMMYFUNCTION("""COMPUTED_VALUE"""),29.01)</f>
        <v>29.01</v>
      </c>
      <c r="F352" s="1">
        <f>IFERROR(__xludf.DUMMYFUNCTION("""COMPUTED_VALUE"""),233249.0)</f>
        <v>233249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IFERROR(__xludf.DUMMYFUNCTION("""COMPUTED_VALUE"""),29.08)</f>
        <v>29.08</v>
      </c>
      <c r="C353" s="1">
        <f>IFERROR(__xludf.DUMMYFUNCTION("""COMPUTED_VALUE"""),29.21)</f>
        <v>29.21</v>
      </c>
      <c r="D353" s="1">
        <f>IFERROR(__xludf.DUMMYFUNCTION("""COMPUTED_VALUE"""),28.77)</f>
        <v>28.77</v>
      </c>
      <c r="E353" s="1">
        <f>IFERROR(__xludf.DUMMYFUNCTION("""COMPUTED_VALUE"""),28.89)</f>
        <v>28.89</v>
      </c>
      <c r="F353" s="1">
        <f>IFERROR(__xludf.DUMMYFUNCTION("""COMPUTED_VALUE"""),151492.0)</f>
        <v>151492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IFERROR(__xludf.DUMMYFUNCTION("""COMPUTED_VALUE"""),28.91)</f>
        <v>28.91</v>
      </c>
      <c r="C354" s="1">
        <f>IFERROR(__xludf.DUMMYFUNCTION("""COMPUTED_VALUE"""),28.96)</f>
        <v>28.96</v>
      </c>
      <c r="D354" s="1">
        <f>IFERROR(__xludf.DUMMYFUNCTION("""COMPUTED_VALUE"""),28.61)</f>
        <v>28.61</v>
      </c>
      <c r="E354" s="1">
        <f>IFERROR(__xludf.DUMMYFUNCTION("""COMPUTED_VALUE"""),28.73)</f>
        <v>28.73</v>
      </c>
      <c r="F354" s="1">
        <f>IFERROR(__xludf.DUMMYFUNCTION("""COMPUTED_VALUE"""),106574.0)</f>
        <v>106574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IFERROR(__xludf.DUMMYFUNCTION("""COMPUTED_VALUE"""),28.84)</f>
        <v>28.84</v>
      </c>
      <c r="C355" s="1">
        <f>IFERROR(__xludf.DUMMYFUNCTION("""COMPUTED_VALUE"""),29.32)</f>
        <v>29.32</v>
      </c>
      <c r="D355" s="1">
        <f>IFERROR(__xludf.DUMMYFUNCTION("""COMPUTED_VALUE"""),28.47)</f>
        <v>28.47</v>
      </c>
      <c r="E355" s="1">
        <f>IFERROR(__xludf.DUMMYFUNCTION("""COMPUTED_VALUE"""),29.31)</f>
        <v>29.31</v>
      </c>
      <c r="F355" s="1">
        <f>IFERROR(__xludf.DUMMYFUNCTION("""COMPUTED_VALUE"""),177146.0)</f>
        <v>177146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IFERROR(__xludf.DUMMYFUNCTION("""COMPUTED_VALUE"""),29.55)</f>
        <v>29.55</v>
      </c>
      <c r="C356" s="1">
        <f>IFERROR(__xludf.DUMMYFUNCTION("""COMPUTED_VALUE"""),29.67)</f>
        <v>29.67</v>
      </c>
      <c r="D356" s="1">
        <f>IFERROR(__xludf.DUMMYFUNCTION("""COMPUTED_VALUE"""),28.68)</f>
        <v>28.68</v>
      </c>
      <c r="E356" s="1">
        <f>IFERROR(__xludf.DUMMYFUNCTION("""COMPUTED_VALUE"""),28.96)</f>
        <v>28.96</v>
      </c>
      <c r="F356" s="1">
        <f>IFERROR(__xludf.DUMMYFUNCTION("""COMPUTED_VALUE"""),301195.0)</f>
        <v>301195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IFERROR(__xludf.DUMMYFUNCTION("""COMPUTED_VALUE"""),28.69)</f>
        <v>28.69</v>
      </c>
      <c r="C357" s="1">
        <f>IFERROR(__xludf.DUMMYFUNCTION("""COMPUTED_VALUE"""),28.92)</f>
        <v>28.92</v>
      </c>
      <c r="D357" s="1">
        <f>IFERROR(__xludf.DUMMYFUNCTION("""COMPUTED_VALUE"""),28.07)</f>
        <v>28.07</v>
      </c>
      <c r="E357" s="1">
        <f>IFERROR(__xludf.DUMMYFUNCTION("""COMPUTED_VALUE"""),28.12)</f>
        <v>28.12</v>
      </c>
      <c r="F357" s="1">
        <f>IFERROR(__xludf.DUMMYFUNCTION("""COMPUTED_VALUE"""),190590.0)</f>
        <v>190590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IFERROR(__xludf.DUMMYFUNCTION("""COMPUTED_VALUE"""),28.57)</f>
        <v>28.57</v>
      </c>
      <c r="C358" s="1">
        <f>IFERROR(__xludf.DUMMYFUNCTION("""COMPUTED_VALUE"""),28.82)</f>
        <v>28.82</v>
      </c>
      <c r="D358" s="1">
        <f>IFERROR(__xludf.DUMMYFUNCTION("""COMPUTED_VALUE"""),27.66)</f>
        <v>27.66</v>
      </c>
      <c r="E358" s="1">
        <f>IFERROR(__xludf.DUMMYFUNCTION("""COMPUTED_VALUE"""),28.18)</f>
        <v>28.18</v>
      </c>
      <c r="F358" s="1">
        <f>IFERROR(__xludf.DUMMYFUNCTION("""COMPUTED_VALUE"""),349394.0)</f>
        <v>349394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IFERROR(__xludf.DUMMYFUNCTION("""COMPUTED_VALUE"""),27.77)</f>
        <v>27.77</v>
      </c>
      <c r="C359" s="1">
        <f>IFERROR(__xludf.DUMMYFUNCTION("""COMPUTED_VALUE"""),28.4)</f>
        <v>28.4</v>
      </c>
      <c r="D359" s="1">
        <f>IFERROR(__xludf.DUMMYFUNCTION("""COMPUTED_VALUE"""),27.54)</f>
        <v>27.54</v>
      </c>
      <c r="E359" s="1">
        <f>IFERROR(__xludf.DUMMYFUNCTION("""COMPUTED_VALUE"""),27.84)</f>
        <v>27.84</v>
      </c>
      <c r="F359" s="1">
        <f>IFERROR(__xludf.DUMMYFUNCTION("""COMPUTED_VALUE"""),261200.0)</f>
        <v>261200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IFERROR(__xludf.DUMMYFUNCTION("""COMPUTED_VALUE"""),28.53)</f>
        <v>28.53</v>
      </c>
      <c r="C360" s="1">
        <f>IFERROR(__xludf.DUMMYFUNCTION("""COMPUTED_VALUE"""),29.1)</f>
        <v>29.1</v>
      </c>
      <c r="D360" s="1">
        <f>IFERROR(__xludf.DUMMYFUNCTION("""COMPUTED_VALUE"""),27.25)</f>
        <v>27.25</v>
      </c>
      <c r="E360" s="1">
        <f>IFERROR(__xludf.DUMMYFUNCTION("""COMPUTED_VALUE"""),27.49)</f>
        <v>27.49</v>
      </c>
      <c r="F360" s="1">
        <f>IFERROR(__xludf.DUMMYFUNCTION("""COMPUTED_VALUE"""),376930.0)</f>
        <v>376930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IFERROR(__xludf.DUMMYFUNCTION("""COMPUTED_VALUE"""),27.66)</f>
        <v>27.66</v>
      </c>
      <c r="C361" s="1">
        <f>IFERROR(__xludf.DUMMYFUNCTION("""COMPUTED_VALUE"""),28.13)</f>
        <v>28.13</v>
      </c>
      <c r="D361" s="1">
        <f>IFERROR(__xludf.DUMMYFUNCTION("""COMPUTED_VALUE"""),27.25)</f>
        <v>27.25</v>
      </c>
      <c r="E361" s="1">
        <f>IFERROR(__xludf.DUMMYFUNCTION("""COMPUTED_VALUE"""),27.58)</f>
        <v>27.58</v>
      </c>
      <c r="F361" s="1">
        <f>IFERROR(__xludf.DUMMYFUNCTION("""COMPUTED_VALUE"""),257032.0)</f>
        <v>257032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IFERROR(__xludf.DUMMYFUNCTION("""COMPUTED_VALUE"""),27.58)</f>
        <v>27.58</v>
      </c>
      <c r="C362" s="1">
        <f>IFERROR(__xludf.DUMMYFUNCTION("""COMPUTED_VALUE"""),27.75)</f>
        <v>27.75</v>
      </c>
      <c r="D362" s="1">
        <f>IFERROR(__xludf.DUMMYFUNCTION("""COMPUTED_VALUE"""),26.1)</f>
        <v>26.1</v>
      </c>
      <c r="E362" s="1">
        <f>IFERROR(__xludf.DUMMYFUNCTION("""COMPUTED_VALUE"""),26.22)</f>
        <v>26.22</v>
      </c>
      <c r="F362" s="1">
        <f>IFERROR(__xludf.DUMMYFUNCTION("""COMPUTED_VALUE"""),383321.0)</f>
        <v>383321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IFERROR(__xludf.DUMMYFUNCTION("""COMPUTED_VALUE"""),26.23)</f>
        <v>26.23</v>
      </c>
      <c r="C363" s="1">
        <f>IFERROR(__xludf.DUMMYFUNCTION("""COMPUTED_VALUE"""),26.66)</f>
        <v>26.66</v>
      </c>
      <c r="D363" s="1">
        <f>IFERROR(__xludf.DUMMYFUNCTION("""COMPUTED_VALUE"""),25.62)</f>
        <v>25.62</v>
      </c>
      <c r="E363" s="1">
        <f>IFERROR(__xludf.DUMMYFUNCTION("""COMPUTED_VALUE"""),26.19)</f>
        <v>26.19</v>
      </c>
      <c r="F363" s="1">
        <f>IFERROR(__xludf.DUMMYFUNCTION("""COMPUTED_VALUE"""),542682.0)</f>
        <v>542682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IFERROR(__xludf.DUMMYFUNCTION("""COMPUTED_VALUE"""),26.11)</f>
        <v>26.11</v>
      </c>
      <c r="C364" s="1">
        <f>IFERROR(__xludf.DUMMYFUNCTION("""COMPUTED_VALUE"""),26.16)</f>
        <v>26.16</v>
      </c>
      <c r="D364" s="1">
        <f>IFERROR(__xludf.DUMMYFUNCTION("""COMPUTED_VALUE"""),25.05)</f>
        <v>25.05</v>
      </c>
      <c r="E364" s="1">
        <f>IFERROR(__xludf.DUMMYFUNCTION("""COMPUTED_VALUE"""),25.11)</f>
        <v>25.11</v>
      </c>
      <c r="F364" s="1">
        <f>IFERROR(__xludf.DUMMYFUNCTION("""COMPUTED_VALUE"""),469652.0)</f>
        <v>469652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IFERROR(__xludf.DUMMYFUNCTION("""COMPUTED_VALUE"""),25.47)</f>
        <v>25.47</v>
      </c>
      <c r="C365" s="1">
        <f>IFERROR(__xludf.DUMMYFUNCTION("""COMPUTED_VALUE"""),26.66)</f>
        <v>26.66</v>
      </c>
      <c r="D365" s="1">
        <f>IFERROR(__xludf.DUMMYFUNCTION("""COMPUTED_VALUE"""),25.29)</f>
        <v>25.29</v>
      </c>
      <c r="E365" s="1">
        <f>IFERROR(__xludf.DUMMYFUNCTION("""COMPUTED_VALUE"""),25.69)</f>
        <v>25.69</v>
      </c>
      <c r="F365" s="1">
        <f>IFERROR(__xludf.DUMMYFUNCTION("""COMPUTED_VALUE"""),553512.0)</f>
        <v>553512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IFERROR(__xludf.DUMMYFUNCTION("""COMPUTED_VALUE"""),25.92)</f>
        <v>25.92</v>
      </c>
      <c r="C366" s="1">
        <f>IFERROR(__xludf.DUMMYFUNCTION("""COMPUTED_VALUE"""),26.53)</f>
        <v>26.53</v>
      </c>
      <c r="D366" s="1">
        <f>IFERROR(__xludf.DUMMYFUNCTION("""COMPUTED_VALUE"""),25.9)</f>
        <v>25.9</v>
      </c>
      <c r="E366" s="1">
        <f>IFERROR(__xludf.DUMMYFUNCTION("""COMPUTED_VALUE"""),26.28)</f>
        <v>26.28</v>
      </c>
      <c r="F366" s="1">
        <f>IFERROR(__xludf.DUMMYFUNCTION("""COMPUTED_VALUE"""),304787.0)</f>
        <v>304787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IFERROR(__xludf.DUMMYFUNCTION("""COMPUTED_VALUE"""),26.06)</f>
        <v>26.06</v>
      </c>
      <c r="C367" s="1">
        <f>IFERROR(__xludf.DUMMYFUNCTION("""COMPUTED_VALUE"""),26.38)</f>
        <v>26.38</v>
      </c>
      <c r="D367" s="1">
        <f>IFERROR(__xludf.DUMMYFUNCTION("""COMPUTED_VALUE"""),24.76)</f>
        <v>24.76</v>
      </c>
      <c r="E367" s="1">
        <f>IFERROR(__xludf.DUMMYFUNCTION("""COMPUTED_VALUE"""),24.86)</f>
        <v>24.86</v>
      </c>
      <c r="F367" s="1">
        <f>IFERROR(__xludf.DUMMYFUNCTION("""COMPUTED_VALUE"""),528980.0)</f>
        <v>528980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IFERROR(__xludf.DUMMYFUNCTION("""COMPUTED_VALUE"""),25.12)</f>
        <v>25.12</v>
      </c>
      <c r="C368" s="1">
        <f>IFERROR(__xludf.DUMMYFUNCTION("""COMPUTED_VALUE"""),25.72)</f>
        <v>25.72</v>
      </c>
      <c r="D368" s="1">
        <f>IFERROR(__xludf.DUMMYFUNCTION("""COMPUTED_VALUE"""),24.68)</f>
        <v>24.68</v>
      </c>
      <c r="E368" s="1">
        <f>IFERROR(__xludf.DUMMYFUNCTION("""COMPUTED_VALUE"""),24.95)</f>
        <v>24.95</v>
      </c>
      <c r="F368" s="1">
        <f>IFERROR(__xludf.DUMMYFUNCTION("""COMPUTED_VALUE"""),526715.0)</f>
        <v>526715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IFERROR(__xludf.DUMMYFUNCTION("""COMPUTED_VALUE"""),25.17)</f>
        <v>25.17</v>
      </c>
      <c r="C369" s="1">
        <f>IFERROR(__xludf.DUMMYFUNCTION("""COMPUTED_VALUE"""),25.38)</f>
        <v>25.38</v>
      </c>
      <c r="D369" s="1">
        <f>IFERROR(__xludf.DUMMYFUNCTION("""COMPUTED_VALUE"""),24.85)</f>
        <v>24.85</v>
      </c>
      <c r="E369" s="1">
        <f>IFERROR(__xludf.DUMMYFUNCTION("""COMPUTED_VALUE"""),24.92)</f>
        <v>24.92</v>
      </c>
      <c r="F369" s="1">
        <f>IFERROR(__xludf.DUMMYFUNCTION("""COMPUTED_VALUE"""),320384.0)</f>
        <v>320384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IFERROR(__xludf.DUMMYFUNCTION("""COMPUTED_VALUE"""),24.84)</f>
        <v>24.84</v>
      </c>
      <c r="C370" s="1">
        <f>IFERROR(__xludf.DUMMYFUNCTION("""COMPUTED_VALUE"""),25.47)</f>
        <v>25.47</v>
      </c>
      <c r="D370" s="1">
        <f>IFERROR(__xludf.DUMMYFUNCTION("""COMPUTED_VALUE"""),24.7)</f>
        <v>24.7</v>
      </c>
      <c r="E370" s="1">
        <f>IFERROR(__xludf.DUMMYFUNCTION("""COMPUTED_VALUE"""),25.02)</f>
        <v>25.02</v>
      </c>
      <c r="F370" s="1">
        <f>IFERROR(__xludf.DUMMYFUNCTION("""COMPUTED_VALUE"""),335584.0)</f>
        <v>335584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IFERROR(__xludf.DUMMYFUNCTION("""COMPUTED_VALUE"""),25.08)</f>
        <v>25.08</v>
      </c>
      <c r="C371" s="1">
        <f>IFERROR(__xludf.DUMMYFUNCTION("""COMPUTED_VALUE"""),26.35)</f>
        <v>26.35</v>
      </c>
      <c r="D371" s="1">
        <f>IFERROR(__xludf.DUMMYFUNCTION("""COMPUTED_VALUE"""),25.06)</f>
        <v>25.06</v>
      </c>
      <c r="E371" s="1">
        <f>IFERROR(__xludf.DUMMYFUNCTION("""COMPUTED_VALUE"""),26.12)</f>
        <v>26.12</v>
      </c>
      <c r="F371" s="1">
        <f>IFERROR(__xludf.DUMMYFUNCTION("""COMPUTED_VALUE"""),597009.0)</f>
        <v>597009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IFERROR(__xludf.DUMMYFUNCTION("""COMPUTED_VALUE"""),26.0)</f>
        <v>26</v>
      </c>
      <c r="C372" s="1">
        <f>IFERROR(__xludf.DUMMYFUNCTION("""COMPUTED_VALUE"""),26.11)</f>
        <v>26.11</v>
      </c>
      <c r="D372" s="1">
        <f>IFERROR(__xludf.DUMMYFUNCTION("""COMPUTED_VALUE"""),25.1)</f>
        <v>25.1</v>
      </c>
      <c r="E372" s="1">
        <f>IFERROR(__xludf.DUMMYFUNCTION("""COMPUTED_VALUE"""),25.16)</f>
        <v>25.16</v>
      </c>
      <c r="F372" s="1">
        <f>IFERROR(__xludf.DUMMYFUNCTION("""COMPUTED_VALUE"""),361903.0)</f>
        <v>361903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IFERROR(__xludf.DUMMYFUNCTION("""COMPUTED_VALUE"""),24.87)</f>
        <v>24.87</v>
      </c>
      <c r="C373" s="1">
        <f>IFERROR(__xludf.DUMMYFUNCTION("""COMPUTED_VALUE"""),25.67)</f>
        <v>25.67</v>
      </c>
      <c r="D373" s="1">
        <f>IFERROR(__xludf.DUMMYFUNCTION("""COMPUTED_VALUE"""),24.8)</f>
        <v>24.8</v>
      </c>
      <c r="E373" s="1">
        <f>IFERROR(__xludf.DUMMYFUNCTION("""COMPUTED_VALUE"""),25.64)</f>
        <v>25.64</v>
      </c>
      <c r="F373" s="1">
        <f>IFERROR(__xludf.DUMMYFUNCTION("""COMPUTED_VALUE"""),297469.0)</f>
        <v>297469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IFERROR(__xludf.DUMMYFUNCTION("""COMPUTED_VALUE"""),25.68)</f>
        <v>25.68</v>
      </c>
      <c r="C374" s="1">
        <f>IFERROR(__xludf.DUMMYFUNCTION("""COMPUTED_VALUE"""),26.53)</f>
        <v>26.53</v>
      </c>
      <c r="D374" s="1">
        <f>IFERROR(__xludf.DUMMYFUNCTION("""COMPUTED_VALUE"""),25.67)</f>
        <v>25.67</v>
      </c>
      <c r="E374" s="1">
        <f>IFERROR(__xludf.DUMMYFUNCTION("""COMPUTED_VALUE"""),26.51)</f>
        <v>26.51</v>
      </c>
      <c r="F374" s="1">
        <f>IFERROR(__xludf.DUMMYFUNCTION("""COMPUTED_VALUE"""),526106.0)</f>
        <v>526106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IFERROR(__xludf.DUMMYFUNCTION("""COMPUTED_VALUE"""),26.29)</f>
        <v>26.29</v>
      </c>
      <c r="C375" s="1">
        <f>IFERROR(__xludf.DUMMYFUNCTION("""COMPUTED_VALUE"""),27.12)</f>
        <v>27.12</v>
      </c>
      <c r="D375" s="1">
        <f>IFERROR(__xludf.DUMMYFUNCTION("""COMPUTED_VALUE"""),26.19)</f>
        <v>26.19</v>
      </c>
      <c r="E375" s="1">
        <f>IFERROR(__xludf.DUMMYFUNCTION("""COMPUTED_VALUE"""),26.92)</f>
        <v>26.92</v>
      </c>
      <c r="F375" s="1">
        <f>IFERROR(__xludf.DUMMYFUNCTION("""COMPUTED_VALUE"""),418366.0)</f>
        <v>418366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IFERROR(__xludf.DUMMYFUNCTION("""COMPUTED_VALUE"""),26.93)</f>
        <v>26.93</v>
      </c>
      <c r="C376" s="1">
        <f>IFERROR(__xludf.DUMMYFUNCTION("""COMPUTED_VALUE"""),28.19)</f>
        <v>28.19</v>
      </c>
      <c r="D376" s="1">
        <f>IFERROR(__xludf.DUMMYFUNCTION("""COMPUTED_VALUE"""),26.66)</f>
        <v>26.66</v>
      </c>
      <c r="E376" s="1">
        <f>IFERROR(__xludf.DUMMYFUNCTION("""COMPUTED_VALUE"""),27.89)</f>
        <v>27.89</v>
      </c>
      <c r="F376" s="1">
        <f>IFERROR(__xludf.DUMMYFUNCTION("""COMPUTED_VALUE"""),517426.0)</f>
        <v>517426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IFERROR(__xludf.DUMMYFUNCTION("""COMPUTED_VALUE"""),27.97)</f>
        <v>27.97</v>
      </c>
      <c r="C377" s="1">
        <f>IFERROR(__xludf.DUMMYFUNCTION("""COMPUTED_VALUE"""),28.07)</f>
        <v>28.07</v>
      </c>
      <c r="D377" s="1">
        <f>IFERROR(__xludf.DUMMYFUNCTION("""COMPUTED_VALUE"""),27.52)</f>
        <v>27.52</v>
      </c>
      <c r="E377" s="1">
        <f>IFERROR(__xludf.DUMMYFUNCTION("""COMPUTED_VALUE"""),27.98)</f>
        <v>27.98</v>
      </c>
      <c r="F377" s="1">
        <f>IFERROR(__xludf.DUMMYFUNCTION("""COMPUTED_VALUE"""),494683.0)</f>
        <v>494683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IFERROR(__xludf.DUMMYFUNCTION("""COMPUTED_VALUE"""),27.52)</f>
        <v>27.52</v>
      </c>
      <c r="C378" s="1">
        <f>IFERROR(__xludf.DUMMYFUNCTION("""COMPUTED_VALUE"""),28.04)</f>
        <v>28.04</v>
      </c>
      <c r="D378" s="1">
        <f>IFERROR(__xludf.DUMMYFUNCTION("""COMPUTED_VALUE"""),27.33)</f>
        <v>27.33</v>
      </c>
      <c r="E378" s="1">
        <f>IFERROR(__xludf.DUMMYFUNCTION("""COMPUTED_VALUE"""),27.93)</f>
        <v>27.93</v>
      </c>
      <c r="F378" s="1">
        <f>IFERROR(__xludf.DUMMYFUNCTION("""COMPUTED_VALUE"""),436456.0)</f>
        <v>436456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IFERROR(__xludf.DUMMYFUNCTION("""COMPUTED_VALUE"""),27.98)</f>
        <v>27.98</v>
      </c>
      <c r="C379" s="1">
        <f>IFERROR(__xludf.DUMMYFUNCTION("""COMPUTED_VALUE"""),29.11)</f>
        <v>29.11</v>
      </c>
      <c r="D379" s="1">
        <f>IFERROR(__xludf.DUMMYFUNCTION("""COMPUTED_VALUE"""),27.92)</f>
        <v>27.92</v>
      </c>
      <c r="E379" s="1">
        <f>IFERROR(__xludf.DUMMYFUNCTION("""COMPUTED_VALUE"""),28.69)</f>
        <v>28.69</v>
      </c>
      <c r="F379" s="1">
        <f>IFERROR(__xludf.DUMMYFUNCTION("""COMPUTED_VALUE"""),281963.0)</f>
        <v>281963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IFERROR(__xludf.DUMMYFUNCTION("""COMPUTED_VALUE"""),28.67)</f>
        <v>28.67</v>
      </c>
      <c r="C380" s="1">
        <f>IFERROR(__xludf.DUMMYFUNCTION("""COMPUTED_VALUE"""),28.95)</f>
        <v>28.95</v>
      </c>
      <c r="D380" s="1">
        <f>IFERROR(__xludf.DUMMYFUNCTION("""COMPUTED_VALUE"""),28.47)</f>
        <v>28.47</v>
      </c>
      <c r="E380" s="1">
        <f>IFERROR(__xludf.DUMMYFUNCTION("""COMPUTED_VALUE"""),28.86)</f>
        <v>28.86</v>
      </c>
      <c r="F380" s="1">
        <f>IFERROR(__xludf.DUMMYFUNCTION("""COMPUTED_VALUE"""),181249.0)</f>
        <v>181249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IFERROR(__xludf.DUMMYFUNCTION("""COMPUTED_VALUE"""),28.77)</f>
        <v>28.77</v>
      </c>
      <c r="C381" s="1">
        <f>IFERROR(__xludf.DUMMYFUNCTION("""COMPUTED_VALUE"""),29.96)</f>
        <v>29.96</v>
      </c>
      <c r="D381" s="1">
        <f>IFERROR(__xludf.DUMMYFUNCTION("""COMPUTED_VALUE"""),28.67)</f>
        <v>28.67</v>
      </c>
      <c r="E381" s="1">
        <f>IFERROR(__xludf.DUMMYFUNCTION("""COMPUTED_VALUE"""),29.52)</f>
        <v>29.52</v>
      </c>
      <c r="F381" s="1">
        <f>IFERROR(__xludf.DUMMYFUNCTION("""COMPUTED_VALUE"""),359484.0)</f>
        <v>359484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IFERROR(__xludf.DUMMYFUNCTION("""COMPUTED_VALUE"""),29.79)</f>
        <v>29.79</v>
      </c>
      <c r="C382" s="1">
        <f>IFERROR(__xludf.DUMMYFUNCTION("""COMPUTED_VALUE"""),30.06)</f>
        <v>30.06</v>
      </c>
      <c r="D382" s="1">
        <f>IFERROR(__xludf.DUMMYFUNCTION("""COMPUTED_VALUE"""),29.61)</f>
        <v>29.61</v>
      </c>
      <c r="E382" s="1">
        <f>IFERROR(__xludf.DUMMYFUNCTION("""COMPUTED_VALUE"""),29.87)</f>
        <v>29.87</v>
      </c>
      <c r="F382" s="1">
        <f>IFERROR(__xludf.DUMMYFUNCTION("""COMPUTED_VALUE"""),170864.0)</f>
        <v>170864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IFERROR(__xludf.DUMMYFUNCTION("""COMPUTED_VALUE"""),29.5)</f>
        <v>29.5</v>
      </c>
      <c r="C383" s="1">
        <f>IFERROR(__xludf.DUMMYFUNCTION("""COMPUTED_VALUE"""),29.65)</f>
        <v>29.65</v>
      </c>
      <c r="D383" s="1">
        <f>IFERROR(__xludf.DUMMYFUNCTION("""COMPUTED_VALUE"""),29.04)</f>
        <v>29.04</v>
      </c>
      <c r="E383" s="1">
        <f>IFERROR(__xludf.DUMMYFUNCTION("""COMPUTED_VALUE"""),29.41)</f>
        <v>29.41</v>
      </c>
      <c r="F383" s="1">
        <f>IFERROR(__xludf.DUMMYFUNCTION("""COMPUTED_VALUE"""),170541.0)</f>
        <v>170541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IFERROR(__xludf.DUMMYFUNCTION("""COMPUTED_VALUE"""),29.0)</f>
        <v>29</v>
      </c>
      <c r="C384" s="1">
        <f>IFERROR(__xludf.DUMMYFUNCTION("""COMPUTED_VALUE"""),29.32)</f>
        <v>29.32</v>
      </c>
      <c r="D384" s="1">
        <f>IFERROR(__xludf.DUMMYFUNCTION("""COMPUTED_VALUE"""),28.44)</f>
        <v>28.44</v>
      </c>
      <c r="E384" s="1">
        <f>IFERROR(__xludf.DUMMYFUNCTION("""COMPUTED_VALUE"""),28.56)</f>
        <v>28.56</v>
      </c>
      <c r="F384" s="1">
        <f>IFERROR(__xludf.DUMMYFUNCTION("""COMPUTED_VALUE"""),359680.0)</f>
        <v>359680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IFERROR(__xludf.DUMMYFUNCTION("""COMPUTED_VALUE"""),28.5)</f>
        <v>28.5</v>
      </c>
      <c r="C385" s="1">
        <f>IFERROR(__xludf.DUMMYFUNCTION("""COMPUTED_VALUE"""),28.98)</f>
        <v>28.98</v>
      </c>
      <c r="D385" s="1">
        <f>IFERROR(__xludf.DUMMYFUNCTION("""COMPUTED_VALUE"""),28.21)</f>
        <v>28.21</v>
      </c>
      <c r="E385" s="1">
        <f>IFERROR(__xludf.DUMMYFUNCTION("""COMPUTED_VALUE"""),28.74)</f>
        <v>28.74</v>
      </c>
      <c r="F385" s="1">
        <f>IFERROR(__xludf.DUMMYFUNCTION("""COMPUTED_VALUE"""),414332.0)</f>
        <v>414332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IFERROR(__xludf.DUMMYFUNCTION("""COMPUTED_VALUE"""),28.98)</f>
        <v>28.98</v>
      </c>
      <c r="C386" s="1">
        <f>IFERROR(__xludf.DUMMYFUNCTION("""COMPUTED_VALUE"""),29.6)</f>
        <v>29.6</v>
      </c>
      <c r="D386" s="1">
        <f>IFERROR(__xludf.DUMMYFUNCTION("""COMPUTED_VALUE"""),28.94)</f>
        <v>28.94</v>
      </c>
      <c r="E386" s="1">
        <f>IFERROR(__xludf.DUMMYFUNCTION("""COMPUTED_VALUE"""),29.3)</f>
        <v>29.3</v>
      </c>
      <c r="F386" s="1">
        <f>IFERROR(__xludf.DUMMYFUNCTION("""COMPUTED_VALUE"""),212246.0)</f>
        <v>212246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IFERROR(__xludf.DUMMYFUNCTION("""COMPUTED_VALUE"""),29.32)</f>
        <v>29.32</v>
      </c>
      <c r="C387" s="1">
        <f>IFERROR(__xludf.DUMMYFUNCTION("""COMPUTED_VALUE"""),29.57)</f>
        <v>29.57</v>
      </c>
      <c r="D387" s="1">
        <f>IFERROR(__xludf.DUMMYFUNCTION("""COMPUTED_VALUE"""),28.75)</f>
        <v>28.75</v>
      </c>
      <c r="E387" s="1">
        <f>IFERROR(__xludf.DUMMYFUNCTION("""COMPUTED_VALUE"""),29.04)</f>
        <v>29.04</v>
      </c>
      <c r="F387" s="1">
        <f>IFERROR(__xludf.DUMMYFUNCTION("""COMPUTED_VALUE"""),232799.0)</f>
        <v>232799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IFERROR(__xludf.DUMMYFUNCTION("""COMPUTED_VALUE"""),29.27)</f>
        <v>29.27</v>
      </c>
      <c r="C388" s="1">
        <f>IFERROR(__xludf.DUMMYFUNCTION("""COMPUTED_VALUE"""),30.86)</f>
        <v>30.86</v>
      </c>
      <c r="D388" s="1">
        <f>IFERROR(__xludf.DUMMYFUNCTION("""COMPUTED_VALUE"""),29.2)</f>
        <v>29.2</v>
      </c>
      <c r="E388" s="1">
        <f>IFERROR(__xludf.DUMMYFUNCTION("""COMPUTED_VALUE"""),30.76)</f>
        <v>30.76</v>
      </c>
      <c r="F388" s="1">
        <f>IFERROR(__xludf.DUMMYFUNCTION("""COMPUTED_VALUE"""),555045.0)</f>
        <v>555045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IFERROR(__xludf.DUMMYFUNCTION("""COMPUTED_VALUE"""),32.81)</f>
        <v>32.81</v>
      </c>
      <c r="C389" s="1">
        <f>IFERROR(__xludf.DUMMYFUNCTION("""COMPUTED_VALUE"""),33.25)</f>
        <v>33.25</v>
      </c>
      <c r="D389" s="1">
        <f>IFERROR(__xludf.DUMMYFUNCTION("""COMPUTED_VALUE"""),29.96)</f>
        <v>29.96</v>
      </c>
      <c r="E389" s="1">
        <f>IFERROR(__xludf.DUMMYFUNCTION("""COMPUTED_VALUE"""),29.97)</f>
        <v>29.97</v>
      </c>
      <c r="F389" s="1">
        <f>IFERROR(__xludf.DUMMYFUNCTION("""COMPUTED_VALUE"""),1691793.0)</f>
        <v>1691793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IFERROR(__xludf.DUMMYFUNCTION("""COMPUTED_VALUE"""),30.43)</f>
        <v>30.43</v>
      </c>
      <c r="C390" s="1">
        <f>IFERROR(__xludf.DUMMYFUNCTION("""COMPUTED_VALUE"""),31.29)</f>
        <v>31.29</v>
      </c>
      <c r="D390" s="1">
        <f>IFERROR(__xludf.DUMMYFUNCTION("""COMPUTED_VALUE"""),30.25)</f>
        <v>30.25</v>
      </c>
      <c r="E390" s="1">
        <f>IFERROR(__xludf.DUMMYFUNCTION("""COMPUTED_VALUE"""),31.13)</f>
        <v>31.13</v>
      </c>
      <c r="F390" s="1">
        <f>IFERROR(__xludf.DUMMYFUNCTION("""COMPUTED_VALUE"""),860195.0)</f>
        <v>860195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IFERROR(__xludf.DUMMYFUNCTION("""COMPUTED_VALUE"""),31.18)</f>
        <v>31.18</v>
      </c>
      <c r="C391" s="1">
        <f>IFERROR(__xludf.DUMMYFUNCTION("""COMPUTED_VALUE"""),32.1)</f>
        <v>32.1</v>
      </c>
      <c r="D391" s="1">
        <f>IFERROR(__xludf.DUMMYFUNCTION("""COMPUTED_VALUE"""),30.98)</f>
        <v>30.98</v>
      </c>
      <c r="E391" s="1">
        <f>IFERROR(__xludf.DUMMYFUNCTION("""COMPUTED_VALUE"""),31.75)</f>
        <v>31.75</v>
      </c>
      <c r="F391" s="1">
        <f>IFERROR(__xludf.DUMMYFUNCTION("""COMPUTED_VALUE"""),451127.0)</f>
        <v>451127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IFERROR(__xludf.DUMMYFUNCTION("""COMPUTED_VALUE"""),31.95)</f>
        <v>31.95</v>
      </c>
      <c r="C392" s="1">
        <f>IFERROR(__xludf.DUMMYFUNCTION("""COMPUTED_VALUE"""),32.09)</f>
        <v>32.09</v>
      </c>
      <c r="D392" s="1">
        <f>IFERROR(__xludf.DUMMYFUNCTION("""COMPUTED_VALUE"""),31.34)</f>
        <v>31.34</v>
      </c>
      <c r="E392" s="1">
        <f>IFERROR(__xludf.DUMMYFUNCTION("""COMPUTED_VALUE"""),31.64)</f>
        <v>31.64</v>
      </c>
      <c r="F392" s="1">
        <f>IFERROR(__xludf.DUMMYFUNCTION("""COMPUTED_VALUE"""),364642.0)</f>
        <v>364642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IFERROR(__xludf.DUMMYFUNCTION("""COMPUTED_VALUE"""),31.89)</f>
        <v>31.89</v>
      </c>
      <c r="C393" s="1">
        <f>IFERROR(__xludf.DUMMYFUNCTION("""COMPUTED_VALUE"""),32.11)</f>
        <v>32.11</v>
      </c>
      <c r="D393" s="1">
        <f>IFERROR(__xludf.DUMMYFUNCTION("""COMPUTED_VALUE"""),31.78)</f>
        <v>31.78</v>
      </c>
      <c r="E393" s="1">
        <f>IFERROR(__xludf.DUMMYFUNCTION("""COMPUTED_VALUE"""),31.93)</f>
        <v>31.93</v>
      </c>
      <c r="F393" s="1">
        <f>IFERROR(__xludf.DUMMYFUNCTION("""COMPUTED_VALUE"""),491267.0)</f>
        <v>491267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IFERROR(__xludf.DUMMYFUNCTION("""COMPUTED_VALUE"""),31.89)</f>
        <v>31.89</v>
      </c>
      <c r="C394" s="1">
        <f>IFERROR(__xludf.DUMMYFUNCTION("""COMPUTED_VALUE"""),31.94)</f>
        <v>31.94</v>
      </c>
      <c r="D394" s="1">
        <f>IFERROR(__xludf.DUMMYFUNCTION("""COMPUTED_VALUE"""),31.63)</f>
        <v>31.63</v>
      </c>
      <c r="E394" s="1">
        <f>IFERROR(__xludf.DUMMYFUNCTION("""COMPUTED_VALUE"""),31.82)</f>
        <v>31.82</v>
      </c>
      <c r="F394" s="1">
        <f>IFERROR(__xludf.DUMMYFUNCTION("""COMPUTED_VALUE"""),299526.0)</f>
        <v>299526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IFERROR(__xludf.DUMMYFUNCTION("""COMPUTED_VALUE"""),31.82)</f>
        <v>31.82</v>
      </c>
      <c r="C395" s="1">
        <f>IFERROR(__xludf.DUMMYFUNCTION("""COMPUTED_VALUE"""),31.95)</f>
        <v>31.95</v>
      </c>
      <c r="D395" s="1">
        <f>IFERROR(__xludf.DUMMYFUNCTION("""COMPUTED_VALUE"""),31.59)</f>
        <v>31.59</v>
      </c>
      <c r="E395" s="1">
        <f>IFERROR(__xludf.DUMMYFUNCTION("""COMPUTED_VALUE"""),31.66)</f>
        <v>31.66</v>
      </c>
      <c r="F395" s="1">
        <f>IFERROR(__xludf.DUMMYFUNCTION("""COMPUTED_VALUE"""),348798.0)</f>
        <v>348798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IFERROR(__xludf.DUMMYFUNCTION("""COMPUTED_VALUE"""),31.61)</f>
        <v>31.61</v>
      </c>
      <c r="C396" s="1">
        <f>IFERROR(__xludf.DUMMYFUNCTION("""COMPUTED_VALUE"""),31.66)</f>
        <v>31.66</v>
      </c>
      <c r="D396" s="1">
        <f>IFERROR(__xludf.DUMMYFUNCTION("""COMPUTED_VALUE"""),31.14)</f>
        <v>31.14</v>
      </c>
      <c r="E396" s="1">
        <f>IFERROR(__xludf.DUMMYFUNCTION("""COMPUTED_VALUE"""),31.19)</f>
        <v>31.19</v>
      </c>
      <c r="F396" s="1">
        <f>IFERROR(__xludf.DUMMYFUNCTION("""COMPUTED_VALUE"""),354076.0)</f>
        <v>354076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IFERROR(__xludf.DUMMYFUNCTION("""COMPUTED_VALUE"""),31.25)</f>
        <v>31.25</v>
      </c>
      <c r="C397" s="1">
        <f>IFERROR(__xludf.DUMMYFUNCTION("""COMPUTED_VALUE"""),31.25)</f>
        <v>31.25</v>
      </c>
      <c r="D397" s="1">
        <f>IFERROR(__xludf.DUMMYFUNCTION("""COMPUTED_VALUE"""),30.47)</f>
        <v>30.47</v>
      </c>
      <c r="E397" s="1">
        <f>IFERROR(__xludf.DUMMYFUNCTION("""COMPUTED_VALUE"""),30.52)</f>
        <v>30.52</v>
      </c>
      <c r="F397" s="1">
        <f>IFERROR(__xludf.DUMMYFUNCTION("""COMPUTED_VALUE"""),421210.0)</f>
        <v>421210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IFERROR(__xludf.DUMMYFUNCTION("""COMPUTED_VALUE"""),30.5)</f>
        <v>30.5</v>
      </c>
      <c r="C398" s="1">
        <f>IFERROR(__xludf.DUMMYFUNCTION("""COMPUTED_VALUE"""),31.94)</f>
        <v>31.94</v>
      </c>
      <c r="D398" s="1">
        <f>IFERROR(__xludf.DUMMYFUNCTION("""COMPUTED_VALUE"""),30.11)</f>
        <v>30.11</v>
      </c>
      <c r="E398" s="1">
        <f>IFERROR(__xludf.DUMMYFUNCTION("""COMPUTED_VALUE"""),31.93)</f>
        <v>31.93</v>
      </c>
      <c r="F398" s="1">
        <f>IFERROR(__xludf.DUMMYFUNCTION("""COMPUTED_VALUE"""),402827.0)</f>
        <v>402827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IFERROR(__xludf.DUMMYFUNCTION("""COMPUTED_VALUE"""),32.0)</f>
        <v>32</v>
      </c>
      <c r="C399" s="1">
        <f>IFERROR(__xludf.DUMMYFUNCTION("""COMPUTED_VALUE"""),32.1)</f>
        <v>32.1</v>
      </c>
      <c r="D399" s="1">
        <f>IFERROR(__xludf.DUMMYFUNCTION("""COMPUTED_VALUE"""),29.93)</f>
        <v>29.93</v>
      </c>
      <c r="E399" s="1">
        <f>IFERROR(__xludf.DUMMYFUNCTION("""COMPUTED_VALUE"""),30.01)</f>
        <v>30.01</v>
      </c>
      <c r="F399" s="1">
        <f>IFERROR(__xludf.DUMMYFUNCTION("""COMPUTED_VALUE"""),490331.0)</f>
        <v>490331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IFERROR(__xludf.DUMMYFUNCTION("""COMPUTED_VALUE"""),29.77)</f>
        <v>29.77</v>
      </c>
      <c r="C400" s="1">
        <f>IFERROR(__xludf.DUMMYFUNCTION("""COMPUTED_VALUE"""),29.95)</f>
        <v>29.95</v>
      </c>
      <c r="D400" s="1">
        <f>IFERROR(__xludf.DUMMYFUNCTION("""COMPUTED_VALUE"""),28.66)</f>
        <v>28.66</v>
      </c>
      <c r="E400" s="1">
        <f>IFERROR(__xludf.DUMMYFUNCTION("""COMPUTED_VALUE"""),28.66)</f>
        <v>28.66</v>
      </c>
      <c r="F400" s="1">
        <f>IFERROR(__xludf.DUMMYFUNCTION("""COMPUTED_VALUE"""),516152.0)</f>
        <v>516152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IFERROR(__xludf.DUMMYFUNCTION("""COMPUTED_VALUE"""),28.73)</f>
        <v>28.73</v>
      </c>
      <c r="C401" s="1">
        <f>IFERROR(__xludf.DUMMYFUNCTION("""COMPUTED_VALUE"""),29.49)</f>
        <v>29.49</v>
      </c>
      <c r="D401" s="1">
        <f>IFERROR(__xludf.DUMMYFUNCTION("""COMPUTED_VALUE"""),27.98)</f>
        <v>27.98</v>
      </c>
      <c r="E401" s="1">
        <f>IFERROR(__xludf.DUMMYFUNCTION("""COMPUTED_VALUE"""),29.48)</f>
        <v>29.48</v>
      </c>
      <c r="F401" s="1">
        <f>IFERROR(__xludf.DUMMYFUNCTION("""COMPUTED_VALUE"""),300760.0)</f>
        <v>300760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IFERROR(__xludf.DUMMYFUNCTION("""COMPUTED_VALUE"""),28.97)</f>
        <v>28.97</v>
      </c>
      <c r="C402" s="1">
        <f>IFERROR(__xludf.DUMMYFUNCTION("""COMPUTED_VALUE"""),29.11)</f>
        <v>29.11</v>
      </c>
      <c r="D402" s="1">
        <f>IFERROR(__xludf.DUMMYFUNCTION("""COMPUTED_VALUE"""),27.73)</f>
        <v>27.73</v>
      </c>
      <c r="E402" s="1">
        <f>IFERROR(__xludf.DUMMYFUNCTION("""COMPUTED_VALUE"""),27.73)</f>
        <v>27.73</v>
      </c>
      <c r="F402" s="1">
        <f>IFERROR(__xludf.DUMMYFUNCTION("""COMPUTED_VALUE"""),311527.0)</f>
        <v>311527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IFERROR(__xludf.DUMMYFUNCTION("""COMPUTED_VALUE"""),28.15)</f>
        <v>28.15</v>
      </c>
      <c r="C403" s="1">
        <f>IFERROR(__xludf.DUMMYFUNCTION("""COMPUTED_VALUE"""),28.25)</f>
        <v>28.25</v>
      </c>
      <c r="D403" s="1">
        <f>IFERROR(__xludf.DUMMYFUNCTION("""COMPUTED_VALUE"""),27.37)</f>
        <v>27.37</v>
      </c>
      <c r="E403" s="1">
        <f>IFERROR(__xludf.DUMMYFUNCTION("""COMPUTED_VALUE"""),27.79)</f>
        <v>27.79</v>
      </c>
      <c r="F403" s="1">
        <f>IFERROR(__xludf.DUMMYFUNCTION("""COMPUTED_VALUE"""),428465.0)</f>
        <v>428465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IFERROR(__xludf.DUMMYFUNCTION("""COMPUTED_VALUE"""),27.29)</f>
        <v>27.29</v>
      </c>
      <c r="C404" s="1">
        <f>IFERROR(__xludf.DUMMYFUNCTION("""COMPUTED_VALUE"""),27.85)</f>
        <v>27.85</v>
      </c>
      <c r="D404" s="1">
        <f>IFERROR(__xludf.DUMMYFUNCTION("""COMPUTED_VALUE"""),26.25)</f>
        <v>26.25</v>
      </c>
      <c r="E404" s="1">
        <f>IFERROR(__xludf.DUMMYFUNCTION("""COMPUTED_VALUE"""),26.25)</f>
        <v>26.25</v>
      </c>
      <c r="F404" s="1">
        <f>IFERROR(__xludf.DUMMYFUNCTION("""COMPUTED_VALUE"""),747654.0)</f>
        <v>747654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IFERROR(__xludf.DUMMYFUNCTION("""COMPUTED_VALUE"""),26.45)</f>
        <v>26.45</v>
      </c>
      <c r="C405" s="1">
        <f>IFERROR(__xludf.DUMMYFUNCTION("""COMPUTED_VALUE"""),29.63)</f>
        <v>29.63</v>
      </c>
      <c r="D405" s="1">
        <f>IFERROR(__xludf.DUMMYFUNCTION("""COMPUTED_VALUE"""),26.43)</f>
        <v>26.43</v>
      </c>
      <c r="E405" s="1">
        <f>IFERROR(__xludf.DUMMYFUNCTION("""COMPUTED_VALUE"""),29.63)</f>
        <v>29.63</v>
      </c>
      <c r="F405" s="1">
        <f>IFERROR(__xludf.DUMMYFUNCTION("""COMPUTED_VALUE"""),721602.0)</f>
        <v>721602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IFERROR(__xludf.DUMMYFUNCTION("""COMPUTED_VALUE"""),28.63)</f>
        <v>28.63</v>
      </c>
      <c r="C406" s="1">
        <f>IFERROR(__xludf.DUMMYFUNCTION("""COMPUTED_VALUE"""),30.18)</f>
        <v>30.18</v>
      </c>
      <c r="D406" s="1">
        <f>IFERROR(__xludf.DUMMYFUNCTION("""COMPUTED_VALUE"""),28.22)</f>
        <v>28.22</v>
      </c>
      <c r="E406" s="1">
        <f>IFERROR(__xludf.DUMMYFUNCTION("""COMPUTED_VALUE"""),29.19)</f>
        <v>29.19</v>
      </c>
      <c r="F406" s="1">
        <f>IFERROR(__xludf.DUMMYFUNCTION("""COMPUTED_VALUE"""),644752.0)</f>
        <v>644752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IFERROR(__xludf.DUMMYFUNCTION("""COMPUTED_VALUE"""),28.99)</f>
        <v>28.99</v>
      </c>
      <c r="C407" s="1">
        <f>IFERROR(__xludf.DUMMYFUNCTION("""COMPUTED_VALUE"""),30.44)</f>
        <v>30.44</v>
      </c>
      <c r="D407" s="1">
        <f>IFERROR(__xludf.DUMMYFUNCTION("""COMPUTED_VALUE"""),28.77)</f>
        <v>28.77</v>
      </c>
      <c r="E407" s="1">
        <f>IFERROR(__xludf.DUMMYFUNCTION("""COMPUTED_VALUE"""),29.77)</f>
        <v>29.77</v>
      </c>
      <c r="F407" s="1">
        <f>IFERROR(__xludf.DUMMYFUNCTION("""COMPUTED_VALUE"""),674755.0)</f>
        <v>674755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IFERROR(__xludf.DUMMYFUNCTION("""COMPUTED_VALUE"""),29.86)</f>
        <v>29.86</v>
      </c>
      <c r="C408" s="1">
        <f>IFERROR(__xludf.DUMMYFUNCTION("""COMPUTED_VALUE"""),30.36)</f>
        <v>30.36</v>
      </c>
      <c r="D408" s="1">
        <f>IFERROR(__xludf.DUMMYFUNCTION("""COMPUTED_VALUE"""),29.7)</f>
        <v>29.7</v>
      </c>
      <c r="E408" s="1">
        <f>IFERROR(__xludf.DUMMYFUNCTION("""COMPUTED_VALUE"""),30.3)</f>
        <v>30.3</v>
      </c>
      <c r="F408" s="1">
        <f>IFERROR(__xludf.DUMMYFUNCTION("""COMPUTED_VALUE"""),655472.0)</f>
        <v>655472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IFERROR(__xludf.DUMMYFUNCTION("""COMPUTED_VALUE"""),30.41)</f>
        <v>30.41</v>
      </c>
      <c r="C409" s="1">
        <f>IFERROR(__xludf.DUMMYFUNCTION("""COMPUTED_VALUE"""),30.8)</f>
        <v>30.8</v>
      </c>
      <c r="D409" s="1">
        <f>IFERROR(__xludf.DUMMYFUNCTION("""COMPUTED_VALUE"""),30.3)</f>
        <v>30.3</v>
      </c>
      <c r="E409" s="1">
        <f>IFERROR(__xludf.DUMMYFUNCTION("""COMPUTED_VALUE"""),30.77)</f>
        <v>30.77</v>
      </c>
      <c r="F409" s="1">
        <f>IFERROR(__xludf.DUMMYFUNCTION("""COMPUTED_VALUE"""),184422.0)</f>
        <v>184422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IFERROR(__xludf.DUMMYFUNCTION("""COMPUTED_VALUE"""),30.25)</f>
        <v>30.25</v>
      </c>
      <c r="C410" s="1">
        <f>IFERROR(__xludf.DUMMYFUNCTION("""COMPUTED_VALUE"""),30.87)</f>
        <v>30.87</v>
      </c>
      <c r="D410" s="1">
        <f>IFERROR(__xludf.DUMMYFUNCTION("""COMPUTED_VALUE"""),29.89)</f>
        <v>29.89</v>
      </c>
      <c r="E410" s="1">
        <f>IFERROR(__xludf.DUMMYFUNCTION("""COMPUTED_VALUE"""),30.06)</f>
        <v>30.06</v>
      </c>
      <c r="F410" s="1">
        <f>IFERROR(__xludf.DUMMYFUNCTION("""COMPUTED_VALUE"""),244606.0)</f>
        <v>244606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IFERROR(__xludf.DUMMYFUNCTION("""COMPUTED_VALUE"""),30.19)</f>
        <v>30.19</v>
      </c>
      <c r="C411" s="1">
        <f>IFERROR(__xludf.DUMMYFUNCTION("""COMPUTED_VALUE"""),30.37)</f>
        <v>30.37</v>
      </c>
      <c r="D411" s="1">
        <f>IFERROR(__xludf.DUMMYFUNCTION("""COMPUTED_VALUE"""),28.53)</f>
        <v>28.53</v>
      </c>
      <c r="E411" s="1">
        <f>IFERROR(__xludf.DUMMYFUNCTION("""COMPUTED_VALUE"""),28.91)</f>
        <v>28.91</v>
      </c>
      <c r="F411" s="1">
        <f>IFERROR(__xludf.DUMMYFUNCTION("""COMPUTED_VALUE"""),347518.0)</f>
        <v>347518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IFERROR(__xludf.DUMMYFUNCTION("""COMPUTED_VALUE"""),28.07)</f>
        <v>28.07</v>
      </c>
      <c r="C412" s="1">
        <f>IFERROR(__xludf.DUMMYFUNCTION("""COMPUTED_VALUE"""),28.3)</f>
        <v>28.3</v>
      </c>
      <c r="D412" s="1">
        <f>IFERROR(__xludf.DUMMYFUNCTION("""COMPUTED_VALUE"""),27.17)</f>
        <v>27.17</v>
      </c>
      <c r="E412" s="1">
        <f>IFERROR(__xludf.DUMMYFUNCTION("""COMPUTED_VALUE"""),27.98)</f>
        <v>27.98</v>
      </c>
      <c r="F412" s="1">
        <f>IFERROR(__xludf.DUMMYFUNCTION("""COMPUTED_VALUE"""),470189.0)</f>
        <v>470189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IFERROR(__xludf.DUMMYFUNCTION("""COMPUTED_VALUE"""),27.77)</f>
        <v>27.77</v>
      </c>
      <c r="C413" s="1">
        <f>IFERROR(__xludf.DUMMYFUNCTION("""COMPUTED_VALUE"""),29.07)</f>
        <v>29.07</v>
      </c>
      <c r="D413" s="1">
        <f>IFERROR(__xludf.DUMMYFUNCTION("""COMPUTED_VALUE"""),27.41)</f>
        <v>27.41</v>
      </c>
      <c r="E413" s="1">
        <f>IFERROR(__xludf.DUMMYFUNCTION("""COMPUTED_VALUE"""),27.5)</f>
        <v>27.5</v>
      </c>
      <c r="F413" s="1">
        <f>IFERROR(__xludf.DUMMYFUNCTION("""COMPUTED_VALUE"""),927397.0)</f>
        <v>927397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IFERROR(__xludf.DUMMYFUNCTION("""COMPUTED_VALUE"""),28.41)</f>
        <v>28.41</v>
      </c>
      <c r="C414" s="1">
        <f>IFERROR(__xludf.DUMMYFUNCTION("""COMPUTED_VALUE"""),28.69)</f>
        <v>28.69</v>
      </c>
      <c r="D414" s="1">
        <f>IFERROR(__xludf.DUMMYFUNCTION("""COMPUTED_VALUE"""),27.46)</f>
        <v>27.46</v>
      </c>
      <c r="E414" s="1">
        <f>IFERROR(__xludf.DUMMYFUNCTION("""COMPUTED_VALUE"""),27.58)</f>
        <v>27.58</v>
      </c>
      <c r="F414" s="1">
        <f>IFERROR(__xludf.DUMMYFUNCTION("""COMPUTED_VALUE"""),1485891.0)</f>
        <v>1485891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IFERROR(__xludf.DUMMYFUNCTION("""COMPUTED_VALUE"""),27.86)</f>
        <v>27.86</v>
      </c>
      <c r="C415" s="1">
        <f>IFERROR(__xludf.DUMMYFUNCTION("""COMPUTED_VALUE"""),28.25)</f>
        <v>28.25</v>
      </c>
      <c r="D415" s="1">
        <f>IFERROR(__xludf.DUMMYFUNCTION("""COMPUTED_VALUE"""),27.41)</f>
        <v>27.41</v>
      </c>
      <c r="E415" s="1">
        <f>IFERROR(__xludf.DUMMYFUNCTION("""COMPUTED_VALUE"""),28.25)</f>
        <v>28.25</v>
      </c>
      <c r="F415" s="1">
        <f>IFERROR(__xludf.DUMMYFUNCTION("""COMPUTED_VALUE"""),2001684.0)</f>
        <v>2001684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IFERROR(__xludf.DUMMYFUNCTION("""COMPUTED_VALUE"""),28.28)</f>
        <v>28.28</v>
      </c>
      <c r="C416" s="1">
        <f>IFERROR(__xludf.DUMMYFUNCTION("""COMPUTED_VALUE"""),28.36)</f>
        <v>28.36</v>
      </c>
      <c r="D416" s="1">
        <f>IFERROR(__xludf.DUMMYFUNCTION("""COMPUTED_VALUE"""),27.35)</f>
        <v>27.35</v>
      </c>
      <c r="E416" s="1">
        <f>IFERROR(__xludf.DUMMYFUNCTION("""COMPUTED_VALUE"""),27.63)</f>
        <v>27.63</v>
      </c>
      <c r="F416" s="1">
        <f>IFERROR(__xludf.DUMMYFUNCTION("""COMPUTED_VALUE"""),639492.0)</f>
        <v>639492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IFERROR(__xludf.DUMMYFUNCTION("""COMPUTED_VALUE"""),28.03)</f>
        <v>28.03</v>
      </c>
      <c r="C417" s="1">
        <f>IFERROR(__xludf.DUMMYFUNCTION("""COMPUTED_VALUE"""),28.07)</f>
        <v>28.07</v>
      </c>
      <c r="D417" s="1">
        <f>IFERROR(__xludf.DUMMYFUNCTION("""COMPUTED_VALUE"""),26.67)</f>
        <v>26.67</v>
      </c>
      <c r="E417" s="1">
        <f>IFERROR(__xludf.DUMMYFUNCTION("""COMPUTED_VALUE"""),26.8)</f>
        <v>26.8</v>
      </c>
      <c r="F417" s="1">
        <f>IFERROR(__xludf.DUMMYFUNCTION("""COMPUTED_VALUE"""),622788.0)</f>
        <v>622788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IFERROR(__xludf.DUMMYFUNCTION("""COMPUTED_VALUE"""),26.62)</f>
        <v>26.62</v>
      </c>
      <c r="C418" s="1">
        <f>IFERROR(__xludf.DUMMYFUNCTION("""COMPUTED_VALUE"""),27.18)</f>
        <v>27.18</v>
      </c>
      <c r="D418" s="1">
        <f>IFERROR(__xludf.DUMMYFUNCTION("""COMPUTED_VALUE"""),26.49)</f>
        <v>26.49</v>
      </c>
      <c r="E418" s="1">
        <f>IFERROR(__xludf.DUMMYFUNCTION("""COMPUTED_VALUE"""),27.07)</f>
        <v>27.07</v>
      </c>
      <c r="F418" s="1">
        <f>IFERROR(__xludf.DUMMYFUNCTION("""COMPUTED_VALUE"""),426557.0)</f>
        <v>426557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IFERROR(__xludf.DUMMYFUNCTION("""COMPUTED_VALUE"""),27.4)</f>
        <v>27.4</v>
      </c>
      <c r="C419" s="1">
        <f>IFERROR(__xludf.DUMMYFUNCTION("""COMPUTED_VALUE"""),28.04)</f>
        <v>28.04</v>
      </c>
      <c r="D419" s="1">
        <f>IFERROR(__xludf.DUMMYFUNCTION("""COMPUTED_VALUE"""),27.23)</f>
        <v>27.23</v>
      </c>
      <c r="E419" s="1">
        <f>IFERROR(__xludf.DUMMYFUNCTION("""COMPUTED_VALUE"""),28.04)</f>
        <v>28.04</v>
      </c>
      <c r="F419" s="1">
        <f>IFERROR(__xludf.DUMMYFUNCTION("""COMPUTED_VALUE"""),564823.0)</f>
        <v>564823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IFERROR(__xludf.DUMMYFUNCTION("""COMPUTED_VALUE"""),27.78)</f>
        <v>27.78</v>
      </c>
      <c r="C420" s="1">
        <f>IFERROR(__xludf.DUMMYFUNCTION("""COMPUTED_VALUE"""),29.15)</f>
        <v>29.15</v>
      </c>
      <c r="D420" s="1">
        <f>IFERROR(__xludf.DUMMYFUNCTION("""COMPUTED_VALUE"""),27.64)</f>
        <v>27.64</v>
      </c>
      <c r="E420" s="1">
        <f>IFERROR(__xludf.DUMMYFUNCTION("""COMPUTED_VALUE"""),28.95)</f>
        <v>28.95</v>
      </c>
      <c r="F420" s="1">
        <f>IFERROR(__xludf.DUMMYFUNCTION("""COMPUTED_VALUE"""),977200.0)</f>
        <v>977200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IFERROR(__xludf.DUMMYFUNCTION("""COMPUTED_VALUE"""),29.17)</f>
        <v>29.17</v>
      </c>
      <c r="C421" s="1">
        <f>IFERROR(__xludf.DUMMYFUNCTION("""COMPUTED_VALUE"""),30.62)</f>
        <v>30.62</v>
      </c>
      <c r="D421" s="1">
        <f>IFERROR(__xludf.DUMMYFUNCTION("""COMPUTED_VALUE"""),29.1)</f>
        <v>29.1</v>
      </c>
      <c r="E421" s="1">
        <f>IFERROR(__xludf.DUMMYFUNCTION("""COMPUTED_VALUE"""),30.5)</f>
        <v>30.5</v>
      </c>
      <c r="F421" s="1">
        <f>IFERROR(__xludf.DUMMYFUNCTION("""COMPUTED_VALUE"""),2011366.0)</f>
        <v>2011366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IFERROR(__xludf.DUMMYFUNCTION("""COMPUTED_VALUE"""),30.58)</f>
        <v>30.58</v>
      </c>
      <c r="C422" s="1">
        <f>IFERROR(__xludf.DUMMYFUNCTION("""COMPUTED_VALUE"""),30.71)</f>
        <v>30.71</v>
      </c>
      <c r="D422" s="1">
        <f>IFERROR(__xludf.DUMMYFUNCTION("""COMPUTED_VALUE"""),29.73)</f>
        <v>29.73</v>
      </c>
      <c r="E422" s="1">
        <f>IFERROR(__xludf.DUMMYFUNCTION("""COMPUTED_VALUE"""),30.01)</f>
        <v>30.01</v>
      </c>
      <c r="F422" s="1">
        <f>IFERROR(__xludf.DUMMYFUNCTION("""COMPUTED_VALUE"""),1175555.0)</f>
        <v>1175555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IFERROR(__xludf.DUMMYFUNCTION("""COMPUTED_VALUE"""),29.49)</f>
        <v>29.49</v>
      </c>
      <c r="C423" s="1">
        <f>IFERROR(__xludf.DUMMYFUNCTION("""COMPUTED_VALUE"""),30.4)</f>
        <v>30.4</v>
      </c>
      <c r="D423" s="1">
        <f>IFERROR(__xludf.DUMMYFUNCTION("""COMPUTED_VALUE"""),29.4)</f>
        <v>29.4</v>
      </c>
      <c r="E423" s="1">
        <f>IFERROR(__xludf.DUMMYFUNCTION("""COMPUTED_VALUE"""),29.59)</f>
        <v>29.59</v>
      </c>
      <c r="F423" s="1">
        <f>IFERROR(__xludf.DUMMYFUNCTION("""COMPUTED_VALUE"""),1104006.0)</f>
        <v>1104006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IFERROR(__xludf.DUMMYFUNCTION("""COMPUTED_VALUE"""),29.23)</f>
        <v>29.23</v>
      </c>
      <c r="C424" s="1">
        <f>IFERROR(__xludf.DUMMYFUNCTION("""COMPUTED_VALUE"""),29.57)</f>
        <v>29.57</v>
      </c>
      <c r="D424" s="1">
        <f>IFERROR(__xludf.DUMMYFUNCTION("""COMPUTED_VALUE"""),28.38)</f>
        <v>28.38</v>
      </c>
      <c r="E424" s="1">
        <f>IFERROR(__xludf.DUMMYFUNCTION("""COMPUTED_VALUE"""),29.55)</f>
        <v>29.55</v>
      </c>
      <c r="F424" s="1">
        <f>IFERROR(__xludf.DUMMYFUNCTION("""COMPUTED_VALUE"""),887128.0)</f>
        <v>887128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IFERROR(__xludf.DUMMYFUNCTION("""COMPUTED_VALUE"""),30.3)</f>
        <v>30.3</v>
      </c>
      <c r="C425" s="1">
        <f>IFERROR(__xludf.DUMMYFUNCTION("""COMPUTED_VALUE"""),31.84)</f>
        <v>31.84</v>
      </c>
      <c r="D425" s="1">
        <f>IFERROR(__xludf.DUMMYFUNCTION("""COMPUTED_VALUE"""),30.1)</f>
        <v>30.1</v>
      </c>
      <c r="E425" s="1">
        <f>IFERROR(__xludf.DUMMYFUNCTION("""COMPUTED_VALUE"""),31.62)</f>
        <v>31.62</v>
      </c>
      <c r="F425" s="1">
        <f>IFERROR(__xludf.DUMMYFUNCTION("""COMPUTED_VALUE"""),1265448.0)</f>
        <v>1265448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IFERROR(__xludf.DUMMYFUNCTION("""COMPUTED_VALUE"""),31.32)</f>
        <v>31.32</v>
      </c>
      <c r="C426" s="1">
        <f>IFERROR(__xludf.DUMMYFUNCTION("""COMPUTED_VALUE"""),32.35)</f>
        <v>32.35</v>
      </c>
      <c r="D426" s="1">
        <f>IFERROR(__xludf.DUMMYFUNCTION("""COMPUTED_VALUE"""),31.17)</f>
        <v>31.17</v>
      </c>
      <c r="E426" s="1">
        <f>IFERROR(__xludf.DUMMYFUNCTION("""COMPUTED_VALUE"""),32.17)</f>
        <v>32.17</v>
      </c>
      <c r="F426" s="1">
        <f>IFERROR(__xludf.DUMMYFUNCTION("""COMPUTED_VALUE"""),1417373.0)</f>
        <v>1417373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IFERROR(__xludf.DUMMYFUNCTION("""COMPUTED_VALUE"""),31.8)</f>
        <v>31.8</v>
      </c>
      <c r="C427" s="1">
        <f>IFERROR(__xludf.DUMMYFUNCTION("""COMPUTED_VALUE"""),32.18)</f>
        <v>32.18</v>
      </c>
      <c r="D427" s="1">
        <f>IFERROR(__xludf.DUMMYFUNCTION("""COMPUTED_VALUE"""),31.17)</f>
        <v>31.17</v>
      </c>
      <c r="E427" s="1">
        <f>IFERROR(__xludf.DUMMYFUNCTION("""COMPUTED_VALUE"""),31.63)</f>
        <v>31.63</v>
      </c>
      <c r="F427" s="1">
        <f>IFERROR(__xludf.DUMMYFUNCTION("""COMPUTED_VALUE"""),785816.0)</f>
        <v>785816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IFERROR(__xludf.DUMMYFUNCTION("""COMPUTED_VALUE"""),31.31)</f>
        <v>31.31</v>
      </c>
      <c r="C428" s="1">
        <f>IFERROR(__xludf.DUMMYFUNCTION("""COMPUTED_VALUE"""),32.0)</f>
        <v>32</v>
      </c>
      <c r="D428" s="1">
        <f>IFERROR(__xludf.DUMMYFUNCTION("""COMPUTED_VALUE"""),30.98)</f>
        <v>30.98</v>
      </c>
      <c r="E428" s="1">
        <f>IFERROR(__xludf.DUMMYFUNCTION("""COMPUTED_VALUE"""),31.97)</f>
        <v>31.97</v>
      </c>
      <c r="F428" s="1">
        <f>IFERROR(__xludf.DUMMYFUNCTION("""COMPUTED_VALUE"""),824005.0)</f>
        <v>824005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IFERROR(__xludf.DUMMYFUNCTION("""COMPUTED_VALUE"""),31.97)</f>
        <v>31.97</v>
      </c>
      <c r="C429" s="1">
        <f>IFERROR(__xludf.DUMMYFUNCTION("""COMPUTED_VALUE"""),32.67)</f>
        <v>32.67</v>
      </c>
      <c r="D429" s="1">
        <f>IFERROR(__xludf.DUMMYFUNCTION("""COMPUTED_VALUE"""),31.76)</f>
        <v>31.76</v>
      </c>
      <c r="E429" s="1">
        <f>IFERROR(__xludf.DUMMYFUNCTION("""COMPUTED_VALUE"""),32.54)</f>
        <v>32.54</v>
      </c>
      <c r="F429" s="1">
        <f>IFERROR(__xludf.DUMMYFUNCTION("""COMPUTED_VALUE"""),1191562.0)</f>
        <v>1191562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IFERROR(__xludf.DUMMYFUNCTION("""COMPUTED_VALUE"""),32.91)</f>
        <v>32.91</v>
      </c>
      <c r="C430" s="1">
        <f>IFERROR(__xludf.DUMMYFUNCTION("""COMPUTED_VALUE"""),34.77)</f>
        <v>34.77</v>
      </c>
      <c r="D430" s="1">
        <f>IFERROR(__xludf.DUMMYFUNCTION("""COMPUTED_VALUE"""),32.88)</f>
        <v>32.88</v>
      </c>
      <c r="E430" s="1">
        <f>IFERROR(__xludf.DUMMYFUNCTION("""COMPUTED_VALUE"""),33.7)</f>
        <v>33.7</v>
      </c>
      <c r="F430" s="1">
        <f>IFERROR(__xludf.DUMMYFUNCTION("""COMPUTED_VALUE"""),1692093.0)</f>
        <v>1692093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IFERROR(__xludf.DUMMYFUNCTION("""COMPUTED_VALUE"""),33.87)</f>
        <v>33.87</v>
      </c>
      <c r="C431" s="1">
        <f>IFERROR(__xludf.DUMMYFUNCTION("""COMPUTED_VALUE"""),34.23)</f>
        <v>34.23</v>
      </c>
      <c r="D431" s="1">
        <f>IFERROR(__xludf.DUMMYFUNCTION("""COMPUTED_VALUE"""),33.01)</f>
        <v>33.01</v>
      </c>
      <c r="E431" s="1">
        <f>IFERROR(__xludf.DUMMYFUNCTION("""COMPUTED_VALUE"""),33.14)</f>
        <v>33.14</v>
      </c>
      <c r="F431" s="1">
        <f>IFERROR(__xludf.DUMMYFUNCTION("""COMPUTED_VALUE"""),1517381.0)</f>
        <v>1517381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IFERROR(__xludf.DUMMYFUNCTION("""COMPUTED_VALUE"""),33.0)</f>
        <v>33</v>
      </c>
      <c r="C432" s="1">
        <f>IFERROR(__xludf.DUMMYFUNCTION("""COMPUTED_VALUE"""),33.4)</f>
        <v>33.4</v>
      </c>
      <c r="D432" s="1">
        <f>IFERROR(__xludf.DUMMYFUNCTION("""COMPUTED_VALUE"""),32.2)</f>
        <v>32.2</v>
      </c>
      <c r="E432" s="1">
        <f>IFERROR(__xludf.DUMMYFUNCTION("""COMPUTED_VALUE"""),32.46)</f>
        <v>32.46</v>
      </c>
      <c r="F432" s="1">
        <f>IFERROR(__xludf.DUMMYFUNCTION("""COMPUTED_VALUE"""),1057108.0)</f>
        <v>1057108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IFERROR(__xludf.DUMMYFUNCTION("""COMPUTED_VALUE"""),32.01)</f>
        <v>32.01</v>
      </c>
      <c r="C433" s="1">
        <f>IFERROR(__xludf.DUMMYFUNCTION("""COMPUTED_VALUE"""),32.84)</f>
        <v>32.84</v>
      </c>
      <c r="D433" s="1">
        <f>IFERROR(__xludf.DUMMYFUNCTION("""COMPUTED_VALUE"""),31.99)</f>
        <v>31.99</v>
      </c>
      <c r="E433" s="1">
        <f>IFERROR(__xludf.DUMMYFUNCTION("""COMPUTED_VALUE"""),32.75)</f>
        <v>32.75</v>
      </c>
      <c r="F433" s="1">
        <f>IFERROR(__xludf.DUMMYFUNCTION("""COMPUTED_VALUE"""),1217206.0)</f>
        <v>1217206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IFERROR(__xludf.DUMMYFUNCTION("""COMPUTED_VALUE"""),33.0)</f>
        <v>33</v>
      </c>
      <c r="C434" s="1">
        <f>IFERROR(__xludf.DUMMYFUNCTION("""COMPUTED_VALUE"""),33.77)</f>
        <v>33.77</v>
      </c>
      <c r="D434" s="1">
        <f>IFERROR(__xludf.DUMMYFUNCTION("""COMPUTED_VALUE"""),32.29)</f>
        <v>32.29</v>
      </c>
      <c r="E434" s="1">
        <f>IFERROR(__xludf.DUMMYFUNCTION("""COMPUTED_VALUE"""),32.34)</f>
        <v>32.34</v>
      </c>
      <c r="F434" s="1">
        <f>IFERROR(__xludf.DUMMYFUNCTION("""COMPUTED_VALUE"""),769983.0)</f>
        <v>769983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IFERROR(__xludf.DUMMYFUNCTION("""COMPUTED_VALUE"""),32.43)</f>
        <v>32.43</v>
      </c>
      <c r="C435" s="1">
        <f>IFERROR(__xludf.DUMMYFUNCTION("""COMPUTED_VALUE"""),32.52)</f>
        <v>32.52</v>
      </c>
      <c r="D435" s="1">
        <f>IFERROR(__xludf.DUMMYFUNCTION("""COMPUTED_VALUE"""),29.3)</f>
        <v>29.3</v>
      </c>
      <c r="E435" s="1">
        <f>IFERROR(__xludf.DUMMYFUNCTION("""COMPUTED_VALUE"""),29.34)</f>
        <v>29.34</v>
      </c>
      <c r="F435" s="1">
        <f>IFERROR(__xludf.DUMMYFUNCTION("""COMPUTED_VALUE"""),2129080.0)</f>
        <v>2129080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IFERROR(__xludf.DUMMYFUNCTION("""COMPUTED_VALUE"""),28.53)</f>
        <v>28.53</v>
      </c>
      <c r="C436" s="1">
        <f>IFERROR(__xludf.DUMMYFUNCTION("""COMPUTED_VALUE"""),28.62)</f>
        <v>28.62</v>
      </c>
      <c r="D436" s="1">
        <f>IFERROR(__xludf.DUMMYFUNCTION("""COMPUTED_VALUE"""),26.78)</f>
        <v>26.78</v>
      </c>
      <c r="E436" s="1">
        <f>IFERROR(__xludf.DUMMYFUNCTION("""COMPUTED_VALUE"""),27.17)</f>
        <v>27.17</v>
      </c>
      <c r="F436" s="1">
        <f>IFERROR(__xludf.DUMMYFUNCTION("""COMPUTED_VALUE"""),1914190.0)</f>
        <v>1914190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IFERROR(__xludf.DUMMYFUNCTION("""COMPUTED_VALUE"""),27.07)</f>
        <v>27.07</v>
      </c>
      <c r="C437" s="1">
        <f>IFERROR(__xludf.DUMMYFUNCTION("""COMPUTED_VALUE"""),28.88)</f>
        <v>28.88</v>
      </c>
      <c r="D437" s="1">
        <f>IFERROR(__xludf.DUMMYFUNCTION("""COMPUTED_VALUE"""),26.85)</f>
        <v>26.85</v>
      </c>
      <c r="E437" s="1">
        <f>IFERROR(__xludf.DUMMYFUNCTION("""COMPUTED_VALUE"""),28.27)</f>
        <v>28.27</v>
      </c>
      <c r="F437" s="1">
        <f>IFERROR(__xludf.DUMMYFUNCTION("""COMPUTED_VALUE"""),1343912.0)</f>
        <v>1343912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IFERROR(__xludf.DUMMYFUNCTION("""COMPUTED_VALUE"""),28.23)</f>
        <v>28.23</v>
      </c>
      <c r="C438" s="1">
        <f>IFERROR(__xludf.DUMMYFUNCTION("""COMPUTED_VALUE"""),28.42)</f>
        <v>28.42</v>
      </c>
      <c r="D438" s="1">
        <f>IFERROR(__xludf.DUMMYFUNCTION("""COMPUTED_VALUE"""),26.75)</f>
        <v>26.75</v>
      </c>
      <c r="E438" s="1">
        <f>IFERROR(__xludf.DUMMYFUNCTION("""COMPUTED_VALUE"""),27.88)</f>
        <v>27.88</v>
      </c>
      <c r="F438" s="1">
        <f>IFERROR(__xludf.DUMMYFUNCTION("""COMPUTED_VALUE"""),1146678.0)</f>
        <v>1146678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IFERROR(__xludf.DUMMYFUNCTION("""COMPUTED_VALUE"""),28.61)</f>
        <v>28.61</v>
      </c>
      <c r="C439" s="1">
        <f>IFERROR(__xludf.DUMMYFUNCTION("""COMPUTED_VALUE"""),30.04)</f>
        <v>30.04</v>
      </c>
      <c r="D439" s="1">
        <f>IFERROR(__xludf.DUMMYFUNCTION("""COMPUTED_VALUE"""),28.61)</f>
        <v>28.61</v>
      </c>
      <c r="E439" s="1">
        <f>IFERROR(__xludf.DUMMYFUNCTION("""COMPUTED_VALUE"""),29.85)</f>
        <v>29.85</v>
      </c>
      <c r="F439" s="1">
        <f>IFERROR(__xludf.DUMMYFUNCTION("""COMPUTED_VALUE"""),1311999.0)</f>
        <v>1311999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IFERROR(__xludf.DUMMYFUNCTION("""COMPUTED_VALUE"""),29.18)</f>
        <v>29.18</v>
      </c>
      <c r="C440" s="1">
        <f>IFERROR(__xludf.DUMMYFUNCTION("""COMPUTED_VALUE"""),29.5)</f>
        <v>29.5</v>
      </c>
      <c r="D440" s="1">
        <f>IFERROR(__xludf.DUMMYFUNCTION("""COMPUTED_VALUE"""),27.57)</f>
        <v>27.57</v>
      </c>
      <c r="E440" s="1">
        <f>IFERROR(__xludf.DUMMYFUNCTION("""COMPUTED_VALUE"""),27.58)</f>
        <v>27.58</v>
      </c>
      <c r="F440" s="1">
        <f>IFERROR(__xludf.DUMMYFUNCTION("""COMPUTED_VALUE"""),1085119.0)</f>
        <v>1085119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IFERROR(__xludf.DUMMYFUNCTION("""COMPUTED_VALUE"""),28.25)</f>
        <v>28.25</v>
      </c>
      <c r="C441" s="1">
        <f>IFERROR(__xludf.DUMMYFUNCTION("""COMPUTED_VALUE"""),28.3)</f>
        <v>28.3</v>
      </c>
      <c r="D441" s="1">
        <f>IFERROR(__xludf.DUMMYFUNCTION("""COMPUTED_VALUE"""),22.51)</f>
        <v>22.51</v>
      </c>
      <c r="E441" s="1">
        <f>IFERROR(__xludf.DUMMYFUNCTION("""COMPUTED_VALUE"""),24.36)</f>
        <v>24.36</v>
      </c>
      <c r="F441" s="1">
        <f>IFERROR(__xludf.DUMMYFUNCTION("""COMPUTED_VALUE"""),4913209.0)</f>
        <v>4913209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IFERROR(__xludf.DUMMYFUNCTION("""COMPUTED_VALUE"""),24.08)</f>
        <v>24.08</v>
      </c>
      <c r="C442" s="1">
        <f>IFERROR(__xludf.DUMMYFUNCTION("""COMPUTED_VALUE"""),25.28)</f>
        <v>25.28</v>
      </c>
      <c r="D442" s="1">
        <f>IFERROR(__xludf.DUMMYFUNCTION("""COMPUTED_VALUE"""),22.91)</f>
        <v>22.91</v>
      </c>
      <c r="E442" s="1">
        <f>IFERROR(__xludf.DUMMYFUNCTION("""COMPUTED_VALUE"""),22.97)</f>
        <v>22.97</v>
      </c>
      <c r="F442" s="1">
        <f>IFERROR(__xludf.DUMMYFUNCTION("""COMPUTED_VALUE"""),4879973.0)</f>
        <v>4879973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IFERROR(__xludf.DUMMYFUNCTION("""COMPUTED_VALUE"""),22.95)</f>
        <v>22.95</v>
      </c>
      <c r="C443" s="1">
        <f>IFERROR(__xludf.DUMMYFUNCTION("""COMPUTED_VALUE"""),23.97)</f>
        <v>23.97</v>
      </c>
      <c r="D443" s="1">
        <f>IFERROR(__xludf.DUMMYFUNCTION("""COMPUTED_VALUE"""),21.26)</f>
        <v>21.26</v>
      </c>
      <c r="E443" s="1">
        <f>IFERROR(__xludf.DUMMYFUNCTION("""COMPUTED_VALUE"""),21.37)</f>
        <v>21.37</v>
      </c>
      <c r="F443" s="1">
        <f>IFERROR(__xludf.DUMMYFUNCTION("""COMPUTED_VALUE"""),4115568.0)</f>
        <v>4115568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IFERROR(__xludf.DUMMYFUNCTION("""COMPUTED_VALUE"""),20.61)</f>
        <v>20.61</v>
      </c>
      <c r="C444" s="1">
        <f>IFERROR(__xludf.DUMMYFUNCTION("""COMPUTED_VALUE"""),23.3)</f>
        <v>23.3</v>
      </c>
      <c r="D444" s="1">
        <f>IFERROR(__xludf.DUMMYFUNCTION("""COMPUTED_VALUE"""),20.61)</f>
        <v>20.61</v>
      </c>
      <c r="E444" s="1">
        <f>IFERROR(__xludf.DUMMYFUNCTION("""COMPUTED_VALUE"""),23.17)</f>
        <v>23.17</v>
      </c>
      <c r="F444" s="1">
        <f>IFERROR(__xludf.DUMMYFUNCTION("""COMPUTED_VALUE"""),4383012.0)</f>
        <v>4383012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IFERROR(__xludf.DUMMYFUNCTION("""COMPUTED_VALUE"""),23.02)</f>
        <v>23.02</v>
      </c>
      <c r="C445" s="1">
        <f>IFERROR(__xludf.DUMMYFUNCTION("""COMPUTED_VALUE"""),25.66)</f>
        <v>25.66</v>
      </c>
      <c r="D445" s="1">
        <f>IFERROR(__xludf.DUMMYFUNCTION("""COMPUTED_VALUE"""),22.82)</f>
        <v>22.82</v>
      </c>
      <c r="E445" s="1">
        <f>IFERROR(__xludf.DUMMYFUNCTION("""COMPUTED_VALUE"""),25.42)</f>
        <v>25.42</v>
      </c>
      <c r="F445" s="1">
        <f>IFERROR(__xludf.DUMMYFUNCTION("""COMPUTED_VALUE"""),2759976.0)</f>
        <v>2759976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IFERROR(__xludf.DUMMYFUNCTION("""COMPUTED_VALUE"""),25.66)</f>
        <v>25.66</v>
      </c>
      <c r="C446" s="1">
        <f>IFERROR(__xludf.DUMMYFUNCTION("""COMPUTED_VALUE"""),27.52)</f>
        <v>27.52</v>
      </c>
      <c r="D446" s="1">
        <f>IFERROR(__xludf.DUMMYFUNCTION("""COMPUTED_VALUE"""),24.99)</f>
        <v>24.99</v>
      </c>
      <c r="E446" s="1">
        <f>IFERROR(__xludf.DUMMYFUNCTION("""COMPUTED_VALUE"""),27.44)</f>
        <v>27.44</v>
      </c>
      <c r="F446" s="1">
        <f>IFERROR(__xludf.DUMMYFUNCTION("""COMPUTED_VALUE"""),3333812.0)</f>
        <v>3333812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IFERROR(__xludf.DUMMYFUNCTION("""COMPUTED_VALUE"""),27.35)</f>
        <v>27.35</v>
      </c>
      <c r="C447" s="1">
        <f>IFERROR(__xludf.DUMMYFUNCTION("""COMPUTED_VALUE"""),27.87)</f>
        <v>27.87</v>
      </c>
      <c r="D447" s="1">
        <f>IFERROR(__xludf.DUMMYFUNCTION("""COMPUTED_VALUE"""),26.75)</f>
        <v>26.75</v>
      </c>
      <c r="E447" s="1">
        <f>IFERROR(__xludf.DUMMYFUNCTION("""COMPUTED_VALUE"""),27.3)</f>
        <v>27.3</v>
      </c>
      <c r="F447" s="1">
        <f>IFERROR(__xludf.DUMMYFUNCTION("""COMPUTED_VALUE"""),2734430.0)</f>
        <v>2734430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IFERROR(__xludf.DUMMYFUNCTION("""COMPUTED_VALUE"""),27.71)</f>
        <v>27.71</v>
      </c>
      <c r="C448" s="1">
        <f>IFERROR(__xludf.DUMMYFUNCTION("""COMPUTED_VALUE"""),28.8)</f>
        <v>28.8</v>
      </c>
      <c r="D448" s="1">
        <f>IFERROR(__xludf.DUMMYFUNCTION("""COMPUTED_VALUE"""),27.55)</f>
        <v>27.55</v>
      </c>
      <c r="E448" s="1">
        <f>IFERROR(__xludf.DUMMYFUNCTION("""COMPUTED_VALUE"""),28.56)</f>
        <v>28.56</v>
      </c>
      <c r="F448" s="1">
        <f>IFERROR(__xludf.DUMMYFUNCTION("""COMPUTED_VALUE"""),1936310.0)</f>
        <v>1936310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IFERROR(__xludf.DUMMYFUNCTION("""COMPUTED_VALUE"""),28.34)</f>
        <v>28.34</v>
      </c>
      <c r="C449" s="1">
        <f>IFERROR(__xludf.DUMMYFUNCTION("""COMPUTED_VALUE"""),29.78)</f>
        <v>29.78</v>
      </c>
      <c r="D449" s="1">
        <f>IFERROR(__xludf.DUMMYFUNCTION("""COMPUTED_VALUE"""),27.99)</f>
        <v>27.99</v>
      </c>
      <c r="E449" s="1">
        <f>IFERROR(__xludf.DUMMYFUNCTION("""COMPUTED_VALUE"""),29.57)</f>
        <v>29.57</v>
      </c>
      <c r="F449" s="1">
        <f>IFERROR(__xludf.DUMMYFUNCTION("""COMPUTED_VALUE"""),1730200.0)</f>
        <v>1730200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IFERROR(__xludf.DUMMYFUNCTION("""COMPUTED_VALUE"""),29.92)</f>
        <v>29.92</v>
      </c>
      <c r="C450" s="1">
        <f>IFERROR(__xludf.DUMMYFUNCTION("""COMPUTED_VALUE"""),30.89)</f>
        <v>30.89</v>
      </c>
      <c r="D450" s="1">
        <f>IFERROR(__xludf.DUMMYFUNCTION("""COMPUTED_VALUE"""),29.75)</f>
        <v>29.75</v>
      </c>
      <c r="E450" s="1">
        <f>IFERROR(__xludf.DUMMYFUNCTION("""COMPUTED_VALUE"""),30.31)</f>
        <v>30.31</v>
      </c>
      <c r="F450" s="1">
        <f>IFERROR(__xludf.DUMMYFUNCTION("""COMPUTED_VALUE"""),1788522.0)</f>
        <v>1788522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IFERROR(__xludf.DUMMYFUNCTION("""COMPUTED_VALUE"""),30.33)</f>
        <v>30.33</v>
      </c>
      <c r="C451" s="1">
        <f>IFERROR(__xludf.DUMMYFUNCTION("""COMPUTED_VALUE"""),30.5)</f>
        <v>30.5</v>
      </c>
      <c r="D451" s="1">
        <f>IFERROR(__xludf.DUMMYFUNCTION("""COMPUTED_VALUE"""),29.49)</f>
        <v>29.49</v>
      </c>
      <c r="E451" s="1">
        <f>IFERROR(__xludf.DUMMYFUNCTION("""COMPUTED_VALUE"""),29.93)</f>
        <v>29.93</v>
      </c>
      <c r="F451" s="1">
        <f>IFERROR(__xludf.DUMMYFUNCTION("""COMPUTED_VALUE"""),1749078.0)</f>
        <v>1749078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IFERROR(__xludf.DUMMYFUNCTION("""COMPUTED_VALUE"""),30.45)</f>
        <v>30.45</v>
      </c>
      <c r="C452" s="1">
        <f>IFERROR(__xludf.DUMMYFUNCTION("""COMPUTED_VALUE"""),30.56)</f>
        <v>30.56</v>
      </c>
      <c r="D452" s="1">
        <f>IFERROR(__xludf.DUMMYFUNCTION("""COMPUTED_VALUE"""),29.71)</f>
        <v>29.71</v>
      </c>
      <c r="E452" s="1">
        <f>IFERROR(__xludf.DUMMYFUNCTION("""COMPUTED_VALUE"""),30.2)</f>
        <v>30.2</v>
      </c>
      <c r="F452" s="1">
        <f>IFERROR(__xludf.DUMMYFUNCTION("""COMPUTED_VALUE"""),1159809.0)</f>
        <v>1159809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IFERROR(__xludf.DUMMYFUNCTION("""COMPUTED_VALUE"""),29.96)</f>
        <v>29.96</v>
      </c>
      <c r="C453" s="1">
        <f>IFERROR(__xludf.DUMMYFUNCTION("""COMPUTED_VALUE"""),30.97)</f>
        <v>30.97</v>
      </c>
      <c r="D453" s="1">
        <f>IFERROR(__xludf.DUMMYFUNCTION("""COMPUTED_VALUE"""),29.9)</f>
        <v>29.9</v>
      </c>
      <c r="E453" s="1">
        <f>IFERROR(__xludf.DUMMYFUNCTION("""COMPUTED_VALUE"""),30.01)</f>
        <v>30.01</v>
      </c>
      <c r="F453" s="1">
        <f>IFERROR(__xludf.DUMMYFUNCTION("""COMPUTED_VALUE"""),2671887.0)</f>
        <v>2671887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IFERROR(__xludf.DUMMYFUNCTION("""COMPUTED_VALUE"""),28.47)</f>
        <v>28.47</v>
      </c>
      <c r="C454" s="1">
        <f>IFERROR(__xludf.DUMMYFUNCTION("""COMPUTED_VALUE"""),28.47)</f>
        <v>28.47</v>
      </c>
      <c r="D454" s="1">
        <f>IFERROR(__xludf.DUMMYFUNCTION("""COMPUTED_VALUE"""),23.8)</f>
        <v>23.8</v>
      </c>
      <c r="E454" s="1">
        <f>IFERROR(__xludf.DUMMYFUNCTION("""COMPUTED_VALUE"""),26.39)</f>
        <v>26.39</v>
      </c>
      <c r="F454" s="1">
        <f>IFERROR(__xludf.DUMMYFUNCTION("""COMPUTED_VALUE"""),8022622.0)</f>
        <v>8022622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IFERROR(__xludf.DUMMYFUNCTION("""COMPUTED_VALUE"""),26.44)</f>
        <v>26.44</v>
      </c>
      <c r="C455" s="1">
        <f>IFERROR(__xludf.DUMMYFUNCTION("""COMPUTED_VALUE"""),27.02)</f>
        <v>27.02</v>
      </c>
      <c r="D455" s="1">
        <f>IFERROR(__xludf.DUMMYFUNCTION("""COMPUTED_VALUE"""),25.62)</f>
        <v>25.62</v>
      </c>
      <c r="E455" s="1">
        <f>IFERROR(__xludf.DUMMYFUNCTION("""COMPUTED_VALUE"""),26.56)</f>
        <v>26.56</v>
      </c>
      <c r="F455" s="1">
        <f>IFERROR(__xludf.DUMMYFUNCTION("""COMPUTED_VALUE"""),2834182.0)</f>
        <v>2834182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IFERROR(__xludf.DUMMYFUNCTION("""COMPUTED_VALUE"""),26.23)</f>
        <v>26.23</v>
      </c>
      <c r="C456" s="1">
        <f>IFERROR(__xludf.DUMMYFUNCTION("""COMPUTED_VALUE"""),26.54)</f>
        <v>26.54</v>
      </c>
      <c r="D456" s="1">
        <f>IFERROR(__xludf.DUMMYFUNCTION("""COMPUTED_VALUE"""),24.71)</f>
        <v>24.71</v>
      </c>
      <c r="E456" s="1">
        <f>IFERROR(__xludf.DUMMYFUNCTION("""COMPUTED_VALUE"""),25.56)</f>
        <v>25.56</v>
      </c>
      <c r="F456" s="1">
        <f>IFERROR(__xludf.DUMMYFUNCTION("""COMPUTED_VALUE"""),1886886.0)</f>
        <v>1886886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IFERROR(__xludf.DUMMYFUNCTION("""COMPUTED_VALUE"""),25.86)</f>
        <v>25.86</v>
      </c>
      <c r="C457" s="1">
        <f>IFERROR(__xludf.DUMMYFUNCTION("""COMPUTED_VALUE"""),27.38)</f>
        <v>27.38</v>
      </c>
      <c r="D457" s="1">
        <f>IFERROR(__xludf.DUMMYFUNCTION("""COMPUTED_VALUE"""),25.51)</f>
        <v>25.51</v>
      </c>
      <c r="E457" s="1">
        <f>IFERROR(__xludf.DUMMYFUNCTION("""COMPUTED_VALUE"""),26.95)</f>
        <v>26.95</v>
      </c>
      <c r="F457" s="1">
        <f>IFERROR(__xludf.DUMMYFUNCTION("""COMPUTED_VALUE"""),2764879.0)</f>
        <v>2764879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IFERROR(__xludf.DUMMYFUNCTION("""COMPUTED_VALUE"""),27.0)</f>
        <v>27</v>
      </c>
      <c r="C458" s="1">
        <f>IFERROR(__xludf.DUMMYFUNCTION("""COMPUTED_VALUE"""),28.37)</f>
        <v>28.37</v>
      </c>
      <c r="D458" s="1">
        <f>IFERROR(__xludf.DUMMYFUNCTION("""COMPUTED_VALUE"""),27.0)</f>
        <v>27</v>
      </c>
      <c r="E458" s="1">
        <f>IFERROR(__xludf.DUMMYFUNCTION("""COMPUTED_VALUE"""),28.35)</f>
        <v>28.35</v>
      </c>
      <c r="F458" s="1">
        <f>IFERROR(__xludf.DUMMYFUNCTION("""COMPUTED_VALUE"""),1419453.0)</f>
        <v>1419453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IFERROR(__xludf.DUMMYFUNCTION("""COMPUTED_VALUE"""),28.42)</f>
        <v>28.42</v>
      </c>
      <c r="C459" s="1">
        <f>IFERROR(__xludf.DUMMYFUNCTION("""COMPUTED_VALUE"""),28.7)</f>
        <v>28.7</v>
      </c>
      <c r="D459" s="1">
        <f>IFERROR(__xludf.DUMMYFUNCTION("""COMPUTED_VALUE"""),27.53)</f>
        <v>27.53</v>
      </c>
      <c r="E459" s="1">
        <f>IFERROR(__xludf.DUMMYFUNCTION("""COMPUTED_VALUE"""),28.19)</f>
        <v>28.19</v>
      </c>
      <c r="F459" s="1">
        <f>IFERROR(__xludf.DUMMYFUNCTION("""COMPUTED_VALUE"""),867070.0)</f>
        <v>867070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IFERROR(__xludf.DUMMYFUNCTION("""COMPUTED_VALUE"""),28.49)</f>
        <v>28.49</v>
      </c>
      <c r="C460" s="1">
        <f>IFERROR(__xludf.DUMMYFUNCTION("""COMPUTED_VALUE"""),28.96)</f>
        <v>28.96</v>
      </c>
      <c r="D460" s="1">
        <f>IFERROR(__xludf.DUMMYFUNCTION("""COMPUTED_VALUE"""),27.45)</f>
        <v>27.45</v>
      </c>
      <c r="E460" s="1">
        <f>IFERROR(__xludf.DUMMYFUNCTION("""COMPUTED_VALUE"""),28.63)</f>
        <v>28.63</v>
      </c>
      <c r="F460" s="1">
        <f>IFERROR(__xludf.DUMMYFUNCTION("""COMPUTED_VALUE"""),1280163.0)</f>
        <v>1280163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IFERROR(__xludf.DUMMYFUNCTION("""COMPUTED_VALUE"""),29.22)</f>
        <v>29.22</v>
      </c>
      <c r="C461" s="1">
        <f>IFERROR(__xludf.DUMMYFUNCTION("""COMPUTED_VALUE"""),30.29)</f>
        <v>30.29</v>
      </c>
      <c r="D461" s="1">
        <f>IFERROR(__xludf.DUMMYFUNCTION("""COMPUTED_VALUE"""),29.22)</f>
        <v>29.22</v>
      </c>
      <c r="E461" s="1">
        <f>IFERROR(__xludf.DUMMYFUNCTION("""COMPUTED_VALUE"""),30.08)</f>
        <v>30.08</v>
      </c>
      <c r="F461" s="1">
        <f>IFERROR(__xludf.DUMMYFUNCTION("""COMPUTED_VALUE"""),1515282.0)</f>
        <v>1515282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IFERROR(__xludf.DUMMYFUNCTION("""COMPUTED_VALUE"""),29.92)</f>
        <v>29.92</v>
      </c>
      <c r="C462" s="1">
        <f>IFERROR(__xludf.DUMMYFUNCTION("""COMPUTED_VALUE"""),30.63)</f>
        <v>30.63</v>
      </c>
      <c r="D462" s="1">
        <f>IFERROR(__xludf.DUMMYFUNCTION("""COMPUTED_VALUE"""),29.79)</f>
        <v>29.79</v>
      </c>
      <c r="E462" s="1">
        <f>IFERROR(__xludf.DUMMYFUNCTION("""COMPUTED_VALUE"""),30.07)</f>
        <v>30.07</v>
      </c>
      <c r="F462" s="1">
        <f>IFERROR(__xludf.DUMMYFUNCTION("""COMPUTED_VALUE"""),1288406.0)</f>
        <v>1288406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IFERROR(__xludf.DUMMYFUNCTION("""COMPUTED_VALUE"""),30.0)</f>
        <v>30</v>
      </c>
      <c r="C463" s="1">
        <f>IFERROR(__xludf.DUMMYFUNCTION("""COMPUTED_VALUE"""),30.3)</f>
        <v>30.3</v>
      </c>
      <c r="D463" s="1">
        <f>IFERROR(__xludf.DUMMYFUNCTION("""COMPUTED_VALUE"""),29.64)</f>
        <v>29.64</v>
      </c>
      <c r="E463" s="1">
        <f>IFERROR(__xludf.DUMMYFUNCTION("""COMPUTED_VALUE"""),29.64)</f>
        <v>29.64</v>
      </c>
      <c r="F463" s="1">
        <f>IFERROR(__xludf.DUMMYFUNCTION("""COMPUTED_VALUE"""),818295.0)</f>
        <v>818295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IFERROR(__xludf.DUMMYFUNCTION("""COMPUTED_VALUE"""),28.4)</f>
        <v>28.4</v>
      </c>
      <c r="C464" s="1">
        <f>IFERROR(__xludf.DUMMYFUNCTION("""COMPUTED_VALUE"""),29.9)</f>
        <v>29.9</v>
      </c>
      <c r="D464" s="1">
        <f>IFERROR(__xludf.DUMMYFUNCTION("""COMPUTED_VALUE"""),28.1)</f>
        <v>28.1</v>
      </c>
      <c r="E464" s="1">
        <f>IFERROR(__xludf.DUMMYFUNCTION("""COMPUTED_VALUE"""),29.15)</f>
        <v>29.15</v>
      </c>
      <c r="F464" s="1">
        <f>IFERROR(__xludf.DUMMYFUNCTION("""COMPUTED_VALUE"""),1132711.0)</f>
        <v>1132711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IFERROR(__xludf.DUMMYFUNCTION("""COMPUTED_VALUE"""),29.0)</f>
        <v>29</v>
      </c>
      <c r="C465" s="1">
        <f>IFERROR(__xludf.DUMMYFUNCTION("""COMPUTED_VALUE"""),29.57)</f>
        <v>29.57</v>
      </c>
      <c r="D465" s="1">
        <f>IFERROR(__xludf.DUMMYFUNCTION("""COMPUTED_VALUE"""),28.9)</f>
        <v>28.9</v>
      </c>
      <c r="E465" s="1">
        <f>IFERROR(__xludf.DUMMYFUNCTION("""COMPUTED_VALUE"""),29.35)</f>
        <v>29.35</v>
      </c>
      <c r="F465" s="1">
        <f>IFERROR(__xludf.DUMMYFUNCTION("""COMPUTED_VALUE"""),856925.0)</f>
        <v>856925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IFERROR(__xludf.DUMMYFUNCTION("""COMPUTED_VALUE"""),29.4)</f>
        <v>29.4</v>
      </c>
      <c r="C466" s="1">
        <f>IFERROR(__xludf.DUMMYFUNCTION("""COMPUTED_VALUE"""),29.58)</f>
        <v>29.58</v>
      </c>
      <c r="D466" s="1">
        <f>IFERROR(__xludf.DUMMYFUNCTION("""COMPUTED_VALUE"""),28.99)</f>
        <v>28.99</v>
      </c>
      <c r="E466" s="1">
        <f>IFERROR(__xludf.DUMMYFUNCTION("""COMPUTED_VALUE"""),29.42)</f>
        <v>29.42</v>
      </c>
      <c r="F466" s="1">
        <f>IFERROR(__xludf.DUMMYFUNCTION("""COMPUTED_VALUE"""),807788.0)</f>
        <v>807788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IFERROR(__xludf.DUMMYFUNCTION("""COMPUTED_VALUE"""),29.39)</f>
        <v>29.39</v>
      </c>
      <c r="C467" s="1">
        <f>IFERROR(__xludf.DUMMYFUNCTION("""COMPUTED_VALUE"""),29.53)</f>
        <v>29.53</v>
      </c>
      <c r="D467" s="1">
        <f>IFERROR(__xludf.DUMMYFUNCTION("""COMPUTED_VALUE"""),28.44)</f>
        <v>28.44</v>
      </c>
      <c r="E467" s="1">
        <f>IFERROR(__xludf.DUMMYFUNCTION("""COMPUTED_VALUE"""),28.85)</f>
        <v>28.85</v>
      </c>
      <c r="F467" s="1">
        <f>IFERROR(__xludf.DUMMYFUNCTION("""COMPUTED_VALUE"""),917646.0)</f>
        <v>917646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IFERROR(__xludf.DUMMYFUNCTION("""COMPUTED_VALUE"""),28.76)</f>
        <v>28.76</v>
      </c>
      <c r="C468" s="1">
        <f>IFERROR(__xludf.DUMMYFUNCTION("""COMPUTED_VALUE"""),29.04)</f>
        <v>29.04</v>
      </c>
      <c r="D468" s="1">
        <f>IFERROR(__xludf.DUMMYFUNCTION("""COMPUTED_VALUE"""),28.17)</f>
        <v>28.17</v>
      </c>
      <c r="E468" s="1">
        <f>IFERROR(__xludf.DUMMYFUNCTION("""COMPUTED_VALUE"""),28.62)</f>
        <v>28.62</v>
      </c>
      <c r="F468" s="1">
        <f>IFERROR(__xludf.DUMMYFUNCTION("""COMPUTED_VALUE"""),526598.0)</f>
        <v>526598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IFERROR(__xludf.DUMMYFUNCTION("""COMPUTED_VALUE"""),28.68)</f>
        <v>28.68</v>
      </c>
      <c r="C469" s="1">
        <f>IFERROR(__xludf.DUMMYFUNCTION("""COMPUTED_VALUE"""),29.06)</f>
        <v>29.06</v>
      </c>
      <c r="D469" s="1">
        <f>IFERROR(__xludf.DUMMYFUNCTION("""COMPUTED_VALUE"""),28.18)</f>
        <v>28.18</v>
      </c>
      <c r="E469" s="1">
        <f>IFERROR(__xludf.DUMMYFUNCTION("""COMPUTED_VALUE"""),28.95)</f>
        <v>28.95</v>
      </c>
      <c r="F469" s="1">
        <f>IFERROR(__xludf.DUMMYFUNCTION("""COMPUTED_VALUE"""),524707.0)</f>
        <v>524707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IFERROR(__xludf.DUMMYFUNCTION("""COMPUTED_VALUE"""),28.02)</f>
        <v>28.02</v>
      </c>
      <c r="C470" s="1">
        <f>IFERROR(__xludf.DUMMYFUNCTION("""COMPUTED_VALUE"""),28.6)</f>
        <v>28.6</v>
      </c>
      <c r="D470" s="1">
        <f>IFERROR(__xludf.DUMMYFUNCTION("""COMPUTED_VALUE"""),27.84)</f>
        <v>27.84</v>
      </c>
      <c r="E470" s="1">
        <f>IFERROR(__xludf.DUMMYFUNCTION("""COMPUTED_VALUE"""),27.96)</f>
        <v>27.96</v>
      </c>
      <c r="F470" s="1">
        <f>IFERROR(__xludf.DUMMYFUNCTION("""COMPUTED_VALUE"""),632459.0)</f>
        <v>632459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IFERROR(__xludf.DUMMYFUNCTION("""COMPUTED_VALUE"""),28.04)</f>
        <v>28.04</v>
      </c>
      <c r="C471" s="1">
        <f>IFERROR(__xludf.DUMMYFUNCTION("""COMPUTED_VALUE"""),28.53)</f>
        <v>28.53</v>
      </c>
      <c r="D471" s="1">
        <f>IFERROR(__xludf.DUMMYFUNCTION("""COMPUTED_VALUE"""),27.04)</f>
        <v>27.04</v>
      </c>
      <c r="E471" s="1">
        <f>IFERROR(__xludf.DUMMYFUNCTION("""COMPUTED_VALUE"""),27.22)</f>
        <v>27.22</v>
      </c>
      <c r="F471" s="1">
        <f>IFERROR(__xludf.DUMMYFUNCTION("""COMPUTED_VALUE"""),708690.0)</f>
        <v>708690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IFERROR(__xludf.DUMMYFUNCTION("""COMPUTED_VALUE"""),27.43)</f>
        <v>27.43</v>
      </c>
      <c r="C472" s="1">
        <f>IFERROR(__xludf.DUMMYFUNCTION("""COMPUTED_VALUE"""),27.63)</f>
        <v>27.63</v>
      </c>
      <c r="D472" s="1">
        <f>IFERROR(__xludf.DUMMYFUNCTION("""COMPUTED_VALUE"""),26.69)</f>
        <v>26.69</v>
      </c>
      <c r="E472" s="1">
        <f>IFERROR(__xludf.DUMMYFUNCTION("""COMPUTED_VALUE"""),27.1)</f>
        <v>27.1</v>
      </c>
      <c r="F472" s="1">
        <f>IFERROR(__xludf.DUMMYFUNCTION("""COMPUTED_VALUE"""),1222986.0)</f>
        <v>1222986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IFERROR(__xludf.DUMMYFUNCTION("""COMPUTED_VALUE"""),27.11)</f>
        <v>27.11</v>
      </c>
      <c r="C473" s="1">
        <f>IFERROR(__xludf.DUMMYFUNCTION("""COMPUTED_VALUE"""),27.24)</f>
        <v>27.24</v>
      </c>
      <c r="D473" s="1">
        <f>IFERROR(__xludf.DUMMYFUNCTION("""COMPUTED_VALUE"""),26.04)</f>
        <v>26.04</v>
      </c>
      <c r="E473" s="1">
        <f>IFERROR(__xludf.DUMMYFUNCTION("""COMPUTED_VALUE"""),26.25)</f>
        <v>26.25</v>
      </c>
      <c r="F473" s="1">
        <f>IFERROR(__xludf.DUMMYFUNCTION("""COMPUTED_VALUE"""),1268346.0)</f>
        <v>1268346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IFERROR(__xludf.DUMMYFUNCTION("""COMPUTED_VALUE"""),26.28)</f>
        <v>26.28</v>
      </c>
      <c r="C474" s="1">
        <f>IFERROR(__xludf.DUMMYFUNCTION("""COMPUTED_VALUE"""),26.33)</f>
        <v>26.33</v>
      </c>
      <c r="D474" s="1">
        <f>IFERROR(__xludf.DUMMYFUNCTION("""COMPUTED_VALUE"""),25.63)</f>
        <v>25.63</v>
      </c>
      <c r="E474" s="1">
        <f>IFERROR(__xludf.DUMMYFUNCTION("""COMPUTED_VALUE"""),25.68)</f>
        <v>25.68</v>
      </c>
      <c r="F474" s="1">
        <f>IFERROR(__xludf.DUMMYFUNCTION("""COMPUTED_VALUE"""),1412553.0)</f>
        <v>1412553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IFERROR(__xludf.DUMMYFUNCTION("""COMPUTED_VALUE"""),25.53)</f>
        <v>25.53</v>
      </c>
      <c r="C475" s="1">
        <f>IFERROR(__xludf.DUMMYFUNCTION("""COMPUTED_VALUE"""),26.44)</f>
        <v>26.44</v>
      </c>
      <c r="D475" s="1">
        <f>IFERROR(__xludf.DUMMYFUNCTION("""COMPUTED_VALUE"""),25.44)</f>
        <v>25.44</v>
      </c>
      <c r="E475" s="1">
        <f>IFERROR(__xludf.DUMMYFUNCTION("""COMPUTED_VALUE"""),25.89)</f>
        <v>25.89</v>
      </c>
      <c r="F475" s="1">
        <f>IFERROR(__xludf.DUMMYFUNCTION("""COMPUTED_VALUE"""),1796206.0)</f>
        <v>1796206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IFERROR(__xludf.DUMMYFUNCTION("""COMPUTED_VALUE"""),25.53)</f>
        <v>25.53</v>
      </c>
      <c r="C476" s="1">
        <f>IFERROR(__xludf.DUMMYFUNCTION("""COMPUTED_VALUE"""),25.84)</f>
        <v>25.84</v>
      </c>
      <c r="D476" s="1">
        <f>IFERROR(__xludf.DUMMYFUNCTION("""COMPUTED_VALUE"""),24.81)</f>
        <v>24.81</v>
      </c>
      <c r="E476" s="1">
        <f>IFERROR(__xludf.DUMMYFUNCTION("""COMPUTED_VALUE"""),24.89)</f>
        <v>24.89</v>
      </c>
      <c r="F476" s="1">
        <f>IFERROR(__xludf.DUMMYFUNCTION("""COMPUTED_VALUE"""),2316866.0)</f>
        <v>2316866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IFERROR(__xludf.DUMMYFUNCTION("""COMPUTED_VALUE"""),25.19)</f>
        <v>25.19</v>
      </c>
      <c r="C477" s="1">
        <f>IFERROR(__xludf.DUMMYFUNCTION("""COMPUTED_VALUE"""),25.21)</f>
        <v>25.21</v>
      </c>
      <c r="D477" s="1">
        <f>IFERROR(__xludf.DUMMYFUNCTION("""COMPUTED_VALUE"""),22.73)</f>
        <v>22.73</v>
      </c>
      <c r="E477" s="1">
        <f>IFERROR(__xludf.DUMMYFUNCTION("""COMPUTED_VALUE"""),22.78)</f>
        <v>22.78</v>
      </c>
      <c r="F477" s="1">
        <f>IFERROR(__xludf.DUMMYFUNCTION("""COMPUTED_VALUE"""),5068493.0)</f>
        <v>5068493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IFERROR(__xludf.DUMMYFUNCTION("""COMPUTED_VALUE"""),23.02)</f>
        <v>23.02</v>
      </c>
      <c r="C478" s="1">
        <f>IFERROR(__xludf.DUMMYFUNCTION("""COMPUTED_VALUE"""),23.98)</f>
        <v>23.98</v>
      </c>
      <c r="D478" s="1">
        <f>IFERROR(__xludf.DUMMYFUNCTION("""COMPUTED_VALUE"""),22.1)</f>
        <v>22.1</v>
      </c>
      <c r="E478" s="1">
        <f>IFERROR(__xludf.DUMMYFUNCTION("""COMPUTED_VALUE"""),22.42)</f>
        <v>22.42</v>
      </c>
      <c r="F478" s="1">
        <f>IFERROR(__xludf.DUMMYFUNCTION("""COMPUTED_VALUE"""),4492241.0)</f>
        <v>4492241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IFERROR(__xludf.DUMMYFUNCTION("""COMPUTED_VALUE"""),22.5)</f>
        <v>22.5</v>
      </c>
      <c r="C479" s="1">
        <f>IFERROR(__xludf.DUMMYFUNCTION("""COMPUTED_VALUE"""),23.85)</f>
        <v>23.85</v>
      </c>
      <c r="D479" s="1">
        <f>IFERROR(__xludf.DUMMYFUNCTION("""COMPUTED_VALUE"""),22.45)</f>
        <v>22.45</v>
      </c>
      <c r="E479" s="1">
        <f>IFERROR(__xludf.DUMMYFUNCTION("""COMPUTED_VALUE"""),23.64)</f>
        <v>23.64</v>
      </c>
      <c r="F479" s="1">
        <f>IFERROR(__xludf.DUMMYFUNCTION("""COMPUTED_VALUE"""),2588108.0)</f>
        <v>2588108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IFERROR(__xludf.DUMMYFUNCTION("""COMPUTED_VALUE"""),23.3)</f>
        <v>23.3</v>
      </c>
      <c r="C480" s="1">
        <f>IFERROR(__xludf.DUMMYFUNCTION("""COMPUTED_VALUE"""),23.65)</f>
        <v>23.65</v>
      </c>
      <c r="D480" s="1">
        <f>IFERROR(__xludf.DUMMYFUNCTION("""COMPUTED_VALUE"""),22.79)</f>
        <v>22.79</v>
      </c>
      <c r="E480" s="1">
        <f>IFERROR(__xludf.DUMMYFUNCTION("""COMPUTED_VALUE"""),22.86)</f>
        <v>22.86</v>
      </c>
      <c r="F480" s="1">
        <f>IFERROR(__xludf.DUMMYFUNCTION("""COMPUTED_VALUE"""),2311911.0)</f>
        <v>2311911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IFERROR(__xludf.DUMMYFUNCTION("""COMPUTED_VALUE"""),22.73)</f>
        <v>22.73</v>
      </c>
      <c r="C481" s="1">
        <f>IFERROR(__xludf.DUMMYFUNCTION("""COMPUTED_VALUE"""),23.64)</f>
        <v>23.64</v>
      </c>
      <c r="D481" s="1">
        <f>IFERROR(__xludf.DUMMYFUNCTION("""COMPUTED_VALUE"""),22.73)</f>
        <v>22.73</v>
      </c>
      <c r="E481" s="1">
        <f>IFERROR(__xludf.DUMMYFUNCTION("""COMPUTED_VALUE"""),23.46)</f>
        <v>23.46</v>
      </c>
      <c r="F481" s="1">
        <f>IFERROR(__xludf.DUMMYFUNCTION("""COMPUTED_VALUE"""),444495.0)</f>
        <v>444495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IFERROR(__xludf.DUMMYFUNCTION("""COMPUTED_VALUE"""),24.43)</f>
        <v>24.43</v>
      </c>
      <c r="C482" s="1">
        <f>IFERROR(__xludf.DUMMYFUNCTION("""COMPUTED_VALUE"""),24.71)</f>
        <v>24.71</v>
      </c>
      <c r="D482" s="1">
        <f>IFERROR(__xludf.DUMMYFUNCTION("""COMPUTED_VALUE"""),23.34)</f>
        <v>23.34</v>
      </c>
      <c r="E482" s="1">
        <f>IFERROR(__xludf.DUMMYFUNCTION("""COMPUTED_VALUE"""),23.55)</f>
        <v>23.55</v>
      </c>
      <c r="F482" s="1">
        <f>IFERROR(__xludf.DUMMYFUNCTION("""COMPUTED_VALUE"""),2267409.0)</f>
        <v>2267409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IFERROR(__xludf.DUMMYFUNCTION("""COMPUTED_VALUE"""),23.49)</f>
        <v>23.49</v>
      </c>
      <c r="C483" s="1">
        <f>IFERROR(__xludf.DUMMYFUNCTION("""COMPUTED_VALUE"""),24.33)</f>
        <v>24.33</v>
      </c>
      <c r="D483" s="1">
        <f>IFERROR(__xludf.DUMMYFUNCTION("""COMPUTED_VALUE"""),23.34)</f>
        <v>23.34</v>
      </c>
      <c r="E483" s="1">
        <f>IFERROR(__xludf.DUMMYFUNCTION("""COMPUTED_VALUE"""),23.93)</f>
        <v>23.93</v>
      </c>
      <c r="F483" s="1">
        <f>IFERROR(__xludf.DUMMYFUNCTION("""COMPUTED_VALUE"""),1267642.0)</f>
        <v>1267642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IFERROR(__xludf.DUMMYFUNCTION("""COMPUTED_VALUE"""),25.25)</f>
        <v>25.25</v>
      </c>
      <c r="C484" s="1">
        <f>IFERROR(__xludf.DUMMYFUNCTION("""COMPUTED_VALUE"""),25.81)</f>
        <v>25.81</v>
      </c>
      <c r="D484" s="1">
        <f>IFERROR(__xludf.DUMMYFUNCTION("""COMPUTED_VALUE"""),24.7)</f>
        <v>24.7</v>
      </c>
      <c r="E484" s="1">
        <f>IFERROR(__xludf.DUMMYFUNCTION("""COMPUTED_VALUE"""),25.24)</f>
        <v>25.24</v>
      </c>
      <c r="F484" s="1">
        <f>IFERROR(__xludf.DUMMYFUNCTION("""COMPUTED_VALUE"""),1414032.0)</f>
        <v>1414032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IFERROR(__xludf.DUMMYFUNCTION("""COMPUTED_VALUE"""),25.34)</f>
        <v>25.34</v>
      </c>
      <c r="C485" s="1">
        <f>IFERROR(__xludf.DUMMYFUNCTION("""COMPUTED_VALUE"""),26.11)</f>
        <v>26.11</v>
      </c>
      <c r="D485" s="1">
        <f>IFERROR(__xludf.DUMMYFUNCTION("""COMPUTED_VALUE"""),24.67)</f>
        <v>24.67</v>
      </c>
      <c r="E485" s="1">
        <f>IFERROR(__xludf.DUMMYFUNCTION("""COMPUTED_VALUE"""),24.76)</f>
        <v>24.76</v>
      </c>
      <c r="F485" s="1">
        <f>IFERROR(__xludf.DUMMYFUNCTION("""COMPUTED_VALUE"""),1009154.0)</f>
        <v>1009154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IFERROR(__xludf.DUMMYFUNCTION("""COMPUTED_VALUE"""),25.05)</f>
        <v>25.05</v>
      </c>
      <c r="C486" s="1">
        <f>IFERROR(__xludf.DUMMYFUNCTION("""COMPUTED_VALUE"""),25.3)</f>
        <v>25.3</v>
      </c>
      <c r="D486" s="1">
        <f>IFERROR(__xludf.DUMMYFUNCTION("""COMPUTED_VALUE"""),24.85)</f>
        <v>24.85</v>
      </c>
      <c r="E486" s="1">
        <f>IFERROR(__xludf.DUMMYFUNCTION("""COMPUTED_VALUE"""),24.94)</f>
        <v>24.94</v>
      </c>
      <c r="F486" s="1">
        <f>IFERROR(__xludf.DUMMYFUNCTION("""COMPUTED_VALUE"""),643377.0)</f>
        <v>643377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IFERROR(__xludf.DUMMYFUNCTION("""COMPUTED_VALUE"""),25.34)</f>
        <v>25.34</v>
      </c>
      <c r="C487" s="1">
        <f>IFERROR(__xludf.DUMMYFUNCTION("""COMPUTED_VALUE"""),25.85)</f>
        <v>25.85</v>
      </c>
      <c r="D487" s="1">
        <f>IFERROR(__xludf.DUMMYFUNCTION("""COMPUTED_VALUE"""),25.11)</f>
        <v>25.11</v>
      </c>
      <c r="E487" s="1">
        <f>IFERROR(__xludf.DUMMYFUNCTION("""COMPUTED_VALUE"""),25.69)</f>
        <v>25.69</v>
      </c>
      <c r="F487" s="1">
        <f>IFERROR(__xludf.DUMMYFUNCTION("""COMPUTED_VALUE"""),1001708.0)</f>
        <v>1001708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IFERROR(__xludf.DUMMYFUNCTION("""COMPUTED_VALUE"""),25.61)</f>
        <v>25.61</v>
      </c>
      <c r="C488" s="1">
        <f>IFERROR(__xludf.DUMMYFUNCTION("""COMPUTED_VALUE"""),25.96)</f>
        <v>25.96</v>
      </c>
      <c r="D488" s="1">
        <f>IFERROR(__xludf.DUMMYFUNCTION("""COMPUTED_VALUE"""),25.12)</f>
        <v>25.12</v>
      </c>
      <c r="E488" s="1">
        <f>IFERROR(__xludf.DUMMYFUNCTION("""COMPUTED_VALUE"""),25.19)</f>
        <v>25.19</v>
      </c>
      <c r="F488" s="1">
        <f>IFERROR(__xludf.DUMMYFUNCTION("""COMPUTED_VALUE"""),788402.0)</f>
        <v>788402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IFERROR(__xludf.DUMMYFUNCTION("""COMPUTED_VALUE"""),25.19)</f>
        <v>25.19</v>
      </c>
      <c r="C489" s="1">
        <f>IFERROR(__xludf.DUMMYFUNCTION("""COMPUTED_VALUE"""),25.35)</f>
        <v>25.35</v>
      </c>
      <c r="D489" s="1">
        <f>IFERROR(__xludf.DUMMYFUNCTION("""COMPUTED_VALUE"""),24.56)</f>
        <v>24.56</v>
      </c>
      <c r="E489" s="1">
        <f>IFERROR(__xludf.DUMMYFUNCTION("""COMPUTED_VALUE"""),24.7)</f>
        <v>24.7</v>
      </c>
      <c r="F489" s="1">
        <f>IFERROR(__xludf.DUMMYFUNCTION("""COMPUTED_VALUE"""),789663.0)</f>
        <v>789663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IFERROR(__xludf.DUMMYFUNCTION("""COMPUTED_VALUE"""),24.4)</f>
        <v>24.4</v>
      </c>
      <c r="C490" s="1">
        <f>IFERROR(__xludf.DUMMYFUNCTION("""COMPUTED_VALUE"""),24.5)</f>
        <v>24.5</v>
      </c>
      <c r="D490" s="1">
        <f>IFERROR(__xludf.DUMMYFUNCTION("""COMPUTED_VALUE"""),23.92)</f>
        <v>23.92</v>
      </c>
      <c r="E490" s="1">
        <f>IFERROR(__xludf.DUMMYFUNCTION("""COMPUTED_VALUE"""),23.98)</f>
        <v>23.98</v>
      </c>
      <c r="F490" s="1">
        <f>IFERROR(__xludf.DUMMYFUNCTION("""COMPUTED_VALUE"""),973572.0)</f>
        <v>973572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IFERROR(__xludf.DUMMYFUNCTION("""COMPUTED_VALUE"""),24.23)</f>
        <v>24.23</v>
      </c>
      <c r="C491" s="1">
        <f>IFERROR(__xludf.DUMMYFUNCTION("""COMPUTED_VALUE"""),24.35)</f>
        <v>24.35</v>
      </c>
      <c r="D491" s="1">
        <f>IFERROR(__xludf.DUMMYFUNCTION("""COMPUTED_VALUE"""),23.81)</f>
        <v>23.81</v>
      </c>
      <c r="E491" s="1">
        <f>IFERROR(__xludf.DUMMYFUNCTION("""COMPUTED_VALUE"""),24.18)</f>
        <v>24.18</v>
      </c>
      <c r="F491" s="1">
        <f>IFERROR(__xludf.DUMMYFUNCTION("""COMPUTED_VALUE"""),626172.0)</f>
        <v>626172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IFERROR(__xludf.DUMMYFUNCTION("""COMPUTED_VALUE"""),23.82)</f>
        <v>23.82</v>
      </c>
      <c r="C492" s="1">
        <f>IFERROR(__xludf.DUMMYFUNCTION("""COMPUTED_VALUE"""),23.93)</f>
        <v>23.93</v>
      </c>
      <c r="D492" s="1">
        <f>IFERROR(__xludf.DUMMYFUNCTION("""COMPUTED_VALUE"""),23.32)</f>
        <v>23.32</v>
      </c>
      <c r="E492" s="1">
        <f>IFERROR(__xludf.DUMMYFUNCTION("""COMPUTED_VALUE"""),23.77)</f>
        <v>23.77</v>
      </c>
      <c r="F492" s="1">
        <f>IFERROR(__xludf.DUMMYFUNCTION("""COMPUTED_VALUE"""),772822.0)</f>
        <v>772822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IFERROR(__xludf.DUMMYFUNCTION("""COMPUTED_VALUE"""),24.0)</f>
        <v>24</v>
      </c>
      <c r="C493" s="1">
        <f>IFERROR(__xludf.DUMMYFUNCTION("""COMPUTED_VALUE"""),24.15)</f>
        <v>24.15</v>
      </c>
      <c r="D493" s="1">
        <f>IFERROR(__xludf.DUMMYFUNCTION("""COMPUTED_VALUE"""),22.75)</f>
        <v>22.75</v>
      </c>
      <c r="E493" s="1">
        <f>IFERROR(__xludf.DUMMYFUNCTION("""COMPUTED_VALUE"""),22.87)</f>
        <v>22.87</v>
      </c>
      <c r="F493" s="1">
        <f>IFERROR(__xludf.DUMMYFUNCTION("""COMPUTED_VALUE"""),875523.0)</f>
        <v>875523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IFERROR(__xludf.DUMMYFUNCTION("""COMPUTED_VALUE"""),22.72)</f>
        <v>22.72</v>
      </c>
      <c r="C494" s="1">
        <f>IFERROR(__xludf.DUMMYFUNCTION("""COMPUTED_VALUE"""),22.88)</f>
        <v>22.88</v>
      </c>
      <c r="D494" s="1">
        <f>IFERROR(__xludf.DUMMYFUNCTION("""COMPUTED_VALUE"""),22.0)</f>
        <v>22</v>
      </c>
      <c r="E494" s="1">
        <f>IFERROR(__xludf.DUMMYFUNCTION("""COMPUTED_VALUE"""),22.09)</f>
        <v>22.09</v>
      </c>
      <c r="F494" s="1">
        <f>IFERROR(__xludf.DUMMYFUNCTION("""COMPUTED_VALUE"""),1563756.0)</f>
        <v>1563756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IFERROR(__xludf.DUMMYFUNCTION("""COMPUTED_VALUE"""),22.51)</f>
        <v>22.51</v>
      </c>
      <c r="C495" s="1">
        <f>IFERROR(__xludf.DUMMYFUNCTION("""COMPUTED_VALUE"""),22.65)</f>
        <v>22.65</v>
      </c>
      <c r="D495" s="1">
        <f>IFERROR(__xludf.DUMMYFUNCTION("""COMPUTED_VALUE"""),21.68)</f>
        <v>21.68</v>
      </c>
      <c r="E495" s="1">
        <f>IFERROR(__xludf.DUMMYFUNCTION("""COMPUTED_VALUE"""),21.81)</f>
        <v>21.81</v>
      </c>
      <c r="F495" s="1">
        <f>IFERROR(__xludf.DUMMYFUNCTION("""COMPUTED_VALUE"""),2595519.0)</f>
        <v>2595519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IFERROR(__xludf.DUMMYFUNCTION("""COMPUTED_VALUE"""),22.03)</f>
        <v>22.03</v>
      </c>
      <c r="C496" s="1">
        <f>IFERROR(__xludf.DUMMYFUNCTION("""COMPUTED_VALUE"""),22.1)</f>
        <v>22.1</v>
      </c>
      <c r="D496" s="1">
        <f>IFERROR(__xludf.DUMMYFUNCTION("""COMPUTED_VALUE"""),20.75)</f>
        <v>20.75</v>
      </c>
      <c r="E496" s="1">
        <f>IFERROR(__xludf.DUMMYFUNCTION("""COMPUTED_VALUE"""),21.74)</f>
        <v>21.74</v>
      </c>
      <c r="F496" s="1">
        <f>IFERROR(__xludf.DUMMYFUNCTION("""COMPUTED_VALUE"""),2996807.0)</f>
        <v>2996807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IFERROR(__xludf.DUMMYFUNCTION("""COMPUTED_VALUE"""),21.74)</f>
        <v>21.74</v>
      </c>
      <c r="C497" s="1">
        <f>IFERROR(__xludf.DUMMYFUNCTION("""COMPUTED_VALUE"""),21.99)</f>
        <v>21.99</v>
      </c>
      <c r="D497" s="1">
        <f>IFERROR(__xludf.DUMMYFUNCTION("""COMPUTED_VALUE"""),21.41)</f>
        <v>21.41</v>
      </c>
      <c r="E497" s="1">
        <f>IFERROR(__xludf.DUMMYFUNCTION("""COMPUTED_VALUE"""),21.46)</f>
        <v>21.46</v>
      </c>
      <c r="F497" s="1">
        <f>IFERROR(__xludf.DUMMYFUNCTION("""COMPUTED_VALUE"""),884417.0)</f>
        <v>884417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IFERROR(__xludf.DUMMYFUNCTION("""COMPUTED_VALUE"""),21.91)</f>
        <v>21.91</v>
      </c>
      <c r="C498" s="1">
        <f>IFERROR(__xludf.DUMMYFUNCTION("""COMPUTED_VALUE"""),23.12)</f>
        <v>23.12</v>
      </c>
      <c r="D498" s="1">
        <f>IFERROR(__xludf.DUMMYFUNCTION("""COMPUTED_VALUE"""),21.84)</f>
        <v>21.84</v>
      </c>
      <c r="E498" s="1">
        <f>IFERROR(__xludf.DUMMYFUNCTION("""COMPUTED_VALUE"""),22.75)</f>
        <v>22.75</v>
      </c>
      <c r="F498" s="1">
        <f>IFERROR(__xludf.DUMMYFUNCTION("""COMPUTED_VALUE"""),1310738.0)</f>
        <v>1310738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IFERROR(__xludf.DUMMYFUNCTION("""COMPUTED_VALUE"""),22.8)</f>
        <v>22.8</v>
      </c>
      <c r="C499" s="1">
        <f>IFERROR(__xludf.DUMMYFUNCTION("""COMPUTED_VALUE"""),23.28)</f>
        <v>23.28</v>
      </c>
      <c r="D499" s="1">
        <f>IFERROR(__xludf.DUMMYFUNCTION("""COMPUTED_VALUE"""),22.27)</f>
        <v>22.27</v>
      </c>
      <c r="E499" s="1">
        <f>IFERROR(__xludf.DUMMYFUNCTION("""COMPUTED_VALUE"""),23.11)</f>
        <v>23.11</v>
      </c>
      <c r="F499" s="1">
        <f>IFERROR(__xludf.DUMMYFUNCTION("""COMPUTED_VALUE"""),1250037.0)</f>
        <v>1250037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IFERROR(__xludf.DUMMYFUNCTION("""COMPUTED_VALUE"""),23.11)</f>
        <v>23.11</v>
      </c>
      <c r="C500" s="1">
        <f>IFERROR(__xludf.DUMMYFUNCTION("""COMPUTED_VALUE"""),23.97)</f>
        <v>23.97</v>
      </c>
      <c r="D500" s="1">
        <f>IFERROR(__xludf.DUMMYFUNCTION("""COMPUTED_VALUE"""),23.11)</f>
        <v>23.11</v>
      </c>
      <c r="E500" s="1">
        <f>IFERROR(__xludf.DUMMYFUNCTION("""COMPUTED_VALUE"""),23.89)</f>
        <v>23.89</v>
      </c>
      <c r="F500" s="1">
        <f>IFERROR(__xludf.DUMMYFUNCTION("""COMPUTED_VALUE"""),773748.0)</f>
        <v>773748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IFERROR(__xludf.DUMMYFUNCTION("""COMPUTED_VALUE"""),23.88)</f>
        <v>23.88</v>
      </c>
      <c r="C501" s="1">
        <f>IFERROR(__xludf.DUMMYFUNCTION("""COMPUTED_VALUE"""),24.2)</f>
        <v>24.2</v>
      </c>
      <c r="D501" s="1">
        <f>IFERROR(__xludf.DUMMYFUNCTION("""COMPUTED_VALUE"""),23.76)</f>
        <v>23.76</v>
      </c>
      <c r="E501" s="1">
        <f>IFERROR(__xludf.DUMMYFUNCTION("""COMPUTED_VALUE"""),24.08)</f>
        <v>24.08</v>
      </c>
      <c r="F501" s="1">
        <f>IFERROR(__xludf.DUMMYFUNCTION("""COMPUTED_VALUE"""),474619.0)</f>
        <v>474619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IFERROR(__xludf.DUMMYFUNCTION("""COMPUTED_VALUE"""),23.87)</f>
        <v>23.87</v>
      </c>
      <c r="C502" s="1">
        <f>IFERROR(__xludf.DUMMYFUNCTION("""COMPUTED_VALUE"""),24.21)</f>
        <v>24.21</v>
      </c>
      <c r="D502" s="1">
        <f>IFERROR(__xludf.DUMMYFUNCTION("""COMPUTED_VALUE"""),23.79)</f>
        <v>23.79</v>
      </c>
      <c r="E502" s="1">
        <f>IFERROR(__xludf.DUMMYFUNCTION("""COMPUTED_VALUE"""),24.1)</f>
        <v>24.1</v>
      </c>
      <c r="F502" s="1">
        <f>IFERROR(__xludf.DUMMYFUNCTION("""COMPUTED_VALUE"""),388711.0)</f>
        <v>388711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IFERROR(__xludf.DUMMYFUNCTION("""COMPUTED_VALUE"""),24.04)</f>
        <v>24.04</v>
      </c>
      <c r="C503" s="1">
        <f>IFERROR(__xludf.DUMMYFUNCTION("""COMPUTED_VALUE"""),24.18)</f>
        <v>24.18</v>
      </c>
      <c r="D503" s="1">
        <f>IFERROR(__xludf.DUMMYFUNCTION("""COMPUTED_VALUE"""),23.63)</f>
        <v>23.63</v>
      </c>
      <c r="E503" s="1">
        <f>IFERROR(__xludf.DUMMYFUNCTION("""COMPUTED_VALUE"""),23.89)</f>
        <v>23.89</v>
      </c>
      <c r="F503" s="1">
        <f>IFERROR(__xludf.DUMMYFUNCTION("""COMPUTED_VALUE"""),731851.0)</f>
        <v>731851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IFERROR(__xludf.DUMMYFUNCTION("""COMPUTED_VALUE"""),23.93)</f>
        <v>23.93</v>
      </c>
      <c r="C504" s="1">
        <f>IFERROR(__xludf.DUMMYFUNCTION("""COMPUTED_VALUE"""),24.04)</f>
        <v>24.04</v>
      </c>
      <c r="D504" s="1">
        <f>IFERROR(__xludf.DUMMYFUNCTION("""COMPUTED_VALUE"""),23.37)</f>
        <v>23.37</v>
      </c>
      <c r="E504" s="1">
        <f>IFERROR(__xludf.DUMMYFUNCTION("""COMPUTED_VALUE"""),23.75)</f>
        <v>23.75</v>
      </c>
      <c r="F504" s="1">
        <f>IFERROR(__xludf.DUMMYFUNCTION("""COMPUTED_VALUE"""),616471.0)</f>
        <v>616471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IFERROR(__xludf.DUMMYFUNCTION("""COMPUTED_VALUE"""),23.67)</f>
        <v>23.67</v>
      </c>
      <c r="C505" s="1">
        <f>IFERROR(__xludf.DUMMYFUNCTION("""COMPUTED_VALUE"""),24.2)</f>
        <v>24.2</v>
      </c>
      <c r="D505" s="1">
        <f>IFERROR(__xludf.DUMMYFUNCTION("""COMPUTED_VALUE"""),23.65)</f>
        <v>23.65</v>
      </c>
      <c r="E505" s="1">
        <f>IFERROR(__xludf.DUMMYFUNCTION("""COMPUTED_VALUE"""),24.05)</f>
        <v>24.05</v>
      </c>
      <c r="F505" s="1">
        <f>IFERROR(__xludf.DUMMYFUNCTION("""COMPUTED_VALUE"""),745936.0)</f>
        <v>745936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IFERROR(__xludf.DUMMYFUNCTION("""COMPUTED_VALUE"""),24.57)</f>
        <v>24.57</v>
      </c>
      <c r="C506" s="1">
        <f>IFERROR(__xludf.DUMMYFUNCTION("""COMPUTED_VALUE"""),25.04)</f>
        <v>25.04</v>
      </c>
      <c r="D506" s="1">
        <f>IFERROR(__xludf.DUMMYFUNCTION("""COMPUTED_VALUE"""),23.59)</f>
        <v>23.59</v>
      </c>
      <c r="E506" s="1">
        <f>IFERROR(__xludf.DUMMYFUNCTION("""COMPUTED_VALUE"""),23.76)</f>
        <v>23.76</v>
      </c>
      <c r="F506" s="1">
        <f>IFERROR(__xludf.DUMMYFUNCTION("""COMPUTED_VALUE"""),995219.0)</f>
        <v>995219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IFERROR(__xludf.DUMMYFUNCTION("""COMPUTED_VALUE"""),23.73)</f>
        <v>23.73</v>
      </c>
      <c r="C507" s="1">
        <f>IFERROR(__xludf.DUMMYFUNCTION("""COMPUTED_VALUE"""),23.79)</f>
        <v>23.79</v>
      </c>
      <c r="D507" s="1">
        <f>IFERROR(__xludf.DUMMYFUNCTION("""COMPUTED_VALUE"""),22.26)</f>
        <v>22.26</v>
      </c>
      <c r="E507" s="1">
        <f>IFERROR(__xludf.DUMMYFUNCTION("""COMPUTED_VALUE"""),22.7)</f>
        <v>22.7</v>
      </c>
      <c r="F507" s="1">
        <f>IFERROR(__xludf.DUMMYFUNCTION("""COMPUTED_VALUE"""),1985013.0)</f>
        <v>1985013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IFERROR(__xludf.DUMMYFUNCTION("""COMPUTED_VALUE"""),22.65)</f>
        <v>22.65</v>
      </c>
      <c r="C508" s="1">
        <f>IFERROR(__xludf.DUMMYFUNCTION("""COMPUTED_VALUE"""),23.07)</f>
        <v>23.07</v>
      </c>
      <c r="D508" s="1">
        <f>IFERROR(__xludf.DUMMYFUNCTION("""COMPUTED_VALUE"""),22.19)</f>
        <v>22.19</v>
      </c>
      <c r="E508" s="1">
        <f>IFERROR(__xludf.DUMMYFUNCTION("""COMPUTED_VALUE"""),22.9)</f>
        <v>22.9</v>
      </c>
      <c r="F508" s="1">
        <f>IFERROR(__xludf.DUMMYFUNCTION("""COMPUTED_VALUE"""),1097566.0)</f>
        <v>1097566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IFERROR(__xludf.DUMMYFUNCTION("""COMPUTED_VALUE"""),23.09)</f>
        <v>23.09</v>
      </c>
      <c r="C509" s="1">
        <f>IFERROR(__xludf.DUMMYFUNCTION("""COMPUTED_VALUE"""),23.09)</f>
        <v>23.09</v>
      </c>
      <c r="D509" s="1">
        <f>IFERROR(__xludf.DUMMYFUNCTION("""COMPUTED_VALUE"""),22.16)</f>
        <v>22.16</v>
      </c>
      <c r="E509" s="1">
        <f>IFERROR(__xludf.DUMMYFUNCTION("""COMPUTED_VALUE"""),22.32)</f>
        <v>22.32</v>
      </c>
      <c r="F509" s="1">
        <f>IFERROR(__xludf.DUMMYFUNCTION("""COMPUTED_VALUE"""),925770.0)</f>
        <v>925770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IFERROR(__xludf.DUMMYFUNCTION("""COMPUTED_VALUE"""),22.47)</f>
        <v>22.47</v>
      </c>
      <c r="C510" s="1">
        <f>IFERROR(__xludf.DUMMYFUNCTION("""COMPUTED_VALUE"""),22.54)</f>
        <v>22.54</v>
      </c>
      <c r="D510" s="1">
        <f>IFERROR(__xludf.DUMMYFUNCTION("""COMPUTED_VALUE"""),21.54)</f>
        <v>21.54</v>
      </c>
      <c r="E510" s="1">
        <f>IFERROR(__xludf.DUMMYFUNCTION("""COMPUTED_VALUE"""),22.11)</f>
        <v>22.11</v>
      </c>
      <c r="F510" s="1">
        <f>IFERROR(__xludf.DUMMYFUNCTION("""COMPUTED_VALUE"""),1157679.0)</f>
        <v>1157679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IFERROR(__xludf.DUMMYFUNCTION("""COMPUTED_VALUE"""),22.6)</f>
        <v>22.6</v>
      </c>
      <c r="C511" s="1">
        <f>IFERROR(__xludf.DUMMYFUNCTION("""COMPUTED_VALUE"""),23.93)</f>
        <v>23.93</v>
      </c>
      <c r="D511" s="1">
        <f>IFERROR(__xludf.DUMMYFUNCTION("""COMPUTED_VALUE"""),22.44)</f>
        <v>22.44</v>
      </c>
      <c r="E511" s="1">
        <f>IFERROR(__xludf.DUMMYFUNCTION("""COMPUTED_VALUE"""),23.82)</f>
        <v>23.82</v>
      </c>
      <c r="F511" s="1">
        <f>IFERROR(__xludf.DUMMYFUNCTION("""COMPUTED_VALUE"""),1040076.0)</f>
        <v>1040076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IFERROR(__xludf.DUMMYFUNCTION("""COMPUTED_VALUE"""),23.85)</f>
        <v>23.85</v>
      </c>
      <c r="C512" s="1">
        <f>IFERROR(__xludf.DUMMYFUNCTION("""COMPUTED_VALUE"""),24.17)</f>
        <v>24.17</v>
      </c>
      <c r="D512" s="1">
        <f>IFERROR(__xludf.DUMMYFUNCTION("""COMPUTED_VALUE"""),23.61)</f>
        <v>23.61</v>
      </c>
      <c r="E512" s="1">
        <f>IFERROR(__xludf.DUMMYFUNCTION("""COMPUTED_VALUE"""),24.11)</f>
        <v>24.11</v>
      </c>
      <c r="F512" s="1">
        <f>IFERROR(__xludf.DUMMYFUNCTION("""COMPUTED_VALUE"""),602361.0)</f>
        <v>602361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IFERROR(__xludf.DUMMYFUNCTION("""COMPUTED_VALUE"""),24.3)</f>
        <v>24.3</v>
      </c>
      <c r="C513" s="1">
        <f>IFERROR(__xludf.DUMMYFUNCTION("""COMPUTED_VALUE"""),24.61)</f>
        <v>24.61</v>
      </c>
      <c r="D513" s="1">
        <f>IFERROR(__xludf.DUMMYFUNCTION("""COMPUTED_VALUE"""),23.93)</f>
        <v>23.93</v>
      </c>
      <c r="E513" s="1">
        <f>IFERROR(__xludf.DUMMYFUNCTION("""COMPUTED_VALUE"""),24.58)</f>
        <v>24.58</v>
      </c>
      <c r="F513" s="1">
        <f>IFERROR(__xludf.DUMMYFUNCTION("""COMPUTED_VALUE"""),693479.0)</f>
        <v>693479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IFERROR(__xludf.DUMMYFUNCTION("""COMPUTED_VALUE"""),24.48)</f>
        <v>24.48</v>
      </c>
      <c r="C514" s="1">
        <f>IFERROR(__xludf.DUMMYFUNCTION("""COMPUTED_VALUE"""),25.25)</f>
        <v>25.25</v>
      </c>
      <c r="D514" s="1">
        <f>IFERROR(__xludf.DUMMYFUNCTION("""COMPUTED_VALUE"""),24.23)</f>
        <v>24.23</v>
      </c>
      <c r="E514" s="1">
        <f>IFERROR(__xludf.DUMMYFUNCTION("""COMPUTED_VALUE"""),25.22)</f>
        <v>25.22</v>
      </c>
      <c r="F514" s="1">
        <f>IFERROR(__xludf.DUMMYFUNCTION("""COMPUTED_VALUE"""),1353061.0)</f>
        <v>1353061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IFERROR(__xludf.DUMMYFUNCTION("""COMPUTED_VALUE"""),23.13)</f>
        <v>23.13</v>
      </c>
      <c r="C515" s="1">
        <f>IFERROR(__xludf.DUMMYFUNCTION("""COMPUTED_VALUE"""),23.67)</f>
        <v>23.67</v>
      </c>
      <c r="D515" s="1">
        <f>IFERROR(__xludf.DUMMYFUNCTION("""COMPUTED_VALUE"""),21.88)</f>
        <v>21.88</v>
      </c>
      <c r="E515" s="1">
        <f>IFERROR(__xludf.DUMMYFUNCTION("""COMPUTED_VALUE"""),22.36)</f>
        <v>22.36</v>
      </c>
      <c r="F515" s="1">
        <f>IFERROR(__xludf.DUMMYFUNCTION("""COMPUTED_VALUE"""),6218686.0)</f>
        <v>6218686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IFERROR(__xludf.DUMMYFUNCTION("""COMPUTED_VALUE"""),22.24)</f>
        <v>22.24</v>
      </c>
      <c r="C516" s="1">
        <f>IFERROR(__xludf.DUMMYFUNCTION("""COMPUTED_VALUE"""),24.2)</f>
        <v>24.2</v>
      </c>
      <c r="D516" s="1">
        <f>IFERROR(__xludf.DUMMYFUNCTION("""COMPUTED_VALUE"""),22.2)</f>
        <v>22.2</v>
      </c>
      <c r="E516" s="1">
        <f>IFERROR(__xludf.DUMMYFUNCTION("""COMPUTED_VALUE"""),24.09)</f>
        <v>24.09</v>
      </c>
      <c r="F516" s="1">
        <f>IFERROR(__xludf.DUMMYFUNCTION("""COMPUTED_VALUE"""),3095520.0)</f>
        <v>3095520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IFERROR(__xludf.DUMMYFUNCTION("""COMPUTED_VALUE"""),24.0)</f>
        <v>24</v>
      </c>
      <c r="C517" s="1">
        <f>IFERROR(__xludf.DUMMYFUNCTION("""COMPUTED_VALUE"""),24.77)</f>
        <v>24.77</v>
      </c>
      <c r="D517" s="1">
        <f>IFERROR(__xludf.DUMMYFUNCTION("""COMPUTED_VALUE"""),22.81)</f>
        <v>22.81</v>
      </c>
      <c r="E517" s="1">
        <f>IFERROR(__xludf.DUMMYFUNCTION("""COMPUTED_VALUE"""),22.89)</f>
        <v>22.89</v>
      </c>
      <c r="F517" s="1">
        <f>IFERROR(__xludf.DUMMYFUNCTION("""COMPUTED_VALUE"""),2744858.0)</f>
        <v>2744858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IFERROR(__xludf.DUMMYFUNCTION("""COMPUTED_VALUE"""),23.01)</f>
        <v>23.01</v>
      </c>
      <c r="C518" s="1">
        <f>IFERROR(__xludf.DUMMYFUNCTION("""COMPUTED_VALUE"""),23.49)</f>
        <v>23.49</v>
      </c>
      <c r="D518" s="1">
        <f>IFERROR(__xludf.DUMMYFUNCTION("""COMPUTED_VALUE"""),22.68)</f>
        <v>22.68</v>
      </c>
      <c r="E518" s="1">
        <f>IFERROR(__xludf.DUMMYFUNCTION("""COMPUTED_VALUE"""),23.27)</f>
        <v>23.27</v>
      </c>
      <c r="F518" s="1">
        <f>IFERROR(__xludf.DUMMYFUNCTION("""COMPUTED_VALUE"""),1114592.0)</f>
        <v>1114592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IFERROR(__xludf.DUMMYFUNCTION("""COMPUTED_VALUE"""),23.34)</f>
        <v>23.34</v>
      </c>
      <c r="C519" s="1">
        <f>IFERROR(__xludf.DUMMYFUNCTION("""COMPUTED_VALUE"""),23.34)</f>
        <v>23.34</v>
      </c>
      <c r="D519" s="1">
        <f>IFERROR(__xludf.DUMMYFUNCTION("""COMPUTED_VALUE"""),22.5)</f>
        <v>22.5</v>
      </c>
      <c r="E519" s="1">
        <f>IFERROR(__xludf.DUMMYFUNCTION("""COMPUTED_VALUE"""),22.53)</f>
        <v>22.53</v>
      </c>
      <c r="F519" s="1">
        <f>IFERROR(__xludf.DUMMYFUNCTION("""COMPUTED_VALUE"""),925604.0)</f>
        <v>925604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IFERROR(__xludf.DUMMYFUNCTION("""COMPUTED_VALUE"""),22.34)</f>
        <v>22.34</v>
      </c>
      <c r="C520" s="1">
        <f>IFERROR(__xludf.DUMMYFUNCTION("""COMPUTED_VALUE"""),23.08)</f>
        <v>23.08</v>
      </c>
      <c r="D520" s="1">
        <f>IFERROR(__xludf.DUMMYFUNCTION("""COMPUTED_VALUE"""),22.26)</f>
        <v>22.26</v>
      </c>
      <c r="E520" s="1">
        <f>IFERROR(__xludf.DUMMYFUNCTION("""COMPUTED_VALUE"""),23.01)</f>
        <v>23.01</v>
      </c>
      <c r="F520" s="1">
        <f>IFERROR(__xludf.DUMMYFUNCTION("""COMPUTED_VALUE"""),517093.0)</f>
        <v>517093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IFERROR(__xludf.DUMMYFUNCTION("""COMPUTED_VALUE"""),23.1)</f>
        <v>23.1</v>
      </c>
      <c r="C521" s="1">
        <f>IFERROR(__xludf.DUMMYFUNCTION("""COMPUTED_VALUE"""),23.83)</f>
        <v>23.83</v>
      </c>
      <c r="D521" s="1">
        <f>IFERROR(__xludf.DUMMYFUNCTION("""COMPUTED_VALUE"""),22.95)</f>
        <v>22.95</v>
      </c>
      <c r="E521" s="1">
        <f>IFERROR(__xludf.DUMMYFUNCTION("""COMPUTED_VALUE"""),23.57)</f>
        <v>23.57</v>
      </c>
      <c r="F521" s="1">
        <f>IFERROR(__xludf.DUMMYFUNCTION("""COMPUTED_VALUE"""),887422.0)</f>
        <v>887422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IFERROR(__xludf.DUMMYFUNCTION("""COMPUTED_VALUE"""),23.75)</f>
        <v>23.75</v>
      </c>
      <c r="C522" s="1">
        <f>IFERROR(__xludf.DUMMYFUNCTION("""COMPUTED_VALUE"""),24.3)</f>
        <v>24.3</v>
      </c>
      <c r="D522" s="1">
        <f>IFERROR(__xludf.DUMMYFUNCTION("""COMPUTED_VALUE"""),23.5)</f>
        <v>23.5</v>
      </c>
      <c r="E522" s="1">
        <f>IFERROR(__xludf.DUMMYFUNCTION("""COMPUTED_VALUE"""),24.06)</f>
        <v>24.06</v>
      </c>
      <c r="F522" s="1">
        <f>IFERROR(__xludf.DUMMYFUNCTION("""COMPUTED_VALUE"""),1297741.0)</f>
        <v>1297741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IFERROR(__xludf.DUMMYFUNCTION("""COMPUTED_VALUE"""),23.6)</f>
        <v>23.6</v>
      </c>
      <c r="C523" s="1">
        <f>IFERROR(__xludf.DUMMYFUNCTION("""COMPUTED_VALUE"""),24.73)</f>
        <v>24.73</v>
      </c>
      <c r="D523" s="1">
        <f>IFERROR(__xludf.DUMMYFUNCTION("""COMPUTED_VALUE"""),23.6)</f>
        <v>23.6</v>
      </c>
      <c r="E523" s="1">
        <f>IFERROR(__xludf.DUMMYFUNCTION("""COMPUTED_VALUE"""),24.59)</f>
        <v>24.59</v>
      </c>
      <c r="F523" s="1">
        <f>IFERROR(__xludf.DUMMYFUNCTION("""COMPUTED_VALUE"""),1630624.0)</f>
        <v>1630624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IFERROR(__xludf.DUMMYFUNCTION("""COMPUTED_VALUE"""),24.17)</f>
        <v>24.17</v>
      </c>
      <c r="C524" s="1">
        <f>IFERROR(__xludf.DUMMYFUNCTION("""COMPUTED_VALUE"""),24.44)</f>
        <v>24.44</v>
      </c>
      <c r="D524" s="1">
        <f>IFERROR(__xludf.DUMMYFUNCTION("""COMPUTED_VALUE"""),23.56)</f>
        <v>23.56</v>
      </c>
      <c r="E524" s="1">
        <f>IFERROR(__xludf.DUMMYFUNCTION("""COMPUTED_VALUE"""),23.78)</f>
        <v>23.78</v>
      </c>
      <c r="F524" s="1">
        <f>IFERROR(__xludf.DUMMYFUNCTION("""COMPUTED_VALUE"""),1551448.0)</f>
        <v>1551448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IFERROR(__xludf.DUMMYFUNCTION("""COMPUTED_VALUE"""),23.93)</f>
        <v>23.93</v>
      </c>
      <c r="C525" s="1">
        <f>IFERROR(__xludf.DUMMYFUNCTION("""COMPUTED_VALUE"""),24.16)</f>
        <v>24.16</v>
      </c>
      <c r="D525" s="1">
        <f>IFERROR(__xludf.DUMMYFUNCTION("""COMPUTED_VALUE"""),23.3)</f>
        <v>23.3</v>
      </c>
      <c r="E525" s="1">
        <f>IFERROR(__xludf.DUMMYFUNCTION("""COMPUTED_VALUE"""),23.82)</f>
        <v>23.82</v>
      </c>
      <c r="F525" s="1">
        <f>IFERROR(__xludf.DUMMYFUNCTION("""COMPUTED_VALUE"""),1553392.0)</f>
        <v>1553392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IFERROR(__xludf.DUMMYFUNCTION("""COMPUTED_VALUE"""),23.87)</f>
        <v>23.87</v>
      </c>
      <c r="C526" s="1">
        <f>IFERROR(__xludf.DUMMYFUNCTION("""COMPUTED_VALUE"""),24.55)</f>
        <v>24.55</v>
      </c>
      <c r="D526" s="1">
        <f>IFERROR(__xludf.DUMMYFUNCTION("""COMPUTED_VALUE"""),23.77)</f>
        <v>23.77</v>
      </c>
      <c r="E526" s="1">
        <f>IFERROR(__xludf.DUMMYFUNCTION("""COMPUTED_VALUE"""),24.29)</f>
        <v>24.29</v>
      </c>
      <c r="F526" s="1">
        <f>IFERROR(__xludf.DUMMYFUNCTION("""COMPUTED_VALUE"""),1319624.0)</f>
        <v>1319624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IFERROR(__xludf.DUMMYFUNCTION("""COMPUTED_VALUE"""),24.3)</f>
        <v>24.3</v>
      </c>
      <c r="C527" s="1">
        <f>IFERROR(__xludf.DUMMYFUNCTION("""COMPUTED_VALUE"""),25.59)</f>
        <v>25.59</v>
      </c>
      <c r="D527" s="1">
        <f>IFERROR(__xludf.DUMMYFUNCTION("""COMPUTED_VALUE"""),24.29)</f>
        <v>24.29</v>
      </c>
      <c r="E527" s="1">
        <f>IFERROR(__xludf.DUMMYFUNCTION("""COMPUTED_VALUE"""),25.0)</f>
        <v>25</v>
      </c>
      <c r="F527" s="1">
        <f>IFERROR(__xludf.DUMMYFUNCTION("""COMPUTED_VALUE"""),1977473.0)</f>
        <v>1977473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IFERROR(__xludf.DUMMYFUNCTION("""COMPUTED_VALUE"""),25.22)</f>
        <v>25.22</v>
      </c>
      <c r="C528" s="1">
        <f>IFERROR(__xludf.DUMMYFUNCTION("""COMPUTED_VALUE"""),25.92)</f>
        <v>25.92</v>
      </c>
      <c r="D528" s="1">
        <f>IFERROR(__xludf.DUMMYFUNCTION("""COMPUTED_VALUE"""),25.0)</f>
        <v>25</v>
      </c>
      <c r="E528" s="1">
        <f>IFERROR(__xludf.DUMMYFUNCTION("""COMPUTED_VALUE"""),25.86)</f>
        <v>25.86</v>
      </c>
      <c r="F528" s="1">
        <f>IFERROR(__xludf.DUMMYFUNCTION("""COMPUTED_VALUE"""),1203891.0)</f>
        <v>1203891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IFERROR(__xludf.DUMMYFUNCTION("""COMPUTED_VALUE"""),25.54)</f>
        <v>25.54</v>
      </c>
      <c r="C529" s="1">
        <f>IFERROR(__xludf.DUMMYFUNCTION("""COMPUTED_VALUE"""),26.21)</f>
        <v>26.21</v>
      </c>
      <c r="D529" s="1">
        <f>IFERROR(__xludf.DUMMYFUNCTION("""COMPUTED_VALUE"""),24.5)</f>
        <v>24.5</v>
      </c>
      <c r="E529" s="1">
        <f>IFERROR(__xludf.DUMMYFUNCTION("""COMPUTED_VALUE"""),25.33)</f>
        <v>25.33</v>
      </c>
      <c r="F529" s="1">
        <f>IFERROR(__xludf.DUMMYFUNCTION("""COMPUTED_VALUE"""),3059949.0)</f>
        <v>3059949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IFERROR(__xludf.DUMMYFUNCTION("""COMPUTED_VALUE"""),25.18)</f>
        <v>25.18</v>
      </c>
      <c r="C530" s="1">
        <f>IFERROR(__xludf.DUMMYFUNCTION("""COMPUTED_VALUE"""),25.86)</f>
        <v>25.86</v>
      </c>
      <c r="D530" s="1">
        <f>IFERROR(__xludf.DUMMYFUNCTION("""COMPUTED_VALUE"""),24.97)</f>
        <v>24.97</v>
      </c>
      <c r="E530" s="1">
        <f>IFERROR(__xludf.DUMMYFUNCTION("""COMPUTED_VALUE"""),25.02)</f>
        <v>25.02</v>
      </c>
      <c r="F530" s="1">
        <f>IFERROR(__xludf.DUMMYFUNCTION("""COMPUTED_VALUE"""),899457.0)</f>
        <v>899457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IFERROR(__xludf.DUMMYFUNCTION("""COMPUTED_VALUE"""),25.0)</f>
        <v>25</v>
      </c>
      <c r="C531" s="1">
        <f>IFERROR(__xludf.DUMMYFUNCTION("""COMPUTED_VALUE"""),25.8)</f>
        <v>25.8</v>
      </c>
      <c r="D531" s="1">
        <f>IFERROR(__xludf.DUMMYFUNCTION("""COMPUTED_VALUE"""),24.96)</f>
        <v>24.96</v>
      </c>
      <c r="E531" s="1">
        <f>IFERROR(__xludf.DUMMYFUNCTION("""COMPUTED_VALUE"""),25.29)</f>
        <v>25.29</v>
      </c>
      <c r="F531" s="1">
        <f>IFERROR(__xludf.DUMMYFUNCTION("""COMPUTED_VALUE"""),1652773.0)</f>
        <v>1652773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IFERROR(__xludf.DUMMYFUNCTION("""COMPUTED_VALUE"""),25.24)</f>
        <v>25.24</v>
      </c>
      <c r="C532" s="1">
        <f>IFERROR(__xludf.DUMMYFUNCTION("""COMPUTED_VALUE"""),25.86)</f>
        <v>25.86</v>
      </c>
      <c r="D532" s="1">
        <f>IFERROR(__xludf.DUMMYFUNCTION("""COMPUTED_VALUE"""),25.23)</f>
        <v>25.23</v>
      </c>
      <c r="E532" s="1">
        <f>IFERROR(__xludf.DUMMYFUNCTION("""COMPUTED_VALUE"""),25.63)</f>
        <v>25.63</v>
      </c>
      <c r="F532" s="1">
        <f>IFERROR(__xludf.DUMMYFUNCTION("""COMPUTED_VALUE"""),839094.0)</f>
        <v>839094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IFERROR(__xludf.DUMMYFUNCTION("""COMPUTED_VALUE"""),25.0)</f>
        <v>25</v>
      </c>
      <c r="C533" s="1">
        <f>IFERROR(__xludf.DUMMYFUNCTION("""COMPUTED_VALUE"""),25.65)</f>
        <v>25.65</v>
      </c>
      <c r="D533" s="1">
        <f>IFERROR(__xludf.DUMMYFUNCTION("""COMPUTED_VALUE"""),24.96)</f>
        <v>24.96</v>
      </c>
      <c r="E533" s="1">
        <f>IFERROR(__xludf.DUMMYFUNCTION("""COMPUTED_VALUE"""),25.39)</f>
        <v>25.39</v>
      </c>
      <c r="F533" s="1">
        <f>IFERROR(__xludf.DUMMYFUNCTION("""COMPUTED_VALUE"""),974890.0)</f>
        <v>974890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IFERROR(__xludf.DUMMYFUNCTION("""COMPUTED_VALUE"""),25.51)</f>
        <v>25.51</v>
      </c>
      <c r="C534" s="1">
        <f>IFERROR(__xludf.DUMMYFUNCTION("""COMPUTED_VALUE"""),25.97)</f>
        <v>25.97</v>
      </c>
      <c r="D534" s="1">
        <f>IFERROR(__xludf.DUMMYFUNCTION("""COMPUTED_VALUE"""),25.44)</f>
        <v>25.44</v>
      </c>
      <c r="E534" s="1">
        <f>IFERROR(__xludf.DUMMYFUNCTION("""COMPUTED_VALUE"""),25.69)</f>
        <v>25.69</v>
      </c>
      <c r="F534" s="1">
        <f>IFERROR(__xludf.DUMMYFUNCTION("""COMPUTED_VALUE"""),944583.0)</f>
        <v>944583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IFERROR(__xludf.DUMMYFUNCTION("""COMPUTED_VALUE"""),25.68)</f>
        <v>25.68</v>
      </c>
      <c r="C535" s="1">
        <f>IFERROR(__xludf.DUMMYFUNCTION("""COMPUTED_VALUE"""),26.87)</f>
        <v>26.87</v>
      </c>
      <c r="D535" s="1">
        <f>IFERROR(__xludf.DUMMYFUNCTION("""COMPUTED_VALUE"""),25.66)</f>
        <v>25.66</v>
      </c>
      <c r="E535" s="1">
        <f>IFERROR(__xludf.DUMMYFUNCTION("""COMPUTED_VALUE"""),26.38)</f>
        <v>26.38</v>
      </c>
      <c r="F535" s="1">
        <f>IFERROR(__xludf.DUMMYFUNCTION("""COMPUTED_VALUE"""),1021751.0)</f>
        <v>1021751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IFERROR(__xludf.DUMMYFUNCTION("""COMPUTED_VALUE"""),26.5)</f>
        <v>26.5</v>
      </c>
      <c r="C536" s="1">
        <f>IFERROR(__xludf.DUMMYFUNCTION("""COMPUTED_VALUE"""),26.69)</f>
        <v>26.69</v>
      </c>
      <c r="D536" s="1">
        <f>IFERROR(__xludf.DUMMYFUNCTION("""COMPUTED_VALUE"""),26.24)</f>
        <v>26.24</v>
      </c>
      <c r="E536" s="1">
        <f>IFERROR(__xludf.DUMMYFUNCTION("""COMPUTED_VALUE"""),26.57)</f>
        <v>26.57</v>
      </c>
      <c r="F536" s="1">
        <f>IFERROR(__xludf.DUMMYFUNCTION("""COMPUTED_VALUE"""),804942.0)</f>
        <v>804942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IFERROR(__xludf.DUMMYFUNCTION("""COMPUTED_VALUE"""),26.5)</f>
        <v>26.5</v>
      </c>
      <c r="C537" s="1">
        <f>IFERROR(__xludf.DUMMYFUNCTION("""COMPUTED_VALUE"""),27.15)</f>
        <v>27.15</v>
      </c>
      <c r="D537" s="1">
        <f>IFERROR(__xludf.DUMMYFUNCTION("""COMPUTED_VALUE"""),26.38)</f>
        <v>26.38</v>
      </c>
      <c r="E537" s="1">
        <f>IFERROR(__xludf.DUMMYFUNCTION("""COMPUTED_VALUE"""),26.87)</f>
        <v>26.87</v>
      </c>
      <c r="F537" s="1">
        <f>IFERROR(__xludf.DUMMYFUNCTION("""COMPUTED_VALUE"""),987410.0)</f>
        <v>987410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IFERROR(__xludf.DUMMYFUNCTION("""COMPUTED_VALUE"""),27.0)</f>
        <v>27</v>
      </c>
      <c r="C538" s="1">
        <f>IFERROR(__xludf.DUMMYFUNCTION("""COMPUTED_VALUE"""),27.31)</f>
        <v>27.31</v>
      </c>
      <c r="D538" s="1">
        <f>IFERROR(__xludf.DUMMYFUNCTION("""COMPUTED_VALUE"""),26.94)</f>
        <v>26.94</v>
      </c>
      <c r="E538" s="1">
        <f>IFERROR(__xludf.DUMMYFUNCTION("""COMPUTED_VALUE"""),27.05)</f>
        <v>27.05</v>
      </c>
      <c r="F538" s="1">
        <f>IFERROR(__xludf.DUMMYFUNCTION("""COMPUTED_VALUE"""),645536.0)</f>
        <v>645536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IFERROR(__xludf.DUMMYFUNCTION("""COMPUTED_VALUE"""),27.0)</f>
        <v>27</v>
      </c>
      <c r="C539" s="1">
        <f>IFERROR(__xludf.DUMMYFUNCTION("""COMPUTED_VALUE"""),27.38)</f>
        <v>27.38</v>
      </c>
      <c r="D539" s="1">
        <f>IFERROR(__xludf.DUMMYFUNCTION("""COMPUTED_VALUE"""),25.94)</f>
        <v>25.94</v>
      </c>
      <c r="E539" s="1">
        <f>IFERROR(__xludf.DUMMYFUNCTION("""COMPUTED_VALUE"""),26.16)</f>
        <v>26.16</v>
      </c>
      <c r="F539" s="1">
        <f>IFERROR(__xludf.DUMMYFUNCTION("""COMPUTED_VALUE"""),1498753.0)</f>
        <v>1498753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IFERROR(__xludf.DUMMYFUNCTION("""COMPUTED_VALUE"""),26.46)</f>
        <v>26.46</v>
      </c>
      <c r="C540" s="1">
        <f>IFERROR(__xludf.DUMMYFUNCTION("""COMPUTED_VALUE"""),26.89)</f>
        <v>26.89</v>
      </c>
      <c r="D540" s="1">
        <f>IFERROR(__xludf.DUMMYFUNCTION("""COMPUTED_VALUE"""),26.07)</f>
        <v>26.07</v>
      </c>
      <c r="E540" s="1">
        <f>IFERROR(__xludf.DUMMYFUNCTION("""COMPUTED_VALUE"""),26.22)</f>
        <v>26.22</v>
      </c>
      <c r="F540" s="1">
        <f>IFERROR(__xludf.DUMMYFUNCTION("""COMPUTED_VALUE"""),886632.0)</f>
        <v>886632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IFERROR(__xludf.DUMMYFUNCTION("""COMPUTED_VALUE"""),26.3)</f>
        <v>26.3</v>
      </c>
      <c r="C541" s="1">
        <f>IFERROR(__xludf.DUMMYFUNCTION("""COMPUTED_VALUE"""),26.45)</f>
        <v>26.45</v>
      </c>
      <c r="D541" s="1">
        <f>IFERROR(__xludf.DUMMYFUNCTION("""COMPUTED_VALUE"""),25.98)</f>
        <v>25.98</v>
      </c>
      <c r="E541" s="1">
        <f>IFERROR(__xludf.DUMMYFUNCTION("""COMPUTED_VALUE"""),26.08)</f>
        <v>26.08</v>
      </c>
      <c r="F541" s="1">
        <f>IFERROR(__xludf.DUMMYFUNCTION("""COMPUTED_VALUE"""),549000.0)</f>
        <v>549000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IFERROR(__xludf.DUMMYFUNCTION("""COMPUTED_VALUE"""),25.81)</f>
        <v>25.81</v>
      </c>
      <c r="C542" s="1">
        <f>IFERROR(__xludf.DUMMYFUNCTION("""COMPUTED_VALUE"""),26.25)</f>
        <v>26.25</v>
      </c>
      <c r="D542" s="1">
        <f>IFERROR(__xludf.DUMMYFUNCTION("""COMPUTED_VALUE"""),25.47)</f>
        <v>25.47</v>
      </c>
      <c r="E542" s="1">
        <f>IFERROR(__xludf.DUMMYFUNCTION("""COMPUTED_VALUE"""),26.15)</f>
        <v>26.15</v>
      </c>
      <c r="F542" s="1">
        <f>IFERROR(__xludf.DUMMYFUNCTION("""COMPUTED_VALUE"""),771282.0)</f>
        <v>771282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IFERROR(__xludf.DUMMYFUNCTION("""COMPUTED_VALUE"""),25.8)</f>
        <v>25.8</v>
      </c>
      <c r="C543" s="1">
        <f>IFERROR(__xludf.DUMMYFUNCTION("""COMPUTED_VALUE"""),26.15)</f>
        <v>26.15</v>
      </c>
      <c r="D543" s="1">
        <f>IFERROR(__xludf.DUMMYFUNCTION("""COMPUTED_VALUE"""),25.49)</f>
        <v>25.49</v>
      </c>
      <c r="E543" s="1">
        <f>IFERROR(__xludf.DUMMYFUNCTION("""COMPUTED_VALUE"""),26.0)</f>
        <v>26</v>
      </c>
      <c r="F543" s="1">
        <f>IFERROR(__xludf.DUMMYFUNCTION("""COMPUTED_VALUE"""),525181.0)</f>
        <v>525181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IFERROR(__xludf.DUMMYFUNCTION("""COMPUTED_VALUE"""),25.92)</f>
        <v>25.92</v>
      </c>
      <c r="C544" s="1">
        <f>IFERROR(__xludf.DUMMYFUNCTION("""COMPUTED_VALUE"""),26.5)</f>
        <v>26.5</v>
      </c>
      <c r="D544" s="1">
        <f>IFERROR(__xludf.DUMMYFUNCTION("""COMPUTED_VALUE"""),25.66)</f>
        <v>25.66</v>
      </c>
      <c r="E544" s="1">
        <f>IFERROR(__xludf.DUMMYFUNCTION("""COMPUTED_VALUE"""),26.34)</f>
        <v>26.34</v>
      </c>
      <c r="F544" s="1">
        <f>IFERROR(__xludf.DUMMYFUNCTION("""COMPUTED_VALUE"""),829075.0)</f>
        <v>829075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IFERROR(__xludf.DUMMYFUNCTION("""COMPUTED_VALUE"""),26.45)</f>
        <v>26.45</v>
      </c>
      <c r="C545" s="1">
        <f>IFERROR(__xludf.DUMMYFUNCTION("""COMPUTED_VALUE"""),26.6)</f>
        <v>26.6</v>
      </c>
      <c r="D545" s="1">
        <f>IFERROR(__xludf.DUMMYFUNCTION("""COMPUTED_VALUE"""),26.25)</f>
        <v>26.25</v>
      </c>
      <c r="E545" s="1">
        <f>IFERROR(__xludf.DUMMYFUNCTION("""COMPUTED_VALUE"""),26.51)</f>
        <v>26.51</v>
      </c>
      <c r="F545" s="1">
        <f>IFERROR(__xludf.DUMMYFUNCTION("""COMPUTED_VALUE"""),757611.0)</f>
        <v>757611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IFERROR(__xludf.DUMMYFUNCTION("""COMPUTED_VALUE"""),26.41)</f>
        <v>26.41</v>
      </c>
      <c r="C546" s="1">
        <f>IFERROR(__xludf.DUMMYFUNCTION("""COMPUTED_VALUE"""),26.81)</f>
        <v>26.81</v>
      </c>
      <c r="D546" s="1">
        <f>IFERROR(__xludf.DUMMYFUNCTION("""COMPUTED_VALUE"""),25.96)</f>
        <v>25.96</v>
      </c>
      <c r="E546" s="1">
        <f>IFERROR(__xludf.DUMMYFUNCTION("""COMPUTED_VALUE"""),26.15)</f>
        <v>26.15</v>
      </c>
      <c r="F546" s="1">
        <f>IFERROR(__xludf.DUMMYFUNCTION("""COMPUTED_VALUE"""),535374.0)</f>
        <v>535374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IFERROR(__xludf.DUMMYFUNCTION("""COMPUTED_VALUE"""),26.28)</f>
        <v>26.28</v>
      </c>
      <c r="C547" s="1">
        <f>IFERROR(__xludf.DUMMYFUNCTION("""COMPUTED_VALUE"""),27.76)</f>
        <v>27.76</v>
      </c>
      <c r="D547" s="1">
        <f>IFERROR(__xludf.DUMMYFUNCTION("""COMPUTED_VALUE"""),26.25)</f>
        <v>26.25</v>
      </c>
      <c r="E547" s="1">
        <f>IFERROR(__xludf.DUMMYFUNCTION("""COMPUTED_VALUE"""),27.04)</f>
        <v>27.04</v>
      </c>
      <c r="F547" s="1">
        <f>IFERROR(__xludf.DUMMYFUNCTION("""COMPUTED_VALUE"""),1013671.0)</f>
        <v>1013671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IFERROR(__xludf.DUMMYFUNCTION("""COMPUTED_VALUE"""),27.14)</f>
        <v>27.14</v>
      </c>
      <c r="C548" s="1">
        <f>IFERROR(__xludf.DUMMYFUNCTION("""COMPUTED_VALUE"""),27.62)</f>
        <v>27.62</v>
      </c>
      <c r="D548" s="1">
        <f>IFERROR(__xludf.DUMMYFUNCTION("""COMPUTED_VALUE"""),26.96)</f>
        <v>26.96</v>
      </c>
      <c r="E548" s="1">
        <f>IFERROR(__xludf.DUMMYFUNCTION("""COMPUTED_VALUE"""),26.98)</f>
        <v>26.98</v>
      </c>
      <c r="F548" s="1">
        <f>IFERROR(__xludf.DUMMYFUNCTION("""COMPUTED_VALUE"""),1382769.0)</f>
        <v>1382769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IFERROR(__xludf.DUMMYFUNCTION("""COMPUTED_VALUE"""),26.69)</f>
        <v>26.69</v>
      </c>
      <c r="C549" s="1">
        <f>IFERROR(__xludf.DUMMYFUNCTION("""COMPUTED_VALUE"""),26.69)</f>
        <v>26.69</v>
      </c>
      <c r="D549" s="1">
        <f>IFERROR(__xludf.DUMMYFUNCTION("""COMPUTED_VALUE"""),25.82)</f>
        <v>25.82</v>
      </c>
      <c r="E549" s="1">
        <f>IFERROR(__xludf.DUMMYFUNCTION("""COMPUTED_VALUE"""),25.82)</f>
        <v>25.82</v>
      </c>
      <c r="F549" s="1">
        <f>IFERROR(__xludf.DUMMYFUNCTION("""COMPUTED_VALUE"""),1474015.0)</f>
        <v>1474015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IFERROR(__xludf.DUMMYFUNCTION("""COMPUTED_VALUE"""),25.83)</f>
        <v>25.83</v>
      </c>
      <c r="C550" s="1">
        <f>IFERROR(__xludf.DUMMYFUNCTION("""COMPUTED_VALUE"""),27.05)</f>
        <v>27.05</v>
      </c>
      <c r="D550" s="1">
        <f>IFERROR(__xludf.DUMMYFUNCTION("""COMPUTED_VALUE"""),25.83)</f>
        <v>25.83</v>
      </c>
      <c r="E550" s="1">
        <f>IFERROR(__xludf.DUMMYFUNCTION("""COMPUTED_VALUE"""),26.72)</f>
        <v>26.72</v>
      </c>
      <c r="F550" s="1">
        <f>IFERROR(__xludf.DUMMYFUNCTION("""COMPUTED_VALUE"""),810092.0)</f>
        <v>810092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IFERROR(__xludf.DUMMYFUNCTION("""COMPUTED_VALUE"""),27.03)</f>
        <v>27.03</v>
      </c>
      <c r="C551" s="1">
        <f>IFERROR(__xludf.DUMMYFUNCTION("""COMPUTED_VALUE"""),28.12)</f>
        <v>28.12</v>
      </c>
      <c r="D551" s="1">
        <f>IFERROR(__xludf.DUMMYFUNCTION("""COMPUTED_VALUE"""),26.95)</f>
        <v>26.95</v>
      </c>
      <c r="E551" s="1">
        <f>IFERROR(__xludf.DUMMYFUNCTION("""COMPUTED_VALUE"""),28.04)</f>
        <v>28.04</v>
      </c>
      <c r="F551" s="1">
        <f>IFERROR(__xludf.DUMMYFUNCTION("""COMPUTED_VALUE"""),932214.0)</f>
        <v>932214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IFERROR(__xludf.DUMMYFUNCTION("""COMPUTED_VALUE"""),28.01)</f>
        <v>28.01</v>
      </c>
      <c r="C552" s="1">
        <f>IFERROR(__xludf.DUMMYFUNCTION("""COMPUTED_VALUE"""),28.03)</f>
        <v>28.03</v>
      </c>
      <c r="D552" s="1">
        <f>IFERROR(__xludf.DUMMYFUNCTION("""COMPUTED_VALUE"""),27.35)</f>
        <v>27.35</v>
      </c>
      <c r="E552" s="1">
        <f>IFERROR(__xludf.DUMMYFUNCTION("""COMPUTED_VALUE"""),27.4)</f>
        <v>27.4</v>
      </c>
      <c r="F552" s="1">
        <f>IFERROR(__xludf.DUMMYFUNCTION("""COMPUTED_VALUE"""),1028913.0)</f>
        <v>1028913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IFERROR(__xludf.DUMMYFUNCTION("""COMPUTED_VALUE"""),27.43)</f>
        <v>27.43</v>
      </c>
      <c r="C553" s="1">
        <f>IFERROR(__xludf.DUMMYFUNCTION("""COMPUTED_VALUE"""),27.9)</f>
        <v>27.9</v>
      </c>
      <c r="D553" s="1">
        <f>IFERROR(__xludf.DUMMYFUNCTION("""COMPUTED_VALUE"""),26.88)</f>
        <v>26.88</v>
      </c>
      <c r="E553" s="1">
        <f>IFERROR(__xludf.DUMMYFUNCTION("""COMPUTED_VALUE"""),27.01)</f>
        <v>27.01</v>
      </c>
      <c r="F553" s="1">
        <f>IFERROR(__xludf.DUMMYFUNCTION("""COMPUTED_VALUE"""),779829.0)</f>
        <v>779829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IFERROR(__xludf.DUMMYFUNCTION("""COMPUTED_VALUE"""),27.07)</f>
        <v>27.07</v>
      </c>
      <c r="C554" s="1">
        <f>IFERROR(__xludf.DUMMYFUNCTION("""COMPUTED_VALUE"""),27.31)</f>
        <v>27.31</v>
      </c>
      <c r="D554" s="1">
        <f>IFERROR(__xludf.DUMMYFUNCTION("""COMPUTED_VALUE"""),26.46)</f>
        <v>26.46</v>
      </c>
      <c r="E554" s="1">
        <f>IFERROR(__xludf.DUMMYFUNCTION("""COMPUTED_VALUE"""),26.79)</f>
        <v>26.79</v>
      </c>
      <c r="F554" s="1">
        <f>IFERROR(__xludf.DUMMYFUNCTION("""COMPUTED_VALUE"""),803833.0)</f>
        <v>803833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IFERROR(__xludf.DUMMYFUNCTION("""COMPUTED_VALUE"""),26.89)</f>
        <v>26.89</v>
      </c>
      <c r="C555" s="1">
        <f>IFERROR(__xludf.DUMMYFUNCTION("""COMPUTED_VALUE"""),26.93)</f>
        <v>26.93</v>
      </c>
      <c r="D555" s="1">
        <f>IFERROR(__xludf.DUMMYFUNCTION("""COMPUTED_VALUE"""),25.98)</f>
        <v>25.98</v>
      </c>
      <c r="E555" s="1">
        <f>IFERROR(__xludf.DUMMYFUNCTION("""COMPUTED_VALUE"""),26.03)</f>
        <v>26.03</v>
      </c>
      <c r="F555" s="1">
        <f>IFERROR(__xludf.DUMMYFUNCTION("""COMPUTED_VALUE"""),1818859.0)</f>
        <v>1818859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IFERROR(__xludf.DUMMYFUNCTION("""COMPUTED_VALUE"""),26.1)</f>
        <v>26.1</v>
      </c>
      <c r="C556" s="1">
        <f>IFERROR(__xludf.DUMMYFUNCTION("""COMPUTED_VALUE"""),27.99)</f>
        <v>27.99</v>
      </c>
      <c r="D556" s="1">
        <f>IFERROR(__xludf.DUMMYFUNCTION("""COMPUTED_VALUE"""),25.99)</f>
        <v>25.99</v>
      </c>
      <c r="E556" s="1">
        <f>IFERROR(__xludf.DUMMYFUNCTION("""COMPUTED_VALUE"""),27.89)</f>
        <v>27.89</v>
      </c>
      <c r="F556" s="1">
        <f>IFERROR(__xludf.DUMMYFUNCTION("""COMPUTED_VALUE"""),998216.0)</f>
        <v>998216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IFERROR(__xludf.DUMMYFUNCTION("""COMPUTED_VALUE"""),27.95)</f>
        <v>27.95</v>
      </c>
      <c r="C557" s="1">
        <f>IFERROR(__xludf.DUMMYFUNCTION("""COMPUTED_VALUE"""),28.29)</f>
        <v>28.29</v>
      </c>
      <c r="D557" s="1">
        <f>IFERROR(__xludf.DUMMYFUNCTION("""COMPUTED_VALUE"""),27.49)</f>
        <v>27.49</v>
      </c>
      <c r="E557" s="1">
        <f>IFERROR(__xludf.DUMMYFUNCTION("""COMPUTED_VALUE"""),27.68)</f>
        <v>27.68</v>
      </c>
      <c r="F557" s="1">
        <f>IFERROR(__xludf.DUMMYFUNCTION("""COMPUTED_VALUE"""),1045581.0)</f>
        <v>1045581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IFERROR(__xludf.DUMMYFUNCTION("""COMPUTED_VALUE"""),27.74)</f>
        <v>27.74</v>
      </c>
      <c r="C558" s="1">
        <f>IFERROR(__xludf.DUMMYFUNCTION("""COMPUTED_VALUE"""),28.38)</f>
        <v>28.38</v>
      </c>
      <c r="D558" s="1">
        <f>IFERROR(__xludf.DUMMYFUNCTION("""COMPUTED_VALUE"""),27.51)</f>
        <v>27.51</v>
      </c>
      <c r="E558" s="1">
        <f>IFERROR(__xludf.DUMMYFUNCTION("""COMPUTED_VALUE"""),28.19)</f>
        <v>28.19</v>
      </c>
      <c r="F558" s="1">
        <f>IFERROR(__xludf.DUMMYFUNCTION("""COMPUTED_VALUE"""),660912.0)</f>
        <v>660912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IFERROR(__xludf.DUMMYFUNCTION("""COMPUTED_VALUE"""),28.04)</f>
        <v>28.04</v>
      </c>
      <c r="C559" s="1">
        <f>IFERROR(__xludf.DUMMYFUNCTION("""COMPUTED_VALUE"""),28.75)</f>
        <v>28.75</v>
      </c>
      <c r="D559" s="1">
        <f>IFERROR(__xludf.DUMMYFUNCTION("""COMPUTED_VALUE"""),28.03)</f>
        <v>28.03</v>
      </c>
      <c r="E559" s="1">
        <f>IFERROR(__xludf.DUMMYFUNCTION("""COMPUTED_VALUE"""),28.6)</f>
        <v>28.6</v>
      </c>
      <c r="F559" s="1">
        <f>IFERROR(__xludf.DUMMYFUNCTION("""COMPUTED_VALUE"""),1596331.0)</f>
        <v>1596331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IFERROR(__xludf.DUMMYFUNCTION("""COMPUTED_VALUE"""),28.58)</f>
        <v>28.58</v>
      </c>
      <c r="C560" s="1">
        <f>IFERROR(__xludf.DUMMYFUNCTION("""COMPUTED_VALUE"""),28.62)</f>
        <v>28.62</v>
      </c>
      <c r="D560" s="1">
        <f>IFERROR(__xludf.DUMMYFUNCTION("""COMPUTED_VALUE"""),27.95)</f>
        <v>27.95</v>
      </c>
      <c r="E560" s="1">
        <f>IFERROR(__xludf.DUMMYFUNCTION("""COMPUTED_VALUE"""),28.06)</f>
        <v>28.06</v>
      </c>
      <c r="F560" s="1">
        <f>IFERROR(__xludf.DUMMYFUNCTION("""COMPUTED_VALUE"""),1351328.0)</f>
        <v>1351328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IFERROR(__xludf.DUMMYFUNCTION("""COMPUTED_VALUE"""),27.59)</f>
        <v>27.59</v>
      </c>
      <c r="C561" s="1">
        <f>IFERROR(__xludf.DUMMYFUNCTION("""COMPUTED_VALUE"""),27.6)</f>
        <v>27.6</v>
      </c>
      <c r="D561" s="1">
        <f>IFERROR(__xludf.DUMMYFUNCTION("""COMPUTED_VALUE"""),26.76)</f>
        <v>26.76</v>
      </c>
      <c r="E561" s="1">
        <f>IFERROR(__xludf.DUMMYFUNCTION("""COMPUTED_VALUE"""),27.0)</f>
        <v>27</v>
      </c>
      <c r="F561" s="1">
        <f>IFERROR(__xludf.DUMMYFUNCTION("""COMPUTED_VALUE"""),1895260.0)</f>
        <v>1895260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IFERROR(__xludf.DUMMYFUNCTION("""COMPUTED_VALUE"""),27.0)</f>
        <v>27</v>
      </c>
      <c r="C562" s="1">
        <f>IFERROR(__xludf.DUMMYFUNCTION("""COMPUTED_VALUE"""),27.01)</f>
        <v>27.01</v>
      </c>
      <c r="D562" s="1">
        <f>IFERROR(__xludf.DUMMYFUNCTION("""COMPUTED_VALUE"""),26.17)</f>
        <v>26.17</v>
      </c>
      <c r="E562" s="1">
        <f>IFERROR(__xludf.DUMMYFUNCTION("""COMPUTED_VALUE"""),26.97)</f>
        <v>26.97</v>
      </c>
      <c r="F562" s="1">
        <f>IFERROR(__xludf.DUMMYFUNCTION("""COMPUTED_VALUE"""),701783.0)</f>
        <v>701783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IFERROR(__xludf.DUMMYFUNCTION("""COMPUTED_VALUE"""),27.22)</f>
        <v>27.22</v>
      </c>
      <c r="C563" s="1">
        <f>IFERROR(__xludf.DUMMYFUNCTION("""COMPUTED_VALUE"""),27.52)</f>
        <v>27.52</v>
      </c>
      <c r="D563" s="1">
        <f>IFERROR(__xludf.DUMMYFUNCTION("""COMPUTED_VALUE"""),26.96)</f>
        <v>26.96</v>
      </c>
      <c r="E563" s="1">
        <f>IFERROR(__xludf.DUMMYFUNCTION("""COMPUTED_VALUE"""),27.3)</f>
        <v>27.3</v>
      </c>
      <c r="F563" s="1">
        <f>IFERROR(__xludf.DUMMYFUNCTION("""COMPUTED_VALUE"""),593685.0)</f>
        <v>593685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IFERROR(__xludf.DUMMYFUNCTION("""COMPUTED_VALUE"""),27.33)</f>
        <v>27.33</v>
      </c>
      <c r="C564" s="1">
        <f>IFERROR(__xludf.DUMMYFUNCTION("""COMPUTED_VALUE"""),27.54)</f>
        <v>27.54</v>
      </c>
      <c r="D564" s="1">
        <f>IFERROR(__xludf.DUMMYFUNCTION("""COMPUTED_VALUE"""),26.55)</f>
        <v>26.55</v>
      </c>
      <c r="E564" s="1">
        <f>IFERROR(__xludf.DUMMYFUNCTION("""COMPUTED_VALUE"""),26.91)</f>
        <v>26.91</v>
      </c>
      <c r="F564" s="1">
        <f>IFERROR(__xludf.DUMMYFUNCTION("""COMPUTED_VALUE"""),735953.0)</f>
        <v>735953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IFERROR(__xludf.DUMMYFUNCTION("""COMPUTED_VALUE"""),27.22)</f>
        <v>27.22</v>
      </c>
      <c r="C565" s="1">
        <f>IFERROR(__xludf.DUMMYFUNCTION("""COMPUTED_VALUE"""),27.22)</f>
        <v>27.22</v>
      </c>
      <c r="D565" s="1">
        <f>IFERROR(__xludf.DUMMYFUNCTION("""COMPUTED_VALUE"""),26.05)</f>
        <v>26.05</v>
      </c>
      <c r="E565" s="1">
        <f>IFERROR(__xludf.DUMMYFUNCTION("""COMPUTED_VALUE"""),26.4)</f>
        <v>26.4</v>
      </c>
      <c r="F565" s="1">
        <f>IFERROR(__xludf.DUMMYFUNCTION("""COMPUTED_VALUE"""),995977.0)</f>
        <v>995977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IFERROR(__xludf.DUMMYFUNCTION("""COMPUTED_VALUE"""),26.2)</f>
        <v>26.2</v>
      </c>
      <c r="C566" s="1">
        <f>IFERROR(__xludf.DUMMYFUNCTION("""COMPUTED_VALUE"""),26.87)</f>
        <v>26.87</v>
      </c>
      <c r="D566" s="1">
        <f>IFERROR(__xludf.DUMMYFUNCTION("""COMPUTED_VALUE"""),26.0)</f>
        <v>26</v>
      </c>
      <c r="E566" s="1">
        <f>IFERROR(__xludf.DUMMYFUNCTION("""COMPUTED_VALUE"""),26.62)</f>
        <v>26.62</v>
      </c>
      <c r="F566" s="1">
        <f>IFERROR(__xludf.DUMMYFUNCTION("""COMPUTED_VALUE"""),1490734.0)</f>
        <v>1490734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IFERROR(__xludf.DUMMYFUNCTION("""COMPUTED_VALUE"""),26.88)</f>
        <v>26.88</v>
      </c>
      <c r="C567" s="1">
        <f>IFERROR(__xludf.DUMMYFUNCTION("""COMPUTED_VALUE"""),27.62)</f>
        <v>27.62</v>
      </c>
      <c r="D567" s="1">
        <f>IFERROR(__xludf.DUMMYFUNCTION("""COMPUTED_VALUE"""),26.74)</f>
        <v>26.74</v>
      </c>
      <c r="E567" s="1">
        <f>IFERROR(__xludf.DUMMYFUNCTION("""COMPUTED_VALUE"""),27.46)</f>
        <v>27.46</v>
      </c>
      <c r="F567" s="1">
        <f>IFERROR(__xludf.DUMMYFUNCTION("""COMPUTED_VALUE"""),1040539.0)</f>
        <v>1040539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IFERROR(__xludf.DUMMYFUNCTION("""COMPUTED_VALUE"""),27.5)</f>
        <v>27.5</v>
      </c>
      <c r="C568" s="1">
        <f>IFERROR(__xludf.DUMMYFUNCTION("""COMPUTED_VALUE"""),28.49)</f>
        <v>28.49</v>
      </c>
      <c r="D568" s="1">
        <f>IFERROR(__xludf.DUMMYFUNCTION("""COMPUTED_VALUE"""),27.48)</f>
        <v>27.48</v>
      </c>
      <c r="E568" s="1">
        <f>IFERROR(__xludf.DUMMYFUNCTION("""COMPUTED_VALUE"""),28.35)</f>
        <v>28.35</v>
      </c>
      <c r="F568" s="1">
        <f>IFERROR(__xludf.DUMMYFUNCTION("""COMPUTED_VALUE"""),813861.0)</f>
        <v>813861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IFERROR(__xludf.DUMMYFUNCTION("""COMPUTED_VALUE"""),28.16)</f>
        <v>28.16</v>
      </c>
      <c r="C569" s="1">
        <f>IFERROR(__xludf.DUMMYFUNCTION("""COMPUTED_VALUE"""),28.8)</f>
        <v>28.8</v>
      </c>
      <c r="D569" s="1">
        <f>IFERROR(__xludf.DUMMYFUNCTION("""COMPUTED_VALUE"""),28.16)</f>
        <v>28.16</v>
      </c>
      <c r="E569" s="1">
        <f>IFERROR(__xludf.DUMMYFUNCTION("""COMPUTED_VALUE"""),28.31)</f>
        <v>28.31</v>
      </c>
      <c r="F569" s="1">
        <f>IFERROR(__xludf.DUMMYFUNCTION("""COMPUTED_VALUE"""),537618.0)</f>
        <v>537618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IFERROR(__xludf.DUMMYFUNCTION("""COMPUTED_VALUE"""),28.0)</f>
        <v>28</v>
      </c>
      <c r="C570" s="1">
        <f>IFERROR(__xludf.DUMMYFUNCTION("""COMPUTED_VALUE"""),28.09)</f>
        <v>28.09</v>
      </c>
      <c r="D570" s="1">
        <f>IFERROR(__xludf.DUMMYFUNCTION("""COMPUTED_VALUE"""),27.47)</f>
        <v>27.47</v>
      </c>
      <c r="E570" s="1">
        <f>IFERROR(__xludf.DUMMYFUNCTION("""COMPUTED_VALUE"""),27.75)</f>
        <v>27.75</v>
      </c>
      <c r="F570" s="1">
        <f>IFERROR(__xludf.DUMMYFUNCTION("""COMPUTED_VALUE"""),659971.0)</f>
        <v>659971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IFERROR(__xludf.DUMMYFUNCTION("""COMPUTED_VALUE"""),27.47)</f>
        <v>27.47</v>
      </c>
      <c r="C571" s="1">
        <f>IFERROR(__xludf.DUMMYFUNCTION("""COMPUTED_VALUE"""),28.01)</f>
        <v>28.01</v>
      </c>
      <c r="D571" s="1">
        <f>IFERROR(__xludf.DUMMYFUNCTION("""COMPUTED_VALUE"""),27.4)</f>
        <v>27.4</v>
      </c>
      <c r="E571" s="1">
        <f>IFERROR(__xludf.DUMMYFUNCTION("""COMPUTED_VALUE"""),27.78)</f>
        <v>27.78</v>
      </c>
      <c r="F571" s="1">
        <f>IFERROR(__xludf.DUMMYFUNCTION("""COMPUTED_VALUE"""),784061.0)</f>
        <v>784061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IFERROR(__xludf.DUMMYFUNCTION("""COMPUTED_VALUE"""),27.13)</f>
        <v>27.13</v>
      </c>
      <c r="C572" s="1">
        <f>IFERROR(__xludf.DUMMYFUNCTION("""COMPUTED_VALUE"""),27.47)</f>
        <v>27.47</v>
      </c>
      <c r="D572" s="1">
        <f>IFERROR(__xludf.DUMMYFUNCTION("""COMPUTED_VALUE"""),27.01)</f>
        <v>27.01</v>
      </c>
      <c r="E572" s="1">
        <f>IFERROR(__xludf.DUMMYFUNCTION("""COMPUTED_VALUE"""),27.26)</f>
        <v>27.26</v>
      </c>
      <c r="F572" s="1">
        <f>IFERROR(__xludf.DUMMYFUNCTION("""COMPUTED_VALUE"""),450684.0)</f>
        <v>450684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IFERROR(__xludf.DUMMYFUNCTION("""COMPUTED_VALUE"""),27.12)</f>
        <v>27.12</v>
      </c>
      <c r="C573" s="1">
        <f>IFERROR(__xludf.DUMMYFUNCTION("""COMPUTED_VALUE"""),27.35)</f>
        <v>27.35</v>
      </c>
      <c r="D573" s="1">
        <f>IFERROR(__xludf.DUMMYFUNCTION("""COMPUTED_VALUE"""),26.7)</f>
        <v>26.7</v>
      </c>
      <c r="E573" s="1">
        <f>IFERROR(__xludf.DUMMYFUNCTION("""COMPUTED_VALUE"""),27.04)</f>
        <v>27.04</v>
      </c>
      <c r="F573" s="1">
        <f>IFERROR(__xludf.DUMMYFUNCTION("""COMPUTED_VALUE"""),702973.0)</f>
        <v>702973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IFERROR(__xludf.DUMMYFUNCTION("""COMPUTED_VALUE"""),27.77)</f>
        <v>27.77</v>
      </c>
      <c r="C574" s="1">
        <f>IFERROR(__xludf.DUMMYFUNCTION("""COMPUTED_VALUE"""),28.0)</f>
        <v>28</v>
      </c>
      <c r="D574" s="1">
        <f>IFERROR(__xludf.DUMMYFUNCTION("""COMPUTED_VALUE"""),27.43)</f>
        <v>27.43</v>
      </c>
      <c r="E574" s="1">
        <f>IFERROR(__xludf.DUMMYFUNCTION("""COMPUTED_VALUE"""),27.79)</f>
        <v>27.79</v>
      </c>
      <c r="F574" s="1">
        <f>IFERROR(__xludf.DUMMYFUNCTION("""COMPUTED_VALUE"""),609672.0)</f>
        <v>609672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IFERROR(__xludf.DUMMYFUNCTION("""COMPUTED_VALUE"""),27.69)</f>
        <v>27.69</v>
      </c>
      <c r="C575" s="1">
        <f>IFERROR(__xludf.DUMMYFUNCTION("""COMPUTED_VALUE"""),28.49)</f>
        <v>28.49</v>
      </c>
      <c r="D575" s="1">
        <f>IFERROR(__xludf.DUMMYFUNCTION("""COMPUTED_VALUE"""),27.53)</f>
        <v>27.53</v>
      </c>
      <c r="E575" s="1">
        <f>IFERROR(__xludf.DUMMYFUNCTION("""COMPUTED_VALUE"""),27.87)</f>
        <v>27.87</v>
      </c>
      <c r="F575" s="1">
        <f>IFERROR(__xludf.DUMMYFUNCTION("""COMPUTED_VALUE"""),930325.0)</f>
        <v>930325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IFERROR(__xludf.DUMMYFUNCTION("""COMPUTED_VALUE"""),27.7)</f>
        <v>27.7</v>
      </c>
      <c r="C576" s="1">
        <f>IFERROR(__xludf.DUMMYFUNCTION("""COMPUTED_VALUE"""),27.94)</f>
        <v>27.94</v>
      </c>
      <c r="D576" s="1">
        <f>IFERROR(__xludf.DUMMYFUNCTION("""COMPUTED_VALUE"""),27.1)</f>
        <v>27.1</v>
      </c>
      <c r="E576" s="1">
        <f>IFERROR(__xludf.DUMMYFUNCTION("""COMPUTED_VALUE"""),27.57)</f>
        <v>27.57</v>
      </c>
      <c r="F576" s="1">
        <f>IFERROR(__xludf.DUMMYFUNCTION("""COMPUTED_VALUE"""),844064.0)</f>
        <v>844064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IFERROR(__xludf.DUMMYFUNCTION("""COMPUTED_VALUE"""),27.55)</f>
        <v>27.55</v>
      </c>
      <c r="C577" s="1">
        <f>IFERROR(__xludf.DUMMYFUNCTION("""COMPUTED_VALUE"""),27.72)</f>
        <v>27.72</v>
      </c>
      <c r="D577" s="1">
        <f>IFERROR(__xludf.DUMMYFUNCTION("""COMPUTED_VALUE"""),26.27)</f>
        <v>26.27</v>
      </c>
      <c r="E577" s="1">
        <f>IFERROR(__xludf.DUMMYFUNCTION("""COMPUTED_VALUE"""),26.91)</f>
        <v>26.91</v>
      </c>
      <c r="F577" s="1">
        <f>IFERROR(__xludf.DUMMYFUNCTION("""COMPUTED_VALUE"""),1264908.0)</f>
        <v>1264908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IFERROR(__xludf.DUMMYFUNCTION("""COMPUTED_VALUE"""),27.8)</f>
        <v>27.8</v>
      </c>
      <c r="C578" s="1">
        <f>IFERROR(__xludf.DUMMYFUNCTION("""COMPUTED_VALUE"""),29.19)</f>
        <v>29.19</v>
      </c>
      <c r="D578" s="1">
        <f>IFERROR(__xludf.DUMMYFUNCTION("""COMPUTED_VALUE"""),27.39)</f>
        <v>27.39</v>
      </c>
      <c r="E578" s="1">
        <f>IFERROR(__xludf.DUMMYFUNCTION("""COMPUTED_VALUE"""),27.87)</f>
        <v>27.87</v>
      </c>
      <c r="F578" s="1">
        <f>IFERROR(__xludf.DUMMYFUNCTION("""COMPUTED_VALUE"""),1838976.0)</f>
        <v>1838976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IFERROR(__xludf.DUMMYFUNCTION("""COMPUTED_VALUE"""),27.5)</f>
        <v>27.5</v>
      </c>
      <c r="C579" s="1">
        <f>IFERROR(__xludf.DUMMYFUNCTION("""COMPUTED_VALUE"""),27.79)</f>
        <v>27.79</v>
      </c>
      <c r="D579" s="1">
        <f>IFERROR(__xludf.DUMMYFUNCTION("""COMPUTED_VALUE"""),27.36)</f>
        <v>27.36</v>
      </c>
      <c r="E579" s="1">
        <f>IFERROR(__xludf.DUMMYFUNCTION("""COMPUTED_VALUE"""),27.43)</f>
        <v>27.43</v>
      </c>
      <c r="F579" s="1">
        <f>IFERROR(__xludf.DUMMYFUNCTION("""COMPUTED_VALUE"""),539074.0)</f>
        <v>539074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IFERROR(__xludf.DUMMYFUNCTION("""COMPUTED_VALUE"""),27.57)</f>
        <v>27.57</v>
      </c>
      <c r="C580" s="1">
        <f>IFERROR(__xludf.DUMMYFUNCTION("""COMPUTED_VALUE"""),27.99)</f>
        <v>27.99</v>
      </c>
      <c r="D580" s="1">
        <f>IFERROR(__xludf.DUMMYFUNCTION("""COMPUTED_VALUE"""),27.18)</f>
        <v>27.18</v>
      </c>
      <c r="E580" s="1">
        <f>IFERROR(__xludf.DUMMYFUNCTION("""COMPUTED_VALUE"""),27.39)</f>
        <v>27.39</v>
      </c>
      <c r="F580" s="1">
        <f>IFERROR(__xludf.DUMMYFUNCTION("""COMPUTED_VALUE"""),668932.0)</f>
        <v>668932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IFERROR(__xludf.DUMMYFUNCTION("""COMPUTED_VALUE"""),27.55)</f>
        <v>27.55</v>
      </c>
      <c r="C581" s="1">
        <f>IFERROR(__xludf.DUMMYFUNCTION("""COMPUTED_VALUE"""),27.62)</f>
        <v>27.62</v>
      </c>
      <c r="D581" s="1">
        <f>IFERROR(__xludf.DUMMYFUNCTION("""COMPUTED_VALUE"""),26.99)</f>
        <v>26.99</v>
      </c>
      <c r="E581" s="1">
        <f>IFERROR(__xludf.DUMMYFUNCTION("""COMPUTED_VALUE"""),27.09)</f>
        <v>27.09</v>
      </c>
      <c r="F581" s="1">
        <f>IFERROR(__xludf.DUMMYFUNCTION("""COMPUTED_VALUE"""),719750.0)</f>
        <v>719750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IFERROR(__xludf.DUMMYFUNCTION("""COMPUTED_VALUE"""),26.6)</f>
        <v>26.6</v>
      </c>
      <c r="C582" s="1">
        <f>IFERROR(__xludf.DUMMYFUNCTION("""COMPUTED_VALUE"""),26.82)</f>
        <v>26.82</v>
      </c>
      <c r="D582" s="1">
        <f>IFERROR(__xludf.DUMMYFUNCTION("""COMPUTED_VALUE"""),25.33)</f>
        <v>25.33</v>
      </c>
      <c r="E582" s="1">
        <f>IFERROR(__xludf.DUMMYFUNCTION("""COMPUTED_VALUE"""),25.9)</f>
        <v>25.9</v>
      </c>
      <c r="F582" s="1">
        <f>IFERROR(__xludf.DUMMYFUNCTION("""COMPUTED_VALUE"""),1317953.0)</f>
        <v>1317953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IFERROR(__xludf.DUMMYFUNCTION("""COMPUTED_VALUE"""),25.93)</f>
        <v>25.93</v>
      </c>
      <c r="C583" s="1">
        <f>IFERROR(__xludf.DUMMYFUNCTION("""COMPUTED_VALUE"""),26.12)</f>
        <v>26.12</v>
      </c>
      <c r="D583" s="1">
        <f>IFERROR(__xludf.DUMMYFUNCTION("""COMPUTED_VALUE"""),25.6)</f>
        <v>25.6</v>
      </c>
      <c r="E583" s="1">
        <f>IFERROR(__xludf.DUMMYFUNCTION("""COMPUTED_VALUE"""),25.78)</f>
        <v>25.78</v>
      </c>
      <c r="F583" s="1">
        <f>IFERROR(__xludf.DUMMYFUNCTION("""COMPUTED_VALUE"""),709257.0)</f>
        <v>709257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IFERROR(__xludf.DUMMYFUNCTION("""COMPUTED_VALUE"""),26.08)</f>
        <v>26.08</v>
      </c>
      <c r="C584" s="1">
        <f>IFERROR(__xludf.DUMMYFUNCTION("""COMPUTED_VALUE"""),26.16)</f>
        <v>26.16</v>
      </c>
      <c r="D584" s="1">
        <f>IFERROR(__xludf.DUMMYFUNCTION("""COMPUTED_VALUE"""),25.62)</f>
        <v>25.62</v>
      </c>
      <c r="E584" s="1">
        <f>IFERROR(__xludf.DUMMYFUNCTION("""COMPUTED_VALUE"""),25.77)</f>
        <v>25.77</v>
      </c>
      <c r="F584" s="1">
        <f>IFERROR(__xludf.DUMMYFUNCTION("""COMPUTED_VALUE"""),516670.0)</f>
        <v>516670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IFERROR(__xludf.DUMMYFUNCTION("""COMPUTED_VALUE"""),25.78)</f>
        <v>25.78</v>
      </c>
      <c r="C585" s="1">
        <f>IFERROR(__xludf.DUMMYFUNCTION("""COMPUTED_VALUE"""),26.35)</f>
        <v>26.35</v>
      </c>
      <c r="D585" s="1">
        <f>IFERROR(__xludf.DUMMYFUNCTION("""COMPUTED_VALUE"""),25.66)</f>
        <v>25.66</v>
      </c>
      <c r="E585" s="1">
        <f>IFERROR(__xludf.DUMMYFUNCTION("""COMPUTED_VALUE"""),26.16)</f>
        <v>26.16</v>
      </c>
      <c r="F585" s="1">
        <f>IFERROR(__xludf.DUMMYFUNCTION("""COMPUTED_VALUE"""),2084142.0)</f>
        <v>2084142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IFERROR(__xludf.DUMMYFUNCTION("""COMPUTED_VALUE"""),26.32)</f>
        <v>26.32</v>
      </c>
      <c r="C586" s="1">
        <f>IFERROR(__xludf.DUMMYFUNCTION("""COMPUTED_VALUE"""),27.0)</f>
        <v>27</v>
      </c>
      <c r="D586" s="1">
        <f>IFERROR(__xludf.DUMMYFUNCTION("""COMPUTED_VALUE"""),26.0)</f>
        <v>26</v>
      </c>
      <c r="E586" s="1">
        <f>IFERROR(__xludf.DUMMYFUNCTION("""COMPUTED_VALUE"""),26.9)</f>
        <v>26.9</v>
      </c>
      <c r="F586" s="1">
        <f>IFERROR(__xludf.DUMMYFUNCTION("""COMPUTED_VALUE"""),994468.0)</f>
        <v>994468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IFERROR(__xludf.DUMMYFUNCTION("""COMPUTED_VALUE"""),26.89)</f>
        <v>26.89</v>
      </c>
      <c r="C587" s="1">
        <f>IFERROR(__xludf.DUMMYFUNCTION("""COMPUTED_VALUE"""),26.94)</f>
        <v>26.94</v>
      </c>
      <c r="D587" s="1">
        <f>IFERROR(__xludf.DUMMYFUNCTION("""COMPUTED_VALUE"""),26.28)</f>
        <v>26.28</v>
      </c>
      <c r="E587" s="1">
        <f>IFERROR(__xludf.DUMMYFUNCTION("""COMPUTED_VALUE"""),26.73)</f>
        <v>26.73</v>
      </c>
      <c r="F587" s="1">
        <f>IFERROR(__xludf.DUMMYFUNCTION("""COMPUTED_VALUE"""),723239.0)</f>
        <v>723239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IFERROR(__xludf.DUMMYFUNCTION("""COMPUTED_VALUE"""),26.91)</f>
        <v>26.91</v>
      </c>
      <c r="C588" s="1">
        <f>IFERROR(__xludf.DUMMYFUNCTION("""COMPUTED_VALUE"""),27.63)</f>
        <v>27.63</v>
      </c>
      <c r="D588" s="1">
        <f>IFERROR(__xludf.DUMMYFUNCTION("""COMPUTED_VALUE"""),26.81)</f>
        <v>26.81</v>
      </c>
      <c r="E588" s="1">
        <f>IFERROR(__xludf.DUMMYFUNCTION("""COMPUTED_VALUE"""),27.52)</f>
        <v>27.52</v>
      </c>
      <c r="F588" s="1">
        <f>IFERROR(__xludf.DUMMYFUNCTION("""COMPUTED_VALUE"""),1064216.0)</f>
        <v>1064216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IFERROR(__xludf.DUMMYFUNCTION("""COMPUTED_VALUE"""),27.37)</f>
        <v>27.37</v>
      </c>
      <c r="C589" s="1">
        <f>IFERROR(__xludf.DUMMYFUNCTION("""COMPUTED_VALUE"""),28.87)</f>
        <v>28.87</v>
      </c>
      <c r="D589" s="1">
        <f>IFERROR(__xludf.DUMMYFUNCTION("""COMPUTED_VALUE"""),27.37)</f>
        <v>27.37</v>
      </c>
      <c r="E589" s="1">
        <f>IFERROR(__xludf.DUMMYFUNCTION("""COMPUTED_VALUE"""),28.82)</f>
        <v>28.82</v>
      </c>
      <c r="F589" s="1">
        <f>IFERROR(__xludf.DUMMYFUNCTION("""COMPUTED_VALUE"""),1287969.0)</f>
        <v>1287969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IFERROR(__xludf.DUMMYFUNCTION("""COMPUTED_VALUE"""),28.7)</f>
        <v>28.7</v>
      </c>
      <c r="C590" s="1">
        <f>IFERROR(__xludf.DUMMYFUNCTION("""COMPUTED_VALUE"""),28.85)</f>
        <v>28.85</v>
      </c>
      <c r="D590" s="1">
        <f>IFERROR(__xludf.DUMMYFUNCTION("""COMPUTED_VALUE"""),28.05)</f>
        <v>28.05</v>
      </c>
      <c r="E590" s="1">
        <f>IFERROR(__xludf.DUMMYFUNCTION("""COMPUTED_VALUE"""),28.5)</f>
        <v>28.5</v>
      </c>
      <c r="F590" s="1">
        <f>IFERROR(__xludf.DUMMYFUNCTION("""COMPUTED_VALUE"""),1494084.0)</f>
        <v>1494084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IFERROR(__xludf.DUMMYFUNCTION("""COMPUTED_VALUE"""),28.06)</f>
        <v>28.06</v>
      </c>
      <c r="C591" s="1">
        <f>IFERROR(__xludf.DUMMYFUNCTION("""COMPUTED_VALUE"""),28.8)</f>
        <v>28.8</v>
      </c>
      <c r="D591" s="1">
        <f>IFERROR(__xludf.DUMMYFUNCTION("""COMPUTED_VALUE"""),28.06)</f>
        <v>28.06</v>
      </c>
      <c r="E591" s="1">
        <f>IFERROR(__xludf.DUMMYFUNCTION("""COMPUTED_VALUE"""),28.68)</f>
        <v>28.68</v>
      </c>
      <c r="F591" s="1">
        <f>IFERROR(__xludf.DUMMYFUNCTION("""COMPUTED_VALUE"""),1484516.0)</f>
        <v>1484516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IFERROR(__xludf.DUMMYFUNCTION("""COMPUTED_VALUE"""),28.58)</f>
        <v>28.58</v>
      </c>
      <c r="C592" s="1">
        <f>IFERROR(__xludf.DUMMYFUNCTION("""COMPUTED_VALUE"""),28.68)</f>
        <v>28.68</v>
      </c>
      <c r="D592" s="1">
        <f>IFERROR(__xludf.DUMMYFUNCTION("""COMPUTED_VALUE"""),28.2)</f>
        <v>28.2</v>
      </c>
      <c r="E592" s="1">
        <f>IFERROR(__xludf.DUMMYFUNCTION("""COMPUTED_VALUE"""),28.57)</f>
        <v>28.57</v>
      </c>
      <c r="F592" s="1">
        <f>IFERROR(__xludf.DUMMYFUNCTION("""COMPUTED_VALUE"""),1617324.0)</f>
        <v>1617324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IFERROR(__xludf.DUMMYFUNCTION("""COMPUTED_VALUE"""),28.19)</f>
        <v>28.19</v>
      </c>
      <c r="C593" s="1">
        <f>IFERROR(__xludf.DUMMYFUNCTION("""COMPUTED_VALUE"""),28.88)</f>
        <v>28.88</v>
      </c>
      <c r="D593" s="1">
        <f>IFERROR(__xludf.DUMMYFUNCTION("""COMPUTED_VALUE"""),28.18)</f>
        <v>28.18</v>
      </c>
      <c r="E593" s="1">
        <f>IFERROR(__xludf.DUMMYFUNCTION("""COMPUTED_VALUE"""),28.78)</f>
        <v>28.78</v>
      </c>
      <c r="F593" s="1">
        <f>IFERROR(__xludf.DUMMYFUNCTION("""COMPUTED_VALUE"""),1708061.0)</f>
        <v>1708061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IFERROR(__xludf.DUMMYFUNCTION("""COMPUTED_VALUE"""),28.28)</f>
        <v>28.28</v>
      </c>
      <c r="C594" s="1">
        <f>IFERROR(__xludf.DUMMYFUNCTION("""COMPUTED_VALUE"""),28.56)</f>
        <v>28.56</v>
      </c>
      <c r="D594" s="1">
        <f>IFERROR(__xludf.DUMMYFUNCTION("""COMPUTED_VALUE"""),28.14)</f>
        <v>28.14</v>
      </c>
      <c r="E594" s="1">
        <f>IFERROR(__xludf.DUMMYFUNCTION("""COMPUTED_VALUE"""),28.28)</f>
        <v>28.28</v>
      </c>
      <c r="F594" s="1">
        <f>IFERROR(__xludf.DUMMYFUNCTION("""COMPUTED_VALUE"""),1660121.0)</f>
        <v>1660121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IFERROR(__xludf.DUMMYFUNCTION("""COMPUTED_VALUE"""),28.43)</f>
        <v>28.43</v>
      </c>
      <c r="C595" s="1">
        <f>IFERROR(__xludf.DUMMYFUNCTION("""COMPUTED_VALUE"""),28.45)</f>
        <v>28.45</v>
      </c>
      <c r="D595" s="1">
        <f>IFERROR(__xludf.DUMMYFUNCTION("""COMPUTED_VALUE"""),27.7)</f>
        <v>27.7</v>
      </c>
      <c r="E595" s="1">
        <f>IFERROR(__xludf.DUMMYFUNCTION("""COMPUTED_VALUE"""),27.83)</f>
        <v>27.83</v>
      </c>
      <c r="F595" s="1">
        <f>IFERROR(__xludf.DUMMYFUNCTION("""COMPUTED_VALUE"""),1123711.0)</f>
        <v>1123711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IFERROR(__xludf.DUMMYFUNCTION("""COMPUTED_VALUE"""),27.5)</f>
        <v>27.5</v>
      </c>
      <c r="C596" s="1">
        <f>IFERROR(__xludf.DUMMYFUNCTION("""COMPUTED_VALUE"""),28.16)</f>
        <v>28.16</v>
      </c>
      <c r="D596" s="1">
        <f>IFERROR(__xludf.DUMMYFUNCTION("""COMPUTED_VALUE"""),27.32)</f>
        <v>27.32</v>
      </c>
      <c r="E596" s="1">
        <f>IFERROR(__xludf.DUMMYFUNCTION("""COMPUTED_VALUE"""),27.75)</f>
        <v>27.75</v>
      </c>
      <c r="F596" s="1">
        <f>IFERROR(__xludf.DUMMYFUNCTION("""COMPUTED_VALUE"""),581539.0)</f>
        <v>581539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IFERROR(__xludf.DUMMYFUNCTION("""COMPUTED_VALUE"""),27.32)</f>
        <v>27.32</v>
      </c>
      <c r="C597" s="1">
        <f>IFERROR(__xludf.DUMMYFUNCTION("""COMPUTED_VALUE"""),27.78)</f>
        <v>27.78</v>
      </c>
      <c r="D597" s="1">
        <f>IFERROR(__xludf.DUMMYFUNCTION("""COMPUTED_VALUE"""),27.18)</f>
        <v>27.18</v>
      </c>
      <c r="E597" s="1">
        <f>IFERROR(__xludf.DUMMYFUNCTION("""COMPUTED_VALUE"""),27.21)</f>
        <v>27.21</v>
      </c>
      <c r="F597" s="1">
        <f>IFERROR(__xludf.DUMMYFUNCTION("""COMPUTED_VALUE"""),611541.0)</f>
        <v>611541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IFERROR(__xludf.DUMMYFUNCTION("""COMPUTED_VALUE"""),27.09)</f>
        <v>27.09</v>
      </c>
      <c r="C598" s="1">
        <f>IFERROR(__xludf.DUMMYFUNCTION("""COMPUTED_VALUE"""),27.61)</f>
        <v>27.61</v>
      </c>
      <c r="D598" s="1">
        <f>IFERROR(__xludf.DUMMYFUNCTION("""COMPUTED_VALUE"""),27.0)</f>
        <v>27</v>
      </c>
      <c r="E598" s="1">
        <f>IFERROR(__xludf.DUMMYFUNCTION("""COMPUTED_VALUE"""),27.33)</f>
        <v>27.33</v>
      </c>
      <c r="F598" s="1">
        <f>IFERROR(__xludf.DUMMYFUNCTION("""COMPUTED_VALUE"""),460642.0)</f>
        <v>460642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IFERROR(__xludf.DUMMYFUNCTION("""COMPUTED_VALUE"""),27.4)</f>
        <v>27.4</v>
      </c>
      <c r="C599" s="1">
        <f>IFERROR(__xludf.DUMMYFUNCTION("""COMPUTED_VALUE"""),27.66)</f>
        <v>27.66</v>
      </c>
      <c r="D599" s="1">
        <f>IFERROR(__xludf.DUMMYFUNCTION("""COMPUTED_VALUE"""),26.2)</f>
        <v>26.2</v>
      </c>
      <c r="E599" s="1">
        <f>IFERROR(__xludf.DUMMYFUNCTION("""COMPUTED_VALUE"""),26.23)</f>
        <v>26.23</v>
      </c>
      <c r="F599" s="1">
        <f>IFERROR(__xludf.DUMMYFUNCTION("""COMPUTED_VALUE"""),1041775.0)</f>
        <v>1041775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IFERROR(__xludf.DUMMYFUNCTION("""COMPUTED_VALUE"""),26.34)</f>
        <v>26.34</v>
      </c>
      <c r="C600" s="1">
        <f>IFERROR(__xludf.DUMMYFUNCTION("""COMPUTED_VALUE"""),26.54)</f>
        <v>26.54</v>
      </c>
      <c r="D600" s="1">
        <f>IFERROR(__xludf.DUMMYFUNCTION("""COMPUTED_VALUE"""),26.13)</f>
        <v>26.13</v>
      </c>
      <c r="E600" s="1">
        <f>IFERROR(__xludf.DUMMYFUNCTION("""COMPUTED_VALUE"""),26.32)</f>
        <v>26.32</v>
      </c>
      <c r="F600" s="1">
        <f>IFERROR(__xludf.DUMMYFUNCTION("""COMPUTED_VALUE"""),1695895.0)</f>
        <v>1695895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IFERROR(__xludf.DUMMYFUNCTION("""COMPUTED_VALUE"""),26.25)</f>
        <v>26.25</v>
      </c>
      <c r="C601" s="1">
        <f>IFERROR(__xludf.DUMMYFUNCTION("""COMPUTED_VALUE"""),27.12)</f>
        <v>27.12</v>
      </c>
      <c r="D601" s="1">
        <f>IFERROR(__xludf.DUMMYFUNCTION("""COMPUTED_VALUE"""),25.67)</f>
        <v>25.67</v>
      </c>
      <c r="E601" s="1">
        <f>IFERROR(__xludf.DUMMYFUNCTION("""COMPUTED_VALUE"""),25.79)</f>
        <v>25.79</v>
      </c>
      <c r="F601" s="1">
        <f>IFERROR(__xludf.DUMMYFUNCTION("""COMPUTED_VALUE"""),956703.0)</f>
        <v>956703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IFERROR(__xludf.DUMMYFUNCTION("""COMPUTED_VALUE"""),26.02)</f>
        <v>26.02</v>
      </c>
      <c r="C602" s="1">
        <f>IFERROR(__xludf.DUMMYFUNCTION("""COMPUTED_VALUE"""),26.91)</f>
        <v>26.91</v>
      </c>
      <c r="D602" s="1">
        <f>IFERROR(__xludf.DUMMYFUNCTION("""COMPUTED_VALUE"""),25.71)</f>
        <v>25.71</v>
      </c>
      <c r="E602" s="1">
        <f>IFERROR(__xludf.DUMMYFUNCTION("""COMPUTED_VALUE"""),26.84)</f>
        <v>26.84</v>
      </c>
      <c r="F602" s="1">
        <f>IFERROR(__xludf.DUMMYFUNCTION("""COMPUTED_VALUE"""),1188972.0)</f>
        <v>1188972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IFERROR(__xludf.DUMMYFUNCTION("""COMPUTED_VALUE"""),26.75)</f>
        <v>26.75</v>
      </c>
      <c r="C603" s="1">
        <f>IFERROR(__xludf.DUMMYFUNCTION("""COMPUTED_VALUE"""),27.51)</f>
        <v>27.51</v>
      </c>
      <c r="D603" s="1">
        <f>IFERROR(__xludf.DUMMYFUNCTION("""COMPUTED_VALUE"""),26.71)</f>
        <v>26.71</v>
      </c>
      <c r="E603" s="1">
        <f>IFERROR(__xludf.DUMMYFUNCTION("""COMPUTED_VALUE"""),27.14)</f>
        <v>27.14</v>
      </c>
      <c r="F603" s="1">
        <f>IFERROR(__xludf.DUMMYFUNCTION("""COMPUTED_VALUE"""),1156139.0)</f>
        <v>1156139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IFERROR(__xludf.DUMMYFUNCTION("""COMPUTED_VALUE"""),26.75)</f>
        <v>26.75</v>
      </c>
      <c r="C604" s="1">
        <f>IFERROR(__xludf.DUMMYFUNCTION("""COMPUTED_VALUE"""),26.82)</f>
        <v>26.82</v>
      </c>
      <c r="D604" s="1">
        <f>IFERROR(__xludf.DUMMYFUNCTION("""COMPUTED_VALUE"""),26.09)</f>
        <v>26.09</v>
      </c>
      <c r="E604" s="1">
        <f>IFERROR(__xludf.DUMMYFUNCTION("""COMPUTED_VALUE"""),26.51)</f>
        <v>26.51</v>
      </c>
      <c r="F604" s="1">
        <f>IFERROR(__xludf.DUMMYFUNCTION("""COMPUTED_VALUE"""),814965.0)</f>
        <v>814965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IFERROR(__xludf.DUMMYFUNCTION("""COMPUTED_VALUE"""),26.52)</f>
        <v>26.52</v>
      </c>
      <c r="C605" s="1">
        <f>IFERROR(__xludf.DUMMYFUNCTION("""COMPUTED_VALUE"""),26.56)</f>
        <v>26.56</v>
      </c>
      <c r="D605" s="1">
        <f>IFERROR(__xludf.DUMMYFUNCTION("""COMPUTED_VALUE"""),26.01)</f>
        <v>26.01</v>
      </c>
      <c r="E605" s="1">
        <f>IFERROR(__xludf.DUMMYFUNCTION("""COMPUTED_VALUE"""),26.28)</f>
        <v>26.28</v>
      </c>
      <c r="F605" s="1">
        <f>IFERROR(__xludf.DUMMYFUNCTION("""COMPUTED_VALUE"""),418660.0)</f>
        <v>418660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IFERROR(__xludf.DUMMYFUNCTION("""COMPUTED_VALUE"""),26.36)</f>
        <v>26.36</v>
      </c>
      <c r="C606" s="1">
        <f>IFERROR(__xludf.DUMMYFUNCTION("""COMPUTED_VALUE"""),26.55)</f>
        <v>26.55</v>
      </c>
      <c r="D606" s="1">
        <f>IFERROR(__xludf.DUMMYFUNCTION("""COMPUTED_VALUE"""),26.13)</f>
        <v>26.13</v>
      </c>
      <c r="E606" s="1">
        <f>IFERROR(__xludf.DUMMYFUNCTION("""COMPUTED_VALUE"""),26.23)</f>
        <v>26.23</v>
      </c>
      <c r="F606" s="1">
        <f>IFERROR(__xludf.DUMMYFUNCTION("""COMPUTED_VALUE"""),377085.0)</f>
        <v>377085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IFERROR(__xludf.DUMMYFUNCTION("""COMPUTED_VALUE"""),26.57)</f>
        <v>26.57</v>
      </c>
      <c r="C607" s="1">
        <f>IFERROR(__xludf.DUMMYFUNCTION("""COMPUTED_VALUE"""),27.49)</f>
        <v>27.49</v>
      </c>
      <c r="D607" s="1">
        <f>IFERROR(__xludf.DUMMYFUNCTION("""COMPUTED_VALUE"""),26.57)</f>
        <v>26.57</v>
      </c>
      <c r="E607" s="1">
        <f>IFERROR(__xludf.DUMMYFUNCTION("""COMPUTED_VALUE"""),27.46)</f>
        <v>27.46</v>
      </c>
      <c r="F607" s="1">
        <f>IFERROR(__xludf.DUMMYFUNCTION("""COMPUTED_VALUE"""),635216.0)</f>
        <v>635216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IFERROR(__xludf.DUMMYFUNCTION("""COMPUTED_VALUE"""),26.98)</f>
        <v>26.98</v>
      </c>
      <c r="C608" s="1">
        <f>IFERROR(__xludf.DUMMYFUNCTION("""COMPUTED_VALUE"""),27.34)</f>
        <v>27.34</v>
      </c>
      <c r="D608" s="1">
        <f>IFERROR(__xludf.DUMMYFUNCTION("""COMPUTED_VALUE"""),26.53)</f>
        <v>26.53</v>
      </c>
      <c r="E608" s="1">
        <f>IFERROR(__xludf.DUMMYFUNCTION("""COMPUTED_VALUE"""),26.57)</f>
        <v>26.57</v>
      </c>
      <c r="F608" s="1">
        <f>IFERROR(__xludf.DUMMYFUNCTION("""COMPUTED_VALUE"""),576625.0)</f>
        <v>576625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IFERROR(__xludf.DUMMYFUNCTION("""COMPUTED_VALUE"""),26.6)</f>
        <v>26.6</v>
      </c>
      <c r="C609" s="1">
        <f>IFERROR(__xludf.DUMMYFUNCTION("""COMPUTED_VALUE"""),26.94)</f>
        <v>26.94</v>
      </c>
      <c r="D609" s="1">
        <f>IFERROR(__xludf.DUMMYFUNCTION("""COMPUTED_VALUE"""),25.92)</f>
        <v>25.92</v>
      </c>
      <c r="E609" s="1">
        <f>IFERROR(__xludf.DUMMYFUNCTION("""COMPUTED_VALUE"""),26.51)</f>
        <v>26.51</v>
      </c>
      <c r="F609" s="1">
        <f>IFERROR(__xludf.DUMMYFUNCTION("""COMPUTED_VALUE"""),692901.0)</f>
        <v>692901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IFERROR(__xludf.DUMMYFUNCTION("""COMPUTED_VALUE"""),26.0)</f>
        <v>26</v>
      </c>
      <c r="C610" s="1">
        <f>IFERROR(__xludf.DUMMYFUNCTION("""COMPUTED_VALUE"""),26.44)</f>
        <v>26.44</v>
      </c>
      <c r="D610" s="1">
        <f>IFERROR(__xludf.DUMMYFUNCTION("""COMPUTED_VALUE"""),26.0)</f>
        <v>26</v>
      </c>
      <c r="E610" s="1">
        <f>IFERROR(__xludf.DUMMYFUNCTION("""COMPUTED_VALUE"""),26.2)</f>
        <v>26.2</v>
      </c>
      <c r="F610" s="1">
        <f>IFERROR(__xludf.DUMMYFUNCTION("""COMPUTED_VALUE"""),987613.0)</f>
        <v>987613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IFERROR(__xludf.DUMMYFUNCTION("""COMPUTED_VALUE"""),26.21)</f>
        <v>26.21</v>
      </c>
      <c r="C611" s="1">
        <f>IFERROR(__xludf.DUMMYFUNCTION("""COMPUTED_VALUE"""),26.76)</f>
        <v>26.76</v>
      </c>
      <c r="D611" s="1">
        <f>IFERROR(__xludf.DUMMYFUNCTION("""COMPUTED_VALUE"""),26.0)</f>
        <v>26</v>
      </c>
      <c r="E611" s="1">
        <f>IFERROR(__xludf.DUMMYFUNCTION("""COMPUTED_VALUE"""),26.36)</f>
        <v>26.36</v>
      </c>
      <c r="F611" s="1">
        <f>IFERROR(__xludf.DUMMYFUNCTION("""COMPUTED_VALUE"""),619756.0)</f>
        <v>619756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IFERROR(__xludf.DUMMYFUNCTION("""COMPUTED_VALUE"""),26.3)</f>
        <v>26.3</v>
      </c>
      <c r="C612" s="1">
        <f>IFERROR(__xludf.DUMMYFUNCTION("""COMPUTED_VALUE"""),26.99)</f>
        <v>26.99</v>
      </c>
      <c r="D612" s="1">
        <f>IFERROR(__xludf.DUMMYFUNCTION("""COMPUTED_VALUE"""),26.14)</f>
        <v>26.14</v>
      </c>
      <c r="E612" s="1">
        <f>IFERROR(__xludf.DUMMYFUNCTION("""COMPUTED_VALUE"""),26.87)</f>
        <v>26.87</v>
      </c>
      <c r="F612" s="1">
        <f>IFERROR(__xludf.DUMMYFUNCTION("""COMPUTED_VALUE"""),587698.0)</f>
        <v>587698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IFERROR(__xludf.DUMMYFUNCTION("""COMPUTED_VALUE"""),27.08)</f>
        <v>27.08</v>
      </c>
      <c r="C613" s="1">
        <f>IFERROR(__xludf.DUMMYFUNCTION("""COMPUTED_VALUE"""),27.6)</f>
        <v>27.6</v>
      </c>
      <c r="D613" s="1">
        <f>IFERROR(__xludf.DUMMYFUNCTION("""COMPUTED_VALUE"""),26.64)</f>
        <v>26.64</v>
      </c>
      <c r="E613" s="1">
        <f>IFERROR(__xludf.DUMMYFUNCTION("""COMPUTED_VALUE"""),27.15)</f>
        <v>27.15</v>
      </c>
      <c r="F613" s="1">
        <f>IFERROR(__xludf.DUMMYFUNCTION("""COMPUTED_VALUE"""),474291.0)</f>
        <v>474291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IFERROR(__xludf.DUMMYFUNCTION("""COMPUTED_VALUE"""),27.48)</f>
        <v>27.48</v>
      </c>
      <c r="C614" s="1">
        <f>IFERROR(__xludf.DUMMYFUNCTION("""COMPUTED_VALUE"""),27.75)</f>
        <v>27.75</v>
      </c>
      <c r="D614" s="1">
        <f>IFERROR(__xludf.DUMMYFUNCTION("""COMPUTED_VALUE"""),27.09)</f>
        <v>27.09</v>
      </c>
      <c r="E614" s="1">
        <f>IFERROR(__xludf.DUMMYFUNCTION("""COMPUTED_VALUE"""),27.14)</f>
        <v>27.14</v>
      </c>
      <c r="F614" s="1">
        <f>IFERROR(__xludf.DUMMYFUNCTION("""COMPUTED_VALUE"""),419227.0)</f>
        <v>419227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IFERROR(__xludf.DUMMYFUNCTION("""COMPUTED_VALUE"""),27.06)</f>
        <v>27.06</v>
      </c>
      <c r="C615" s="1">
        <f>IFERROR(__xludf.DUMMYFUNCTION("""COMPUTED_VALUE"""),27.5)</f>
        <v>27.5</v>
      </c>
      <c r="D615" s="1">
        <f>IFERROR(__xludf.DUMMYFUNCTION("""COMPUTED_VALUE"""),26.82)</f>
        <v>26.82</v>
      </c>
      <c r="E615" s="1">
        <f>IFERROR(__xludf.DUMMYFUNCTION("""COMPUTED_VALUE"""),27.49)</f>
        <v>27.49</v>
      </c>
      <c r="F615" s="1">
        <f>IFERROR(__xludf.DUMMYFUNCTION("""COMPUTED_VALUE"""),284327.0)</f>
        <v>284327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IFERROR(__xludf.DUMMYFUNCTION("""COMPUTED_VALUE"""),27.83)</f>
        <v>27.83</v>
      </c>
      <c r="C616" s="1">
        <f>IFERROR(__xludf.DUMMYFUNCTION("""COMPUTED_VALUE"""),27.94)</f>
        <v>27.94</v>
      </c>
      <c r="D616" s="1">
        <f>IFERROR(__xludf.DUMMYFUNCTION("""COMPUTED_VALUE"""),26.93)</f>
        <v>26.93</v>
      </c>
      <c r="E616" s="1">
        <f>IFERROR(__xludf.DUMMYFUNCTION("""COMPUTED_VALUE"""),26.96)</f>
        <v>26.96</v>
      </c>
      <c r="F616" s="1">
        <f>IFERROR(__xludf.DUMMYFUNCTION("""COMPUTED_VALUE"""),317824.0)</f>
        <v>317824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IFERROR(__xludf.DUMMYFUNCTION("""COMPUTED_VALUE"""),27.26)</f>
        <v>27.26</v>
      </c>
      <c r="C617" s="1">
        <f>IFERROR(__xludf.DUMMYFUNCTION("""COMPUTED_VALUE"""),27.5)</f>
        <v>27.5</v>
      </c>
      <c r="D617" s="1">
        <f>IFERROR(__xludf.DUMMYFUNCTION("""COMPUTED_VALUE"""),26.99)</f>
        <v>26.99</v>
      </c>
      <c r="E617" s="1">
        <f>IFERROR(__xludf.DUMMYFUNCTION("""COMPUTED_VALUE"""),27.19)</f>
        <v>27.19</v>
      </c>
      <c r="F617" s="1">
        <f>IFERROR(__xludf.DUMMYFUNCTION("""COMPUTED_VALUE"""),3226967.0)</f>
        <v>3226967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IFERROR(__xludf.DUMMYFUNCTION("""COMPUTED_VALUE"""),27.22)</f>
        <v>27.22</v>
      </c>
      <c r="C618" s="1">
        <f>IFERROR(__xludf.DUMMYFUNCTION("""COMPUTED_VALUE"""),27.41)</f>
        <v>27.41</v>
      </c>
      <c r="D618" s="1">
        <f>IFERROR(__xludf.DUMMYFUNCTION("""COMPUTED_VALUE"""),26.96)</f>
        <v>26.96</v>
      </c>
      <c r="E618" s="1">
        <f>IFERROR(__xludf.DUMMYFUNCTION("""COMPUTED_VALUE"""),27.03)</f>
        <v>27.03</v>
      </c>
      <c r="F618" s="1">
        <f>IFERROR(__xludf.DUMMYFUNCTION("""COMPUTED_VALUE"""),268126.0)</f>
        <v>268126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IFERROR(__xludf.DUMMYFUNCTION("""COMPUTED_VALUE"""),27.09)</f>
        <v>27.09</v>
      </c>
      <c r="C619" s="1">
        <f>IFERROR(__xludf.DUMMYFUNCTION("""COMPUTED_VALUE"""),27.3)</f>
        <v>27.3</v>
      </c>
      <c r="D619" s="1">
        <f>IFERROR(__xludf.DUMMYFUNCTION("""COMPUTED_VALUE"""),26.92)</f>
        <v>26.92</v>
      </c>
      <c r="E619" s="1">
        <f>IFERROR(__xludf.DUMMYFUNCTION("""COMPUTED_VALUE"""),27.2)</f>
        <v>27.2</v>
      </c>
      <c r="F619" s="1">
        <f>IFERROR(__xludf.DUMMYFUNCTION("""COMPUTED_VALUE"""),397282.0)</f>
        <v>397282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IFERROR(__xludf.DUMMYFUNCTION("""COMPUTED_VALUE"""),27.26)</f>
        <v>27.26</v>
      </c>
      <c r="C620" s="1">
        <f>IFERROR(__xludf.DUMMYFUNCTION("""COMPUTED_VALUE"""),28.28)</f>
        <v>28.28</v>
      </c>
      <c r="D620" s="1">
        <f>IFERROR(__xludf.DUMMYFUNCTION("""COMPUTED_VALUE"""),27.15)</f>
        <v>27.15</v>
      </c>
      <c r="E620" s="1">
        <f>IFERROR(__xludf.DUMMYFUNCTION("""COMPUTED_VALUE"""),28.26)</f>
        <v>28.26</v>
      </c>
      <c r="F620" s="1">
        <f>IFERROR(__xludf.DUMMYFUNCTION("""COMPUTED_VALUE"""),618352.0)</f>
        <v>618352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IFERROR(__xludf.DUMMYFUNCTION("""COMPUTED_VALUE"""),28.03)</f>
        <v>28.03</v>
      </c>
      <c r="C621" s="1">
        <f>IFERROR(__xludf.DUMMYFUNCTION("""COMPUTED_VALUE"""),28.33)</f>
        <v>28.33</v>
      </c>
      <c r="D621" s="1">
        <f>IFERROR(__xludf.DUMMYFUNCTION("""COMPUTED_VALUE"""),27.13)</f>
        <v>27.13</v>
      </c>
      <c r="E621" s="1">
        <f>IFERROR(__xludf.DUMMYFUNCTION("""COMPUTED_VALUE"""),27.33)</f>
        <v>27.33</v>
      </c>
      <c r="F621" s="1">
        <f>IFERROR(__xludf.DUMMYFUNCTION("""COMPUTED_VALUE"""),693874.0)</f>
        <v>693874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IFERROR(__xludf.DUMMYFUNCTION("""COMPUTED_VALUE"""),27.36)</f>
        <v>27.36</v>
      </c>
      <c r="C622" s="1">
        <f>IFERROR(__xludf.DUMMYFUNCTION("""COMPUTED_VALUE"""),28.14)</f>
        <v>28.14</v>
      </c>
      <c r="D622" s="1">
        <f>IFERROR(__xludf.DUMMYFUNCTION("""COMPUTED_VALUE"""),27.31)</f>
        <v>27.31</v>
      </c>
      <c r="E622" s="1">
        <f>IFERROR(__xludf.DUMMYFUNCTION("""COMPUTED_VALUE"""),27.75)</f>
        <v>27.75</v>
      </c>
      <c r="F622" s="1">
        <f>IFERROR(__xludf.DUMMYFUNCTION("""COMPUTED_VALUE"""),474114.0)</f>
        <v>474114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IFERROR(__xludf.DUMMYFUNCTION("""COMPUTED_VALUE"""),28.1)</f>
        <v>28.1</v>
      </c>
      <c r="C623" s="1">
        <f>IFERROR(__xludf.DUMMYFUNCTION("""COMPUTED_VALUE"""),28.1)</f>
        <v>28.1</v>
      </c>
      <c r="D623" s="1">
        <f>IFERROR(__xludf.DUMMYFUNCTION("""COMPUTED_VALUE"""),27.0)</f>
        <v>27</v>
      </c>
      <c r="E623" s="1">
        <f>IFERROR(__xludf.DUMMYFUNCTION("""COMPUTED_VALUE"""),27.19)</f>
        <v>27.19</v>
      </c>
      <c r="F623" s="1">
        <f>IFERROR(__xludf.DUMMYFUNCTION("""COMPUTED_VALUE"""),619961.0)</f>
        <v>619961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IFERROR(__xludf.DUMMYFUNCTION("""COMPUTED_VALUE"""),27.2)</f>
        <v>27.2</v>
      </c>
      <c r="C624" s="1">
        <f>IFERROR(__xludf.DUMMYFUNCTION("""COMPUTED_VALUE"""),27.2)</f>
        <v>27.2</v>
      </c>
      <c r="D624" s="1">
        <f>IFERROR(__xludf.DUMMYFUNCTION("""COMPUTED_VALUE"""),26.2)</f>
        <v>26.2</v>
      </c>
      <c r="E624" s="1">
        <f>IFERROR(__xludf.DUMMYFUNCTION("""COMPUTED_VALUE"""),26.21)</f>
        <v>26.21</v>
      </c>
      <c r="F624" s="1">
        <f>IFERROR(__xludf.DUMMYFUNCTION("""COMPUTED_VALUE"""),1111172.0)</f>
        <v>1111172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IFERROR(__xludf.DUMMYFUNCTION("""COMPUTED_VALUE"""),26.44)</f>
        <v>26.44</v>
      </c>
      <c r="C625" s="1">
        <f>IFERROR(__xludf.DUMMYFUNCTION("""COMPUTED_VALUE"""),26.44)</f>
        <v>26.44</v>
      </c>
      <c r="D625" s="1">
        <f>IFERROR(__xludf.DUMMYFUNCTION("""COMPUTED_VALUE"""),25.45)</f>
        <v>25.45</v>
      </c>
      <c r="E625" s="1">
        <f>IFERROR(__xludf.DUMMYFUNCTION("""COMPUTED_VALUE"""),25.54)</f>
        <v>25.54</v>
      </c>
      <c r="F625" s="1">
        <f>IFERROR(__xludf.DUMMYFUNCTION("""COMPUTED_VALUE"""),1106574.0)</f>
        <v>1106574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IFERROR(__xludf.DUMMYFUNCTION("""COMPUTED_VALUE"""),24.99)</f>
        <v>24.99</v>
      </c>
      <c r="C626" s="1">
        <f>IFERROR(__xludf.DUMMYFUNCTION("""COMPUTED_VALUE"""),25.16)</f>
        <v>25.16</v>
      </c>
      <c r="D626" s="1">
        <f>IFERROR(__xludf.DUMMYFUNCTION("""COMPUTED_VALUE"""),24.01)</f>
        <v>24.01</v>
      </c>
      <c r="E626" s="1">
        <f>IFERROR(__xludf.DUMMYFUNCTION("""COMPUTED_VALUE"""),24.37)</f>
        <v>24.37</v>
      </c>
      <c r="F626" s="1">
        <f>IFERROR(__xludf.DUMMYFUNCTION("""COMPUTED_VALUE"""),1875698.0)</f>
        <v>1875698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IFERROR(__xludf.DUMMYFUNCTION("""COMPUTED_VALUE"""),24.65)</f>
        <v>24.65</v>
      </c>
      <c r="C627" s="1">
        <f>IFERROR(__xludf.DUMMYFUNCTION("""COMPUTED_VALUE"""),25.21)</f>
        <v>25.21</v>
      </c>
      <c r="D627" s="1">
        <f>IFERROR(__xludf.DUMMYFUNCTION("""COMPUTED_VALUE"""),24.58)</f>
        <v>24.58</v>
      </c>
      <c r="E627" s="1">
        <f>IFERROR(__xludf.DUMMYFUNCTION("""COMPUTED_VALUE"""),25.01)</f>
        <v>25.01</v>
      </c>
      <c r="F627" s="1">
        <f>IFERROR(__xludf.DUMMYFUNCTION("""COMPUTED_VALUE"""),1312331.0)</f>
        <v>1312331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IFERROR(__xludf.DUMMYFUNCTION("""COMPUTED_VALUE"""),25.07)</f>
        <v>25.07</v>
      </c>
      <c r="C628" s="1">
        <f>IFERROR(__xludf.DUMMYFUNCTION("""COMPUTED_VALUE"""),25.75)</f>
        <v>25.75</v>
      </c>
      <c r="D628" s="1">
        <f>IFERROR(__xludf.DUMMYFUNCTION("""COMPUTED_VALUE"""),25.03)</f>
        <v>25.03</v>
      </c>
      <c r="E628" s="1">
        <f>IFERROR(__xludf.DUMMYFUNCTION("""COMPUTED_VALUE"""),25.58)</f>
        <v>25.58</v>
      </c>
      <c r="F628" s="1">
        <f>IFERROR(__xludf.DUMMYFUNCTION("""COMPUTED_VALUE"""),757621.0)</f>
        <v>757621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IFERROR(__xludf.DUMMYFUNCTION("""COMPUTED_VALUE"""),25.21)</f>
        <v>25.21</v>
      </c>
      <c r="C629" s="1">
        <f>IFERROR(__xludf.DUMMYFUNCTION("""COMPUTED_VALUE"""),25.67)</f>
        <v>25.67</v>
      </c>
      <c r="D629" s="1">
        <f>IFERROR(__xludf.DUMMYFUNCTION("""COMPUTED_VALUE"""),24.89)</f>
        <v>24.89</v>
      </c>
      <c r="E629" s="1">
        <f>IFERROR(__xludf.DUMMYFUNCTION("""COMPUTED_VALUE"""),25.04)</f>
        <v>25.04</v>
      </c>
      <c r="F629" s="1">
        <f>IFERROR(__xludf.DUMMYFUNCTION("""COMPUTED_VALUE"""),852176.0)</f>
        <v>852176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IFERROR(__xludf.DUMMYFUNCTION("""COMPUTED_VALUE"""),25.4)</f>
        <v>25.4</v>
      </c>
      <c r="C630" s="1">
        <f>IFERROR(__xludf.DUMMYFUNCTION("""COMPUTED_VALUE"""),25.4)</f>
        <v>25.4</v>
      </c>
      <c r="D630" s="1">
        <f>IFERROR(__xludf.DUMMYFUNCTION("""COMPUTED_VALUE"""),24.24)</f>
        <v>24.24</v>
      </c>
      <c r="E630" s="1">
        <f>IFERROR(__xludf.DUMMYFUNCTION("""COMPUTED_VALUE"""),24.5)</f>
        <v>24.5</v>
      </c>
      <c r="F630" s="1">
        <f>IFERROR(__xludf.DUMMYFUNCTION("""COMPUTED_VALUE"""),1759796.0)</f>
        <v>1759796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IFERROR(__xludf.DUMMYFUNCTION("""COMPUTED_VALUE"""),24.73)</f>
        <v>24.73</v>
      </c>
      <c r="C631" s="1">
        <f>IFERROR(__xludf.DUMMYFUNCTION("""COMPUTED_VALUE"""),24.73)</f>
        <v>24.73</v>
      </c>
      <c r="D631" s="1">
        <f>IFERROR(__xludf.DUMMYFUNCTION("""COMPUTED_VALUE"""),23.93)</f>
        <v>23.93</v>
      </c>
      <c r="E631" s="1">
        <f>IFERROR(__xludf.DUMMYFUNCTION("""COMPUTED_VALUE"""),24.01)</f>
        <v>24.01</v>
      </c>
      <c r="F631" s="1">
        <f>IFERROR(__xludf.DUMMYFUNCTION("""COMPUTED_VALUE"""),1758034.0)</f>
        <v>1758034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IFERROR(__xludf.DUMMYFUNCTION("""COMPUTED_VALUE"""),24.04)</f>
        <v>24.04</v>
      </c>
      <c r="C632" s="1">
        <f>IFERROR(__xludf.DUMMYFUNCTION("""COMPUTED_VALUE"""),24.06)</f>
        <v>24.06</v>
      </c>
      <c r="D632" s="1">
        <f>IFERROR(__xludf.DUMMYFUNCTION("""COMPUTED_VALUE"""),23.55)</f>
        <v>23.55</v>
      </c>
      <c r="E632" s="1">
        <f>IFERROR(__xludf.DUMMYFUNCTION("""COMPUTED_VALUE"""),24.0)</f>
        <v>24</v>
      </c>
      <c r="F632" s="1">
        <f>IFERROR(__xludf.DUMMYFUNCTION("""COMPUTED_VALUE"""),427381.0)</f>
        <v>427381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IFERROR(__xludf.DUMMYFUNCTION("""COMPUTED_VALUE"""),24.1)</f>
        <v>24.1</v>
      </c>
      <c r="C633" s="1">
        <f>IFERROR(__xludf.DUMMYFUNCTION("""COMPUTED_VALUE"""),25.07)</f>
        <v>25.07</v>
      </c>
      <c r="D633" s="1">
        <f>IFERROR(__xludf.DUMMYFUNCTION("""COMPUTED_VALUE"""),24.0)</f>
        <v>24</v>
      </c>
      <c r="E633" s="1">
        <f>IFERROR(__xludf.DUMMYFUNCTION("""COMPUTED_VALUE"""),24.85)</f>
        <v>24.85</v>
      </c>
      <c r="F633" s="1">
        <f>IFERROR(__xludf.DUMMYFUNCTION("""COMPUTED_VALUE"""),3138952.0)</f>
        <v>3138952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IFERROR(__xludf.DUMMYFUNCTION("""COMPUTED_VALUE"""),24.53)</f>
        <v>24.53</v>
      </c>
      <c r="C634" s="1">
        <f>IFERROR(__xludf.DUMMYFUNCTION("""COMPUTED_VALUE"""),24.73)</f>
        <v>24.73</v>
      </c>
      <c r="D634" s="1">
        <f>IFERROR(__xludf.DUMMYFUNCTION("""COMPUTED_VALUE"""),24.5)</f>
        <v>24.5</v>
      </c>
      <c r="E634" s="1">
        <f>IFERROR(__xludf.DUMMYFUNCTION("""COMPUTED_VALUE"""),24.7)</f>
        <v>24.7</v>
      </c>
      <c r="F634" s="1">
        <f>IFERROR(__xludf.DUMMYFUNCTION("""COMPUTED_VALUE"""),1229572.0)</f>
        <v>1229572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IFERROR(__xludf.DUMMYFUNCTION("""COMPUTED_VALUE"""),24.38)</f>
        <v>24.38</v>
      </c>
      <c r="C635" s="1">
        <f>IFERROR(__xludf.DUMMYFUNCTION("""COMPUTED_VALUE"""),24.81)</f>
        <v>24.81</v>
      </c>
      <c r="D635" s="1">
        <f>IFERROR(__xludf.DUMMYFUNCTION("""COMPUTED_VALUE"""),23.99)</f>
        <v>23.99</v>
      </c>
      <c r="E635" s="1">
        <f>IFERROR(__xludf.DUMMYFUNCTION("""COMPUTED_VALUE"""),24.05)</f>
        <v>24.05</v>
      </c>
      <c r="F635" s="1">
        <f>IFERROR(__xludf.DUMMYFUNCTION("""COMPUTED_VALUE"""),1026029.0)</f>
        <v>1026029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IFERROR(__xludf.DUMMYFUNCTION("""COMPUTED_VALUE"""),24.25)</f>
        <v>24.25</v>
      </c>
      <c r="C636" s="1">
        <f>IFERROR(__xludf.DUMMYFUNCTION("""COMPUTED_VALUE"""),24.49)</f>
        <v>24.49</v>
      </c>
      <c r="D636" s="1">
        <f>IFERROR(__xludf.DUMMYFUNCTION("""COMPUTED_VALUE"""),23.18)</f>
        <v>23.18</v>
      </c>
      <c r="E636" s="1">
        <f>IFERROR(__xludf.DUMMYFUNCTION("""COMPUTED_VALUE"""),23.4)</f>
        <v>23.4</v>
      </c>
      <c r="F636" s="1">
        <f>IFERROR(__xludf.DUMMYFUNCTION("""COMPUTED_VALUE"""),1630429.0)</f>
        <v>1630429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IFERROR(__xludf.DUMMYFUNCTION("""COMPUTED_VALUE"""),23.67)</f>
        <v>23.67</v>
      </c>
      <c r="C637" s="1">
        <f>IFERROR(__xludf.DUMMYFUNCTION("""COMPUTED_VALUE"""),23.76)</f>
        <v>23.76</v>
      </c>
      <c r="D637" s="1">
        <f>IFERROR(__xludf.DUMMYFUNCTION("""COMPUTED_VALUE"""),22.62)</f>
        <v>22.62</v>
      </c>
      <c r="E637" s="1">
        <f>IFERROR(__xludf.DUMMYFUNCTION("""COMPUTED_VALUE"""),22.92)</f>
        <v>22.92</v>
      </c>
      <c r="F637" s="1">
        <f>IFERROR(__xludf.DUMMYFUNCTION("""COMPUTED_VALUE"""),2547149.0)</f>
        <v>2547149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IFERROR(__xludf.DUMMYFUNCTION("""COMPUTED_VALUE"""),22.74)</f>
        <v>22.74</v>
      </c>
      <c r="C638" s="1">
        <f>IFERROR(__xludf.DUMMYFUNCTION("""COMPUTED_VALUE"""),22.84)</f>
        <v>22.84</v>
      </c>
      <c r="D638" s="1">
        <f>IFERROR(__xludf.DUMMYFUNCTION("""COMPUTED_VALUE"""),22.51)</f>
        <v>22.51</v>
      </c>
      <c r="E638" s="1">
        <f>IFERROR(__xludf.DUMMYFUNCTION("""COMPUTED_VALUE"""),22.66)</f>
        <v>22.66</v>
      </c>
      <c r="F638" s="1">
        <f>IFERROR(__xludf.DUMMYFUNCTION("""COMPUTED_VALUE"""),1752161.0)</f>
        <v>1752161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IFERROR(__xludf.DUMMYFUNCTION("""COMPUTED_VALUE"""),22.66)</f>
        <v>22.66</v>
      </c>
      <c r="C639" s="1">
        <f>IFERROR(__xludf.DUMMYFUNCTION("""COMPUTED_VALUE"""),22.75)</f>
        <v>22.75</v>
      </c>
      <c r="D639" s="1">
        <f>IFERROR(__xludf.DUMMYFUNCTION("""COMPUTED_VALUE"""),22.23)</f>
        <v>22.23</v>
      </c>
      <c r="E639" s="1">
        <f>IFERROR(__xludf.DUMMYFUNCTION("""COMPUTED_VALUE"""),22.45)</f>
        <v>22.45</v>
      </c>
      <c r="F639" s="1">
        <f>IFERROR(__xludf.DUMMYFUNCTION("""COMPUTED_VALUE"""),1455179.0)</f>
        <v>1455179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IFERROR(__xludf.DUMMYFUNCTION("""COMPUTED_VALUE"""),22.46)</f>
        <v>22.46</v>
      </c>
      <c r="C640" s="1">
        <f>IFERROR(__xludf.DUMMYFUNCTION("""COMPUTED_VALUE"""),22.51)</f>
        <v>22.51</v>
      </c>
      <c r="D640" s="1">
        <f>IFERROR(__xludf.DUMMYFUNCTION("""COMPUTED_VALUE"""),21.94)</f>
        <v>21.94</v>
      </c>
      <c r="E640" s="1">
        <f>IFERROR(__xludf.DUMMYFUNCTION("""COMPUTED_VALUE"""),22.26)</f>
        <v>22.26</v>
      </c>
      <c r="F640" s="1">
        <f>IFERROR(__xludf.DUMMYFUNCTION("""COMPUTED_VALUE"""),3039180.0)</f>
        <v>3039180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IFERROR(__xludf.DUMMYFUNCTION("""COMPUTED_VALUE"""),14.7)</f>
        <v>14.7</v>
      </c>
      <c r="C641" s="1">
        <f>IFERROR(__xludf.DUMMYFUNCTION("""COMPUTED_VALUE"""),17.15)</f>
        <v>17.15</v>
      </c>
      <c r="D641" s="1">
        <f>IFERROR(__xludf.DUMMYFUNCTION("""COMPUTED_VALUE"""),13.58)</f>
        <v>13.58</v>
      </c>
      <c r="E641" s="1">
        <f>IFERROR(__xludf.DUMMYFUNCTION("""COMPUTED_VALUE"""),14.33)</f>
        <v>14.33</v>
      </c>
      <c r="F641" s="1">
        <f>IFERROR(__xludf.DUMMYFUNCTION("""COMPUTED_VALUE"""),3.0648478E7)</f>
        <v>30648478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IFERROR(__xludf.DUMMYFUNCTION("""COMPUTED_VALUE"""),14.67)</f>
        <v>14.67</v>
      </c>
      <c r="C642" s="1">
        <f>IFERROR(__xludf.DUMMYFUNCTION("""COMPUTED_VALUE"""),14.74)</f>
        <v>14.74</v>
      </c>
      <c r="D642" s="1">
        <f>IFERROR(__xludf.DUMMYFUNCTION("""COMPUTED_VALUE"""),9.22)</f>
        <v>9.22</v>
      </c>
      <c r="E642" s="1">
        <f>IFERROR(__xludf.DUMMYFUNCTION("""COMPUTED_VALUE"""),9.31)</f>
        <v>9.31</v>
      </c>
      <c r="F642" s="1">
        <f>IFERROR(__xludf.DUMMYFUNCTION("""COMPUTED_VALUE"""),6.9388088E7)</f>
        <v>69388088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IFERROR(__xludf.DUMMYFUNCTION("""COMPUTED_VALUE"""),10.56)</f>
        <v>10.56</v>
      </c>
      <c r="C643" s="1">
        <f>IFERROR(__xludf.DUMMYFUNCTION("""COMPUTED_VALUE"""),13.06)</f>
        <v>13.06</v>
      </c>
      <c r="D643" s="1">
        <f>IFERROR(__xludf.DUMMYFUNCTION("""COMPUTED_VALUE"""),10.4)</f>
        <v>10.4</v>
      </c>
      <c r="E643" s="1">
        <f>IFERROR(__xludf.DUMMYFUNCTION("""COMPUTED_VALUE"""),11.2)</f>
        <v>11.2</v>
      </c>
      <c r="F643" s="1">
        <f>IFERROR(__xludf.DUMMYFUNCTION("""COMPUTED_VALUE"""),4.8191368E7)</f>
        <v>48191368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IFERROR(__xludf.DUMMYFUNCTION("""COMPUTED_VALUE"""),12.45)</f>
        <v>12.45</v>
      </c>
      <c r="C644" s="1">
        <f>IFERROR(__xludf.DUMMYFUNCTION("""COMPUTED_VALUE"""),13.39)</f>
        <v>13.39</v>
      </c>
      <c r="D644" s="1">
        <f>IFERROR(__xludf.DUMMYFUNCTION("""COMPUTED_VALUE"""),12.11)</f>
        <v>12.11</v>
      </c>
      <c r="E644" s="1">
        <f>IFERROR(__xludf.DUMMYFUNCTION("""COMPUTED_VALUE"""),12.91)</f>
        <v>12.91</v>
      </c>
      <c r="F644" s="1">
        <f>IFERROR(__xludf.DUMMYFUNCTION("""COMPUTED_VALUE"""),1.8154868E7)</f>
        <v>18154868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IFERROR(__xludf.DUMMYFUNCTION("""COMPUTED_VALUE"""),12.77)</f>
        <v>12.77</v>
      </c>
      <c r="C645" s="1">
        <f>IFERROR(__xludf.DUMMYFUNCTION("""COMPUTED_VALUE"""),13.12)</f>
        <v>13.12</v>
      </c>
      <c r="D645" s="1">
        <f>IFERROR(__xludf.DUMMYFUNCTION("""COMPUTED_VALUE"""),11.98)</f>
        <v>11.98</v>
      </c>
      <c r="E645" s="1">
        <f>IFERROR(__xludf.DUMMYFUNCTION("""COMPUTED_VALUE"""),12.19)</f>
        <v>12.19</v>
      </c>
      <c r="F645" s="1">
        <f>IFERROR(__xludf.DUMMYFUNCTION("""COMPUTED_VALUE"""),1.2922603E7)</f>
        <v>12922603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IFERROR(__xludf.DUMMYFUNCTION("""COMPUTED_VALUE"""),12.54)</f>
        <v>12.54</v>
      </c>
      <c r="C646" s="1">
        <f>IFERROR(__xludf.DUMMYFUNCTION("""COMPUTED_VALUE"""),12.54)</f>
        <v>12.54</v>
      </c>
      <c r="D646" s="1">
        <f>IFERROR(__xludf.DUMMYFUNCTION("""COMPUTED_VALUE"""),12.15)</f>
        <v>12.15</v>
      </c>
      <c r="E646" s="1">
        <f>IFERROR(__xludf.DUMMYFUNCTION("""COMPUTED_VALUE"""),12.3)</f>
        <v>12.3</v>
      </c>
      <c r="F646" s="1">
        <f>IFERROR(__xludf.DUMMYFUNCTION("""COMPUTED_VALUE"""),7431774.0)</f>
        <v>7431774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IFERROR(__xludf.DUMMYFUNCTION("""COMPUTED_VALUE"""),12.3)</f>
        <v>12.3</v>
      </c>
      <c r="C647" s="1">
        <f>IFERROR(__xludf.DUMMYFUNCTION("""COMPUTED_VALUE"""),12.45)</f>
        <v>12.45</v>
      </c>
      <c r="D647" s="1">
        <f>IFERROR(__xludf.DUMMYFUNCTION("""COMPUTED_VALUE"""),11.41)</f>
        <v>11.41</v>
      </c>
      <c r="E647" s="1">
        <f>IFERROR(__xludf.DUMMYFUNCTION("""COMPUTED_VALUE"""),11.49)</f>
        <v>11.49</v>
      </c>
      <c r="F647" s="1">
        <f>IFERROR(__xludf.DUMMYFUNCTION("""COMPUTED_VALUE"""),7352688.0)</f>
        <v>7352688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IFERROR(__xludf.DUMMYFUNCTION("""COMPUTED_VALUE"""),11.59)</f>
        <v>11.59</v>
      </c>
      <c r="C648" s="1">
        <f>IFERROR(__xludf.DUMMYFUNCTION("""COMPUTED_VALUE"""),11.87)</f>
        <v>11.87</v>
      </c>
      <c r="D648" s="1">
        <f>IFERROR(__xludf.DUMMYFUNCTION("""COMPUTED_VALUE"""),11.42)</f>
        <v>11.42</v>
      </c>
      <c r="E648" s="1">
        <f>IFERROR(__xludf.DUMMYFUNCTION("""COMPUTED_VALUE"""),11.72)</f>
        <v>11.72</v>
      </c>
      <c r="F648" s="1">
        <f>IFERROR(__xludf.DUMMYFUNCTION("""COMPUTED_VALUE"""),3808808.0)</f>
        <v>3808808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IFERROR(__xludf.DUMMYFUNCTION("""COMPUTED_VALUE"""),11.73)</f>
        <v>11.73</v>
      </c>
      <c r="C649" s="1">
        <f>IFERROR(__xludf.DUMMYFUNCTION("""COMPUTED_VALUE"""),12.12)</f>
        <v>12.12</v>
      </c>
      <c r="D649" s="1">
        <f>IFERROR(__xludf.DUMMYFUNCTION("""COMPUTED_VALUE"""),11.71)</f>
        <v>11.71</v>
      </c>
      <c r="E649" s="1">
        <f>IFERROR(__xludf.DUMMYFUNCTION("""COMPUTED_VALUE"""),11.95)</f>
        <v>11.95</v>
      </c>
      <c r="F649" s="1">
        <f>IFERROR(__xludf.DUMMYFUNCTION("""COMPUTED_VALUE"""),3250896.0)</f>
        <v>3250896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IFERROR(__xludf.DUMMYFUNCTION("""COMPUTED_VALUE"""),12.0)</f>
        <v>12</v>
      </c>
      <c r="C650" s="1">
        <f>IFERROR(__xludf.DUMMYFUNCTION("""COMPUTED_VALUE"""),12.13)</f>
        <v>12.13</v>
      </c>
      <c r="D650" s="1">
        <f>IFERROR(__xludf.DUMMYFUNCTION("""COMPUTED_VALUE"""),10.58)</f>
        <v>10.58</v>
      </c>
      <c r="E650" s="1">
        <f>IFERROR(__xludf.DUMMYFUNCTION("""COMPUTED_VALUE"""),10.9)</f>
        <v>10.9</v>
      </c>
      <c r="F650" s="1">
        <f>IFERROR(__xludf.DUMMYFUNCTION("""COMPUTED_VALUE"""),6605936.0)</f>
        <v>6605936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IFERROR(__xludf.DUMMYFUNCTION("""COMPUTED_VALUE"""),10.92)</f>
        <v>10.92</v>
      </c>
      <c r="C651" s="1">
        <f>IFERROR(__xludf.DUMMYFUNCTION("""COMPUTED_VALUE"""),11.46)</f>
        <v>11.46</v>
      </c>
      <c r="D651" s="1">
        <f>IFERROR(__xludf.DUMMYFUNCTION("""COMPUTED_VALUE"""),10.62)</f>
        <v>10.62</v>
      </c>
      <c r="E651" s="1">
        <f>IFERROR(__xludf.DUMMYFUNCTION("""COMPUTED_VALUE"""),11.42)</f>
        <v>11.42</v>
      </c>
      <c r="F651" s="1">
        <f>IFERROR(__xludf.DUMMYFUNCTION("""COMPUTED_VALUE"""),5116080.0)</f>
        <v>5116080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IFERROR(__xludf.DUMMYFUNCTION("""COMPUTED_VALUE"""),11.23)</f>
        <v>11.23</v>
      </c>
      <c r="C652" s="1">
        <f>IFERROR(__xludf.DUMMYFUNCTION("""COMPUTED_VALUE"""),11.23)</f>
        <v>11.23</v>
      </c>
      <c r="D652" s="1">
        <f>IFERROR(__xludf.DUMMYFUNCTION("""COMPUTED_VALUE"""),11.23)</f>
        <v>11.23</v>
      </c>
      <c r="E652" s="1">
        <f>IFERROR(__xludf.DUMMYFUNCTION("""COMPUTED_VALUE"""),11.23)</f>
        <v>11.23</v>
      </c>
      <c r="F652" s="1">
        <f>IFERROR(__xludf.DUMMYFUNCTION("""COMPUTED_VALUE"""),16154.0)</f>
        <v>16154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IFERROR(__xludf.DUMMYFUNCTION("""COMPUTED_VALUE"""),11.06)</f>
        <v>11.06</v>
      </c>
      <c r="C653" s="1">
        <f>IFERROR(__xludf.DUMMYFUNCTION("""COMPUTED_VALUE"""),11.8)</f>
        <v>11.8</v>
      </c>
      <c r="D653" s="1">
        <f>IFERROR(__xludf.DUMMYFUNCTION("""COMPUTED_VALUE"""),11.01)</f>
        <v>11.01</v>
      </c>
      <c r="E653" s="1">
        <f>IFERROR(__xludf.DUMMYFUNCTION("""COMPUTED_VALUE"""),11.72)</f>
        <v>11.72</v>
      </c>
      <c r="F653" s="1">
        <f>IFERROR(__xludf.DUMMYFUNCTION("""COMPUTED_VALUE"""),3989010.0)</f>
        <v>3989010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IFERROR(__xludf.DUMMYFUNCTION("""COMPUTED_VALUE"""),11.83)</f>
        <v>11.83</v>
      </c>
      <c r="C654" s="1">
        <f>IFERROR(__xludf.DUMMYFUNCTION("""COMPUTED_VALUE"""),11.95)</f>
        <v>11.95</v>
      </c>
      <c r="D654" s="1">
        <f>IFERROR(__xludf.DUMMYFUNCTION("""COMPUTED_VALUE"""),11.28)</f>
        <v>11.28</v>
      </c>
      <c r="E654" s="1">
        <f>IFERROR(__xludf.DUMMYFUNCTION("""COMPUTED_VALUE"""),11.33)</f>
        <v>11.33</v>
      </c>
      <c r="F654" s="1">
        <f>IFERROR(__xludf.DUMMYFUNCTION("""COMPUTED_VALUE"""),2135593.0)</f>
        <v>2135593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IFERROR(__xludf.DUMMYFUNCTION("""COMPUTED_VALUE"""),11.47)</f>
        <v>11.47</v>
      </c>
      <c r="C655" s="1">
        <f>IFERROR(__xludf.DUMMYFUNCTION("""COMPUTED_VALUE"""),12.23)</f>
        <v>12.23</v>
      </c>
      <c r="D655" s="1">
        <f>IFERROR(__xludf.DUMMYFUNCTION("""COMPUTED_VALUE"""),11.47)</f>
        <v>11.47</v>
      </c>
      <c r="E655" s="1">
        <f>IFERROR(__xludf.DUMMYFUNCTION("""COMPUTED_VALUE"""),11.9)</f>
        <v>11.9</v>
      </c>
      <c r="F655" s="1">
        <f>IFERROR(__xludf.DUMMYFUNCTION("""COMPUTED_VALUE"""),3056889.0)</f>
        <v>3056889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IFERROR(__xludf.DUMMYFUNCTION("""COMPUTED_VALUE"""),11.8)</f>
        <v>11.8</v>
      </c>
      <c r="C656" s="1">
        <f>IFERROR(__xludf.DUMMYFUNCTION("""COMPUTED_VALUE"""),12.34)</f>
        <v>12.34</v>
      </c>
      <c r="D656" s="1">
        <f>IFERROR(__xludf.DUMMYFUNCTION("""COMPUTED_VALUE"""),11.52)</f>
        <v>11.52</v>
      </c>
      <c r="E656" s="1">
        <f>IFERROR(__xludf.DUMMYFUNCTION("""COMPUTED_VALUE"""),12.11)</f>
        <v>12.11</v>
      </c>
      <c r="F656" s="1">
        <f>IFERROR(__xludf.DUMMYFUNCTION("""COMPUTED_VALUE"""),3277835.0)</f>
        <v>3277835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IFERROR(__xludf.DUMMYFUNCTION("""COMPUTED_VALUE"""),12.1)</f>
        <v>12.1</v>
      </c>
      <c r="C657" s="1">
        <f>IFERROR(__xludf.DUMMYFUNCTION("""COMPUTED_VALUE"""),12.36)</f>
        <v>12.36</v>
      </c>
      <c r="D657" s="1">
        <f>IFERROR(__xludf.DUMMYFUNCTION("""COMPUTED_VALUE"""),11.8)</f>
        <v>11.8</v>
      </c>
      <c r="E657" s="1">
        <f>IFERROR(__xludf.DUMMYFUNCTION("""COMPUTED_VALUE"""),11.87)</f>
        <v>11.87</v>
      </c>
      <c r="F657" s="1">
        <f>IFERROR(__xludf.DUMMYFUNCTION("""COMPUTED_VALUE"""),1923546.0)</f>
        <v>1923546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IFERROR(__xludf.DUMMYFUNCTION("""COMPUTED_VALUE"""),12.2)</f>
        <v>12.2</v>
      </c>
      <c r="C658" s="1">
        <f>IFERROR(__xludf.DUMMYFUNCTION("""COMPUTED_VALUE"""),12.29)</f>
        <v>12.29</v>
      </c>
      <c r="D658" s="1">
        <f>IFERROR(__xludf.DUMMYFUNCTION("""COMPUTED_VALUE"""),11.81)</f>
        <v>11.81</v>
      </c>
      <c r="E658" s="1">
        <f>IFERROR(__xludf.DUMMYFUNCTION("""COMPUTED_VALUE"""),12.04)</f>
        <v>12.04</v>
      </c>
      <c r="F658" s="1">
        <f>IFERROR(__xludf.DUMMYFUNCTION("""COMPUTED_VALUE"""),1698054.0)</f>
        <v>1698054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IFERROR(__xludf.DUMMYFUNCTION("""COMPUTED_VALUE"""),12.25)</f>
        <v>12.25</v>
      </c>
      <c r="C659" s="1">
        <f>IFERROR(__xludf.DUMMYFUNCTION("""COMPUTED_VALUE"""),13.04)</f>
        <v>13.04</v>
      </c>
      <c r="D659" s="1">
        <f>IFERROR(__xludf.DUMMYFUNCTION("""COMPUTED_VALUE"""),12.19)</f>
        <v>12.19</v>
      </c>
      <c r="E659" s="1">
        <f>IFERROR(__xludf.DUMMYFUNCTION("""COMPUTED_VALUE"""),12.9)</f>
        <v>12.9</v>
      </c>
      <c r="F659" s="1">
        <f>IFERROR(__xludf.DUMMYFUNCTION("""COMPUTED_VALUE"""),4643315.0)</f>
        <v>4643315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IFERROR(__xludf.DUMMYFUNCTION("""COMPUTED_VALUE"""),13.19)</f>
        <v>13.19</v>
      </c>
      <c r="C660" s="1">
        <f>IFERROR(__xludf.DUMMYFUNCTION("""COMPUTED_VALUE"""),13.98)</f>
        <v>13.98</v>
      </c>
      <c r="D660" s="1">
        <f>IFERROR(__xludf.DUMMYFUNCTION("""COMPUTED_VALUE"""),13.17)</f>
        <v>13.17</v>
      </c>
      <c r="E660" s="1">
        <f>IFERROR(__xludf.DUMMYFUNCTION("""COMPUTED_VALUE"""),13.4)</f>
        <v>13.4</v>
      </c>
      <c r="F660" s="1">
        <f>IFERROR(__xludf.DUMMYFUNCTION("""COMPUTED_VALUE"""),7146875.0)</f>
        <v>7146875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IFERROR(__xludf.DUMMYFUNCTION("""COMPUTED_VALUE"""),13.13)</f>
        <v>13.13</v>
      </c>
      <c r="C661" s="1">
        <f>IFERROR(__xludf.DUMMYFUNCTION("""COMPUTED_VALUE"""),13.77)</f>
        <v>13.77</v>
      </c>
      <c r="D661" s="1">
        <f>IFERROR(__xludf.DUMMYFUNCTION("""COMPUTED_VALUE"""),13.05)</f>
        <v>13.05</v>
      </c>
      <c r="E661" s="1">
        <f>IFERROR(__xludf.DUMMYFUNCTION("""COMPUTED_VALUE"""),13.62)</f>
        <v>13.62</v>
      </c>
      <c r="F661" s="1">
        <f>IFERROR(__xludf.DUMMYFUNCTION("""COMPUTED_VALUE"""),3653760.0)</f>
        <v>3653760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IFERROR(__xludf.DUMMYFUNCTION("""COMPUTED_VALUE"""),13.5)</f>
        <v>13.5</v>
      </c>
      <c r="C662" s="1">
        <f>IFERROR(__xludf.DUMMYFUNCTION("""COMPUTED_VALUE"""),13.65)</f>
        <v>13.65</v>
      </c>
      <c r="D662" s="1">
        <f>IFERROR(__xludf.DUMMYFUNCTION("""COMPUTED_VALUE"""),13.35)</f>
        <v>13.35</v>
      </c>
      <c r="E662" s="1">
        <f>IFERROR(__xludf.DUMMYFUNCTION("""COMPUTED_VALUE"""),13.63)</f>
        <v>13.63</v>
      </c>
      <c r="F662" s="1">
        <f>IFERROR(__xludf.DUMMYFUNCTION("""COMPUTED_VALUE"""),1688172.0)</f>
        <v>1688172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IFERROR(__xludf.DUMMYFUNCTION("""COMPUTED_VALUE"""),13.66)</f>
        <v>13.66</v>
      </c>
      <c r="C663" s="1">
        <f>IFERROR(__xludf.DUMMYFUNCTION("""COMPUTED_VALUE"""),14.19)</f>
        <v>14.19</v>
      </c>
      <c r="D663" s="1">
        <f>IFERROR(__xludf.DUMMYFUNCTION("""COMPUTED_VALUE"""),13.52)</f>
        <v>13.52</v>
      </c>
      <c r="E663" s="1">
        <f>IFERROR(__xludf.DUMMYFUNCTION("""COMPUTED_VALUE"""),13.9)</f>
        <v>13.9</v>
      </c>
      <c r="F663" s="1">
        <f>IFERROR(__xludf.DUMMYFUNCTION("""COMPUTED_VALUE"""),2710979.0)</f>
        <v>2710979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IFERROR(__xludf.DUMMYFUNCTION("""COMPUTED_VALUE"""),13.98)</f>
        <v>13.98</v>
      </c>
      <c r="C664" s="1">
        <f>IFERROR(__xludf.DUMMYFUNCTION("""COMPUTED_VALUE"""),14.05)</f>
        <v>14.05</v>
      </c>
      <c r="D664" s="1">
        <f>IFERROR(__xludf.DUMMYFUNCTION("""COMPUTED_VALUE"""),13.76)</f>
        <v>13.76</v>
      </c>
      <c r="E664" s="1">
        <f>IFERROR(__xludf.DUMMYFUNCTION("""COMPUTED_VALUE"""),13.93)</f>
        <v>13.93</v>
      </c>
      <c r="F664" s="1">
        <f>IFERROR(__xludf.DUMMYFUNCTION("""COMPUTED_VALUE"""),1326754.0)</f>
        <v>1326754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IFERROR(__xludf.DUMMYFUNCTION("""COMPUTED_VALUE"""),13.94)</f>
        <v>13.94</v>
      </c>
      <c r="C665" s="1">
        <f>IFERROR(__xludf.DUMMYFUNCTION("""COMPUTED_VALUE"""),14.22)</f>
        <v>14.22</v>
      </c>
      <c r="D665" s="1">
        <f>IFERROR(__xludf.DUMMYFUNCTION("""COMPUTED_VALUE"""),13.69)</f>
        <v>13.69</v>
      </c>
      <c r="E665" s="1">
        <f>IFERROR(__xludf.DUMMYFUNCTION("""COMPUTED_VALUE"""),14.05)</f>
        <v>14.05</v>
      </c>
      <c r="F665" s="1">
        <f>IFERROR(__xludf.DUMMYFUNCTION("""COMPUTED_VALUE"""),1440309.0)</f>
        <v>1440309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IFERROR(__xludf.DUMMYFUNCTION("""COMPUTED_VALUE"""),14.28)</f>
        <v>14.28</v>
      </c>
      <c r="C666" s="1">
        <f>IFERROR(__xludf.DUMMYFUNCTION("""COMPUTED_VALUE"""),14.48)</f>
        <v>14.48</v>
      </c>
      <c r="D666" s="1">
        <f>IFERROR(__xludf.DUMMYFUNCTION("""COMPUTED_VALUE"""),14.04)</f>
        <v>14.04</v>
      </c>
      <c r="E666" s="1">
        <f>IFERROR(__xludf.DUMMYFUNCTION("""COMPUTED_VALUE"""),14.44)</f>
        <v>14.44</v>
      </c>
      <c r="F666" s="1">
        <f>IFERROR(__xludf.DUMMYFUNCTION("""COMPUTED_VALUE"""),1967635.0)</f>
        <v>1967635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IFERROR(__xludf.DUMMYFUNCTION("""COMPUTED_VALUE"""),14.49)</f>
        <v>14.49</v>
      </c>
      <c r="C667" s="1">
        <f>IFERROR(__xludf.DUMMYFUNCTION("""COMPUTED_VALUE"""),14.63)</f>
        <v>14.63</v>
      </c>
      <c r="D667" s="1">
        <f>IFERROR(__xludf.DUMMYFUNCTION("""COMPUTED_VALUE"""),14.31)</f>
        <v>14.31</v>
      </c>
      <c r="E667" s="1">
        <f>IFERROR(__xludf.DUMMYFUNCTION("""COMPUTED_VALUE"""),14.63)</f>
        <v>14.63</v>
      </c>
      <c r="F667" s="1">
        <f>IFERROR(__xludf.DUMMYFUNCTION("""COMPUTED_VALUE"""),1748002.0)</f>
        <v>1748002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IFERROR(__xludf.DUMMYFUNCTION("""COMPUTED_VALUE"""),14.82)</f>
        <v>14.82</v>
      </c>
      <c r="C668" s="1">
        <f>IFERROR(__xludf.DUMMYFUNCTION("""COMPUTED_VALUE"""),14.85)</f>
        <v>14.85</v>
      </c>
      <c r="D668" s="1">
        <f>IFERROR(__xludf.DUMMYFUNCTION("""COMPUTED_VALUE"""),14.35)</f>
        <v>14.35</v>
      </c>
      <c r="E668" s="1">
        <f>IFERROR(__xludf.DUMMYFUNCTION("""COMPUTED_VALUE"""),14.49)</f>
        <v>14.49</v>
      </c>
      <c r="F668" s="1">
        <f>IFERROR(__xludf.DUMMYFUNCTION("""COMPUTED_VALUE"""),1822412.0)</f>
        <v>1822412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IFERROR(__xludf.DUMMYFUNCTION("""COMPUTED_VALUE"""),14.69)</f>
        <v>14.69</v>
      </c>
      <c r="C669" s="1">
        <f>IFERROR(__xludf.DUMMYFUNCTION("""COMPUTED_VALUE"""),14.69)</f>
        <v>14.69</v>
      </c>
      <c r="D669" s="1">
        <f>IFERROR(__xludf.DUMMYFUNCTION("""COMPUTED_VALUE"""),13.95)</f>
        <v>13.95</v>
      </c>
      <c r="E669" s="1">
        <f>IFERROR(__xludf.DUMMYFUNCTION("""COMPUTED_VALUE"""),14.08)</f>
        <v>14.08</v>
      </c>
      <c r="F669" s="1">
        <f>IFERROR(__xludf.DUMMYFUNCTION("""COMPUTED_VALUE"""),2225863.0)</f>
        <v>2225863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IFERROR(__xludf.DUMMYFUNCTION("""COMPUTED_VALUE"""),14.28)</f>
        <v>14.28</v>
      </c>
      <c r="C670" s="1">
        <f>IFERROR(__xludf.DUMMYFUNCTION("""COMPUTED_VALUE"""),14.42)</f>
        <v>14.42</v>
      </c>
      <c r="D670" s="1">
        <f>IFERROR(__xludf.DUMMYFUNCTION("""COMPUTED_VALUE"""),13.55)</f>
        <v>13.55</v>
      </c>
      <c r="E670" s="1">
        <f>IFERROR(__xludf.DUMMYFUNCTION("""COMPUTED_VALUE"""),13.73)</f>
        <v>13.73</v>
      </c>
      <c r="F670" s="1">
        <f>IFERROR(__xludf.DUMMYFUNCTION("""COMPUTED_VALUE"""),2139794.0)</f>
        <v>2139794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IFERROR(__xludf.DUMMYFUNCTION("""COMPUTED_VALUE"""),13.8)</f>
        <v>13.8</v>
      </c>
      <c r="C671" s="1">
        <f>IFERROR(__xludf.DUMMYFUNCTION("""COMPUTED_VALUE"""),13.96)</f>
        <v>13.96</v>
      </c>
      <c r="D671" s="1">
        <f>IFERROR(__xludf.DUMMYFUNCTION("""COMPUTED_VALUE"""),13.58)</f>
        <v>13.58</v>
      </c>
      <c r="E671" s="1">
        <f>IFERROR(__xludf.DUMMYFUNCTION("""COMPUTED_VALUE"""),13.61)</f>
        <v>13.61</v>
      </c>
      <c r="F671" s="1">
        <f>IFERROR(__xludf.DUMMYFUNCTION("""COMPUTED_VALUE"""),1419543.0)</f>
        <v>1419543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IFERROR(__xludf.DUMMYFUNCTION("""COMPUTED_VALUE"""),13.5)</f>
        <v>13.5</v>
      </c>
      <c r="C672" s="1">
        <f>IFERROR(__xludf.DUMMYFUNCTION("""COMPUTED_VALUE"""),13.58)</f>
        <v>13.58</v>
      </c>
      <c r="D672" s="1">
        <f>IFERROR(__xludf.DUMMYFUNCTION("""COMPUTED_VALUE"""),13.2)</f>
        <v>13.2</v>
      </c>
      <c r="E672" s="1">
        <f>IFERROR(__xludf.DUMMYFUNCTION("""COMPUTED_VALUE"""),13.28)</f>
        <v>13.28</v>
      </c>
      <c r="F672" s="1">
        <f>IFERROR(__xludf.DUMMYFUNCTION("""COMPUTED_VALUE"""),1495339.0)</f>
        <v>1495339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IFERROR(__xludf.DUMMYFUNCTION("""COMPUTED_VALUE"""),13.3)</f>
        <v>13.3</v>
      </c>
      <c r="C673" s="1">
        <f>IFERROR(__xludf.DUMMYFUNCTION("""COMPUTED_VALUE"""),13.73)</f>
        <v>13.73</v>
      </c>
      <c r="D673" s="1">
        <f>IFERROR(__xludf.DUMMYFUNCTION("""COMPUTED_VALUE"""),13.28)</f>
        <v>13.28</v>
      </c>
      <c r="E673" s="1">
        <f>IFERROR(__xludf.DUMMYFUNCTION("""COMPUTED_VALUE"""),13.66)</f>
        <v>13.66</v>
      </c>
      <c r="F673" s="1">
        <f>IFERROR(__xludf.DUMMYFUNCTION("""COMPUTED_VALUE"""),1354657.0)</f>
        <v>1354657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IFERROR(__xludf.DUMMYFUNCTION("""COMPUTED_VALUE"""),13.66)</f>
        <v>13.66</v>
      </c>
      <c r="C674" s="1">
        <f>IFERROR(__xludf.DUMMYFUNCTION("""COMPUTED_VALUE"""),13.99)</f>
        <v>13.99</v>
      </c>
      <c r="D674" s="1">
        <f>IFERROR(__xludf.DUMMYFUNCTION("""COMPUTED_VALUE"""),13.6)</f>
        <v>13.6</v>
      </c>
      <c r="E674" s="1">
        <f>IFERROR(__xludf.DUMMYFUNCTION("""COMPUTED_VALUE"""),13.9)</f>
        <v>13.9</v>
      </c>
      <c r="F674" s="1">
        <f>IFERROR(__xludf.DUMMYFUNCTION("""COMPUTED_VALUE"""),1838226.0)</f>
        <v>1838226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IFERROR(__xludf.DUMMYFUNCTION("""COMPUTED_VALUE"""),13.7)</f>
        <v>13.7</v>
      </c>
      <c r="C675" s="1">
        <f>IFERROR(__xludf.DUMMYFUNCTION("""COMPUTED_VALUE"""),13.91)</f>
        <v>13.91</v>
      </c>
      <c r="D675" s="1">
        <f>IFERROR(__xludf.DUMMYFUNCTION("""COMPUTED_VALUE"""),13.26)</f>
        <v>13.26</v>
      </c>
      <c r="E675" s="1">
        <f>IFERROR(__xludf.DUMMYFUNCTION("""COMPUTED_VALUE"""),13.34)</f>
        <v>13.34</v>
      </c>
      <c r="F675" s="1">
        <f>IFERROR(__xludf.DUMMYFUNCTION("""COMPUTED_VALUE"""),1968039.0)</f>
        <v>1968039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IFERROR(__xludf.DUMMYFUNCTION("""COMPUTED_VALUE"""),13.26)</f>
        <v>13.26</v>
      </c>
      <c r="C676" s="1">
        <f>IFERROR(__xludf.DUMMYFUNCTION("""COMPUTED_VALUE"""),13.69)</f>
        <v>13.69</v>
      </c>
      <c r="D676" s="1">
        <f>IFERROR(__xludf.DUMMYFUNCTION("""COMPUTED_VALUE"""),13.26)</f>
        <v>13.26</v>
      </c>
      <c r="E676" s="1">
        <f>IFERROR(__xludf.DUMMYFUNCTION("""COMPUTED_VALUE"""),13.57)</f>
        <v>13.57</v>
      </c>
      <c r="F676" s="1">
        <f>IFERROR(__xludf.DUMMYFUNCTION("""COMPUTED_VALUE"""),1475408.0)</f>
        <v>1475408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IFERROR(__xludf.DUMMYFUNCTION("""COMPUTED_VALUE"""),13.58)</f>
        <v>13.58</v>
      </c>
      <c r="C677" s="1">
        <f>IFERROR(__xludf.DUMMYFUNCTION("""COMPUTED_VALUE"""),14.12)</f>
        <v>14.12</v>
      </c>
      <c r="D677" s="1">
        <f>IFERROR(__xludf.DUMMYFUNCTION("""COMPUTED_VALUE"""),13.49)</f>
        <v>13.49</v>
      </c>
      <c r="E677" s="1">
        <f>IFERROR(__xludf.DUMMYFUNCTION("""COMPUTED_VALUE"""),13.99)</f>
        <v>13.99</v>
      </c>
      <c r="F677" s="1">
        <f>IFERROR(__xludf.DUMMYFUNCTION("""COMPUTED_VALUE"""),1297311.0)</f>
        <v>1297311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IFERROR(__xludf.DUMMYFUNCTION("""COMPUTED_VALUE"""),14.19)</f>
        <v>14.19</v>
      </c>
      <c r="C678" s="1">
        <f>IFERROR(__xludf.DUMMYFUNCTION("""COMPUTED_VALUE"""),15.03)</f>
        <v>15.03</v>
      </c>
      <c r="D678" s="1">
        <f>IFERROR(__xludf.DUMMYFUNCTION("""COMPUTED_VALUE"""),14.14)</f>
        <v>14.14</v>
      </c>
      <c r="E678" s="1">
        <f>IFERROR(__xludf.DUMMYFUNCTION("""COMPUTED_VALUE"""),14.79)</f>
        <v>14.79</v>
      </c>
      <c r="F678" s="1">
        <f>IFERROR(__xludf.DUMMYFUNCTION("""COMPUTED_VALUE"""),2817146.0)</f>
        <v>2817146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IFERROR(__xludf.DUMMYFUNCTION("""COMPUTED_VALUE"""),14.77)</f>
        <v>14.77</v>
      </c>
      <c r="C679" s="1">
        <f>IFERROR(__xludf.DUMMYFUNCTION("""COMPUTED_VALUE"""),14.8)</f>
        <v>14.8</v>
      </c>
      <c r="D679" s="1">
        <f>IFERROR(__xludf.DUMMYFUNCTION("""COMPUTED_VALUE"""),14.39)</f>
        <v>14.39</v>
      </c>
      <c r="E679" s="1">
        <f>IFERROR(__xludf.DUMMYFUNCTION("""COMPUTED_VALUE"""),14.4)</f>
        <v>14.4</v>
      </c>
      <c r="F679" s="1">
        <f>IFERROR(__xludf.DUMMYFUNCTION("""COMPUTED_VALUE"""),1640211.0)</f>
        <v>1640211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IFERROR(__xludf.DUMMYFUNCTION("""COMPUTED_VALUE"""),14.48)</f>
        <v>14.48</v>
      </c>
      <c r="C680" s="1">
        <f>IFERROR(__xludf.DUMMYFUNCTION("""COMPUTED_VALUE"""),14.52)</f>
        <v>14.52</v>
      </c>
      <c r="D680" s="1">
        <f>IFERROR(__xludf.DUMMYFUNCTION("""COMPUTED_VALUE"""),14.34)</f>
        <v>14.34</v>
      </c>
      <c r="E680" s="1">
        <f>IFERROR(__xludf.DUMMYFUNCTION("""COMPUTED_VALUE"""),14.5)</f>
        <v>14.5</v>
      </c>
      <c r="F680" s="1">
        <f>IFERROR(__xludf.DUMMYFUNCTION("""COMPUTED_VALUE"""),1514284.0)</f>
        <v>1514284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IFERROR(__xludf.DUMMYFUNCTION("""COMPUTED_VALUE"""),14.29)</f>
        <v>14.29</v>
      </c>
      <c r="C681" s="1">
        <f>IFERROR(__xludf.DUMMYFUNCTION("""COMPUTED_VALUE"""),14.5)</f>
        <v>14.5</v>
      </c>
      <c r="D681" s="1">
        <f>IFERROR(__xludf.DUMMYFUNCTION("""COMPUTED_VALUE"""),14.25)</f>
        <v>14.25</v>
      </c>
      <c r="E681" s="1">
        <f>IFERROR(__xludf.DUMMYFUNCTION("""COMPUTED_VALUE"""),14.5)</f>
        <v>14.5</v>
      </c>
      <c r="F681" s="1">
        <f>IFERROR(__xludf.DUMMYFUNCTION("""COMPUTED_VALUE"""),1777479.0)</f>
        <v>1777479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IFERROR(__xludf.DUMMYFUNCTION("""COMPUTED_VALUE"""),14.44)</f>
        <v>14.44</v>
      </c>
      <c r="C682" s="1">
        <f>IFERROR(__xludf.DUMMYFUNCTION("""COMPUTED_VALUE"""),14.5)</f>
        <v>14.5</v>
      </c>
      <c r="D682" s="1">
        <f>IFERROR(__xludf.DUMMYFUNCTION("""COMPUTED_VALUE"""),14.36)</f>
        <v>14.36</v>
      </c>
      <c r="E682" s="1">
        <f>IFERROR(__xludf.DUMMYFUNCTION("""COMPUTED_VALUE"""),14.47)</f>
        <v>14.47</v>
      </c>
      <c r="F682" s="1">
        <f>IFERROR(__xludf.DUMMYFUNCTION("""COMPUTED_VALUE"""),1138463.0)</f>
        <v>1138463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IFERROR(__xludf.DUMMYFUNCTION("""COMPUTED_VALUE"""),14.5)</f>
        <v>14.5</v>
      </c>
      <c r="C683" s="1">
        <f>IFERROR(__xludf.DUMMYFUNCTION("""COMPUTED_VALUE"""),15.2)</f>
        <v>15.2</v>
      </c>
      <c r="D683" s="1">
        <f>IFERROR(__xludf.DUMMYFUNCTION("""COMPUTED_VALUE"""),14.41)</f>
        <v>14.41</v>
      </c>
      <c r="E683" s="1">
        <f>IFERROR(__xludf.DUMMYFUNCTION("""COMPUTED_VALUE"""),14.93)</f>
        <v>14.93</v>
      </c>
      <c r="F683" s="1">
        <f>IFERROR(__xludf.DUMMYFUNCTION("""COMPUTED_VALUE"""),3064818.0)</f>
        <v>3064818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IFERROR(__xludf.DUMMYFUNCTION("""COMPUTED_VALUE"""),15.0)</f>
        <v>15</v>
      </c>
      <c r="C684" s="1">
        <f>IFERROR(__xludf.DUMMYFUNCTION("""COMPUTED_VALUE"""),15.0)</f>
        <v>15</v>
      </c>
      <c r="D684" s="1">
        <f>IFERROR(__xludf.DUMMYFUNCTION("""COMPUTED_VALUE"""),14.05)</f>
        <v>14.05</v>
      </c>
      <c r="E684" s="1">
        <f>IFERROR(__xludf.DUMMYFUNCTION("""COMPUTED_VALUE"""),14.16)</f>
        <v>14.16</v>
      </c>
      <c r="F684" s="1">
        <f>IFERROR(__xludf.DUMMYFUNCTION("""COMPUTED_VALUE"""),1964134.0)</f>
        <v>1964134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IFERROR(__xludf.DUMMYFUNCTION("""COMPUTED_VALUE"""),14.29)</f>
        <v>14.29</v>
      </c>
      <c r="C685" s="1">
        <f>IFERROR(__xludf.DUMMYFUNCTION("""COMPUTED_VALUE"""),14.69)</f>
        <v>14.69</v>
      </c>
      <c r="D685" s="1">
        <f>IFERROR(__xludf.DUMMYFUNCTION("""COMPUTED_VALUE"""),14.08)</f>
        <v>14.08</v>
      </c>
      <c r="E685" s="1">
        <f>IFERROR(__xludf.DUMMYFUNCTION("""COMPUTED_VALUE"""),14.36)</f>
        <v>14.36</v>
      </c>
      <c r="F685" s="1">
        <f>IFERROR(__xludf.DUMMYFUNCTION("""COMPUTED_VALUE"""),1530558.0)</f>
        <v>1530558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IFERROR(__xludf.DUMMYFUNCTION("""COMPUTED_VALUE"""),14.38)</f>
        <v>14.38</v>
      </c>
      <c r="C686" s="1">
        <f>IFERROR(__xludf.DUMMYFUNCTION("""COMPUTED_VALUE"""),14.56)</f>
        <v>14.56</v>
      </c>
      <c r="D686" s="1">
        <f>IFERROR(__xludf.DUMMYFUNCTION("""COMPUTED_VALUE"""),14.13)</f>
        <v>14.13</v>
      </c>
      <c r="E686" s="1">
        <f>IFERROR(__xludf.DUMMYFUNCTION("""COMPUTED_VALUE"""),14.44)</f>
        <v>14.44</v>
      </c>
      <c r="F686" s="1">
        <f>IFERROR(__xludf.DUMMYFUNCTION("""COMPUTED_VALUE"""),1028451.0)</f>
        <v>1028451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IFERROR(__xludf.DUMMYFUNCTION("""COMPUTED_VALUE"""),14.41)</f>
        <v>14.41</v>
      </c>
      <c r="C687" s="1">
        <f>IFERROR(__xludf.DUMMYFUNCTION("""COMPUTED_VALUE"""),14.42)</f>
        <v>14.42</v>
      </c>
      <c r="D687" s="1">
        <f>IFERROR(__xludf.DUMMYFUNCTION("""COMPUTED_VALUE"""),13.75)</f>
        <v>13.75</v>
      </c>
      <c r="E687" s="1">
        <f>IFERROR(__xludf.DUMMYFUNCTION("""COMPUTED_VALUE"""),13.81)</f>
        <v>13.81</v>
      </c>
      <c r="F687" s="1">
        <f>IFERROR(__xludf.DUMMYFUNCTION("""COMPUTED_VALUE"""),1283097.0)</f>
        <v>1283097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IFERROR(__xludf.DUMMYFUNCTION("""COMPUTED_VALUE"""),14.0)</f>
        <v>14</v>
      </c>
      <c r="C688" s="1">
        <f>IFERROR(__xludf.DUMMYFUNCTION("""COMPUTED_VALUE"""),15.0)</f>
        <v>15</v>
      </c>
      <c r="D688" s="1">
        <f>IFERROR(__xludf.DUMMYFUNCTION("""COMPUTED_VALUE"""),13.84)</f>
        <v>13.84</v>
      </c>
      <c r="E688" s="1">
        <f>IFERROR(__xludf.DUMMYFUNCTION("""COMPUTED_VALUE"""),14.92)</f>
        <v>14.92</v>
      </c>
      <c r="F688" s="1">
        <f>IFERROR(__xludf.DUMMYFUNCTION("""COMPUTED_VALUE"""),3955049.0)</f>
        <v>3955049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IFERROR(__xludf.DUMMYFUNCTION("""COMPUTED_VALUE"""),14.56)</f>
        <v>14.56</v>
      </c>
      <c r="C689" s="1">
        <f>IFERROR(__xludf.DUMMYFUNCTION("""COMPUTED_VALUE"""),15.29)</f>
        <v>15.29</v>
      </c>
      <c r="D689" s="1">
        <f>IFERROR(__xludf.DUMMYFUNCTION("""COMPUTED_VALUE"""),14.46)</f>
        <v>14.46</v>
      </c>
      <c r="E689" s="1">
        <f>IFERROR(__xludf.DUMMYFUNCTION("""COMPUTED_VALUE"""),14.64)</f>
        <v>14.64</v>
      </c>
      <c r="F689" s="1">
        <f>IFERROR(__xludf.DUMMYFUNCTION("""COMPUTED_VALUE"""),3325503.0)</f>
        <v>3325503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IFERROR(__xludf.DUMMYFUNCTION("""COMPUTED_VALUE"""),14.87)</f>
        <v>14.87</v>
      </c>
      <c r="C690" s="1">
        <f>IFERROR(__xludf.DUMMYFUNCTION("""COMPUTED_VALUE"""),14.9)</f>
        <v>14.9</v>
      </c>
      <c r="D690" s="1">
        <f>IFERROR(__xludf.DUMMYFUNCTION("""COMPUTED_VALUE"""),14.09)</f>
        <v>14.09</v>
      </c>
      <c r="E690" s="1">
        <f>IFERROR(__xludf.DUMMYFUNCTION("""COMPUTED_VALUE"""),14.12)</f>
        <v>14.12</v>
      </c>
      <c r="F690" s="1">
        <f>IFERROR(__xludf.DUMMYFUNCTION("""COMPUTED_VALUE"""),2074609.0)</f>
        <v>2074609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IFERROR(__xludf.DUMMYFUNCTION("""COMPUTED_VALUE"""),14.11)</f>
        <v>14.11</v>
      </c>
      <c r="C691" s="1">
        <f>IFERROR(__xludf.DUMMYFUNCTION("""COMPUTED_VALUE"""),15.0)</f>
        <v>15</v>
      </c>
      <c r="D691" s="1">
        <f>IFERROR(__xludf.DUMMYFUNCTION("""COMPUTED_VALUE"""),14.05)</f>
        <v>14.05</v>
      </c>
      <c r="E691" s="1">
        <f>IFERROR(__xludf.DUMMYFUNCTION("""COMPUTED_VALUE"""),14.56)</f>
        <v>14.56</v>
      </c>
      <c r="F691" s="1">
        <f>IFERROR(__xludf.DUMMYFUNCTION("""COMPUTED_VALUE"""),2598677.0)</f>
        <v>2598677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IFERROR(__xludf.DUMMYFUNCTION("""COMPUTED_VALUE"""),14.98)</f>
        <v>14.98</v>
      </c>
      <c r="C692" s="1">
        <f>IFERROR(__xludf.DUMMYFUNCTION("""COMPUTED_VALUE"""),15.88)</f>
        <v>15.88</v>
      </c>
      <c r="D692" s="1">
        <f>IFERROR(__xludf.DUMMYFUNCTION("""COMPUTED_VALUE"""),14.66)</f>
        <v>14.66</v>
      </c>
      <c r="E692" s="1">
        <f>IFERROR(__xludf.DUMMYFUNCTION("""COMPUTED_VALUE"""),15.55)</f>
        <v>15.55</v>
      </c>
      <c r="F692" s="1">
        <f>IFERROR(__xludf.DUMMYFUNCTION("""COMPUTED_VALUE"""),6847374.0)</f>
        <v>6847374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IFERROR(__xludf.DUMMYFUNCTION("""COMPUTED_VALUE"""),15.52)</f>
        <v>15.52</v>
      </c>
      <c r="C693" s="1">
        <f>IFERROR(__xludf.DUMMYFUNCTION("""COMPUTED_VALUE"""),17.13)</f>
        <v>17.13</v>
      </c>
      <c r="D693" s="1">
        <f>IFERROR(__xludf.DUMMYFUNCTION("""COMPUTED_VALUE"""),15.5)</f>
        <v>15.5</v>
      </c>
      <c r="E693" s="1">
        <f>IFERROR(__xludf.DUMMYFUNCTION("""COMPUTED_VALUE"""),16.67)</f>
        <v>16.67</v>
      </c>
      <c r="F693" s="1">
        <f>IFERROR(__xludf.DUMMYFUNCTION("""COMPUTED_VALUE"""),5728287.0)</f>
        <v>5728287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IFERROR(__xludf.DUMMYFUNCTION("""COMPUTED_VALUE"""),16.73)</f>
        <v>16.73</v>
      </c>
      <c r="C694" s="1">
        <f>IFERROR(__xludf.DUMMYFUNCTION("""COMPUTED_VALUE"""),17.97)</f>
        <v>17.97</v>
      </c>
      <c r="D694" s="1">
        <f>IFERROR(__xludf.DUMMYFUNCTION("""COMPUTED_VALUE"""),15.49)</f>
        <v>15.49</v>
      </c>
      <c r="E694" s="1">
        <f>IFERROR(__xludf.DUMMYFUNCTION("""COMPUTED_VALUE"""),16.6)</f>
        <v>16.6</v>
      </c>
      <c r="F694" s="1">
        <f>IFERROR(__xludf.DUMMYFUNCTION("""COMPUTED_VALUE"""),9548839.0)</f>
        <v>9548839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IFERROR(__xludf.DUMMYFUNCTION("""COMPUTED_VALUE"""),16.66)</f>
        <v>16.66</v>
      </c>
      <c r="C695" s="1">
        <f>IFERROR(__xludf.DUMMYFUNCTION("""COMPUTED_VALUE"""),16.95)</f>
        <v>16.95</v>
      </c>
      <c r="D695" s="1">
        <f>IFERROR(__xludf.DUMMYFUNCTION("""COMPUTED_VALUE"""),16.0)</f>
        <v>16</v>
      </c>
      <c r="E695" s="1">
        <f>IFERROR(__xludf.DUMMYFUNCTION("""COMPUTED_VALUE"""),16.77)</f>
        <v>16.77</v>
      </c>
      <c r="F695" s="1">
        <f>IFERROR(__xludf.DUMMYFUNCTION("""COMPUTED_VALUE"""),2437944.0)</f>
        <v>2437944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IFERROR(__xludf.DUMMYFUNCTION("""COMPUTED_VALUE"""),17.23)</f>
        <v>17.23</v>
      </c>
      <c r="C696" s="1">
        <f>IFERROR(__xludf.DUMMYFUNCTION("""COMPUTED_VALUE"""),17.29)</f>
        <v>17.29</v>
      </c>
      <c r="D696" s="1">
        <f>IFERROR(__xludf.DUMMYFUNCTION("""COMPUTED_VALUE"""),16.25)</f>
        <v>16.25</v>
      </c>
      <c r="E696" s="1">
        <f>IFERROR(__xludf.DUMMYFUNCTION("""COMPUTED_VALUE"""),16.54)</f>
        <v>16.54</v>
      </c>
      <c r="F696" s="1">
        <f>IFERROR(__xludf.DUMMYFUNCTION("""COMPUTED_VALUE"""),3225213.0)</f>
        <v>3225213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IFERROR(__xludf.DUMMYFUNCTION("""COMPUTED_VALUE"""),16.48)</f>
        <v>16.48</v>
      </c>
      <c r="C697" s="1">
        <f>IFERROR(__xludf.DUMMYFUNCTION("""COMPUTED_VALUE"""),16.55)</f>
        <v>16.55</v>
      </c>
      <c r="D697" s="1">
        <f>IFERROR(__xludf.DUMMYFUNCTION("""COMPUTED_VALUE"""),15.91)</f>
        <v>15.91</v>
      </c>
      <c r="E697" s="1">
        <f>IFERROR(__xludf.DUMMYFUNCTION("""COMPUTED_VALUE"""),16.3)</f>
        <v>16.3</v>
      </c>
      <c r="F697" s="1">
        <f>IFERROR(__xludf.DUMMYFUNCTION("""COMPUTED_VALUE"""),2071714.0)</f>
        <v>2071714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IFERROR(__xludf.DUMMYFUNCTION("""COMPUTED_VALUE"""),16.36)</f>
        <v>16.36</v>
      </c>
      <c r="C698" s="1">
        <f>IFERROR(__xludf.DUMMYFUNCTION("""COMPUTED_VALUE"""),16.9)</f>
        <v>16.9</v>
      </c>
      <c r="D698" s="1">
        <f>IFERROR(__xludf.DUMMYFUNCTION("""COMPUTED_VALUE"""),16.18)</f>
        <v>16.18</v>
      </c>
      <c r="E698" s="1">
        <f>IFERROR(__xludf.DUMMYFUNCTION("""COMPUTED_VALUE"""),16.72)</f>
        <v>16.72</v>
      </c>
      <c r="F698" s="1">
        <f>IFERROR(__xludf.DUMMYFUNCTION("""COMPUTED_VALUE"""),1680277.0)</f>
        <v>1680277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IFERROR(__xludf.DUMMYFUNCTION("""COMPUTED_VALUE"""),16.71)</f>
        <v>16.71</v>
      </c>
      <c r="C699" s="1">
        <f>IFERROR(__xludf.DUMMYFUNCTION("""COMPUTED_VALUE"""),17.08)</f>
        <v>17.08</v>
      </c>
      <c r="D699" s="1">
        <f>IFERROR(__xludf.DUMMYFUNCTION("""COMPUTED_VALUE"""),16.35)</f>
        <v>16.35</v>
      </c>
      <c r="E699" s="1">
        <f>IFERROR(__xludf.DUMMYFUNCTION("""COMPUTED_VALUE"""),16.41)</f>
        <v>16.41</v>
      </c>
      <c r="F699" s="1">
        <f>IFERROR(__xludf.DUMMYFUNCTION("""COMPUTED_VALUE"""),2304355.0)</f>
        <v>2304355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IFERROR(__xludf.DUMMYFUNCTION("""COMPUTED_VALUE"""),16.58)</f>
        <v>16.58</v>
      </c>
      <c r="C700" s="1">
        <f>IFERROR(__xludf.DUMMYFUNCTION("""COMPUTED_VALUE"""),16.75)</f>
        <v>16.75</v>
      </c>
      <c r="D700" s="1">
        <f>IFERROR(__xludf.DUMMYFUNCTION("""COMPUTED_VALUE"""),16.26)</f>
        <v>16.26</v>
      </c>
      <c r="E700" s="1">
        <f>IFERROR(__xludf.DUMMYFUNCTION("""COMPUTED_VALUE"""),16.58)</f>
        <v>16.58</v>
      </c>
      <c r="F700" s="1">
        <f>IFERROR(__xludf.DUMMYFUNCTION("""COMPUTED_VALUE"""),1322481.0)</f>
        <v>1322481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IFERROR(__xludf.DUMMYFUNCTION("""COMPUTED_VALUE"""),16.45)</f>
        <v>16.45</v>
      </c>
      <c r="C701" s="1">
        <f>IFERROR(__xludf.DUMMYFUNCTION("""COMPUTED_VALUE"""),17.04)</f>
        <v>17.04</v>
      </c>
      <c r="D701" s="1">
        <f>IFERROR(__xludf.DUMMYFUNCTION("""COMPUTED_VALUE"""),16.4)</f>
        <v>16.4</v>
      </c>
      <c r="E701" s="1">
        <f>IFERROR(__xludf.DUMMYFUNCTION("""COMPUTED_VALUE"""),16.94)</f>
        <v>16.94</v>
      </c>
      <c r="F701" s="1">
        <f>IFERROR(__xludf.DUMMYFUNCTION("""COMPUTED_VALUE"""),2255913.0)</f>
        <v>2255913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IFERROR(__xludf.DUMMYFUNCTION("""COMPUTED_VALUE"""),16.93)</f>
        <v>16.93</v>
      </c>
      <c r="C702" s="1">
        <f>IFERROR(__xludf.DUMMYFUNCTION("""COMPUTED_VALUE"""),18.29)</f>
        <v>18.29</v>
      </c>
      <c r="D702" s="1">
        <f>IFERROR(__xludf.DUMMYFUNCTION("""COMPUTED_VALUE"""),16.92)</f>
        <v>16.92</v>
      </c>
      <c r="E702" s="1">
        <f>IFERROR(__xludf.DUMMYFUNCTION("""COMPUTED_VALUE"""),17.95)</f>
        <v>17.95</v>
      </c>
      <c r="F702" s="1">
        <f>IFERROR(__xludf.DUMMYFUNCTION("""COMPUTED_VALUE"""),4089655.0)</f>
        <v>4089655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IFERROR(__xludf.DUMMYFUNCTION("""COMPUTED_VALUE"""),17.96)</f>
        <v>17.96</v>
      </c>
      <c r="C703" s="1">
        <f>IFERROR(__xludf.DUMMYFUNCTION("""COMPUTED_VALUE"""),18.3)</f>
        <v>18.3</v>
      </c>
      <c r="D703" s="1">
        <f>IFERROR(__xludf.DUMMYFUNCTION("""COMPUTED_VALUE"""),16.52)</f>
        <v>16.52</v>
      </c>
      <c r="E703" s="1">
        <f>IFERROR(__xludf.DUMMYFUNCTION("""COMPUTED_VALUE"""),17.14)</f>
        <v>17.14</v>
      </c>
      <c r="F703" s="1">
        <f>IFERROR(__xludf.DUMMYFUNCTION("""COMPUTED_VALUE"""),4646211.0)</f>
        <v>4646211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IFERROR(__xludf.DUMMYFUNCTION("""COMPUTED_VALUE"""),19.34)</f>
        <v>19.34</v>
      </c>
      <c r="C704" s="1">
        <f>IFERROR(__xludf.DUMMYFUNCTION("""COMPUTED_VALUE"""),19.35)</f>
        <v>19.35</v>
      </c>
      <c r="D704" s="1">
        <f>IFERROR(__xludf.DUMMYFUNCTION("""COMPUTED_VALUE"""),17.65)</f>
        <v>17.65</v>
      </c>
      <c r="E704" s="1">
        <f>IFERROR(__xludf.DUMMYFUNCTION("""COMPUTED_VALUE"""),17.89)</f>
        <v>17.89</v>
      </c>
      <c r="F704" s="1">
        <f>IFERROR(__xludf.DUMMYFUNCTION("""COMPUTED_VALUE"""),1.0047299E7)</f>
        <v>10047299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IFERROR(__xludf.DUMMYFUNCTION("""COMPUTED_VALUE"""),17.99)</f>
        <v>17.99</v>
      </c>
      <c r="C705" s="1">
        <f>IFERROR(__xludf.DUMMYFUNCTION("""COMPUTED_VALUE"""),18.1)</f>
        <v>18.1</v>
      </c>
      <c r="D705" s="1">
        <f>IFERROR(__xludf.DUMMYFUNCTION("""COMPUTED_VALUE"""),17.41)</f>
        <v>17.41</v>
      </c>
      <c r="E705" s="1">
        <f>IFERROR(__xludf.DUMMYFUNCTION("""COMPUTED_VALUE"""),17.86)</f>
        <v>17.86</v>
      </c>
      <c r="F705" s="1">
        <f>IFERROR(__xludf.DUMMYFUNCTION("""COMPUTED_VALUE"""),2956628.0)</f>
        <v>2956628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IFERROR(__xludf.DUMMYFUNCTION("""COMPUTED_VALUE"""),18.0)</f>
        <v>18</v>
      </c>
      <c r="C706" s="1">
        <f>IFERROR(__xludf.DUMMYFUNCTION("""COMPUTED_VALUE"""),18.1)</f>
        <v>18.1</v>
      </c>
      <c r="D706" s="1">
        <f>IFERROR(__xludf.DUMMYFUNCTION("""COMPUTED_VALUE"""),17.33)</f>
        <v>17.33</v>
      </c>
      <c r="E706" s="1">
        <f>IFERROR(__xludf.DUMMYFUNCTION("""COMPUTED_VALUE"""),17.4)</f>
        <v>17.4</v>
      </c>
      <c r="F706" s="1">
        <f>IFERROR(__xludf.DUMMYFUNCTION("""COMPUTED_VALUE"""),2962090.0)</f>
        <v>2962090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IFERROR(__xludf.DUMMYFUNCTION("""COMPUTED_VALUE"""),17.69)</f>
        <v>17.69</v>
      </c>
      <c r="C707" s="1">
        <f>IFERROR(__xludf.DUMMYFUNCTION("""COMPUTED_VALUE"""),17.69)</f>
        <v>17.69</v>
      </c>
      <c r="D707" s="1">
        <f>IFERROR(__xludf.DUMMYFUNCTION("""COMPUTED_VALUE"""),17.2)</f>
        <v>17.2</v>
      </c>
      <c r="E707" s="1">
        <f>IFERROR(__xludf.DUMMYFUNCTION("""COMPUTED_VALUE"""),17.59)</f>
        <v>17.59</v>
      </c>
      <c r="F707" s="1">
        <f>IFERROR(__xludf.DUMMYFUNCTION("""COMPUTED_VALUE"""),2000116.0)</f>
        <v>2000116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IFERROR(__xludf.DUMMYFUNCTION("""COMPUTED_VALUE"""),17.5)</f>
        <v>17.5</v>
      </c>
      <c r="C708" s="1">
        <f>IFERROR(__xludf.DUMMYFUNCTION("""COMPUTED_VALUE"""),17.55)</f>
        <v>17.55</v>
      </c>
      <c r="D708" s="1">
        <f>IFERROR(__xludf.DUMMYFUNCTION("""COMPUTED_VALUE"""),17.18)</f>
        <v>17.18</v>
      </c>
      <c r="E708" s="1">
        <f>IFERROR(__xludf.DUMMYFUNCTION("""COMPUTED_VALUE"""),17.37)</f>
        <v>17.37</v>
      </c>
      <c r="F708" s="1">
        <f>IFERROR(__xludf.DUMMYFUNCTION("""COMPUTED_VALUE"""),1816131.0)</f>
        <v>1816131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IFERROR(__xludf.DUMMYFUNCTION("""COMPUTED_VALUE"""),17.52)</f>
        <v>17.52</v>
      </c>
      <c r="C709" s="1">
        <f>IFERROR(__xludf.DUMMYFUNCTION("""COMPUTED_VALUE"""),17.74)</f>
        <v>17.74</v>
      </c>
      <c r="D709" s="1">
        <f>IFERROR(__xludf.DUMMYFUNCTION("""COMPUTED_VALUE"""),17.16)</f>
        <v>17.16</v>
      </c>
      <c r="E709" s="1">
        <f>IFERROR(__xludf.DUMMYFUNCTION("""COMPUTED_VALUE"""),17.39)</f>
        <v>17.39</v>
      </c>
      <c r="F709" s="1">
        <f>IFERROR(__xludf.DUMMYFUNCTION("""COMPUTED_VALUE"""),2122708.0)</f>
        <v>2122708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IFERROR(__xludf.DUMMYFUNCTION("""COMPUTED_VALUE"""),17.21)</f>
        <v>17.21</v>
      </c>
      <c r="C710" s="1">
        <f>IFERROR(__xludf.DUMMYFUNCTION("""COMPUTED_VALUE"""),17.38)</f>
        <v>17.38</v>
      </c>
      <c r="D710" s="1">
        <f>IFERROR(__xludf.DUMMYFUNCTION("""COMPUTED_VALUE"""),17.02)</f>
        <v>17.02</v>
      </c>
      <c r="E710" s="1">
        <f>IFERROR(__xludf.DUMMYFUNCTION("""COMPUTED_VALUE"""),17.31)</f>
        <v>17.31</v>
      </c>
      <c r="F710" s="1">
        <f>IFERROR(__xludf.DUMMYFUNCTION("""COMPUTED_VALUE"""),1226199.0)</f>
        <v>1226199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IFERROR(__xludf.DUMMYFUNCTION("""COMPUTED_VALUE"""),17.39)</f>
        <v>17.39</v>
      </c>
      <c r="C711" s="1">
        <f>IFERROR(__xludf.DUMMYFUNCTION("""COMPUTED_VALUE"""),17.47)</f>
        <v>17.47</v>
      </c>
      <c r="D711" s="1">
        <f>IFERROR(__xludf.DUMMYFUNCTION("""COMPUTED_VALUE"""),17.25)</f>
        <v>17.25</v>
      </c>
      <c r="E711" s="1">
        <f>IFERROR(__xludf.DUMMYFUNCTION("""COMPUTED_VALUE"""),17.34)</f>
        <v>17.34</v>
      </c>
      <c r="F711" s="1">
        <f>IFERROR(__xludf.DUMMYFUNCTION("""COMPUTED_VALUE"""),1414503.0)</f>
        <v>1414503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IFERROR(__xludf.DUMMYFUNCTION("""COMPUTED_VALUE"""),17.33)</f>
        <v>17.33</v>
      </c>
      <c r="C712" s="1">
        <f>IFERROR(__xludf.DUMMYFUNCTION("""COMPUTED_VALUE"""),17.42)</f>
        <v>17.42</v>
      </c>
      <c r="D712" s="1">
        <f>IFERROR(__xludf.DUMMYFUNCTION("""COMPUTED_VALUE"""),16.81)</f>
        <v>16.81</v>
      </c>
      <c r="E712" s="1">
        <f>IFERROR(__xludf.DUMMYFUNCTION("""COMPUTED_VALUE"""),17.06)</f>
        <v>17.06</v>
      </c>
      <c r="F712" s="1">
        <f>IFERROR(__xludf.DUMMYFUNCTION("""COMPUTED_VALUE"""),1999425.0)</f>
        <v>1999425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IFERROR(__xludf.DUMMYFUNCTION("""COMPUTED_VALUE"""),16.95)</f>
        <v>16.95</v>
      </c>
      <c r="C713" s="1">
        <f>IFERROR(__xludf.DUMMYFUNCTION("""COMPUTED_VALUE"""),17.27)</f>
        <v>17.27</v>
      </c>
      <c r="D713" s="1">
        <f>IFERROR(__xludf.DUMMYFUNCTION("""COMPUTED_VALUE"""),16.6)</f>
        <v>16.6</v>
      </c>
      <c r="E713" s="1">
        <f>IFERROR(__xludf.DUMMYFUNCTION("""COMPUTED_VALUE"""),16.69)</f>
        <v>16.69</v>
      </c>
      <c r="F713" s="1">
        <f>IFERROR(__xludf.DUMMYFUNCTION("""COMPUTED_VALUE"""),3096218.0)</f>
        <v>3096218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IFERROR(__xludf.DUMMYFUNCTION("""COMPUTED_VALUE"""),15.95)</f>
        <v>15.95</v>
      </c>
      <c r="C714" s="1">
        <f>IFERROR(__xludf.DUMMYFUNCTION("""COMPUTED_VALUE"""),17.29)</f>
        <v>17.29</v>
      </c>
      <c r="D714" s="1">
        <f>IFERROR(__xludf.DUMMYFUNCTION("""COMPUTED_VALUE"""),15.45)</f>
        <v>15.45</v>
      </c>
      <c r="E714" s="1">
        <f>IFERROR(__xludf.DUMMYFUNCTION("""COMPUTED_VALUE"""),16.86)</f>
        <v>16.86</v>
      </c>
      <c r="F714" s="1">
        <f>IFERROR(__xludf.DUMMYFUNCTION("""COMPUTED_VALUE"""),6077590.0)</f>
        <v>6077590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IFERROR(__xludf.DUMMYFUNCTION("""COMPUTED_VALUE"""),16.86)</f>
        <v>16.86</v>
      </c>
      <c r="C715" s="1">
        <f>IFERROR(__xludf.DUMMYFUNCTION("""COMPUTED_VALUE"""),17.18)</f>
        <v>17.18</v>
      </c>
      <c r="D715" s="1">
        <f>IFERROR(__xludf.DUMMYFUNCTION("""COMPUTED_VALUE"""),16.47)</f>
        <v>16.47</v>
      </c>
      <c r="E715" s="1">
        <f>IFERROR(__xludf.DUMMYFUNCTION("""COMPUTED_VALUE"""),16.7)</f>
        <v>16.7</v>
      </c>
      <c r="F715" s="1">
        <f>IFERROR(__xludf.DUMMYFUNCTION("""COMPUTED_VALUE"""),2222027.0)</f>
        <v>2222027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IFERROR(__xludf.DUMMYFUNCTION("""COMPUTED_VALUE"""),17.0)</f>
        <v>17</v>
      </c>
      <c r="C716" s="1">
        <f>IFERROR(__xludf.DUMMYFUNCTION("""COMPUTED_VALUE"""),17.09)</f>
        <v>17.09</v>
      </c>
      <c r="D716" s="1">
        <f>IFERROR(__xludf.DUMMYFUNCTION("""COMPUTED_VALUE"""),16.35)</f>
        <v>16.35</v>
      </c>
      <c r="E716" s="1">
        <f>IFERROR(__xludf.DUMMYFUNCTION("""COMPUTED_VALUE"""),16.65)</f>
        <v>16.65</v>
      </c>
      <c r="F716" s="1">
        <f>IFERROR(__xludf.DUMMYFUNCTION("""COMPUTED_VALUE"""),3172638.0)</f>
        <v>3172638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IFERROR(__xludf.DUMMYFUNCTION("""COMPUTED_VALUE"""),16.95)</f>
        <v>16.95</v>
      </c>
      <c r="C717" s="1">
        <f>IFERROR(__xludf.DUMMYFUNCTION("""COMPUTED_VALUE"""),16.98)</f>
        <v>16.98</v>
      </c>
      <c r="D717" s="1">
        <f>IFERROR(__xludf.DUMMYFUNCTION("""COMPUTED_VALUE"""),16.4)</f>
        <v>16.4</v>
      </c>
      <c r="E717" s="1">
        <f>IFERROR(__xludf.DUMMYFUNCTION("""COMPUTED_VALUE"""),16.55)</f>
        <v>16.55</v>
      </c>
      <c r="F717" s="1">
        <f>IFERROR(__xludf.DUMMYFUNCTION("""COMPUTED_VALUE"""),2819762.0)</f>
        <v>2819762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IFERROR(__xludf.DUMMYFUNCTION("""COMPUTED_VALUE"""),16.73)</f>
        <v>16.73</v>
      </c>
      <c r="C718" s="1">
        <f>IFERROR(__xludf.DUMMYFUNCTION("""COMPUTED_VALUE"""),17.16)</f>
        <v>17.16</v>
      </c>
      <c r="D718" s="1">
        <f>IFERROR(__xludf.DUMMYFUNCTION("""COMPUTED_VALUE"""),16.56)</f>
        <v>16.56</v>
      </c>
      <c r="E718" s="1">
        <f>IFERROR(__xludf.DUMMYFUNCTION("""COMPUTED_VALUE"""),17.11)</f>
        <v>17.11</v>
      </c>
      <c r="F718" s="1">
        <f>IFERROR(__xludf.DUMMYFUNCTION("""COMPUTED_VALUE"""),2521688.0)</f>
        <v>2521688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IFERROR(__xludf.DUMMYFUNCTION("""COMPUTED_VALUE"""),16.95)</f>
        <v>16.95</v>
      </c>
      <c r="C719" s="1">
        <f>IFERROR(__xludf.DUMMYFUNCTION("""COMPUTED_VALUE"""),17.15)</f>
        <v>17.15</v>
      </c>
      <c r="D719" s="1">
        <f>IFERROR(__xludf.DUMMYFUNCTION("""COMPUTED_VALUE"""),16.61)</f>
        <v>16.61</v>
      </c>
      <c r="E719" s="1">
        <f>IFERROR(__xludf.DUMMYFUNCTION("""COMPUTED_VALUE"""),17.07)</f>
        <v>17.07</v>
      </c>
      <c r="F719" s="1">
        <f>IFERROR(__xludf.DUMMYFUNCTION("""COMPUTED_VALUE"""),2122475.0)</f>
        <v>2122475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IFERROR(__xludf.DUMMYFUNCTION("""COMPUTED_VALUE"""),16.77)</f>
        <v>16.77</v>
      </c>
      <c r="C720" s="1">
        <f>IFERROR(__xludf.DUMMYFUNCTION("""COMPUTED_VALUE"""),17.16)</f>
        <v>17.16</v>
      </c>
      <c r="D720" s="1">
        <f>IFERROR(__xludf.DUMMYFUNCTION("""COMPUTED_VALUE"""),16.7)</f>
        <v>16.7</v>
      </c>
      <c r="E720" s="1">
        <f>IFERROR(__xludf.DUMMYFUNCTION("""COMPUTED_VALUE"""),16.86)</f>
        <v>16.86</v>
      </c>
      <c r="F720" s="1">
        <f>IFERROR(__xludf.DUMMYFUNCTION("""COMPUTED_VALUE"""),949259.0)</f>
        <v>949259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IFERROR(__xludf.DUMMYFUNCTION("""COMPUTED_VALUE"""),16.76)</f>
        <v>16.76</v>
      </c>
      <c r="C721" s="1">
        <f>IFERROR(__xludf.DUMMYFUNCTION("""COMPUTED_VALUE"""),17.19)</f>
        <v>17.19</v>
      </c>
      <c r="D721" s="1">
        <f>IFERROR(__xludf.DUMMYFUNCTION("""COMPUTED_VALUE"""),16.72)</f>
        <v>16.72</v>
      </c>
      <c r="E721" s="1">
        <f>IFERROR(__xludf.DUMMYFUNCTION("""COMPUTED_VALUE"""),17.06)</f>
        <v>17.06</v>
      </c>
      <c r="F721" s="1">
        <f>IFERROR(__xludf.DUMMYFUNCTION("""COMPUTED_VALUE"""),1085859.0)</f>
        <v>1085859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IFERROR(__xludf.DUMMYFUNCTION("""COMPUTED_VALUE"""),17.25)</f>
        <v>17.25</v>
      </c>
      <c r="C722" s="1">
        <f>IFERROR(__xludf.DUMMYFUNCTION("""COMPUTED_VALUE"""),18.07)</f>
        <v>18.07</v>
      </c>
      <c r="D722" s="1">
        <f>IFERROR(__xludf.DUMMYFUNCTION("""COMPUTED_VALUE"""),17.22)</f>
        <v>17.22</v>
      </c>
      <c r="E722" s="1">
        <f>IFERROR(__xludf.DUMMYFUNCTION("""COMPUTED_VALUE"""),18.0)</f>
        <v>18</v>
      </c>
      <c r="F722" s="1">
        <f>IFERROR(__xludf.DUMMYFUNCTION("""COMPUTED_VALUE"""),2914426.0)</f>
        <v>2914426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IFERROR(__xludf.DUMMYFUNCTION("""COMPUTED_VALUE"""),17.7)</f>
        <v>17.7</v>
      </c>
      <c r="C723" s="1">
        <f>IFERROR(__xludf.DUMMYFUNCTION("""COMPUTED_VALUE"""),17.98)</f>
        <v>17.98</v>
      </c>
      <c r="D723" s="1">
        <f>IFERROR(__xludf.DUMMYFUNCTION("""COMPUTED_VALUE"""),17.7)</f>
        <v>17.7</v>
      </c>
      <c r="E723" s="1">
        <f>IFERROR(__xludf.DUMMYFUNCTION("""COMPUTED_VALUE"""),17.89)</f>
        <v>17.89</v>
      </c>
      <c r="F723" s="1">
        <f>IFERROR(__xludf.DUMMYFUNCTION("""COMPUTED_VALUE"""),1826915.0)</f>
        <v>1826915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IFERROR(__xludf.DUMMYFUNCTION("""COMPUTED_VALUE"""),17.75)</f>
        <v>17.75</v>
      </c>
      <c r="C724" s="1">
        <f>IFERROR(__xludf.DUMMYFUNCTION("""COMPUTED_VALUE"""),18.6)</f>
        <v>18.6</v>
      </c>
      <c r="D724" s="1">
        <f>IFERROR(__xludf.DUMMYFUNCTION("""COMPUTED_VALUE"""),17.75)</f>
        <v>17.75</v>
      </c>
      <c r="E724" s="1">
        <f>IFERROR(__xludf.DUMMYFUNCTION("""COMPUTED_VALUE"""),18.5)</f>
        <v>18.5</v>
      </c>
      <c r="F724" s="1">
        <f>IFERROR(__xludf.DUMMYFUNCTION("""COMPUTED_VALUE"""),2671053.0)</f>
        <v>2671053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IFERROR(__xludf.DUMMYFUNCTION("""COMPUTED_VALUE"""),18.31)</f>
        <v>18.31</v>
      </c>
      <c r="C725" s="1">
        <f>IFERROR(__xludf.DUMMYFUNCTION("""COMPUTED_VALUE"""),19.41)</f>
        <v>19.41</v>
      </c>
      <c r="D725" s="1">
        <f>IFERROR(__xludf.DUMMYFUNCTION("""COMPUTED_VALUE"""),18.3)</f>
        <v>18.3</v>
      </c>
      <c r="E725" s="1">
        <f>IFERROR(__xludf.DUMMYFUNCTION("""COMPUTED_VALUE"""),19.31)</f>
        <v>19.31</v>
      </c>
      <c r="F725" s="1">
        <f>IFERROR(__xludf.DUMMYFUNCTION("""COMPUTED_VALUE"""),5129115.0)</f>
        <v>5129115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IFERROR(__xludf.DUMMYFUNCTION("""COMPUTED_VALUE"""),19.28)</f>
        <v>19.28</v>
      </c>
      <c r="C726" s="1">
        <f>IFERROR(__xludf.DUMMYFUNCTION("""COMPUTED_VALUE"""),19.5)</f>
        <v>19.5</v>
      </c>
      <c r="D726" s="1">
        <f>IFERROR(__xludf.DUMMYFUNCTION("""COMPUTED_VALUE"""),18.92)</f>
        <v>18.92</v>
      </c>
      <c r="E726" s="1">
        <f>IFERROR(__xludf.DUMMYFUNCTION("""COMPUTED_VALUE"""),19.01)</f>
        <v>19.01</v>
      </c>
      <c r="F726" s="1">
        <f>IFERROR(__xludf.DUMMYFUNCTION("""COMPUTED_VALUE"""),3538744.0)</f>
        <v>3538744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IFERROR(__xludf.DUMMYFUNCTION("""COMPUTED_VALUE"""),19.18)</f>
        <v>19.18</v>
      </c>
      <c r="C727" s="1">
        <f>IFERROR(__xludf.DUMMYFUNCTION("""COMPUTED_VALUE"""),19.25)</f>
        <v>19.25</v>
      </c>
      <c r="D727" s="1">
        <f>IFERROR(__xludf.DUMMYFUNCTION("""COMPUTED_VALUE"""),18.8)</f>
        <v>18.8</v>
      </c>
      <c r="E727" s="1">
        <f>IFERROR(__xludf.DUMMYFUNCTION("""COMPUTED_VALUE"""),19.05)</f>
        <v>19.05</v>
      </c>
      <c r="F727" s="1">
        <f>IFERROR(__xludf.DUMMYFUNCTION("""COMPUTED_VALUE"""),1485683.0)</f>
        <v>1485683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IFERROR(__xludf.DUMMYFUNCTION("""COMPUTED_VALUE"""),19.2)</f>
        <v>19.2</v>
      </c>
      <c r="C728" s="1">
        <f>IFERROR(__xludf.DUMMYFUNCTION("""COMPUTED_VALUE"""),19.54)</f>
        <v>19.54</v>
      </c>
      <c r="D728" s="1">
        <f>IFERROR(__xludf.DUMMYFUNCTION("""COMPUTED_VALUE"""),18.91)</f>
        <v>18.91</v>
      </c>
      <c r="E728" s="1">
        <f>IFERROR(__xludf.DUMMYFUNCTION("""COMPUTED_VALUE"""),19.53)</f>
        <v>19.53</v>
      </c>
      <c r="F728" s="1">
        <f>IFERROR(__xludf.DUMMYFUNCTION("""COMPUTED_VALUE"""),2031079.0)</f>
        <v>2031079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IFERROR(__xludf.DUMMYFUNCTION("""COMPUTED_VALUE"""),19.46)</f>
        <v>19.46</v>
      </c>
      <c r="C729" s="1">
        <f>IFERROR(__xludf.DUMMYFUNCTION("""COMPUTED_VALUE"""),19.68)</f>
        <v>19.68</v>
      </c>
      <c r="D729" s="1">
        <f>IFERROR(__xludf.DUMMYFUNCTION("""COMPUTED_VALUE"""),19.08)</f>
        <v>19.08</v>
      </c>
      <c r="E729" s="1">
        <f>IFERROR(__xludf.DUMMYFUNCTION("""COMPUTED_VALUE"""),19.19)</f>
        <v>19.19</v>
      </c>
      <c r="F729" s="1">
        <f>IFERROR(__xludf.DUMMYFUNCTION("""COMPUTED_VALUE"""),2216793.0)</f>
        <v>2216793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IFERROR(__xludf.DUMMYFUNCTION("""COMPUTED_VALUE"""),19.42)</f>
        <v>19.42</v>
      </c>
      <c r="C730" s="1">
        <f>IFERROR(__xludf.DUMMYFUNCTION("""COMPUTED_VALUE"""),19.42)</f>
        <v>19.42</v>
      </c>
      <c r="D730" s="1">
        <f>IFERROR(__xludf.DUMMYFUNCTION("""COMPUTED_VALUE"""),19.07)</f>
        <v>19.07</v>
      </c>
      <c r="E730" s="1">
        <f>IFERROR(__xludf.DUMMYFUNCTION("""COMPUTED_VALUE"""),19.17)</f>
        <v>19.17</v>
      </c>
      <c r="F730" s="1">
        <f>IFERROR(__xludf.DUMMYFUNCTION("""COMPUTED_VALUE"""),399305.0)</f>
        <v>399305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IFERROR(__xludf.DUMMYFUNCTION("""COMPUTED_VALUE"""),19.4)</f>
        <v>19.4</v>
      </c>
      <c r="C731" s="1">
        <f>IFERROR(__xludf.DUMMYFUNCTION("""COMPUTED_VALUE"""),19.4)</f>
        <v>19.4</v>
      </c>
      <c r="D731" s="1">
        <f>IFERROR(__xludf.DUMMYFUNCTION("""COMPUTED_VALUE"""),18.8)</f>
        <v>18.8</v>
      </c>
      <c r="E731" s="1">
        <f>IFERROR(__xludf.DUMMYFUNCTION("""COMPUTED_VALUE"""),19.03)</f>
        <v>19.03</v>
      </c>
      <c r="F731" s="1">
        <f>IFERROR(__xludf.DUMMYFUNCTION("""COMPUTED_VALUE"""),1265607.0)</f>
        <v>1265607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IFERROR(__xludf.DUMMYFUNCTION("""COMPUTED_VALUE"""),18.99)</f>
        <v>18.99</v>
      </c>
      <c r="C732" s="1">
        <f>IFERROR(__xludf.DUMMYFUNCTION("""COMPUTED_VALUE"""),19.01)</f>
        <v>19.01</v>
      </c>
      <c r="D732" s="1">
        <f>IFERROR(__xludf.DUMMYFUNCTION("""COMPUTED_VALUE"""),18.58)</f>
        <v>18.58</v>
      </c>
      <c r="E732" s="1">
        <f>IFERROR(__xludf.DUMMYFUNCTION("""COMPUTED_VALUE"""),18.78)</f>
        <v>18.78</v>
      </c>
      <c r="F732" s="1">
        <f>IFERROR(__xludf.DUMMYFUNCTION("""COMPUTED_VALUE"""),1177358.0)</f>
        <v>1177358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IFERROR(__xludf.DUMMYFUNCTION("""COMPUTED_VALUE"""),18.63)</f>
        <v>18.63</v>
      </c>
      <c r="C733" s="1">
        <f>IFERROR(__xludf.DUMMYFUNCTION("""COMPUTED_VALUE"""),19.37)</f>
        <v>19.37</v>
      </c>
      <c r="D733" s="1">
        <f>IFERROR(__xludf.DUMMYFUNCTION("""COMPUTED_VALUE"""),18.6)</f>
        <v>18.6</v>
      </c>
      <c r="E733" s="1">
        <f>IFERROR(__xludf.DUMMYFUNCTION("""COMPUTED_VALUE"""),19.36)</f>
        <v>19.36</v>
      </c>
      <c r="F733" s="1">
        <f>IFERROR(__xludf.DUMMYFUNCTION("""COMPUTED_VALUE"""),1525843.0)</f>
        <v>1525843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IFERROR(__xludf.DUMMYFUNCTION("""COMPUTED_VALUE"""),19.14)</f>
        <v>19.14</v>
      </c>
      <c r="C734" s="1">
        <f>IFERROR(__xludf.DUMMYFUNCTION("""COMPUTED_VALUE"""),20.99)</f>
        <v>20.99</v>
      </c>
      <c r="D734" s="1">
        <f>IFERROR(__xludf.DUMMYFUNCTION("""COMPUTED_VALUE"""),19.14)</f>
        <v>19.14</v>
      </c>
      <c r="E734" s="1">
        <f>IFERROR(__xludf.DUMMYFUNCTION("""COMPUTED_VALUE"""),20.96)</f>
        <v>20.96</v>
      </c>
      <c r="F734" s="1">
        <f>IFERROR(__xludf.DUMMYFUNCTION("""COMPUTED_VALUE"""),4233644.0)</f>
        <v>4233644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IFERROR(__xludf.DUMMYFUNCTION("""COMPUTED_VALUE"""),20.85)</f>
        <v>20.85</v>
      </c>
      <c r="C735" s="1">
        <f>IFERROR(__xludf.DUMMYFUNCTION("""COMPUTED_VALUE"""),20.85)</f>
        <v>20.85</v>
      </c>
      <c r="D735" s="1">
        <f>IFERROR(__xludf.DUMMYFUNCTION("""COMPUTED_VALUE"""),19.9)</f>
        <v>19.9</v>
      </c>
      <c r="E735" s="1">
        <f>IFERROR(__xludf.DUMMYFUNCTION("""COMPUTED_VALUE"""),20.16)</f>
        <v>20.16</v>
      </c>
      <c r="F735" s="1">
        <f>IFERROR(__xludf.DUMMYFUNCTION("""COMPUTED_VALUE"""),3606663.0)</f>
        <v>3606663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IFERROR(__xludf.DUMMYFUNCTION("""COMPUTED_VALUE"""),20.0)</f>
        <v>20</v>
      </c>
      <c r="C736" s="1">
        <f>IFERROR(__xludf.DUMMYFUNCTION("""COMPUTED_VALUE"""),20.27)</f>
        <v>20.27</v>
      </c>
      <c r="D736" s="1">
        <f>IFERROR(__xludf.DUMMYFUNCTION("""COMPUTED_VALUE"""),19.99)</f>
        <v>19.99</v>
      </c>
      <c r="E736" s="1">
        <f>IFERROR(__xludf.DUMMYFUNCTION("""COMPUTED_VALUE"""),20.25)</f>
        <v>20.25</v>
      </c>
      <c r="F736" s="1">
        <f>IFERROR(__xludf.DUMMYFUNCTION("""COMPUTED_VALUE"""),2900793.0)</f>
        <v>2900793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IFERROR(__xludf.DUMMYFUNCTION("""COMPUTED_VALUE"""),20.2)</f>
        <v>20.2</v>
      </c>
      <c r="C737" s="1">
        <f>IFERROR(__xludf.DUMMYFUNCTION("""COMPUTED_VALUE"""),20.25)</f>
        <v>20.25</v>
      </c>
      <c r="D737" s="1">
        <f>IFERROR(__xludf.DUMMYFUNCTION("""COMPUTED_VALUE"""),17.78)</f>
        <v>17.78</v>
      </c>
      <c r="E737" s="1">
        <f>IFERROR(__xludf.DUMMYFUNCTION("""COMPUTED_VALUE"""),18.08)</f>
        <v>18.08</v>
      </c>
      <c r="F737" s="1">
        <f>IFERROR(__xludf.DUMMYFUNCTION("""COMPUTED_VALUE"""),1.0976134E7)</f>
        <v>10976134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IFERROR(__xludf.DUMMYFUNCTION("""COMPUTED_VALUE"""),18.02)</f>
        <v>18.02</v>
      </c>
      <c r="C738" s="1">
        <f>IFERROR(__xludf.DUMMYFUNCTION("""COMPUTED_VALUE"""),18.14)</f>
        <v>18.14</v>
      </c>
      <c r="D738" s="1">
        <f>IFERROR(__xludf.DUMMYFUNCTION("""COMPUTED_VALUE"""),16.38)</f>
        <v>16.38</v>
      </c>
      <c r="E738" s="1">
        <f>IFERROR(__xludf.DUMMYFUNCTION("""COMPUTED_VALUE"""),16.41)</f>
        <v>16.41</v>
      </c>
      <c r="F738" s="1">
        <f>IFERROR(__xludf.DUMMYFUNCTION("""COMPUTED_VALUE"""),6638606.0)</f>
        <v>6638606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IFERROR(__xludf.DUMMYFUNCTION("""COMPUTED_VALUE"""),17.42)</f>
        <v>17.42</v>
      </c>
      <c r="C739" s="1">
        <f>IFERROR(__xludf.DUMMYFUNCTION("""COMPUTED_VALUE"""),17.95)</f>
        <v>17.95</v>
      </c>
      <c r="D739" s="1">
        <f>IFERROR(__xludf.DUMMYFUNCTION("""COMPUTED_VALUE"""),17.14)</f>
        <v>17.14</v>
      </c>
      <c r="E739" s="1">
        <f>IFERROR(__xludf.DUMMYFUNCTION("""COMPUTED_VALUE"""),17.39)</f>
        <v>17.39</v>
      </c>
      <c r="F739" s="1">
        <f>IFERROR(__xludf.DUMMYFUNCTION("""COMPUTED_VALUE"""),4509288.0)</f>
        <v>4509288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IFERROR(__xludf.DUMMYFUNCTION("""COMPUTED_VALUE"""),17.67)</f>
        <v>17.67</v>
      </c>
      <c r="C740" s="1">
        <f>IFERROR(__xludf.DUMMYFUNCTION("""COMPUTED_VALUE"""),17.85)</f>
        <v>17.85</v>
      </c>
      <c r="D740" s="1">
        <f>IFERROR(__xludf.DUMMYFUNCTION("""COMPUTED_VALUE"""),17.33)</f>
        <v>17.33</v>
      </c>
      <c r="E740" s="1">
        <f>IFERROR(__xludf.DUMMYFUNCTION("""COMPUTED_VALUE"""),17.56)</f>
        <v>17.56</v>
      </c>
      <c r="F740" s="1">
        <f>IFERROR(__xludf.DUMMYFUNCTION("""COMPUTED_VALUE"""),1539342.0)</f>
        <v>1539342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IFERROR(__xludf.DUMMYFUNCTION("""COMPUTED_VALUE"""),17.3)</f>
        <v>17.3</v>
      </c>
      <c r="C741" s="1">
        <f>IFERROR(__xludf.DUMMYFUNCTION("""COMPUTED_VALUE"""),18.56)</f>
        <v>18.56</v>
      </c>
      <c r="D741" s="1">
        <f>IFERROR(__xludf.DUMMYFUNCTION("""COMPUTED_VALUE"""),17.24)</f>
        <v>17.24</v>
      </c>
      <c r="E741" s="1">
        <f>IFERROR(__xludf.DUMMYFUNCTION("""COMPUTED_VALUE"""),18.51)</f>
        <v>18.51</v>
      </c>
      <c r="F741" s="1">
        <f>IFERROR(__xludf.DUMMYFUNCTION("""COMPUTED_VALUE"""),2448835.0)</f>
        <v>2448835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IFERROR(__xludf.DUMMYFUNCTION("""COMPUTED_VALUE"""),18.27)</f>
        <v>18.27</v>
      </c>
      <c r="C742" s="1">
        <f>IFERROR(__xludf.DUMMYFUNCTION("""COMPUTED_VALUE"""),18.64)</f>
        <v>18.64</v>
      </c>
      <c r="D742" s="1">
        <f>IFERROR(__xludf.DUMMYFUNCTION("""COMPUTED_VALUE"""),18.25)</f>
        <v>18.25</v>
      </c>
      <c r="E742" s="1">
        <f>IFERROR(__xludf.DUMMYFUNCTION("""COMPUTED_VALUE"""),18.49)</f>
        <v>18.49</v>
      </c>
      <c r="F742" s="1">
        <f>IFERROR(__xludf.DUMMYFUNCTION("""COMPUTED_VALUE"""),2804208.0)</f>
        <v>2804208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IFERROR(__xludf.DUMMYFUNCTION("""COMPUTED_VALUE"""),18.59)</f>
        <v>18.59</v>
      </c>
      <c r="C743" s="1">
        <f>IFERROR(__xludf.DUMMYFUNCTION("""COMPUTED_VALUE"""),19.25)</f>
        <v>19.25</v>
      </c>
      <c r="D743" s="1">
        <f>IFERROR(__xludf.DUMMYFUNCTION("""COMPUTED_VALUE"""),18.5)</f>
        <v>18.5</v>
      </c>
      <c r="E743" s="1">
        <f>IFERROR(__xludf.DUMMYFUNCTION("""COMPUTED_VALUE"""),19.24)</f>
        <v>19.24</v>
      </c>
      <c r="F743" s="1">
        <f>IFERROR(__xludf.DUMMYFUNCTION("""COMPUTED_VALUE"""),2075008.0)</f>
        <v>2075008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IFERROR(__xludf.DUMMYFUNCTION("""COMPUTED_VALUE"""),19.39)</f>
        <v>19.39</v>
      </c>
      <c r="C744" s="1">
        <f>IFERROR(__xludf.DUMMYFUNCTION("""COMPUTED_VALUE"""),19.88)</f>
        <v>19.88</v>
      </c>
      <c r="D744" s="1">
        <f>IFERROR(__xludf.DUMMYFUNCTION("""COMPUTED_VALUE"""),19.24)</f>
        <v>19.24</v>
      </c>
      <c r="E744" s="1">
        <f>IFERROR(__xludf.DUMMYFUNCTION("""COMPUTED_VALUE"""),19.69)</f>
        <v>19.69</v>
      </c>
      <c r="F744" s="1">
        <f>IFERROR(__xludf.DUMMYFUNCTION("""COMPUTED_VALUE"""),2250056.0)</f>
        <v>2250056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IFERROR(__xludf.DUMMYFUNCTION("""COMPUTED_VALUE"""),19.35)</f>
        <v>19.35</v>
      </c>
      <c r="C745" s="1">
        <f>IFERROR(__xludf.DUMMYFUNCTION("""COMPUTED_VALUE"""),19.86)</f>
        <v>19.86</v>
      </c>
      <c r="D745" s="1">
        <f>IFERROR(__xludf.DUMMYFUNCTION("""COMPUTED_VALUE"""),19.15)</f>
        <v>19.15</v>
      </c>
      <c r="E745" s="1">
        <f>IFERROR(__xludf.DUMMYFUNCTION("""COMPUTED_VALUE"""),19.76)</f>
        <v>19.76</v>
      </c>
      <c r="F745" s="1">
        <f>IFERROR(__xludf.DUMMYFUNCTION("""COMPUTED_VALUE"""),2500389.0)</f>
        <v>2500389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IFERROR(__xludf.DUMMYFUNCTION("""COMPUTED_VALUE"""),19.7)</f>
        <v>19.7</v>
      </c>
      <c r="C746" s="1">
        <f>IFERROR(__xludf.DUMMYFUNCTION("""COMPUTED_VALUE"""),20.55)</f>
        <v>20.55</v>
      </c>
      <c r="D746" s="1">
        <f>IFERROR(__xludf.DUMMYFUNCTION("""COMPUTED_VALUE"""),19.59)</f>
        <v>19.59</v>
      </c>
      <c r="E746" s="1">
        <f>IFERROR(__xludf.DUMMYFUNCTION("""COMPUTED_VALUE"""),19.99)</f>
        <v>19.99</v>
      </c>
      <c r="F746" s="1">
        <f>IFERROR(__xludf.DUMMYFUNCTION("""COMPUTED_VALUE"""),4768149.0)</f>
        <v>4768149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IFERROR(__xludf.DUMMYFUNCTION("""COMPUTED_VALUE"""),20.1)</f>
        <v>20.1</v>
      </c>
      <c r="C747" s="1">
        <f>IFERROR(__xludf.DUMMYFUNCTION("""COMPUTED_VALUE"""),20.22)</f>
        <v>20.22</v>
      </c>
      <c r="D747" s="1">
        <f>IFERROR(__xludf.DUMMYFUNCTION("""COMPUTED_VALUE"""),19.75)</f>
        <v>19.75</v>
      </c>
      <c r="E747" s="1">
        <f>IFERROR(__xludf.DUMMYFUNCTION("""COMPUTED_VALUE"""),20.14)</f>
        <v>20.14</v>
      </c>
      <c r="F747" s="1">
        <f>IFERROR(__xludf.DUMMYFUNCTION("""COMPUTED_VALUE"""),3458657.0)</f>
        <v>3458657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IFERROR(__xludf.DUMMYFUNCTION("""COMPUTED_VALUE"""),20.03)</f>
        <v>20.03</v>
      </c>
      <c r="C748" s="1">
        <f>IFERROR(__xludf.DUMMYFUNCTION("""COMPUTED_VALUE"""),20.38)</f>
        <v>20.38</v>
      </c>
      <c r="D748" s="1">
        <f>IFERROR(__xludf.DUMMYFUNCTION("""COMPUTED_VALUE"""),20.03)</f>
        <v>20.03</v>
      </c>
      <c r="E748" s="1">
        <f>IFERROR(__xludf.DUMMYFUNCTION("""COMPUTED_VALUE"""),20.26)</f>
        <v>20.26</v>
      </c>
      <c r="F748" s="1">
        <f>IFERROR(__xludf.DUMMYFUNCTION("""COMPUTED_VALUE"""),3281146.0)</f>
        <v>3281146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IFERROR(__xludf.DUMMYFUNCTION("""COMPUTED_VALUE"""),20.19)</f>
        <v>20.19</v>
      </c>
      <c r="C749" s="1">
        <f>IFERROR(__xludf.DUMMYFUNCTION("""COMPUTED_VALUE"""),20.3)</f>
        <v>20.3</v>
      </c>
      <c r="D749" s="1">
        <f>IFERROR(__xludf.DUMMYFUNCTION("""COMPUTED_VALUE"""),19.8)</f>
        <v>19.8</v>
      </c>
      <c r="E749" s="1">
        <f>IFERROR(__xludf.DUMMYFUNCTION("""COMPUTED_VALUE"""),19.99)</f>
        <v>19.99</v>
      </c>
      <c r="F749" s="1">
        <f>IFERROR(__xludf.DUMMYFUNCTION("""COMPUTED_VALUE"""),1682989.0)</f>
        <v>1682989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IFERROR(__xludf.DUMMYFUNCTION("""COMPUTED_VALUE"""),19.94)</f>
        <v>19.94</v>
      </c>
      <c r="C750" s="1">
        <f>IFERROR(__xludf.DUMMYFUNCTION("""COMPUTED_VALUE"""),19.97)</f>
        <v>19.97</v>
      </c>
      <c r="D750" s="1">
        <f>IFERROR(__xludf.DUMMYFUNCTION("""COMPUTED_VALUE"""),19.56)</f>
        <v>19.56</v>
      </c>
      <c r="E750" s="1">
        <f>IFERROR(__xludf.DUMMYFUNCTION("""COMPUTED_VALUE"""),19.79)</f>
        <v>19.79</v>
      </c>
      <c r="F750" s="1">
        <f>IFERROR(__xludf.DUMMYFUNCTION("""COMPUTED_VALUE"""),1821447.0)</f>
        <v>1821447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IFERROR(__xludf.DUMMYFUNCTION("""COMPUTED_VALUE"""),19.93)</f>
        <v>19.93</v>
      </c>
      <c r="C751" s="1">
        <f>IFERROR(__xludf.DUMMYFUNCTION("""COMPUTED_VALUE"""),19.93)</f>
        <v>19.93</v>
      </c>
      <c r="D751" s="1">
        <f>IFERROR(__xludf.DUMMYFUNCTION("""COMPUTED_VALUE"""),19.01)</f>
        <v>19.01</v>
      </c>
      <c r="E751" s="1">
        <f>IFERROR(__xludf.DUMMYFUNCTION("""COMPUTED_VALUE"""),19.38)</f>
        <v>19.38</v>
      </c>
      <c r="F751" s="1">
        <f>IFERROR(__xludf.DUMMYFUNCTION("""COMPUTED_VALUE"""),652628.0)</f>
        <v>652628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IFERROR(__xludf.DUMMYFUNCTION("""COMPUTED_VALUE"""),19.59)</f>
        <v>19.59</v>
      </c>
      <c r="C752" s="1">
        <f>IFERROR(__xludf.DUMMYFUNCTION("""COMPUTED_VALUE"""),19.72)</f>
        <v>19.72</v>
      </c>
      <c r="D752" s="1">
        <f>IFERROR(__xludf.DUMMYFUNCTION("""COMPUTED_VALUE"""),19.39)</f>
        <v>19.39</v>
      </c>
      <c r="E752" s="1">
        <f>IFERROR(__xludf.DUMMYFUNCTION("""COMPUTED_VALUE"""),19.49)</f>
        <v>19.49</v>
      </c>
      <c r="F752" s="1">
        <f>IFERROR(__xludf.DUMMYFUNCTION("""COMPUTED_VALUE"""),774043.0)</f>
        <v>774043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IFERROR(__xludf.DUMMYFUNCTION("""COMPUTED_VALUE"""),19.67)</f>
        <v>19.67</v>
      </c>
      <c r="C753" s="1">
        <f>IFERROR(__xludf.DUMMYFUNCTION("""COMPUTED_VALUE"""),19.67)</f>
        <v>19.67</v>
      </c>
      <c r="D753" s="1">
        <f>IFERROR(__xludf.DUMMYFUNCTION("""COMPUTED_VALUE"""),19.18)</f>
        <v>19.18</v>
      </c>
      <c r="E753" s="1">
        <f>IFERROR(__xludf.DUMMYFUNCTION("""COMPUTED_VALUE"""),19.29)</f>
        <v>19.29</v>
      </c>
      <c r="F753" s="1">
        <f>IFERROR(__xludf.DUMMYFUNCTION("""COMPUTED_VALUE"""),788788.0)</f>
        <v>788788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IFERROR(__xludf.DUMMYFUNCTION("""COMPUTED_VALUE"""),19.37)</f>
        <v>19.37</v>
      </c>
      <c r="C754" s="1">
        <f>IFERROR(__xludf.DUMMYFUNCTION("""COMPUTED_VALUE"""),19.38)</f>
        <v>19.38</v>
      </c>
      <c r="D754" s="1">
        <f>IFERROR(__xludf.DUMMYFUNCTION("""COMPUTED_VALUE"""),19.0)</f>
        <v>19</v>
      </c>
      <c r="E754" s="1">
        <f>IFERROR(__xludf.DUMMYFUNCTION("""COMPUTED_VALUE"""),19.13)</f>
        <v>19.13</v>
      </c>
      <c r="F754" s="1">
        <f>IFERROR(__xludf.DUMMYFUNCTION("""COMPUTED_VALUE"""),821062.0)</f>
        <v>821062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IFERROR(__xludf.DUMMYFUNCTION("""COMPUTED_VALUE"""),19.26)</f>
        <v>19.26</v>
      </c>
      <c r="C755" s="1">
        <f>IFERROR(__xludf.DUMMYFUNCTION("""COMPUTED_VALUE"""),19.5)</f>
        <v>19.5</v>
      </c>
      <c r="D755" s="1">
        <f>IFERROR(__xludf.DUMMYFUNCTION("""COMPUTED_VALUE"""),19.1)</f>
        <v>19.1</v>
      </c>
      <c r="E755" s="1">
        <f>IFERROR(__xludf.DUMMYFUNCTION("""COMPUTED_VALUE"""),19.43)</f>
        <v>19.43</v>
      </c>
      <c r="F755" s="1">
        <f>IFERROR(__xludf.DUMMYFUNCTION("""COMPUTED_VALUE"""),931466.0)</f>
        <v>931466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IFERROR(__xludf.DUMMYFUNCTION("""COMPUTED_VALUE"""),19.66)</f>
        <v>19.66</v>
      </c>
      <c r="C756" s="1">
        <f>IFERROR(__xludf.DUMMYFUNCTION("""COMPUTED_VALUE"""),20.18)</f>
        <v>20.18</v>
      </c>
      <c r="D756" s="1">
        <f>IFERROR(__xludf.DUMMYFUNCTION("""COMPUTED_VALUE"""),19.63)</f>
        <v>19.63</v>
      </c>
      <c r="E756" s="1">
        <f>IFERROR(__xludf.DUMMYFUNCTION("""COMPUTED_VALUE"""),20.0)</f>
        <v>20</v>
      </c>
      <c r="F756" s="1">
        <f>IFERROR(__xludf.DUMMYFUNCTION("""COMPUTED_VALUE"""),1315889.0)</f>
        <v>1315889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IFERROR(__xludf.DUMMYFUNCTION("""COMPUTED_VALUE"""),20.0)</f>
        <v>20</v>
      </c>
      <c r="C757" s="1">
        <f>IFERROR(__xludf.DUMMYFUNCTION("""COMPUTED_VALUE"""),20.14)</f>
        <v>20.14</v>
      </c>
      <c r="D757" s="1">
        <f>IFERROR(__xludf.DUMMYFUNCTION("""COMPUTED_VALUE"""),19.92)</f>
        <v>19.92</v>
      </c>
      <c r="E757" s="1">
        <f>IFERROR(__xludf.DUMMYFUNCTION("""COMPUTED_VALUE"""),19.99)</f>
        <v>19.99</v>
      </c>
      <c r="F757" s="1">
        <f>IFERROR(__xludf.DUMMYFUNCTION("""COMPUTED_VALUE"""),1451732.0)</f>
        <v>1451732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IFERROR(__xludf.DUMMYFUNCTION("""COMPUTED_VALUE"""),20.0)</f>
        <v>20</v>
      </c>
      <c r="C758" s="1">
        <f>IFERROR(__xludf.DUMMYFUNCTION("""COMPUTED_VALUE"""),20.12)</f>
        <v>20.12</v>
      </c>
      <c r="D758" s="1">
        <f>IFERROR(__xludf.DUMMYFUNCTION("""COMPUTED_VALUE"""),19.88)</f>
        <v>19.88</v>
      </c>
      <c r="E758" s="1">
        <f>IFERROR(__xludf.DUMMYFUNCTION("""COMPUTED_VALUE"""),20.0)</f>
        <v>20</v>
      </c>
      <c r="F758" s="1">
        <f>IFERROR(__xludf.DUMMYFUNCTION("""COMPUTED_VALUE"""),1083879.0)</f>
        <v>1083879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IFERROR(__xludf.DUMMYFUNCTION("""COMPUTED_VALUE"""),19.96)</f>
        <v>19.96</v>
      </c>
      <c r="C759" s="1">
        <f>IFERROR(__xludf.DUMMYFUNCTION("""COMPUTED_VALUE"""),20.0)</f>
        <v>20</v>
      </c>
      <c r="D759" s="1">
        <f>IFERROR(__xludf.DUMMYFUNCTION("""COMPUTED_VALUE"""),19.45)</f>
        <v>19.45</v>
      </c>
      <c r="E759" s="1">
        <f>IFERROR(__xludf.DUMMYFUNCTION("""COMPUTED_VALUE"""),19.5)</f>
        <v>19.5</v>
      </c>
      <c r="F759" s="1">
        <f>IFERROR(__xludf.DUMMYFUNCTION("""COMPUTED_VALUE"""),953818.0)</f>
        <v>953818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IFERROR(__xludf.DUMMYFUNCTION("""COMPUTED_VALUE"""),19.5)</f>
        <v>19.5</v>
      </c>
      <c r="C760" s="1">
        <f>IFERROR(__xludf.DUMMYFUNCTION("""COMPUTED_VALUE"""),19.57)</f>
        <v>19.57</v>
      </c>
      <c r="D760" s="1">
        <f>IFERROR(__xludf.DUMMYFUNCTION("""COMPUTED_VALUE"""),18.73)</f>
        <v>18.73</v>
      </c>
      <c r="E760" s="1">
        <f>IFERROR(__xludf.DUMMYFUNCTION("""COMPUTED_VALUE"""),18.98)</f>
        <v>18.98</v>
      </c>
      <c r="F760" s="1">
        <f>IFERROR(__xludf.DUMMYFUNCTION("""COMPUTED_VALUE"""),1331403.0)</f>
        <v>1331403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IFERROR(__xludf.DUMMYFUNCTION("""COMPUTED_VALUE"""),19.11)</f>
        <v>19.11</v>
      </c>
      <c r="C761" s="1">
        <f>IFERROR(__xludf.DUMMYFUNCTION("""COMPUTED_VALUE"""),19.45)</f>
        <v>19.45</v>
      </c>
      <c r="D761" s="1">
        <f>IFERROR(__xludf.DUMMYFUNCTION("""COMPUTED_VALUE"""),18.88)</f>
        <v>18.88</v>
      </c>
      <c r="E761" s="1">
        <f>IFERROR(__xludf.DUMMYFUNCTION("""COMPUTED_VALUE"""),19.2)</f>
        <v>19.2</v>
      </c>
      <c r="F761" s="1">
        <f>IFERROR(__xludf.DUMMYFUNCTION("""COMPUTED_VALUE"""),1071736.0)</f>
        <v>1071736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IFERROR(__xludf.DUMMYFUNCTION("""COMPUTED_VALUE"""),19.2)</f>
        <v>19.2</v>
      </c>
      <c r="C762" s="1">
        <f>IFERROR(__xludf.DUMMYFUNCTION("""COMPUTED_VALUE"""),19.2)</f>
        <v>19.2</v>
      </c>
      <c r="D762" s="1">
        <f>IFERROR(__xludf.DUMMYFUNCTION("""COMPUTED_VALUE"""),18.59)</f>
        <v>18.59</v>
      </c>
      <c r="E762" s="1">
        <f>IFERROR(__xludf.DUMMYFUNCTION("""COMPUTED_VALUE"""),19.02)</f>
        <v>19.02</v>
      </c>
      <c r="F762" s="1">
        <f>IFERROR(__xludf.DUMMYFUNCTION("""COMPUTED_VALUE"""),1365772.0)</f>
        <v>1365772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IFERROR(__xludf.DUMMYFUNCTION("""COMPUTED_VALUE"""),19.0)</f>
        <v>19</v>
      </c>
      <c r="C763" s="1">
        <f>IFERROR(__xludf.DUMMYFUNCTION("""COMPUTED_VALUE"""),19.0)</f>
        <v>19</v>
      </c>
      <c r="D763" s="1">
        <f>IFERROR(__xludf.DUMMYFUNCTION("""COMPUTED_VALUE"""),18.72)</f>
        <v>18.72</v>
      </c>
      <c r="E763" s="1">
        <f>IFERROR(__xludf.DUMMYFUNCTION("""COMPUTED_VALUE"""),18.85)</f>
        <v>18.85</v>
      </c>
      <c r="F763" s="1">
        <f>IFERROR(__xludf.DUMMYFUNCTION("""COMPUTED_VALUE"""),814052.0)</f>
        <v>814052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IFERROR(__xludf.DUMMYFUNCTION("""COMPUTED_VALUE"""),18.9)</f>
        <v>18.9</v>
      </c>
      <c r="C764" s="1">
        <f>IFERROR(__xludf.DUMMYFUNCTION("""COMPUTED_VALUE"""),19.38)</f>
        <v>19.38</v>
      </c>
      <c r="D764" s="1">
        <f>IFERROR(__xludf.DUMMYFUNCTION("""COMPUTED_VALUE"""),18.86)</f>
        <v>18.86</v>
      </c>
      <c r="E764" s="1">
        <f>IFERROR(__xludf.DUMMYFUNCTION("""COMPUTED_VALUE"""),19.24)</f>
        <v>19.24</v>
      </c>
      <c r="F764" s="1">
        <f>IFERROR(__xludf.DUMMYFUNCTION("""COMPUTED_VALUE"""),855043.0)</f>
        <v>855043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IFERROR(__xludf.DUMMYFUNCTION("""COMPUTED_VALUE"""),19.04)</f>
        <v>19.04</v>
      </c>
      <c r="C765" s="1">
        <f>IFERROR(__xludf.DUMMYFUNCTION("""COMPUTED_VALUE"""),19.82)</f>
        <v>19.82</v>
      </c>
      <c r="D765" s="1">
        <f>IFERROR(__xludf.DUMMYFUNCTION("""COMPUTED_VALUE"""),19.04)</f>
        <v>19.04</v>
      </c>
      <c r="E765" s="1">
        <f>IFERROR(__xludf.DUMMYFUNCTION("""COMPUTED_VALUE"""),19.77)</f>
        <v>19.77</v>
      </c>
      <c r="F765" s="1">
        <f>IFERROR(__xludf.DUMMYFUNCTION("""COMPUTED_VALUE"""),2096930.0)</f>
        <v>2096930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IFERROR(__xludf.DUMMYFUNCTION("""COMPUTED_VALUE"""),19.6)</f>
        <v>19.6</v>
      </c>
      <c r="C766" s="1">
        <f>IFERROR(__xludf.DUMMYFUNCTION("""COMPUTED_VALUE"""),19.72)</f>
        <v>19.72</v>
      </c>
      <c r="D766" s="1">
        <f>IFERROR(__xludf.DUMMYFUNCTION("""COMPUTED_VALUE"""),18.95)</f>
        <v>18.95</v>
      </c>
      <c r="E766" s="1">
        <f>IFERROR(__xludf.DUMMYFUNCTION("""COMPUTED_VALUE"""),19.13)</f>
        <v>19.13</v>
      </c>
      <c r="F766" s="1">
        <f>IFERROR(__xludf.DUMMYFUNCTION("""COMPUTED_VALUE"""),1324944.0)</f>
        <v>1324944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IFERROR(__xludf.DUMMYFUNCTION("""COMPUTED_VALUE"""),19.15)</f>
        <v>19.15</v>
      </c>
      <c r="C767" s="1">
        <f>IFERROR(__xludf.DUMMYFUNCTION("""COMPUTED_VALUE"""),19.16)</f>
        <v>19.16</v>
      </c>
      <c r="D767" s="1">
        <f>IFERROR(__xludf.DUMMYFUNCTION("""COMPUTED_VALUE"""),18.35)</f>
        <v>18.35</v>
      </c>
      <c r="E767" s="1">
        <f>IFERROR(__xludf.DUMMYFUNCTION("""COMPUTED_VALUE"""),18.38)</f>
        <v>18.38</v>
      </c>
      <c r="F767" s="1">
        <f>IFERROR(__xludf.DUMMYFUNCTION("""COMPUTED_VALUE"""),2143355.0)</f>
        <v>2143355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IFERROR(__xludf.DUMMYFUNCTION("""COMPUTED_VALUE"""),18.56)</f>
        <v>18.56</v>
      </c>
      <c r="C768" s="1">
        <f>IFERROR(__xludf.DUMMYFUNCTION("""COMPUTED_VALUE"""),18.65)</f>
        <v>18.65</v>
      </c>
      <c r="D768" s="1">
        <f>IFERROR(__xludf.DUMMYFUNCTION("""COMPUTED_VALUE"""),18.05)</f>
        <v>18.05</v>
      </c>
      <c r="E768" s="1">
        <f>IFERROR(__xludf.DUMMYFUNCTION("""COMPUTED_VALUE"""),18.35)</f>
        <v>18.35</v>
      </c>
      <c r="F768" s="1">
        <f>IFERROR(__xludf.DUMMYFUNCTION("""COMPUTED_VALUE"""),1638354.0)</f>
        <v>1638354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IFERROR(__xludf.DUMMYFUNCTION("""COMPUTED_VALUE"""),18.37)</f>
        <v>18.37</v>
      </c>
      <c r="C769" s="1">
        <f>IFERROR(__xludf.DUMMYFUNCTION("""COMPUTED_VALUE"""),18.37)</f>
        <v>18.37</v>
      </c>
      <c r="D769" s="1">
        <f>IFERROR(__xludf.DUMMYFUNCTION("""COMPUTED_VALUE"""),17.72)</f>
        <v>17.72</v>
      </c>
      <c r="E769" s="1">
        <f>IFERROR(__xludf.DUMMYFUNCTION("""COMPUTED_VALUE"""),18.1)</f>
        <v>18.1</v>
      </c>
      <c r="F769" s="1">
        <f>IFERROR(__xludf.DUMMYFUNCTION("""COMPUTED_VALUE"""),2774866.0)</f>
        <v>2774866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IFERROR(__xludf.DUMMYFUNCTION("""COMPUTED_VALUE"""),18.24)</f>
        <v>18.24</v>
      </c>
      <c r="C770" s="1">
        <f>IFERROR(__xludf.DUMMYFUNCTION("""COMPUTED_VALUE"""),18.24)</f>
        <v>18.24</v>
      </c>
      <c r="D770" s="1">
        <f>IFERROR(__xludf.DUMMYFUNCTION("""COMPUTED_VALUE"""),17.91)</f>
        <v>17.91</v>
      </c>
      <c r="E770" s="1">
        <f>IFERROR(__xludf.DUMMYFUNCTION("""COMPUTED_VALUE"""),17.98)</f>
        <v>17.98</v>
      </c>
      <c r="F770" s="1">
        <f>IFERROR(__xludf.DUMMYFUNCTION("""COMPUTED_VALUE"""),2469328.0)</f>
        <v>2469328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IFERROR(__xludf.DUMMYFUNCTION("""COMPUTED_VALUE"""),18.0)</f>
        <v>18</v>
      </c>
      <c r="C771" s="1">
        <f>IFERROR(__xludf.DUMMYFUNCTION("""COMPUTED_VALUE"""),18.18)</f>
        <v>18.18</v>
      </c>
      <c r="D771" s="1">
        <f>IFERROR(__xludf.DUMMYFUNCTION("""COMPUTED_VALUE"""),17.82)</f>
        <v>17.82</v>
      </c>
      <c r="E771" s="1">
        <f>IFERROR(__xludf.DUMMYFUNCTION("""COMPUTED_VALUE"""),17.99)</f>
        <v>17.99</v>
      </c>
      <c r="F771" s="1">
        <f>IFERROR(__xludf.DUMMYFUNCTION("""COMPUTED_VALUE"""),1731656.0)</f>
        <v>1731656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IFERROR(__xludf.DUMMYFUNCTION("""COMPUTED_VALUE"""),17.99)</f>
        <v>17.99</v>
      </c>
      <c r="C772" s="1">
        <f>IFERROR(__xludf.DUMMYFUNCTION("""COMPUTED_VALUE"""),18.25)</f>
        <v>18.25</v>
      </c>
      <c r="D772" s="1">
        <f>IFERROR(__xludf.DUMMYFUNCTION("""COMPUTED_VALUE"""),17.89)</f>
        <v>17.89</v>
      </c>
      <c r="E772" s="1">
        <f>IFERROR(__xludf.DUMMYFUNCTION("""COMPUTED_VALUE"""),18.04)</f>
        <v>18.04</v>
      </c>
      <c r="F772" s="1">
        <f>IFERROR(__xludf.DUMMYFUNCTION("""COMPUTED_VALUE"""),1239393.0)</f>
        <v>1239393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IFERROR(__xludf.DUMMYFUNCTION("""COMPUTED_VALUE"""),18.16)</f>
        <v>18.16</v>
      </c>
      <c r="C773" s="1">
        <f>IFERROR(__xludf.DUMMYFUNCTION("""COMPUTED_VALUE"""),18.39)</f>
        <v>18.39</v>
      </c>
      <c r="D773" s="1">
        <f>IFERROR(__xludf.DUMMYFUNCTION("""COMPUTED_VALUE"""),17.76)</f>
        <v>17.76</v>
      </c>
      <c r="E773" s="1">
        <f>IFERROR(__xludf.DUMMYFUNCTION("""COMPUTED_VALUE"""),17.9)</f>
        <v>17.9</v>
      </c>
      <c r="F773" s="1">
        <f>IFERROR(__xludf.DUMMYFUNCTION("""COMPUTED_VALUE"""),2235039.0)</f>
        <v>2235039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IFERROR(__xludf.DUMMYFUNCTION("""COMPUTED_VALUE"""),16.74)</f>
        <v>16.74</v>
      </c>
      <c r="C774" s="1">
        <f>IFERROR(__xludf.DUMMYFUNCTION("""COMPUTED_VALUE"""),17.26)</f>
        <v>17.26</v>
      </c>
      <c r="D774" s="1">
        <f>IFERROR(__xludf.DUMMYFUNCTION("""COMPUTED_VALUE"""),16.2)</f>
        <v>16.2</v>
      </c>
      <c r="E774" s="1">
        <f>IFERROR(__xludf.DUMMYFUNCTION("""COMPUTED_VALUE"""),16.36)</f>
        <v>16.36</v>
      </c>
      <c r="F774" s="1">
        <f>IFERROR(__xludf.DUMMYFUNCTION("""COMPUTED_VALUE"""),7291189.0)</f>
        <v>7291189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IFERROR(__xludf.DUMMYFUNCTION("""COMPUTED_VALUE"""),16.29)</f>
        <v>16.29</v>
      </c>
      <c r="C775" s="1">
        <f>IFERROR(__xludf.DUMMYFUNCTION("""COMPUTED_VALUE"""),16.81)</f>
        <v>16.81</v>
      </c>
      <c r="D775" s="1">
        <f>IFERROR(__xludf.DUMMYFUNCTION("""COMPUTED_VALUE"""),16.25)</f>
        <v>16.25</v>
      </c>
      <c r="E775" s="1">
        <f>IFERROR(__xludf.DUMMYFUNCTION("""COMPUTED_VALUE"""),16.72)</f>
        <v>16.72</v>
      </c>
      <c r="F775" s="1">
        <f>IFERROR(__xludf.DUMMYFUNCTION("""COMPUTED_VALUE"""),3231271.0)</f>
        <v>3231271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IFERROR(__xludf.DUMMYFUNCTION("""COMPUTED_VALUE"""),16.7)</f>
        <v>16.7</v>
      </c>
      <c r="C776" s="1">
        <f>IFERROR(__xludf.DUMMYFUNCTION("""COMPUTED_VALUE"""),17.19)</f>
        <v>17.19</v>
      </c>
      <c r="D776" s="1">
        <f>IFERROR(__xludf.DUMMYFUNCTION("""COMPUTED_VALUE"""),16.69)</f>
        <v>16.69</v>
      </c>
      <c r="E776" s="1">
        <f>IFERROR(__xludf.DUMMYFUNCTION("""COMPUTED_VALUE"""),17.07)</f>
        <v>17.07</v>
      </c>
      <c r="F776" s="1">
        <f>IFERROR(__xludf.DUMMYFUNCTION("""COMPUTED_VALUE"""),2389304.0)</f>
        <v>2389304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IFERROR(__xludf.DUMMYFUNCTION("""COMPUTED_VALUE"""),17.14)</f>
        <v>17.14</v>
      </c>
      <c r="C777" s="1">
        <f>IFERROR(__xludf.DUMMYFUNCTION("""COMPUTED_VALUE"""),17.75)</f>
        <v>17.75</v>
      </c>
      <c r="D777" s="1">
        <f>IFERROR(__xludf.DUMMYFUNCTION("""COMPUTED_VALUE"""),17.1)</f>
        <v>17.1</v>
      </c>
      <c r="E777" s="1">
        <f>IFERROR(__xludf.DUMMYFUNCTION("""COMPUTED_VALUE"""),17.55)</f>
        <v>17.55</v>
      </c>
      <c r="F777" s="1">
        <f>IFERROR(__xludf.DUMMYFUNCTION("""COMPUTED_VALUE"""),2822974.0)</f>
        <v>2822974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IFERROR(__xludf.DUMMYFUNCTION("""COMPUTED_VALUE"""),17.5)</f>
        <v>17.5</v>
      </c>
      <c r="C778" s="1">
        <f>IFERROR(__xludf.DUMMYFUNCTION("""COMPUTED_VALUE"""),17.5)</f>
        <v>17.5</v>
      </c>
      <c r="D778" s="1">
        <f>IFERROR(__xludf.DUMMYFUNCTION("""COMPUTED_VALUE"""),16.97)</f>
        <v>16.97</v>
      </c>
      <c r="E778" s="1">
        <f>IFERROR(__xludf.DUMMYFUNCTION("""COMPUTED_VALUE"""),17.12)</f>
        <v>17.12</v>
      </c>
      <c r="F778" s="1">
        <f>IFERROR(__xludf.DUMMYFUNCTION("""COMPUTED_VALUE"""),1193096.0)</f>
        <v>1193096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IFERROR(__xludf.DUMMYFUNCTION("""COMPUTED_VALUE"""),17.13)</f>
        <v>17.13</v>
      </c>
      <c r="C779" s="1">
        <f>IFERROR(__xludf.DUMMYFUNCTION("""COMPUTED_VALUE"""),17.19)</f>
        <v>17.19</v>
      </c>
      <c r="D779" s="1">
        <f>IFERROR(__xludf.DUMMYFUNCTION("""COMPUTED_VALUE"""),16.91)</f>
        <v>16.91</v>
      </c>
      <c r="E779" s="1">
        <f>IFERROR(__xludf.DUMMYFUNCTION("""COMPUTED_VALUE"""),16.99)</f>
        <v>16.99</v>
      </c>
      <c r="F779" s="1">
        <f>IFERROR(__xludf.DUMMYFUNCTION("""COMPUTED_VALUE"""),766991.0)</f>
        <v>766991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IFERROR(__xludf.DUMMYFUNCTION("""COMPUTED_VALUE"""),16.9)</f>
        <v>16.9</v>
      </c>
      <c r="C780" s="1">
        <f>IFERROR(__xludf.DUMMYFUNCTION("""COMPUTED_VALUE"""),17.02)</f>
        <v>17.02</v>
      </c>
      <c r="D780" s="1">
        <f>IFERROR(__xludf.DUMMYFUNCTION("""COMPUTED_VALUE"""),16.69)</f>
        <v>16.69</v>
      </c>
      <c r="E780" s="1">
        <f>IFERROR(__xludf.DUMMYFUNCTION("""COMPUTED_VALUE"""),16.98)</f>
        <v>16.98</v>
      </c>
      <c r="F780" s="1">
        <f>IFERROR(__xludf.DUMMYFUNCTION("""COMPUTED_VALUE"""),1860271.0)</f>
        <v>1860271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IFERROR(__xludf.DUMMYFUNCTION("""COMPUTED_VALUE"""),17.02)</f>
        <v>17.02</v>
      </c>
      <c r="C781" s="1">
        <f>IFERROR(__xludf.DUMMYFUNCTION("""COMPUTED_VALUE"""),17.15)</f>
        <v>17.15</v>
      </c>
      <c r="D781" s="1">
        <f>IFERROR(__xludf.DUMMYFUNCTION("""COMPUTED_VALUE"""),16.77)</f>
        <v>16.77</v>
      </c>
      <c r="E781" s="1">
        <f>IFERROR(__xludf.DUMMYFUNCTION("""COMPUTED_VALUE"""),16.88)</f>
        <v>16.88</v>
      </c>
      <c r="F781" s="1">
        <f>IFERROR(__xludf.DUMMYFUNCTION("""COMPUTED_VALUE"""),1027711.0)</f>
        <v>1027711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IFERROR(__xludf.DUMMYFUNCTION("""COMPUTED_VALUE"""),16.97)</f>
        <v>16.97</v>
      </c>
      <c r="C782" s="1">
        <f>IFERROR(__xludf.DUMMYFUNCTION("""COMPUTED_VALUE"""),16.99)</f>
        <v>16.99</v>
      </c>
      <c r="D782" s="1">
        <f>IFERROR(__xludf.DUMMYFUNCTION("""COMPUTED_VALUE"""),16.7)</f>
        <v>16.7</v>
      </c>
      <c r="E782" s="1">
        <f>IFERROR(__xludf.DUMMYFUNCTION("""COMPUTED_VALUE"""),16.92)</f>
        <v>16.92</v>
      </c>
      <c r="F782" s="1">
        <f>IFERROR(__xludf.DUMMYFUNCTION("""COMPUTED_VALUE"""),1068598.0)</f>
        <v>1068598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IFERROR(__xludf.DUMMYFUNCTION("""COMPUTED_VALUE"""),16.88)</f>
        <v>16.88</v>
      </c>
      <c r="C783" s="1">
        <f>IFERROR(__xludf.DUMMYFUNCTION("""COMPUTED_VALUE"""),17.01)</f>
        <v>17.01</v>
      </c>
      <c r="D783" s="1">
        <f>IFERROR(__xludf.DUMMYFUNCTION("""COMPUTED_VALUE"""),16.76)</f>
        <v>16.76</v>
      </c>
      <c r="E783" s="1">
        <f>IFERROR(__xludf.DUMMYFUNCTION("""COMPUTED_VALUE"""),16.87)</f>
        <v>16.87</v>
      </c>
      <c r="F783" s="1">
        <f>IFERROR(__xludf.DUMMYFUNCTION("""COMPUTED_VALUE"""),736180.0)</f>
        <v>736180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IFERROR(__xludf.DUMMYFUNCTION("""COMPUTED_VALUE"""),16.8)</f>
        <v>16.8</v>
      </c>
      <c r="C784" s="1">
        <f>IFERROR(__xludf.DUMMYFUNCTION("""COMPUTED_VALUE"""),17.09)</f>
        <v>17.09</v>
      </c>
      <c r="D784" s="1">
        <f>IFERROR(__xludf.DUMMYFUNCTION("""COMPUTED_VALUE"""),16.75)</f>
        <v>16.75</v>
      </c>
      <c r="E784" s="1">
        <f>IFERROR(__xludf.DUMMYFUNCTION("""COMPUTED_VALUE"""),16.98)</f>
        <v>16.98</v>
      </c>
      <c r="F784" s="1">
        <f>IFERROR(__xludf.DUMMYFUNCTION("""COMPUTED_VALUE"""),685117.0)</f>
        <v>685117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IFERROR(__xludf.DUMMYFUNCTION("""COMPUTED_VALUE"""),16.88)</f>
        <v>16.88</v>
      </c>
      <c r="C785" s="1">
        <f>IFERROR(__xludf.DUMMYFUNCTION("""COMPUTED_VALUE"""),17.3)</f>
        <v>17.3</v>
      </c>
      <c r="D785" s="1">
        <f>IFERROR(__xludf.DUMMYFUNCTION("""COMPUTED_VALUE"""),16.88)</f>
        <v>16.88</v>
      </c>
      <c r="E785" s="1">
        <f>IFERROR(__xludf.DUMMYFUNCTION("""COMPUTED_VALUE"""),17.11)</f>
        <v>17.11</v>
      </c>
      <c r="F785" s="1">
        <f>IFERROR(__xludf.DUMMYFUNCTION("""COMPUTED_VALUE"""),1311382.0)</f>
        <v>1311382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IFERROR(__xludf.DUMMYFUNCTION("""COMPUTED_VALUE"""),16.92)</f>
        <v>16.92</v>
      </c>
      <c r="C786" s="1">
        <f>IFERROR(__xludf.DUMMYFUNCTION("""COMPUTED_VALUE"""),17.19)</f>
        <v>17.19</v>
      </c>
      <c r="D786" s="1">
        <f>IFERROR(__xludf.DUMMYFUNCTION("""COMPUTED_VALUE"""),16.92)</f>
        <v>16.92</v>
      </c>
      <c r="E786" s="1">
        <f>IFERROR(__xludf.DUMMYFUNCTION("""COMPUTED_VALUE"""),17.09)</f>
        <v>17.09</v>
      </c>
      <c r="F786" s="1">
        <f>IFERROR(__xludf.DUMMYFUNCTION("""COMPUTED_VALUE"""),757285.0)</f>
        <v>757285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IFERROR(__xludf.DUMMYFUNCTION("""COMPUTED_VALUE"""),17.06)</f>
        <v>17.06</v>
      </c>
      <c r="C787" s="1">
        <f>IFERROR(__xludf.DUMMYFUNCTION("""COMPUTED_VALUE"""),17.26)</f>
        <v>17.26</v>
      </c>
      <c r="D787" s="1">
        <f>IFERROR(__xludf.DUMMYFUNCTION("""COMPUTED_VALUE"""),16.96)</f>
        <v>16.96</v>
      </c>
      <c r="E787" s="1">
        <f>IFERROR(__xludf.DUMMYFUNCTION("""COMPUTED_VALUE"""),17.16)</f>
        <v>17.16</v>
      </c>
      <c r="F787" s="1">
        <f>IFERROR(__xludf.DUMMYFUNCTION("""COMPUTED_VALUE"""),1059892.0)</f>
        <v>1059892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IFERROR(__xludf.DUMMYFUNCTION("""COMPUTED_VALUE"""),17.1)</f>
        <v>17.1</v>
      </c>
      <c r="C788" s="1">
        <f>IFERROR(__xludf.DUMMYFUNCTION("""COMPUTED_VALUE"""),17.22)</f>
        <v>17.22</v>
      </c>
      <c r="D788" s="1">
        <f>IFERROR(__xludf.DUMMYFUNCTION("""COMPUTED_VALUE"""),16.97)</f>
        <v>16.97</v>
      </c>
      <c r="E788" s="1">
        <f>IFERROR(__xludf.DUMMYFUNCTION("""COMPUTED_VALUE"""),17.16)</f>
        <v>17.16</v>
      </c>
      <c r="F788" s="1">
        <f>IFERROR(__xludf.DUMMYFUNCTION("""COMPUTED_VALUE"""),1088420.0)</f>
        <v>1088420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IFERROR(__xludf.DUMMYFUNCTION("""COMPUTED_VALUE"""),17.1)</f>
        <v>17.1</v>
      </c>
      <c r="C789" s="1">
        <f>IFERROR(__xludf.DUMMYFUNCTION("""COMPUTED_VALUE"""),17.15)</f>
        <v>17.15</v>
      </c>
      <c r="D789" s="1">
        <f>IFERROR(__xludf.DUMMYFUNCTION("""COMPUTED_VALUE"""),16.31)</f>
        <v>16.31</v>
      </c>
      <c r="E789" s="1">
        <f>IFERROR(__xludf.DUMMYFUNCTION("""COMPUTED_VALUE"""),16.37)</f>
        <v>16.37</v>
      </c>
      <c r="F789" s="1">
        <f>IFERROR(__xludf.DUMMYFUNCTION("""COMPUTED_VALUE"""),2523106.0)</f>
        <v>2523106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IFERROR(__xludf.DUMMYFUNCTION("""COMPUTED_VALUE"""),16.35)</f>
        <v>16.35</v>
      </c>
      <c r="C790" s="1">
        <f>IFERROR(__xludf.DUMMYFUNCTION("""COMPUTED_VALUE"""),16.36)</f>
        <v>16.36</v>
      </c>
      <c r="D790" s="1">
        <f>IFERROR(__xludf.DUMMYFUNCTION("""COMPUTED_VALUE"""),15.55)</f>
        <v>15.55</v>
      </c>
      <c r="E790" s="1">
        <f>IFERROR(__xludf.DUMMYFUNCTION("""COMPUTED_VALUE"""),15.76)</f>
        <v>15.76</v>
      </c>
      <c r="F790" s="1">
        <f>IFERROR(__xludf.DUMMYFUNCTION("""COMPUTED_VALUE"""),2432484.0)</f>
        <v>2432484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IFERROR(__xludf.DUMMYFUNCTION("""COMPUTED_VALUE"""),15.96)</f>
        <v>15.96</v>
      </c>
      <c r="C791" s="1">
        <f>IFERROR(__xludf.DUMMYFUNCTION("""COMPUTED_VALUE"""),16.07)</f>
        <v>16.07</v>
      </c>
      <c r="D791" s="1">
        <f>IFERROR(__xludf.DUMMYFUNCTION("""COMPUTED_VALUE"""),15.6)</f>
        <v>15.6</v>
      </c>
      <c r="E791" s="1">
        <f>IFERROR(__xludf.DUMMYFUNCTION("""COMPUTED_VALUE"""),15.94)</f>
        <v>15.94</v>
      </c>
      <c r="F791" s="1">
        <f>IFERROR(__xludf.DUMMYFUNCTION("""COMPUTED_VALUE"""),1440491.0)</f>
        <v>1440491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IFERROR(__xludf.DUMMYFUNCTION("""COMPUTED_VALUE"""),16.0)</f>
        <v>16</v>
      </c>
      <c r="C792" s="1">
        <f>IFERROR(__xludf.DUMMYFUNCTION("""COMPUTED_VALUE"""),16.55)</f>
        <v>16.55</v>
      </c>
      <c r="D792" s="1">
        <f>IFERROR(__xludf.DUMMYFUNCTION("""COMPUTED_VALUE"""),15.96)</f>
        <v>15.96</v>
      </c>
      <c r="E792" s="1">
        <f>IFERROR(__xludf.DUMMYFUNCTION("""COMPUTED_VALUE"""),16.09)</f>
        <v>16.09</v>
      </c>
      <c r="F792" s="1">
        <f>IFERROR(__xludf.DUMMYFUNCTION("""COMPUTED_VALUE"""),1301856.0)</f>
        <v>1301856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IFERROR(__xludf.DUMMYFUNCTION("""COMPUTED_VALUE"""),16.15)</f>
        <v>16.15</v>
      </c>
      <c r="C793" s="1">
        <f>IFERROR(__xludf.DUMMYFUNCTION("""COMPUTED_VALUE"""),16.31)</f>
        <v>16.31</v>
      </c>
      <c r="D793" s="1">
        <f>IFERROR(__xludf.DUMMYFUNCTION("""COMPUTED_VALUE"""),15.8)</f>
        <v>15.8</v>
      </c>
      <c r="E793" s="1">
        <f>IFERROR(__xludf.DUMMYFUNCTION("""COMPUTED_VALUE"""),15.88)</f>
        <v>15.88</v>
      </c>
      <c r="F793" s="1">
        <f>IFERROR(__xludf.DUMMYFUNCTION("""COMPUTED_VALUE"""),1089558.0)</f>
        <v>1089558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IFERROR(__xludf.DUMMYFUNCTION("""COMPUTED_VALUE"""),15.88)</f>
        <v>15.88</v>
      </c>
      <c r="C794" s="1">
        <f>IFERROR(__xludf.DUMMYFUNCTION("""COMPUTED_VALUE"""),16.11)</f>
        <v>16.11</v>
      </c>
      <c r="D794" s="1">
        <f>IFERROR(__xludf.DUMMYFUNCTION("""COMPUTED_VALUE"""),15.33)</f>
        <v>15.33</v>
      </c>
      <c r="E794" s="1">
        <f>IFERROR(__xludf.DUMMYFUNCTION("""COMPUTED_VALUE"""),15.5)</f>
        <v>15.5</v>
      </c>
      <c r="F794" s="1">
        <f>IFERROR(__xludf.DUMMYFUNCTION("""COMPUTED_VALUE"""),2057143.0)</f>
        <v>2057143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IFERROR(__xludf.DUMMYFUNCTION("""COMPUTED_VALUE"""),15.63)</f>
        <v>15.63</v>
      </c>
      <c r="C795" s="1">
        <f>IFERROR(__xludf.DUMMYFUNCTION("""COMPUTED_VALUE"""),15.75)</f>
        <v>15.75</v>
      </c>
      <c r="D795" s="1">
        <f>IFERROR(__xludf.DUMMYFUNCTION("""COMPUTED_VALUE"""),15.13)</f>
        <v>15.13</v>
      </c>
      <c r="E795" s="1">
        <f>IFERROR(__xludf.DUMMYFUNCTION("""COMPUTED_VALUE"""),15.2)</f>
        <v>15.2</v>
      </c>
      <c r="F795" s="1">
        <f>IFERROR(__xludf.DUMMYFUNCTION("""COMPUTED_VALUE"""),1847124.0)</f>
        <v>1847124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IFERROR(__xludf.DUMMYFUNCTION("""COMPUTED_VALUE"""),15.21)</f>
        <v>15.21</v>
      </c>
      <c r="C796" s="1">
        <f>IFERROR(__xludf.DUMMYFUNCTION("""COMPUTED_VALUE"""),15.72)</f>
        <v>15.72</v>
      </c>
      <c r="D796" s="1">
        <f>IFERROR(__xludf.DUMMYFUNCTION("""COMPUTED_VALUE"""),15.03)</f>
        <v>15.03</v>
      </c>
      <c r="E796" s="1">
        <f>IFERROR(__xludf.DUMMYFUNCTION("""COMPUTED_VALUE"""),15.51)</f>
        <v>15.51</v>
      </c>
      <c r="F796" s="1">
        <f>IFERROR(__xludf.DUMMYFUNCTION("""COMPUTED_VALUE"""),2007242.0)</f>
        <v>2007242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IFERROR(__xludf.DUMMYFUNCTION("""COMPUTED_VALUE"""),15.37)</f>
        <v>15.37</v>
      </c>
      <c r="C797" s="1">
        <f>IFERROR(__xludf.DUMMYFUNCTION("""COMPUTED_VALUE"""),15.37)</f>
        <v>15.37</v>
      </c>
      <c r="D797" s="1">
        <f>IFERROR(__xludf.DUMMYFUNCTION("""COMPUTED_VALUE"""),14.98)</f>
        <v>14.98</v>
      </c>
      <c r="E797" s="1">
        <f>IFERROR(__xludf.DUMMYFUNCTION("""COMPUTED_VALUE"""),15.07)</f>
        <v>15.07</v>
      </c>
      <c r="F797" s="1">
        <f>IFERROR(__xludf.DUMMYFUNCTION("""COMPUTED_VALUE"""),1449059.0)</f>
        <v>1449059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IFERROR(__xludf.DUMMYFUNCTION("""COMPUTED_VALUE"""),15.06)</f>
        <v>15.06</v>
      </c>
      <c r="C798" s="1">
        <f>IFERROR(__xludf.DUMMYFUNCTION("""COMPUTED_VALUE"""),15.3)</f>
        <v>15.3</v>
      </c>
      <c r="D798" s="1">
        <f>IFERROR(__xludf.DUMMYFUNCTION("""COMPUTED_VALUE"""),14.93)</f>
        <v>14.93</v>
      </c>
      <c r="E798" s="1">
        <f>IFERROR(__xludf.DUMMYFUNCTION("""COMPUTED_VALUE"""),15.15)</f>
        <v>15.15</v>
      </c>
      <c r="F798" s="1">
        <f>IFERROR(__xludf.DUMMYFUNCTION("""COMPUTED_VALUE"""),1503367.0)</f>
        <v>1503367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IFERROR(__xludf.DUMMYFUNCTION("""COMPUTED_VALUE"""),15.16)</f>
        <v>15.16</v>
      </c>
      <c r="C799" s="1">
        <f>IFERROR(__xludf.DUMMYFUNCTION("""COMPUTED_VALUE"""),15.46)</f>
        <v>15.46</v>
      </c>
      <c r="D799" s="1">
        <f>IFERROR(__xludf.DUMMYFUNCTION("""COMPUTED_VALUE"""),15.08)</f>
        <v>15.08</v>
      </c>
      <c r="E799" s="1">
        <f>IFERROR(__xludf.DUMMYFUNCTION("""COMPUTED_VALUE"""),15.22)</f>
        <v>15.22</v>
      </c>
      <c r="F799" s="1">
        <f>IFERROR(__xludf.DUMMYFUNCTION("""COMPUTED_VALUE"""),919740.0)</f>
        <v>919740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IFERROR(__xludf.DUMMYFUNCTION("""COMPUTED_VALUE"""),15.23)</f>
        <v>15.23</v>
      </c>
      <c r="C800" s="1">
        <f>IFERROR(__xludf.DUMMYFUNCTION("""COMPUTED_VALUE"""),15.35)</f>
        <v>15.35</v>
      </c>
      <c r="D800" s="1">
        <f>IFERROR(__xludf.DUMMYFUNCTION("""COMPUTED_VALUE"""),14.98)</f>
        <v>14.98</v>
      </c>
      <c r="E800" s="1">
        <f>IFERROR(__xludf.DUMMYFUNCTION("""COMPUTED_VALUE"""),15.14)</f>
        <v>15.14</v>
      </c>
      <c r="F800" s="1">
        <f>IFERROR(__xludf.DUMMYFUNCTION("""COMPUTED_VALUE"""),845608.0)</f>
        <v>845608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IFERROR(__xludf.DUMMYFUNCTION("""COMPUTED_VALUE"""),15.22)</f>
        <v>15.22</v>
      </c>
      <c r="C801" s="1">
        <f>IFERROR(__xludf.DUMMYFUNCTION("""COMPUTED_VALUE"""),15.66)</f>
        <v>15.66</v>
      </c>
      <c r="D801" s="1">
        <f>IFERROR(__xludf.DUMMYFUNCTION("""COMPUTED_VALUE"""),15.19)</f>
        <v>15.19</v>
      </c>
      <c r="E801" s="1">
        <f>IFERROR(__xludf.DUMMYFUNCTION("""COMPUTED_VALUE"""),15.52)</f>
        <v>15.52</v>
      </c>
      <c r="F801" s="1">
        <f>IFERROR(__xludf.DUMMYFUNCTION("""COMPUTED_VALUE"""),838643.0)</f>
        <v>838643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IFERROR(__xludf.DUMMYFUNCTION("""COMPUTED_VALUE"""),15.67)</f>
        <v>15.67</v>
      </c>
      <c r="C802" s="1">
        <f>IFERROR(__xludf.DUMMYFUNCTION("""COMPUTED_VALUE"""),15.69)</f>
        <v>15.69</v>
      </c>
      <c r="D802" s="1">
        <f>IFERROR(__xludf.DUMMYFUNCTION("""COMPUTED_VALUE"""),15.32)</f>
        <v>15.32</v>
      </c>
      <c r="E802" s="1">
        <f>IFERROR(__xludf.DUMMYFUNCTION("""COMPUTED_VALUE"""),15.42)</f>
        <v>15.42</v>
      </c>
      <c r="F802" s="1">
        <f>IFERROR(__xludf.DUMMYFUNCTION("""COMPUTED_VALUE"""),551601.0)</f>
        <v>551601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IFERROR(__xludf.DUMMYFUNCTION("""COMPUTED_VALUE"""),15.33)</f>
        <v>15.33</v>
      </c>
      <c r="C803" s="1">
        <f>IFERROR(__xludf.DUMMYFUNCTION("""COMPUTED_VALUE"""),15.49)</f>
        <v>15.49</v>
      </c>
      <c r="D803" s="1">
        <f>IFERROR(__xludf.DUMMYFUNCTION("""COMPUTED_VALUE"""),15.0)</f>
        <v>15</v>
      </c>
      <c r="E803" s="1">
        <f>IFERROR(__xludf.DUMMYFUNCTION("""COMPUTED_VALUE"""),15.05)</f>
        <v>15.05</v>
      </c>
      <c r="F803" s="1">
        <f>IFERROR(__xludf.DUMMYFUNCTION("""COMPUTED_VALUE"""),720949.0)</f>
        <v>720949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IFERROR(__xludf.DUMMYFUNCTION("""COMPUTED_VALUE"""),15.0)</f>
        <v>15</v>
      </c>
      <c r="C804" s="1">
        <f>IFERROR(__xludf.DUMMYFUNCTION("""COMPUTED_VALUE"""),15.1)</f>
        <v>15.1</v>
      </c>
      <c r="D804" s="1">
        <f>IFERROR(__xludf.DUMMYFUNCTION("""COMPUTED_VALUE"""),14.95)</f>
        <v>14.95</v>
      </c>
      <c r="E804" s="1">
        <f>IFERROR(__xludf.DUMMYFUNCTION("""COMPUTED_VALUE"""),14.99)</f>
        <v>14.99</v>
      </c>
      <c r="F804" s="1">
        <f>IFERROR(__xludf.DUMMYFUNCTION("""COMPUTED_VALUE"""),1216966.0)</f>
        <v>1216966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IFERROR(__xludf.DUMMYFUNCTION("""COMPUTED_VALUE"""),15.12)</f>
        <v>15.12</v>
      </c>
      <c r="C805" s="1">
        <f>IFERROR(__xludf.DUMMYFUNCTION("""COMPUTED_VALUE"""),15.15)</f>
        <v>15.15</v>
      </c>
      <c r="D805" s="1">
        <f>IFERROR(__xludf.DUMMYFUNCTION("""COMPUTED_VALUE"""),14.4)</f>
        <v>14.4</v>
      </c>
      <c r="E805" s="1">
        <f>IFERROR(__xludf.DUMMYFUNCTION("""COMPUTED_VALUE"""),14.78)</f>
        <v>14.78</v>
      </c>
      <c r="F805" s="1">
        <f>IFERROR(__xludf.DUMMYFUNCTION("""COMPUTED_VALUE"""),3342902.0)</f>
        <v>3342902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IFERROR(__xludf.DUMMYFUNCTION("""COMPUTED_VALUE"""),14.83)</f>
        <v>14.83</v>
      </c>
      <c r="C806" s="1">
        <f>IFERROR(__xludf.DUMMYFUNCTION("""COMPUTED_VALUE"""),16.25)</f>
        <v>16.25</v>
      </c>
      <c r="D806" s="1">
        <f>IFERROR(__xludf.DUMMYFUNCTION("""COMPUTED_VALUE"""),14.78)</f>
        <v>14.78</v>
      </c>
      <c r="E806" s="1">
        <f>IFERROR(__xludf.DUMMYFUNCTION("""COMPUTED_VALUE"""),16.02)</f>
        <v>16.02</v>
      </c>
      <c r="F806" s="1">
        <f>IFERROR(__xludf.DUMMYFUNCTION("""COMPUTED_VALUE"""),3659717.0)</f>
        <v>3659717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IFERROR(__xludf.DUMMYFUNCTION("""COMPUTED_VALUE"""),16.14)</f>
        <v>16.14</v>
      </c>
      <c r="C807" s="1">
        <f>IFERROR(__xludf.DUMMYFUNCTION("""COMPUTED_VALUE"""),17.36)</f>
        <v>17.36</v>
      </c>
      <c r="D807" s="1">
        <f>IFERROR(__xludf.DUMMYFUNCTION("""COMPUTED_VALUE"""),16.05)</f>
        <v>16.05</v>
      </c>
      <c r="E807" s="1">
        <f>IFERROR(__xludf.DUMMYFUNCTION("""COMPUTED_VALUE"""),17.31)</f>
        <v>17.31</v>
      </c>
      <c r="F807" s="1">
        <f>IFERROR(__xludf.DUMMYFUNCTION("""COMPUTED_VALUE"""),4563961.0)</f>
        <v>4563961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IFERROR(__xludf.DUMMYFUNCTION("""COMPUTED_VALUE"""),17.07)</f>
        <v>17.07</v>
      </c>
      <c r="C808" s="1">
        <f>IFERROR(__xludf.DUMMYFUNCTION("""COMPUTED_VALUE"""),17.69)</f>
        <v>17.69</v>
      </c>
      <c r="D808" s="1">
        <f>IFERROR(__xludf.DUMMYFUNCTION("""COMPUTED_VALUE"""),17.05)</f>
        <v>17.05</v>
      </c>
      <c r="E808" s="1">
        <f>IFERROR(__xludf.DUMMYFUNCTION("""COMPUTED_VALUE"""),17.37)</f>
        <v>17.37</v>
      </c>
      <c r="F808" s="1">
        <f>IFERROR(__xludf.DUMMYFUNCTION("""COMPUTED_VALUE"""),4318903.0)</f>
        <v>4318903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IFERROR(__xludf.DUMMYFUNCTION("""COMPUTED_VALUE"""),17.28)</f>
        <v>17.28</v>
      </c>
      <c r="C809" s="1">
        <f>IFERROR(__xludf.DUMMYFUNCTION("""COMPUTED_VALUE"""),17.37)</f>
        <v>17.37</v>
      </c>
      <c r="D809" s="1">
        <f>IFERROR(__xludf.DUMMYFUNCTION("""COMPUTED_VALUE"""),16.46)</f>
        <v>16.46</v>
      </c>
      <c r="E809" s="1">
        <f>IFERROR(__xludf.DUMMYFUNCTION("""COMPUTED_VALUE"""),17.13)</f>
        <v>17.13</v>
      </c>
      <c r="F809" s="1">
        <f>IFERROR(__xludf.DUMMYFUNCTION("""COMPUTED_VALUE"""),2481593.0)</f>
        <v>2481593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IFERROR(__xludf.DUMMYFUNCTION("""COMPUTED_VALUE"""),17.16)</f>
        <v>17.16</v>
      </c>
      <c r="C810" s="1">
        <f>IFERROR(__xludf.DUMMYFUNCTION("""COMPUTED_VALUE"""),17.5)</f>
        <v>17.5</v>
      </c>
      <c r="D810" s="1">
        <f>IFERROR(__xludf.DUMMYFUNCTION("""COMPUTED_VALUE"""),17.07)</f>
        <v>17.07</v>
      </c>
      <c r="E810" s="1">
        <f>IFERROR(__xludf.DUMMYFUNCTION("""COMPUTED_VALUE"""),17.4)</f>
        <v>17.4</v>
      </c>
      <c r="F810" s="1">
        <f>IFERROR(__xludf.DUMMYFUNCTION("""COMPUTED_VALUE"""),996121.0)</f>
        <v>996121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IFERROR(__xludf.DUMMYFUNCTION("""COMPUTED_VALUE"""),17.1)</f>
        <v>17.1</v>
      </c>
      <c r="C811" s="1">
        <f>IFERROR(__xludf.DUMMYFUNCTION("""COMPUTED_VALUE"""),17.49)</f>
        <v>17.49</v>
      </c>
      <c r="D811" s="1">
        <f>IFERROR(__xludf.DUMMYFUNCTION("""COMPUTED_VALUE"""),16.9)</f>
        <v>16.9</v>
      </c>
      <c r="E811" s="1">
        <f>IFERROR(__xludf.DUMMYFUNCTION("""COMPUTED_VALUE"""),17.18)</f>
        <v>17.18</v>
      </c>
      <c r="F811" s="1">
        <f>IFERROR(__xludf.DUMMYFUNCTION("""COMPUTED_VALUE"""),1250810.0)</f>
        <v>1250810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IFERROR(__xludf.DUMMYFUNCTION("""COMPUTED_VALUE"""),17.23)</f>
        <v>17.23</v>
      </c>
      <c r="C812" s="1">
        <f>IFERROR(__xludf.DUMMYFUNCTION("""COMPUTED_VALUE"""),17.36)</f>
        <v>17.36</v>
      </c>
      <c r="D812" s="1">
        <f>IFERROR(__xludf.DUMMYFUNCTION("""COMPUTED_VALUE"""),17.13)</f>
        <v>17.13</v>
      </c>
      <c r="E812" s="1">
        <f>IFERROR(__xludf.DUMMYFUNCTION("""COMPUTED_VALUE"""),17.24)</f>
        <v>17.24</v>
      </c>
      <c r="F812" s="1">
        <f>IFERROR(__xludf.DUMMYFUNCTION("""COMPUTED_VALUE"""),1249685.0)</f>
        <v>1249685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IFERROR(__xludf.DUMMYFUNCTION("""COMPUTED_VALUE"""),17.38)</f>
        <v>17.38</v>
      </c>
      <c r="C813" s="1">
        <f>IFERROR(__xludf.DUMMYFUNCTION("""COMPUTED_VALUE"""),17.54)</f>
        <v>17.54</v>
      </c>
      <c r="D813" s="1">
        <f>IFERROR(__xludf.DUMMYFUNCTION("""COMPUTED_VALUE"""),17.1)</f>
        <v>17.1</v>
      </c>
      <c r="E813" s="1">
        <f>IFERROR(__xludf.DUMMYFUNCTION("""COMPUTED_VALUE"""),17.51)</f>
        <v>17.51</v>
      </c>
      <c r="F813" s="1">
        <f>IFERROR(__xludf.DUMMYFUNCTION("""COMPUTED_VALUE"""),1990439.0)</f>
        <v>1990439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IFERROR(__xludf.DUMMYFUNCTION("""COMPUTED_VALUE"""),17.28)</f>
        <v>17.28</v>
      </c>
      <c r="C814" s="1">
        <f>IFERROR(__xludf.DUMMYFUNCTION("""COMPUTED_VALUE"""),18.08)</f>
        <v>18.08</v>
      </c>
      <c r="D814" s="1">
        <f>IFERROR(__xludf.DUMMYFUNCTION("""COMPUTED_VALUE"""),17.18)</f>
        <v>17.18</v>
      </c>
      <c r="E814" s="1">
        <f>IFERROR(__xludf.DUMMYFUNCTION("""COMPUTED_VALUE"""),18.07)</f>
        <v>18.07</v>
      </c>
      <c r="F814" s="1">
        <f>IFERROR(__xludf.DUMMYFUNCTION("""COMPUTED_VALUE"""),2643966.0)</f>
        <v>2643966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IFERROR(__xludf.DUMMYFUNCTION("""COMPUTED_VALUE"""),18.0)</f>
        <v>18</v>
      </c>
      <c r="C815" s="1">
        <f>IFERROR(__xludf.DUMMYFUNCTION("""COMPUTED_VALUE"""),18.08)</f>
        <v>18.08</v>
      </c>
      <c r="D815" s="1">
        <f>IFERROR(__xludf.DUMMYFUNCTION("""COMPUTED_VALUE"""),17.69)</f>
        <v>17.69</v>
      </c>
      <c r="E815" s="1">
        <f>IFERROR(__xludf.DUMMYFUNCTION("""COMPUTED_VALUE"""),18.0)</f>
        <v>18</v>
      </c>
      <c r="F815" s="1">
        <f>IFERROR(__xludf.DUMMYFUNCTION("""COMPUTED_VALUE"""),1466751.0)</f>
        <v>1466751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IFERROR(__xludf.DUMMYFUNCTION("""COMPUTED_VALUE"""),17.92)</f>
        <v>17.92</v>
      </c>
      <c r="C816" s="1">
        <f>IFERROR(__xludf.DUMMYFUNCTION("""COMPUTED_VALUE"""),17.92)</f>
        <v>17.92</v>
      </c>
      <c r="D816" s="1">
        <f>IFERROR(__xludf.DUMMYFUNCTION("""COMPUTED_VALUE"""),17.3)</f>
        <v>17.3</v>
      </c>
      <c r="E816" s="1">
        <f>IFERROR(__xludf.DUMMYFUNCTION("""COMPUTED_VALUE"""),17.49)</f>
        <v>17.49</v>
      </c>
      <c r="F816" s="1">
        <f>IFERROR(__xludf.DUMMYFUNCTION("""COMPUTED_VALUE"""),1002201.0)</f>
        <v>1002201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IFERROR(__xludf.DUMMYFUNCTION("""COMPUTED_VALUE"""),17.64)</f>
        <v>17.64</v>
      </c>
      <c r="C817" s="1">
        <f>IFERROR(__xludf.DUMMYFUNCTION("""COMPUTED_VALUE"""),17.71)</f>
        <v>17.71</v>
      </c>
      <c r="D817" s="1">
        <f>IFERROR(__xludf.DUMMYFUNCTION("""COMPUTED_VALUE"""),17.43)</f>
        <v>17.43</v>
      </c>
      <c r="E817" s="1">
        <f>IFERROR(__xludf.DUMMYFUNCTION("""COMPUTED_VALUE"""),17.51)</f>
        <v>17.51</v>
      </c>
      <c r="F817" s="1">
        <f>IFERROR(__xludf.DUMMYFUNCTION("""COMPUTED_VALUE"""),670498.0)</f>
        <v>670498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IFERROR(__xludf.DUMMYFUNCTION("""COMPUTED_VALUE"""),17.63)</f>
        <v>17.63</v>
      </c>
      <c r="C818" s="1">
        <f>IFERROR(__xludf.DUMMYFUNCTION("""COMPUTED_VALUE"""),17.63)</f>
        <v>17.63</v>
      </c>
      <c r="D818" s="1">
        <f>IFERROR(__xludf.DUMMYFUNCTION("""COMPUTED_VALUE"""),16.44)</f>
        <v>16.44</v>
      </c>
      <c r="E818" s="1">
        <f>IFERROR(__xludf.DUMMYFUNCTION("""COMPUTED_VALUE"""),16.51)</f>
        <v>16.51</v>
      </c>
      <c r="F818" s="1">
        <f>IFERROR(__xludf.DUMMYFUNCTION("""COMPUTED_VALUE"""),2333747.0)</f>
        <v>2333747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IFERROR(__xludf.DUMMYFUNCTION("""COMPUTED_VALUE"""),16.5)</f>
        <v>16.5</v>
      </c>
      <c r="C819" s="1">
        <f>IFERROR(__xludf.DUMMYFUNCTION("""COMPUTED_VALUE"""),16.73)</f>
        <v>16.73</v>
      </c>
      <c r="D819" s="1">
        <f>IFERROR(__xludf.DUMMYFUNCTION("""COMPUTED_VALUE"""),16.38)</f>
        <v>16.38</v>
      </c>
      <c r="E819" s="1">
        <f>IFERROR(__xludf.DUMMYFUNCTION("""COMPUTED_VALUE"""),16.5)</f>
        <v>16.5</v>
      </c>
      <c r="F819" s="1">
        <f>IFERROR(__xludf.DUMMYFUNCTION("""COMPUTED_VALUE"""),1052007.0)</f>
        <v>1052007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IFERROR(__xludf.DUMMYFUNCTION("""COMPUTED_VALUE"""),16.29)</f>
        <v>16.29</v>
      </c>
      <c r="C820" s="1">
        <f>IFERROR(__xludf.DUMMYFUNCTION("""COMPUTED_VALUE"""),16.31)</f>
        <v>16.31</v>
      </c>
      <c r="D820" s="1">
        <f>IFERROR(__xludf.DUMMYFUNCTION("""COMPUTED_VALUE"""),15.63)</f>
        <v>15.63</v>
      </c>
      <c r="E820" s="1">
        <f>IFERROR(__xludf.DUMMYFUNCTION("""COMPUTED_VALUE"""),16.07)</f>
        <v>16.07</v>
      </c>
      <c r="F820" s="1">
        <f>IFERROR(__xludf.DUMMYFUNCTION("""COMPUTED_VALUE"""),2365100.0)</f>
        <v>2365100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IFERROR(__xludf.DUMMYFUNCTION("""COMPUTED_VALUE"""),16.15)</f>
        <v>16.15</v>
      </c>
      <c r="C821" s="1">
        <f>IFERROR(__xludf.DUMMYFUNCTION("""COMPUTED_VALUE"""),17.02)</f>
        <v>17.02</v>
      </c>
      <c r="D821" s="1">
        <f>IFERROR(__xludf.DUMMYFUNCTION("""COMPUTED_VALUE"""),16.03)</f>
        <v>16.03</v>
      </c>
      <c r="E821" s="1">
        <f>IFERROR(__xludf.DUMMYFUNCTION("""COMPUTED_VALUE"""),16.83)</f>
        <v>16.83</v>
      </c>
      <c r="F821" s="1">
        <f>IFERROR(__xludf.DUMMYFUNCTION("""COMPUTED_VALUE"""),1291239.0)</f>
        <v>1291239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IFERROR(__xludf.DUMMYFUNCTION("""COMPUTED_VALUE"""),16.65)</f>
        <v>16.65</v>
      </c>
      <c r="C822" s="1">
        <f>IFERROR(__xludf.DUMMYFUNCTION("""COMPUTED_VALUE"""),17.49)</f>
        <v>17.49</v>
      </c>
      <c r="D822" s="1">
        <f>IFERROR(__xludf.DUMMYFUNCTION("""COMPUTED_VALUE"""),16.65)</f>
        <v>16.65</v>
      </c>
      <c r="E822" s="1">
        <f>IFERROR(__xludf.DUMMYFUNCTION("""COMPUTED_VALUE"""),17.36)</f>
        <v>17.36</v>
      </c>
      <c r="F822" s="1">
        <f>IFERROR(__xludf.DUMMYFUNCTION("""COMPUTED_VALUE"""),1339292.0)</f>
        <v>1339292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IFERROR(__xludf.DUMMYFUNCTION("""COMPUTED_VALUE"""),17.5)</f>
        <v>17.5</v>
      </c>
      <c r="C823" s="1">
        <f>IFERROR(__xludf.DUMMYFUNCTION("""COMPUTED_VALUE"""),18.07)</f>
        <v>18.07</v>
      </c>
      <c r="D823" s="1">
        <f>IFERROR(__xludf.DUMMYFUNCTION("""COMPUTED_VALUE"""),17.45)</f>
        <v>17.45</v>
      </c>
      <c r="E823" s="1">
        <f>IFERROR(__xludf.DUMMYFUNCTION("""COMPUTED_VALUE"""),17.86)</f>
        <v>17.86</v>
      </c>
      <c r="F823" s="1">
        <f>IFERROR(__xludf.DUMMYFUNCTION("""COMPUTED_VALUE"""),2218628.0)</f>
        <v>2218628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IFERROR(__xludf.DUMMYFUNCTION("""COMPUTED_VALUE"""),17.83)</f>
        <v>17.83</v>
      </c>
      <c r="C824" s="1">
        <f>IFERROR(__xludf.DUMMYFUNCTION("""COMPUTED_VALUE"""),17.85)</f>
        <v>17.85</v>
      </c>
      <c r="D824" s="1">
        <f>IFERROR(__xludf.DUMMYFUNCTION("""COMPUTED_VALUE"""),17.18)</f>
        <v>17.18</v>
      </c>
      <c r="E824" s="1">
        <f>IFERROR(__xludf.DUMMYFUNCTION("""COMPUTED_VALUE"""),17.47)</f>
        <v>17.47</v>
      </c>
      <c r="F824" s="1">
        <f>IFERROR(__xludf.DUMMYFUNCTION("""COMPUTED_VALUE"""),2419995.0)</f>
        <v>2419995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IFERROR(__xludf.DUMMYFUNCTION("""COMPUTED_VALUE"""),17.46)</f>
        <v>17.46</v>
      </c>
      <c r="C825" s="1">
        <f>IFERROR(__xludf.DUMMYFUNCTION("""COMPUTED_VALUE"""),17.52)</f>
        <v>17.52</v>
      </c>
      <c r="D825" s="1">
        <f>IFERROR(__xludf.DUMMYFUNCTION("""COMPUTED_VALUE"""),17.2)</f>
        <v>17.2</v>
      </c>
      <c r="E825" s="1">
        <f>IFERROR(__xludf.DUMMYFUNCTION("""COMPUTED_VALUE"""),17.37)</f>
        <v>17.37</v>
      </c>
      <c r="F825" s="1">
        <f>IFERROR(__xludf.DUMMYFUNCTION("""COMPUTED_VALUE"""),1445611.0)</f>
        <v>1445611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IFERROR(__xludf.DUMMYFUNCTION("""COMPUTED_VALUE"""),17.2)</f>
        <v>17.2</v>
      </c>
      <c r="C826" s="1">
        <f>IFERROR(__xludf.DUMMYFUNCTION("""COMPUTED_VALUE"""),17.2)</f>
        <v>17.2</v>
      </c>
      <c r="D826" s="1">
        <f>IFERROR(__xludf.DUMMYFUNCTION("""COMPUTED_VALUE"""),16.81)</f>
        <v>16.81</v>
      </c>
      <c r="E826" s="1">
        <f>IFERROR(__xludf.DUMMYFUNCTION("""COMPUTED_VALUE"""),16.99)</f>
        <v>16.99</v>
      </c>
      <c r="F826" s="1">
        <f>IFERROR(__xludf.DUMMYFUNCTION("""COMPUTED_VALUE"""),1322940.0)</f>
        <v>1322940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IFERROR(__xludf.DUMMYFUNCTION("""COMPUTED_VALUE"""),17.31)</f>
        <v>17.31</v>
      </c>
      <c r="C827" s="1">
        <f>IFERROR(__xludf.DUMMYFUNCTION("""COMPUTED_VALUE"""),17.8)</f>
        <v>17.8</v>
      </c>
      <c r="D827" s="1">
        <f>IFERROR(__xludf.DUMMYFUNCTION("""COMPUTED_VALUE"""),17.26)</f>
        <v>17.26</v>
      </c>
      <c r="E827" s="1">
        <f>IFERROR(__xludf.DUMMYFUNCTION("""COMPUTED_VALUE"""),17.46)</f>
        <v>17.46</v>
      </c>
      <c r="F827" s="1">
        <f>IFERROR(__xludf.DUMMYFUNCTION("""COMPUTED_VALUE"""),1280799.0)</f>
        <v>1280799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IFERROR(__xludf.DUMMYFUNCTION("""COMPUTED_VALUE"""),17.37)</f>
        <v>17.37</v>
      </c>
      <c r="C828" s="1">
        <f>IFERROR(__xludf.DUMMYFUNCTION("""COMPUTED_VALUE"""),17.69)</f>
        <v>17.69</v>
      </c>
      <c r="D828" s="1">
        <f>IFERROR(__xludf.DUMMYFUNCTION("""COMPUTED_VALUE"""),17.31)</f>
        <v>17.31</v>
      </c>
      <c r="E828" s="1">
        <f>IFERROR(__xludf.DUMMYFUNCTION("""COMPUTED_VALUE"""),17.5)</f>
        <v>17.5</v>
      </c>
      <c r="F828" s="1">
        <f>IFERROR(__xludf.DUMMYFUNCTION("""COMPUTED_VALUE"""),1364344.0)</f>
        <v>1364344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IFERROR(__xludf.DUMMYFUNCTION("""COMPUTED_VALUE"""),17.65)</f>
        <v>17.65</v>
      </c>
      <c r="C829" s="1">
        <f>IFERROR(__xludf.DUMMYFUNCTION("""COMPUTED_VALUE"""),17.97)</f>
        <v>17.97</v>
      </c>
      <c r="D829" s="1">
        <f>IFERROR(__xludf.DUMMYFUNCTION("""COMPUTED_VALUE"""),17.46)</f>
        <v>17.46</v>
      </c>
      <c r="E829" s="1">
        <f>IFERROR(__xludf.DUMMYFUNCTION("""COMPUTED_VALUE"""),17.83)</f>
        <v>17.83</v>
      </c>
      <c r="F829" s="1">
        <f>IFERROR(__xludf.DUMMYFUNCTION("""COMPUTED_VALUE"""),1218801.0)</f>
        <v>1218801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IFERROR(__xludf.DUMMYFUNCTION("""COMPUTED_VALUE"""),18.0)</f>
        <v>18</v>
      </c>
      <c r="C830" s="1">
        <f>IFERROR(__xludf.DUMMYFUNCTION("""COMPUTED_VALUE"""),18.38)</f>
        <v>18.38</v>
      </c>
      <c r="D830" s="1">
        <f>IFERROR(__xludf.DUMMYFUNCTION("""COMPUTED_VALUE"""),17.74)</f>
        <v>17.74</v>
      </c>
      <c r="E830" s="1">
        <f>IFERROR(__xludf.DUMMYFUNCTION("""COMPUTED_VALUE"""),18.24)</f>
        <v>18.24</v>
      </c>
      <c r="F830" s="1">
        <f>IFERROR(__xludf.DUMMYFUNCTION("""COMPUTED_VALUE"""),2318316.0)</f>
        <v>2318316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IFERROR(__xludf.DUMMYFUNCTION("""COMPUTED_VALUE"""),18.29)</f>
        <v>18.29</v>
      </c>
      <c r="C831" s="1">
        <f>IFERROR(__xludf.DUMMYFUNCTION("""COMPUTED_VALUE"""),18.59)</f>
        <v>18.59</v>
      </c>
      <c r="D831" s="1">
        <f>IFERROR(__xludf.DUMMYFUNCTION("""COMPUTED_VALUE"""),17.78)</f>
        <v>17.78</v>
      </c>
      <c r="E831" s="1">
        <f>IFERROR(__xludf.DUMMYFUNCTION("""COMPUTED_VALUE"""),17.92)</f>
        <v>17.92</v>
      </c>
      <c r="F831" s="1">
        <f>IFERROR(__xludf.DUMMYFUNCTION("""COMPUTED_VALUE"""),1941011.0)</f>
        <v>1941011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IFERROR(__xludf.DUMMYFUNCTION("""COMPUTED_VALUE"""),18.0)</f>
        <v>18</v>
      </c>
      <c r="C832" s="1">
        <f>IFERROR(__xludf.DUMMYFUNCTION("""COMPUTED_VALUE"""),19.12)</f>
        <v>19.12</v>
      </c>
      <c r="D832" s="1">
        <f>IFERROR(__xludf.DUMMYFUNCTION("""COMPUTED_VALUE"""),17.9)</f>
        <v>17.9</v>
      </c>
      <c r="E832" s="1">
        <f>IFERROR(__xludf.DUMMYFUNCTION("""COMPUTED_VALUE"""),19.0)</f>
        <v>19</v>
      </c>
      <c r="F832" s="1">
        <f>IFERROR(__xludf.DUMMYFUNCTION("""COMPUTED_VALUE"""),3435519.0)</f>
        <v>3435519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IFERROR(__xludf.DUMMYFUNCTION("""COMPUTED_VALUE"""),19.3)</f>
        <v>19.3</v>
      </c>
      <c r="C833" s="1">
        <f>IFERROR(__xludf.DUMMYFUNCTION("""COMPUTED_VALUE"""),19.99)</f>
        <v>19.99</v>
      </c>
      <c r="D833" s="1">
        <f>IFERROR(__xludf.DUMMYFUNCTION("""COMPUTED_VALUE"""),18.13)</f>
        <v>18.13</v>
      </c>
      <c r="E833" s="1">
        <f>IFERROR(__xludf.DUMMYFUNCTION("""COMPUTED_VALUE"""),18.8)</f>
        <v>18.8</v>
      </c>
      <c r="F833" s="1">
        <f>IFERROR(__xludf.DUMMYFUNCTION("""COMPUTED_VALUE"""),5429270.0)</f>
        <v>5429270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IFERROR(__xludf.DUMMYFUNCTION("""COMPUTED_VALUE"""),18.9)</f>
        <v>18.9</v>
      </c>
      <c r="C834" s="1">
        <f>IFERROR(__xludf.DUMMYFUNCTION("""COMPUTED_VALUE"""),19.5)</f>
        <v>19.5</v>
      </c>
      <c r="D834" s="1">
        <f>IFERROR(__xludf.DUMMYFUNCTION("""COMPUTED_VALUE"""),18.71)</f>
        <v>18.71</v>
      </c>
      <c r="E834" s="1">
        <f>IFERROR(__xludf.DUMMYFUNCTION("""COMPUTED_VALUE"""),19.43)</f>
        <v>19.43</v>
      </c>
      <c r="F834" s="1">
        <f>IFERROR(__xludf.DUMMYFUNCTION("""COMPUTED_VALUE"""),4896200.0)</f>
        <v>4896200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IFERROR(__xludf.DUMMYFUNCTION("""COMPUTED_VALUE"""),19.34)</f>
        <v>19.34</v>
      </c>
      <c r="C835" s="1">
        <f>IFERROR(__xludf.DUMMYFUNCTION("""COMPUTED_VALUE"""),19.59)</f>
        <v>19.59</v>
      </c>
      <c r="D835" s="1">
        <f>IFERROR(__xludf.DUMMYFUNCTION("""COMPUTED_VALUE"""),19.03)</f>
        <v>19.03</v>
      </c>
      <c r="E835" s="1">
        <f>IFERROR(__xludf.DUMMYFUNCTION("""COMPUTED_VALUE"""),19.12)</f>
        <v>19.12</v>
      </c>
      <c r="F835" s="1">
        <f>IFERROR(__xludf.DUMMYFUNCTION("""COMPUTED_VALUE"""),1931495.0)</f>
        <v>1931495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IFERROR(__xludf.DUMMYFUNCTION("""COMPUTED_VALUE"""),19.28)</f>
        <v>19.28</v>
      </c>
      <c r="C836" s="1">
        <f>IFERROR(__xludf.DUMMYFUNCTION("""COMPUTED_VALUE"""),19.45)</f>
        <v>19.45</v>
      </c>
      <c r="D836" s="1">
        <f>IFERROR(__xludf.DUMMYFUNCTION("""COMPUTED_VALUE"""),19.07)</f>
        <v>19.07</v>
      </c>
      <c r="E836" s="1">
        <f>IFERROR(__xludf.DUMMYFUNCTION("""COMPUTED_VALUE"""),19.2)</f>
        <v>19.2</v>
      </c>
      <c r="F836" s="1">
        <f>IFERROR(__xludf.DUMMYFUNCTION("""COMPUTED_VALUE"""),1366387.0)</f>
        <v>1366387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IFERROR(__xludf.DUMMYFUNCTION("""COMPUTED_VALUE"""),19.21)</f>
        <v>19.21</v>
      </c>
      <c r="C837" s="1">
        <f>IFERROR(__xludf.DUMMYFUNCTION("""COMPUTED_VALUE"""),19.35)</f>
        <v>19.35</v>
      </c>
      <c r="D837" s="1">
        <f>IFERROR(__xludf.DUMMYFUNCTION("""COMPUTED_VALUE"""),18.93)</f>
        <v>18.93</v>
      </c>
      <c r="E837" s="1">
        <f>IFERROR(__xludf.DUMMYFUNCTION("""COMPUTED_VALUE"""),19.13)</f>
        <v>19.13</v>
      </c>
      <c r="F837" s="1">
        <f>IFERROR(__xludf.DUMMYFUNCTION("""COMPUTED_VALUE"""),1291203.0)</f>
        <v>1291203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IFERROR(__xludf.DUMMYFUNCTION("""COMPUTED_VALUE"""),19.12)</f>
        <v>19.12</v>
      </c>
      <c r="C838" s="1">
        <f>IFERROR(__xludf.DUMMYFUNCTION("""COMPUTED_VALUE"""),19.3)</f>
        <v>19.3</v>
      </c>
      <c r="D838" s="1">
        <f>IFERROR(__xludf.DUMMYFUNCTION("""COMPUTED_VALUE"""),18.97)</f>
        <v>18.97</v>
      </c>
      <c r="E838" s="1">
        <f>IFERROR(__xludf.DUMMYFUNCTION("""COMPUTED_VALUE"""),19.15)</f>
        <v>19.15</v>
      </c>
      <c r="F838" s="1">
        <f>IFERROR(__xludf.DUMMYFUNCTION("""COMPUTED_VALUE"""),1843057.0)</f>
        <v>1843057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IFERROR(__xludf.DUMMYFUNCTION("""COMPUTED_VALUE"""),19.2)</f>
        <v>19.2</v>
      </c>
      <c r="C839" s="1">
        <f>IFERROR(__xludf.DUMMYFUNCTION("""COMPUTED_VALUE"""),19.2)</f>
        <v>19.2</v>
      </c>
      <c r="D839" s="1">
        <f>IFERROR(__xludf.DUMMYFUNCTION("""COMPUTED_VALUE"""),18.36)</f>
        <v>18.36</v>
      </c>
      <c r="E839" s="1">
        <f>IFERROR(__xludf.DUMMYFUNCTION("""COMPUTED_VALUE"""),18.56)</f>
        <v>18.56</v>
      </c>
      <c r="F839" s="1">
        <f>IFERROR(__xludf.DUMMYFUNCTION("""COMPUTED_VALUE"""),1219054.0)</f>
        <v>1219054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IFERROR(__xludf.DUMMYFUNCTION("""COMPUTED_VALUE"""),18.6)</f>
        <v>18.6</v>
      </c>
      <c r="C840" s="1">
        <f>IFERROR(__xludf.DUMMYFUNCTION("""COMPUTED_VALUE"""),19.0)</f>
        <v>19</v>
      </c>
      <c r="D840" s="1">
        <f>IFERROR(__xludf.DUMMYFUNCTION("""COMPUTED_VALUE"""),18.52)</f>
        <v>18.52</v>
      </c>
      <c r="E840" s="1">
        <f>IFERROR(__xludf.DUMMYFUNCTION("""COMPUTED_VALUE"""),18.66)</f>
        <v>18.66</v>
      </c>
      <c r="F840" s="1">
        <f>IFERROR(__xludf.DUMMYFUNCTION("""COMPUTED_VALUE"""),1133264.0)</f>
        <v>1133264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IFERROR(__xludf.DUMMYFUNCTION("""COMPUTED_VALUE"""),18.84)</f>
        <v>18.84</v>
      </c>
      <c r="C841" s="1">
        <f>IFERROR(__xludf.DUMMYFUNCTION("""COMPUTED_VALUE"""),19.04)</f>
        <v>19.04</v>
      </c>
      <c r="D841" s="1">
        <f>IFERROR(__xludf.DUMMYFUNCTION("""COMPUTED_VALUE"""),18.69)</f>
        <v>18.69</v>
      </c>
      <c r="E841" s="1">
        <f>IFERROR(__xludf.DUMMYFUNCTION("""COMPUTED_VALUE"""),18.94)</f>
        <v>18.94</v>
      </c>
      <c r="F841" s="1">
        <f>IFERROR(__xludf.DUMMYFUNCTION("""COMPUTED_VALUE"""),2555165.0)</f>
        <v>2555165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IFERROR(__xludf.DUMMYFUNCTION("""COMPUTED_VALUE"""),19.0)</f>
        <v>19</v>
      </c>
      <c r="C842" s="1">
        <f>IFERROR(__xludf.DUMMYFUNCTION("""COMPUTED_VALUE"""),19.02)</f>
        <v>19.02</v>
      </c>
      <c r="D842" s="1">
        <f>IFERROR(__xludf.DUMMYFUNCTION("""COMPUTED_VALUE"""),18.42)</f>
        <v>18.42</v>
      </c>
      <c r="E842" s="1">
        <f>IFERROR(__xludf.DUMMYFUNCTION("""COMPUTED_VALUE"""),18.5)</f>
        <v>18.5</v>
      </c>
      <c r="F842" s="1">
        <f>IFERROR(__xludf.DUMMYFUNCTION("""COMPUTED_VALUE"""),1952495.0)</f>
        <v>1952495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IFERROR(__xludf.DUMMYFUNCTION("""COMPUTED_VALUE"""),18.58)</f>
        <v>18.58</v>
      </c>
      <c r="C843" s="1">
        <f>IFERROR(__xludf.DUMMYFUNCTION("""COMPUTED_VALUE"""),18.75)</f>
        <v>18.75</v>
      </c>
      <c r="D843" s="1">
        <f>IFERROR(__xludf.DUMMYFUNCTION("""COMPUTED_VALUE"""),18.43)</f>
        <v>18.43</v>
      </c>
      <c r="E843" s="1">
        <f>IFERROR(__xludf.DUMMYFUNCTION("""COMPUTED_VALUE"""),18.65)</f>
        <v>18.65</v>
      </c>
      <c r="F843" s="1">
        <f>IFERROR(__xludf.DUMMYFUNCTION("""COMPUTED_VALUE"""),2051001.0)</f>
        <v>2051001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IFERROR(__xludf.DUMMYFUNCTION("""COMPUTED_VALUE"""),18.8)</f>
        <v>18.8</v>
      </c>
      <c r="C844" s="1">
        <f>IFERROR(__xludf.DUMMYFUNCTION("""COMPUTED_VALUE"""),18.86)</f>
        <v>18.86</v>
      </c>
      <c r="D844" s="1">
        <f>IFERROR(__xludf.DUMMYFUNCTION("""COMPUTED_VALUE"""),18.57)</f>
        <v>18.57</v>
      </c>
      <c r="E844" s="1">
        <f>IFERROR(__xludf.DUMMYFUNCTION("""COMPUTED_VALUE"""),18.7)</f>
        <v>18.7</v>
      </c>
      <c r="F844" s="1">
        <f>IFERROR(__xludf.DUMMYFUNCTION("""COMPUTED_VALUE"""),1520655.0)</f>
        <v>1520655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IFERROR(__xludf.DUMMYFUNCTION("""COMPUTED_VALUE"""),18.7)</f>
        <v>18.7</v>
      </c>
      <c r="C845" s="1">
        <f>IFERROR(__xludf.DUMMYFUNCTION("""COMPUTED_VALUE"""),19.3)</f>
        <v>19.3</v>
      </c>
      <c r="D845" s="1">
        <f>IFERROR(__xludf.DUMMYFUNCTION("""COMPUTED_VALUE"""),18.65)</f>
        <v>18.65</v>
      </c>
      <c r="E845" s="1">
        <f>IFERROR(__xludf.DUMMYFUNCTION("""COMPUTED_VALUE"""),19.16)</f>
        <v>19.16</v>
      </c>
      <c r="F845" s="1">
        <f>IFERROR(__xludf.DUMMYFUNCTION("""COMPUTED_VALUE"""),4308857.0)</f>
        <v>4308857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IFERROR(__xludf.DUMMYFUNCTION("""COMPUTED_VALUE"""),18.98)</f>
        <v>18.98</v>
      </c>
      <c r="C846" s="1">
        <f>IFERROR(__xludf.DUMMYFUNCTION("""COMPUTED_VALUE"""),19.0)</f>
        <v>19</v>
      </c>
      <c r="D846" s="1">
        <f>IFERROR(__xludf.DUMMYFUNCTION("""COMPUTED_VALUE"""),18.57)</f>
        <v>18.57</v>
      </c>
      <c r="E846" s="1">
        <f>IFERROR(__xludf.DUMMYFUNCTION("""COMPUTED_VALUE"""),18.82)</f>
        <v>18.82</v>
      </c>
      <c r="F846" s="1">
        <f>IFERROR(__xludf.DUMMYFUNCTION("""COMPUTED_VALUE"""),1133393.0)</f>
        <v>1133393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IFERROR(__xludf.DUMMYFUNCTION("""COMPUTED_VALUE"""),18.77)</f>
        <v>18.77</v>
      </c>
      <c r="C847" s="1">
        <f>IFERROR(__xludf.DUMMYFUNCTION("""COMPUTED_VALUE"""),18.99)</f>
        <v>18.99</v>
      </c>
      <c r="D847" s="1">
        <f>IFERROR(__xludf.DUMMYFUNCTION("""COMPUTED_VALUE"""),18.74)</f>
        <v>18.74</v>
      </c>
      <c r="E847" s="1">
        <f>IFERROR(__xludf.DUMMYFUNCTION("""COMPUTED_VALUE"""),18.79)</f>
        <v>18.79</v>
      </c>
      <c r="F847" s="1">
        <f>IFERROR(__xludf.DUMMYFUNCTION("""COMPUTED_VALUE"""),1243346.0)</f>
        <v>1243346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IFERROR(__xludf.DUMMYFUNCTION("""COMPUTED_VALUE"""),18.78)</f>
        <v>18.78</v>
      </c>
      <c r="C848" s="1">
        <f>IFERROR(__xludf.DUMMYFUNCTION("""COMPUTED_VALUE"""),18.97)</f>
        <v>18.97</v>
      </c>
      <c r="D848" s="1">
        <f>IFERROR(__xludf.DUMMYFUNCTION("""COMPUTED_VALUE"""),18.74)</f>
        <v>18.74</v>
      </c>
      <c r="E848" s="1">
        <f>IFERROR(__xludf.DUMMYFUNCTION("""COMPUTED_VALUE"""),18.9)</f>
        <v>18.9</v>
      </c>
      <c r="F848" s="1">
        <f>IFERROR(__xludf.DUMMYFUNCTION("""COMPUTED_VALUE"""),3028504.0)</f>
        <v>3028504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IFERROR(__xludf.DUMMYFUNCTION("""COMPUTED_VALUE"""),18.84)</f>
        <v>18.84</v>
      </c>
      <c r="C849" s="1">
        <f>IFERROR(__xludf.DUMMYFUNCTION("""COMPUTED_VALUE"""),19.02)</f>
        <v>19.02</v>
      </c>
      <c r="D849" s="1">
        <f>IFERROR(__xludf.DUMMYFUNCTION("""COMPUTED_VALUE"""),18.82)</f>
        <v>18.82</v>
      </c>
      <c r="E849" s="1">
        <f>IFERROR(__xludf.DUMMYFUNCTION("""COMPUTED_VALUE"""),18.84)</f>
        <v>18.84</v>
      </c>
      <c r="F849" s="1">
        <f>IFERROR(__xludf.DUMMYFUNCTION("""COMPUTED_VALUE"""),2668009.0)</f>
        <v>2668009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IFERROR(__xludf.DUMMYFUNCTION("""COMPUTED_VALUE"""),18.85)</f>
        <v>18.85</v>
      </c>
      <c r="C850" s="1">
        <f>IFERROR(__xludf.DUMMYFUNCTION("""COMPUTED_VALUE"""),19.27)</f>
        <v>19.27</v>
      </c>
      <c r="D850" s="1">
        <f>IFERROR(__xludf.DUMMYFUNCTION("""COMPUTED_VALUE"""),18.85)</f>
        <v>18.85</v>
      </c>
      <c r="E850" s="1">
        <f>IFERROR(__xludf.DUMMYFUNCTION("""COMPUTED_VALUE"""),18.99)</f>
        <v>18.99</v>
      </c>
      <c r="F850" s="1">
        <f>IFERROR(__xludf.DUMMYFUNCTION("""COMPUTED_VALUE"""),2295666.0)</f>
        <v>2295666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IFERROR(__xludf.DUMMYFUNCTION("""COMPUTED_VALUE"""),19.0)</f>
        <v>19</v>
      </c>
      <c r="C851" s="1">
        <f>IFERROR(__xludf.DUMMYFUNCTION("""COMPUTED_VALUE"""),19.65)</f>
        <v>19.65</v>
      </c>
      <c r="D851" s="1">
        <f>IFERROR(__xludf.DUMMYFUNCTION("""COMPUTED_VALUE"""),18.93)</f>
        <v>18.93</v>
      </c>
      <c r="E851" s="1">
        <f>IFERROR(__xludf.DUMMYFUNCTION("""COMPUTED_VALUE"""),19.3)</f>
        <v>19.3</v>
      </c>
      <c r="F851" s="1">
        <f>IFERROR(__xludf.DUMMYFUNCTION("""COMPUTED_VALUE"""),4727213.0)</f>
        <v>4727213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IFERROR(__xludf.DUMMYFUNCTION("""COMPUTED_VALUE"""),19.32)</f>
        <v>19.32</v>
      </c>
      <c r="C852" s="1">
        <f>IFERROR(__xludf.DUMMYFUNCTION("""COMPUTED_VALUE"""),20.61)</f>
        <v>20.61</v>
      </c>
      <c r="D852" s="1">
        <f>IFERROR(__xludf.DUMMYFUNCTION("""COMPUTED_VALUE"""),19.32)</f>
        <v>19.32</v>
      </c>
      <c r="E852" s="1">
        <f>IFERROR(__xludf.DUMMYFUNCTION("""COMPUTED_VALUE"""),20.17)</f>
        <v>20.17</v>
      </c>
      <c r="F852" s="1">
        <f>IFERROR(__xludf.DUMMYFUNCTION("""COMPUTED_VALUE"""),4938732.0)</f>
        <v>4938732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IFERROR(__xludf.DUMMYFUNCTION("""COMPUTED_VALUE"""),20.1)</f>
        <v>20.1</v>
      </c>
      <c r="C853" s="1">
        <f>IFERROR(__xludf.DUMMYFUNCTION("""COMPUTED_VALUE"""),20.51)</f>
        <v>20.51</v>
      </c>
      <c r="D853" s="1">
        <f>IFERROR(__xludf.DUMMYFUNCTION("""COMPUTED_VALUE"""),19.69)</f>
        <v>19.69</v>
      </c>
      <c r="E853" s="1">
        <f>IFERROR(__xludf.DUMMYFUNCTION("""COMPUTED_VALUE"""),19.92)</f>
        <v>19.92</v>
      </c>
      <c r="F853" s="1">
        <f>IFERROR(__xludf.DUMMYFUNCTION("""COMPUTED_VALUE"""),2610788.0)</f>
        <v>2610788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IFERROR(__xludf.DUMMYFUNCTION("""COMPUTED_VALUE"""),19.63)</f>
        <v>19.63</v>
      </c>
      <c r="C854" s="1">
        <f>IFERROR(__xludf.DUMMYFUNCTION("""COMPUTED_VALUE"""),20.32)</f>
        <v>20.32</v>
      </c>
      <c r="D854" s="1">
        <f>IFERROR(__xludf.DUMMYFUNCTION("""COMPUTED_VALUE"""),19.34)</f>
        <v>19.34</v>
      </c>
      <c r="E854" s="1">
        <f>IFERROR(__xludf.DUMMYFUNCTION("""COMPUTED_VALUE"""),20.17)</f>
        <v>20.17</v>
      </c>
      <c r="F854" s="1">
        <f>IFERROR(__xludf.DUMMYFUNCTION("""COMPUTED_VALUE"""),1700137.0)</f>
        <v>1700137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IFERROR(__xludf.DUMMYFUNCTION("""COMPUTED_VALUE"""),20.0)</f>
        <v>20</v>
      </c>
      <c r="C855" s="1">
        <f>IFERROR(__xludf.DUMMYFUNCTION("""COMPUTED_VALUE"""),20.48)</f>
        <v>20.48</v>
      </c>
      <c r="D855" s="1">
        <f>IFERROR(__xludf.DUMMYFUNCTION("""COMPUTED_VALUE"""),19.98)</f>
        <v>19.98</v>
      </c>
      <c r="E855" s="1">
        <f>IFERROR(__xludf.DUMMYFUNCTION("""COMPUTED_VALUE"""),20.33)</f>
        <v>20.33</v>
      </c>
      <c r="F855" s="1">
        <f>IFERROR(__xludf.DUMMYFUNCTION("""COMPUTED_VALUE"""),1258817.0)</f>
        <v>1258817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IFERROR(__xludf.DUMMYFUNCTION("""COMPUTED_VALUE"""),20.43)</f>
        <v>20.43</v>
      </c>
      <c r="C856" s="1">
        <f>IFERROR(__xludf.DUMMYFUNCTION("""COMPUTED_VALUE"""),21.81)</f>
        <v>21.81</v>
      </c>
      <c r="D856" s="1">
        <f>IFERROR(__xludf.DUMMYFUNCTION("""COMPUTED_VALUE"""),20.42)</f>
        <v>20.42</v>
      </c>
      <c r="E856" s="1">
        <f>IFERROR(__xludf.DUMMYFUNCTION("""COMPUTED_VALUE"""),21.46)</f>
        <v>21.46</v>
      </c>
      <c r="F856" s="1">
        <f>IFERROR(__xludf.DUMMYFUNCTION("""COMPUTED_VALUE"""),3306234.0)</f>
        <v>3306234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IFERROR(__xludf.DUMMYFUNCTION("""COMPUTED_VALUE"""),21.05)</f>
        <v>21.05</v>
      </c>
      <c r="C857" s="1">
        <f>IFERROR(__xludf.DUMMYFUNCTION("""COMPUTED_VALUE"""),22.04)</f>
        <v>22.04</v>
      </c>
      <c r="D857" s="1">
        <f>IFERROR(__xludf.DUMMYFUNCTION("""COMPUTED_VALUE"""),21.05)</f>
        <v>21.05</v>
      </c>
      <c r="E857" s="1">
        <f>IFERROR(__xludf.DUMMYFUNCTION("""COMPUTED_VALUE"""),21.86)</f>
        <v>21.86</v>
      </c>
      <c r="F857" s="1">
        <f>IFERROR(__xludf.DUMMYFUNCTION("""COMPUTED_VALUE"""),3892083.0)</f>
        <v>3892083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IFERROR(__xludf.DUMMYFUNCTION("""COMPUTED_VALUE"""),21.64)</f>
        <v>21.64</v>
      </c>
      <c r="C858" s="1">
        <f>IFERROR(__xludf.DUMMYFUNCTION("""COMPUTED_VALUE"""),22.67)</f>
        <v>22.67</v>
      </c>
      <c r="D858" s="1">
        <f>IFERROR(__xludf.DUMMYFUNCTION("""COMPUTED_VALUE"""),21.6)</f>
        <v>21.6</v>
      </c>
      <c r="E858" s="1">
        <f>IFERROR(__xludf.DUMMYFUNCTION("""COMPUTED_VALUE"""),22.56)</f>
        <v>22.56</v>
      </c>
      <c r="F858" s="1">
        <f>IFERROR(__xludf.DUMMYFUNCTION("""COMPUTED_VALUE"""),4203171.0)</f>
        <v>4203171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IFERROR(__xludf.DUMMYFUNCTION("""COMPUTED_VALUE"""),22.35)</f>
        <v>22.35</v>
      </c>
      <c r="C859" s="1">
        <f>IFERROR(__xludf.DUMMYFUNCTION("""COMPUTED_VALUE"""),22.8)</f>
        <v>22.8</v>
      </c>
      <c r="D859" s="1">
        <f>IFERROR(__xludf.DUMMYFUNCTION("""COMPUTED_VALUE"""),22.24)</f>
        <v>22.24</v>
      </c>
      <c r="E859" s="1">
        <f>IFERROR(__xludf.DUMMYFUNCTION("""COMPUTED_VALUE"""),22.33)</f>
        <v>22.33</v>
      </c>
      <c r="F859" s="1">
        <f>IFERROR(__xludf.DUMMYFUNCTION("""COMPUTED_VALUE"""),2296986.0)</f>
        <v>2296986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IFERROR(__xludf.DUMMYFUNCTION("""COMPUTED_VALUE"""),22.45)</f>
        <v>22.45</v>
      </c>
      <c r="C860" s="1">
        <f>IFERROR(__xludf.DUMMYFUNCTION("""COMPUTED_VALUE"""),22.45)</f>
        <v>22.45</v>
      </c>
      <c r="D860" s="1">
        <f>IFERROR(__xludf.DUMMYFUNCTION("""COMPUTED_VALUE"""),21.69)</f>
        <v>21.69</v>
      </c>
      <c r="E860" s="1">
        <f>IFERROR(__xludf.DUMMYFUNCTION("""COMPUTED_VALUE"""),22.03)</f>
        <v>22.03</v>
      </c>
      <c r="F860" s="1">
        <f>IFERROR(__xludf.DUMMYFUNCTION("""COMPUTED_VALUE"""),1649499.0)</f>
        <v>1649499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IFERROR(__xludf.DUMMYFUNCTION("""COMPUTED_VALUE"""),21.84)</f>
        <v>21.84</v>
      </c>
      <c r="C861" s="1">
        <f>IFERROR(__xludf.DUMMYFUNCTION("""COMPUTED_VALUE"""),22.74)</f>
        <v>22.74</v>
      </c>
      <c r="D861" s="1">
        <f>IFERROR(__xludf.DUMMYFUNCTION("""COMPUTED_VALUE"""),21.84)</f>
        <v>21.84</v>
      </c>
      <c r="E861" s="1">
        <f>IFERROR(__xludf.DUMMYFUNCTION("""COMPUTED_VALUE"""),22.32)</f>
        <v>22.32</v>
      </c>
      <c r="F861" s="1">
        <f>IFERROR(__xludf.DUMMYFUNCTION("""COMPUTED_VALUE"""),1328475.0)</f>
        <v>1328475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IFERROR(__xludf.DUMMYFUNCTION("""COMPUTED_VALUE"""),22.09)</f>
        <v>22.09</v>
      </c>
      <c r="C862" s="1">
        <f>IFERROR(__xludf.DUMMYFUNCTION("""COMPUTED_VALUE"""),22.27)</f>
        <v>22.27</v>
      </c>
      <c r="D862" s="1">
        <f>IFERROR(__xludf.DUMMYFUNCTION("""COMPUTED_VALUE"""),21.68)</f>
        <v>21.68</v>
      </c>
      <c r="E862" s="1">
        <f>IFERROR(__xludf.DUMMYFUNCTION("""COMPUTED_VALUE"""),21.8)</f>
        <v>21.8</v>
      </c>
      <c r="F862" s="1">
        <f>IFERROR(__xludf.DUMMYFUNCTION("""COMPUTED_VALUE"""),1739233.0)</f>
        <v>1739233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IFERROR(__xludf.DUMMYFUNCTION("""COMPUTED_VALUE"""),21.6)</f>
        <v>21.6</v>
      </c>
      <c r="C863" s="1">
        <f>IFERROR(__xludf.DUMMYFUNCTION("""COMPUTED_VALUE"""),22.19)</f>
        <v>22.19</v>
      </c>
      <c r="D863" s="1">
        <f>IFERROR(__xludf.DUMMYFUNCTION("""COMPUTED_VALUE"""),21.57)</f>
        <v>21.57</v>
      </c>
      <c r="E863" s="1">
        <f>IFERROR(__xludf.DUMMYFUNCTION("""COMPUTED_VALUE"""),21.86)</f>
        <v>21.86</v>
      </c>
      <c r="F863" s="1">
        <f>IFERROR(__xludf.DUMMYFUNCTION("""COMPUTED_VALUE"""),1117411.0)</f>
        <v>1117411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IFERROR(__xludf.DUMMYFUNCTION("""COMPUTED_VALUE"""),21.83)</f>
        <v>21.83</v>
      </c>
      <c r="C864" s="1">
        <f>IFERROR(__xludf.DUMMYFUNCTION("""COMPUTED_VALUE"""),22.4)</f>
        <v>22.4</v>
      </c>
      <c r="D864" s="1">
        <f>IFERROR(__xludf.DUMMYFUNCTION("""COMPUTED_VALUE"""),21.53)</f>
        <v>21.53</v>
      </c>
      <c r="E864" s="1">
        <f>IFERROR(__xludf.DUMMYFUNCTION("""COMPUTED_VALUE"""),22.35)</f>
        <v>22.35</v>
      </c>
      <c r="F864" s="1">
        <f>IFERROR(__xludf.DUMMYFUNCTION("""COMPUTED_VALUE"""),579264.0)</f>
        <v>579264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IFERROR(__xludf.DUMMYFUNCTION("""COMPUTED_VALUE"""),22.3)</f>
        <v>22.3</v>
      </c>
      <c r="C865" s="1">
        <f>IFERROR(__xludf.DUMMYFUNCTION("""COMPUTED_VALUE"""),23.11)</f>
        <v>23.11</v>
      </c>
      <c r="D865" s="1">
        <f>IFERROR(__xludf.DUMMYFUNCTION("""COMPUTED_VALUE"""),22.26)</f>
        <v>22.26</v>
      </c>
      <c r="E865" s="1">
        <f>IFERROR(__xludf.DUMMYFUNCTION("""COMPUTED_VALUE"""),22.46)</f>
        <v>22.46</v>
      </c>
      <c r="F865" s="1">
        <f>IFERROR(__xludf.DUMMYFUNCTION("""COMPUTED_VALUE"""),1920374.0)</f>
        <v>1920374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IFERROR(__xludf.DUMMYFUNCTION("""COMPUTED_VALUE"""),22.15)</f>
        <v>22.15</v>
      </c>
      <c r="C866" s="1">
        <f>IFERROR(__xludf.DUMMYFUNCTION("""COMPUTED_VALUE"""),22.15)</f>
        <v>22.15</v>
      </c>
      <c r="D866" s="1">
        <f>IFERROR(__xludf.DUMMYFUNCTION("""COMPUTED_VALUE"""),21.54)</f>
        <v>21.54</v>
      </c>
      <c r="E866" s="1">
        <f>IFERROR(__xludf.DUMMYFUNCTION("""COMPUTED_VALUE"""),21.67)</f>
        <v>21.67</v>
      </c>
      <c r="F866" s="1">
        <f>IFERROR(__xludf.DUMMYFUNCTION("""COMPUTED_VALUE"""),1939239.0)</f>
        <v>1939239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IFERROR(__xludf.DUMMYFUNCTION("""COMPUTED_VALUE"""),21.7)</f>
        <v>21.7</v>
      </c>
      <c r="C867" s="1">
        <f>IFERROR(__xludf.DUMMYFUNCTION("""COMPUTED_VALUE"""),22.34)</f>
        <v>22.34</v>
      </c>
      <c r="D867" s="1">
        <f>IFERROR(__xludf.DUMMYFUNCTION("""COMPUTED_VALUE"""),21.65)</f>
        <v>21.65</v>
      </c>
      <c r="E867" s="1">
        <f>IFERROR(__xludf.DUMMYFUNCTION("""COMPUTED_VALUE"""),21.97)</f>
        <v>21.97</v>
      </c>
      <c r="F867" s="1">
        <f>IFERROR(__xludf.DUMMYFUNCTION("""COMPUTED_VALUE"""),1088581.0)</f>
        <v>1088581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IFERROR(__xludf.DUMMYFUNCTION("""COMPUTED_VALUE"""),21.72)</f>
        <v>21.72</v>
      </c>
      <c r="C868" s="1">
        <f>IFERROR(__xludf.DUMMYFUNCTION("""COMPUTED_VALUE"""),22.01)</f>
        <v>22.01</v>
      </c>
      <c r="D868" s="1">
        <f>IFERROR(__xludf.DUMMYFUNCTION("""COMPUTED_VALUE"""),21.53)</f>
        <v>21.53</v>
      </c>
      <c r="E868" s="1">
        <f>IFERROR(__xludf.DUMMYFUNCTION("""COMPUTED_VALUE"""),21.93)</f>
        <v>21.93</v>
      </c>
      <c r="F868" s="1">
        <f>IFERROR(__xludf.DUMMYFUNCTION("""COMPUTED_VALUE"""),949778.0)</f>
        <v>949778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IFERROR(__xludf.DUMMYFUNCTION("""COMPUTED_VALUE"""),21.85)</f>
        <v>21.85</v>
      </c>
      <c r="C869" s="1">
        <f>IFERROR(__xludf.DUMMYFUNCTION("""COMPUTED_VALUE"""),22.56)</f>
        <v>22.56</v>
      </c>
      <c r="D869" s="1">
        <f>IFERROR(__xludf.DUMMYFUNCTION("""COMPUTED_VALUE"""),21.81)</f>
        <v>21.81</v>
      </c>
      <c r="E869" s="1">
        <f>IFERROR(__xludf.DUMMYFUNCTION("""COMPUTED_VALUE"""),22.07)</f>
        <v>22.07</v>
      </c>
      <c r="F869" s="1">
        <f>IFERROR(__xludf.DUMMYFUNCTION("""COMPUTED_VALUE"""),1028722.0)</f>
        <v>1028722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IFERROR(__xludf.DUMMYFUNCTION("""COMPUTED_VALUE"""),22.33)</f>
        <v>22.33</v>
      </c>
      <c r="C870" s="1">
        <f>IFERROR(__xludf.DUMMYFUNCTION("""COMPUTED_VALUE"""),22.53)</f>
        <v>22.53</v>
      </c>
      <c r="D870" s="1">
        <f>IFERROR(__xludf.DUMMYFUNCTION("""COMPUTED_VALUE"""),21.67)</f>
        <v>21.67</v>
      </c>
      <c r="E870" s="1">
        <f>IFERROR(__xludf.DUMMYFUNCTION("""COMPUTED_VALUE"""),21.9)</f>
        <v>21.9</v>
      </c>
      <c r="F870" s="1">
        <f>IFERROR(__xludf.DUMMYFUNCTION("""COMPUTED_VALUE"""),1441022.0)</f>
        <v>1441022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IFERROR(__xludf.DUMMYFUNCTION("""COMPUTED_VALUE"""),21.73)</f>
        <v>21.73</v>
      </c>
      <c r="C871" s="1">
        <f>IFERROR(__xludf.DUMMYFUNCTION("""COMPUTED_VALUE"""),22.12)</f>
        <v>22.12</v>
      </c>
      <c r="D871" s="1">
        <f>IFERROR(__xludf.DUMMYFUNCTION("""COMPUTED_VALUE"""),21.62)</f>
        <v>21.62</v>
      </c>
      <c r="E871" s="1">
        <f>IFERROR(__xludf.DUMMYFUNCTION("""COMPUTED_VALUE"""),21.98)</f>
        <v>21.98</v>
      </c>
      <c r="F871" s="1">
        <f>IFERROR(__xludf.DUMMYFUNCTION("""COMPUTED_VALUE"""),693157.0)</f>
        <v>693157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IFERROR(__xludf.DUMMYFUNCTION("""COMPUTED_VALUE"""),21.93)</f>
        <v>21.93</v>
      </c>
      <c r="C872" s="1">
        <f>IFERROR(__xludf.DUMMYFUNCTION("""COMPUTED_VALUE"""),21.97)</f>
        <v>21.97</v>
      </c>
      <c r="D872" s="1">
        <f>IFERROR(__xludf.DUMMYFUNCTION("""COMPUTED_VALUE"""),21.57)</f>
        <v>21.57</v>
      </c>
      <c r="E872" s="1">
        <f>IFERROR(__xludf.DUMMYFUNCTION("""COMPUTED_VALUE"""),21.62)</f>
        <v>21.62</v>
      </c>
      <c r="F872" s="1">
        <f>IFERROR(__xludf.DUMMYFUNCTION("""COMPUTED_VALUE"""),489408.0)</f>
        <v>489408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IFERROR(__xludf.DUMMYFUNCTION("""COMPUTED_VALUE"""),21.5)</f>
        <v>21.5</v>
      </c>
      <c r="C873" s="1">
        <f>IFERROR(__xludf.DUMMYFUNCTION("""COMPUTED_VALUE"""),21.7)</f>
        <v>21.7</v>
      </c>
      <c r="D873" s="1">
        <f>IFERROR(__xludf.DUMMYFUNCTION("""COMPUTED_VALUE"""),20.7)</f>
        <v>20.7</v>
      </c>
      <c r="E873" s="1">
        <f>IFERROR(__xludf.DUMMYFUNCTION("""COMPUTED_VALUE"""),20.99)</f>
        <v>20.99</v>
      </c>
      <c r="F873" s="1">
        <f>IFERROR(__xludf.DUMMYFUNCTION("""COMPUTED_VALUE"""),1931368.0)</f>
        <v>1931368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IFERROR(__xludf.DUMMYFUNCTION("""COMPUTED_VALUE"""),21.22)</f>
        <v>21.22</v>
      </c>
      <c r="C874" s="1">
        <f>IFERROR(__xludf.DUMMYFUNCTION("""COMPUTED_VALUE"""),21.58)</f>
        <v>21.58</v>
      </c>
      <c r="D874" s="1">
        <f>IFERROR(__xludf.DUMMYFUNCTION("""COMPUTED_VALUE"""),21.17)</f>
        <v>21.17</v>
      </c>
      <c r="E874" s="1">
        <f>IFERROR(__xludf.DUMMYFUNCTION("""COMPUTED_VALUE"""),21.42)</f>
        <v>21.42</v>
      </c>
      <c r="F874" s="1">
        <f>IFERROR(__xludf.DUMMYFUNCTION("""COMPUTED_VALUE"""),2540442.0)</f>
        <v>2540442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IFERROR(__xludf.DUMMYFUNCTION("""COMPUTED_VALUE"""),20.93)</f>
        <v>20.93</v>
      </c>
      <c r="C875" s="1">
        <f>IFERROR(__xludf.DUMMYFUNCTION("""COMPUTED_VALUE"""),20.93)</f>
        <v>20.93</v>
      </c>
      <c r="D875" s="1">
        <f>IFERROR(__xludf.DUMMYFUNCTION("""COMPUTED_VALUE"""),20.06)</f>
        <v>20.06</v>
      </c>
      <c r="E875" s="1">
        <f>IFERROR(__xludf.DUMMYFUNCTION("""COMPUTED_VALUE"""),20.37)</f>
        <v>20.37</v>
      </c>
      <c r="F875" s="1">
        <f>IFERROR(__xludf.DUMMYFUNCTION("""COMPUTED_VALUE"""),1457846.0)</f>
        <v>1457846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IFERROR(__xludf.DUMMYFUNCTION("""COMPUTED_VALUE"""),20.67)</f>
        <v>20.67</v>
      </c>
      <c r="C876" s="1">
        <f>IFERROR(__xludf.DUMMYFUNCTION("""COMPUTED_VALUE"""),21.41)</f>
        <v>21.41</v>
      </c>
      <c r="D876" s="1">
        <f>IFERROR(__xludf.DUMMYFUNCTION("""COMPUTED_VALUE"""),20.67)</f>
        <v>20.67</v>
      </c>
      <c r="E876" s="1">
        <f>IFERROR(__xludf.DUMMYFUNCTION("""COMPUTED_VALUE"""),21.26)</f>
        <v>21.26</v>
      </c>
      <c r="F876" s="1">
        <f>IFERROR(__xludf.DUMMYFUNCTION("""COMPUTED_VALUE"""),1489894.0)</f>
        <v>1489894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IFERROR(__xludf.DUMMYFUNCTION("""COMPUTED_VALUE"""),21.3)</f>
        <v>21.3</v>
      </c>
      <c r="C877" s="1">
        <f>IFERROR(__xludf.DUMMYFUNCTION("""COMPUTED_VALUE"""),21.82)</f>
        <v>21.82</v>
      </c>
      <c r="D877" s="1">
        <f>IFERROR(__xludf.DUMMYFUNCTION("""COMPUTED_VALUE"""),21.3)</f>
        <v>21.3</v>
      </c>
      <c r="E877" s="1">
        <f>IFERROR(__xludf.DUMMYFUNCTION("""COMPUTED_VALUE"""),21.64)</f>
        <v>21.64</v>
      </c>
      <c r="F877" s="1">
        <f>IFERROR(__xludf.DUMMYFUNCTION("""COMPUTED_VALUE"""),1420604.0)</f>
        <v>1420604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IFERROR(__xludf.DUMMYFUNCTION("""COMPUTED_VALUE"""),21.72)</f>
        <v>21.72</v>
      </c>
      <c r="C878" s="1">
        <f>IFERROR(__xludf.DUMMYFUNCTION("""COMPUTED_VALUE"""),22.15)</f>
        <v>22.15</v>
      </c>
      <c r="D878" s="1">
        <f>IFERROR(__xludf.DUMMYFUNCTION("""COMPUTED_VALUE"""),21.58)</f>
        <v>21.58</v>
      </c>
      <c r="E878" s="1">
        <f>IFERROR(__xludf.DUMMYFUNCTION("""COMPUTED_VALUE"""),22.09)</f>
        <v>22.09</v>
      </c>
      <c r="F878" s="1">
        <f>IFERROR(__xludf.DUMMYFUNCTION("""COMPUTED_VALUE"""),1378942.0)</f>
        <v>1378942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IFERROR(__xludf.DUMMYFUNCTION("""COMPUTED_VALUE"""),22.0)</f>
        <v>22</v>
      </c>
      <c r="C879" s="1">
        <f>IFERROR(__xludf.DUMMYFUNCTION("""COMPUTED_VALUE"""),22.28)</f>
        <v>22.28</v>
      </c>
      <c r="D879" s="1">
        <f>IFERROR(__xludf.DUMMYFUNCTION("""COMPUTED_VALUE"""),21.75)</f>
        <v>21.75</v>
      </c>
      <c r="E879" s="1">
        <f>IFERROR(__xludf.DUMMYFUNCTION("""COMPUTED_VALUE"""),22.15)</f>
        <v>22.15</v>
      </c>
      <c r="F879" s="1">
        <f>IFERROR(__xludf.DUMMYFUNCTION("""COMPUTED_VALUE"""),1196519.0)</f>
        <v>1196519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IFERROR(__xludf.DUMMYFUNCTION("""COMPUTED_VALUE"""),22.18)</f>
        <v>22.18</v>
      </c>
      <c r="C880" s="1">
        <f>IFERROR(__xludf.DUMMYFUNCTION("""COMPUTED_VALUE"""),22.62)</f>
        <v>22.62</v>
      </c>
      <c r="D880" s="1">
        <f>IFERROR(__xludf.DUMMYFUNCTION("""COMPUTED_VALUE"""),22.15)</f>
        <v>22.15</v>
      </c>
      <c r="E880" s="1">
        <f>IFERROR(__xludf.DUMMYFUNCTION("""COMPUTED_VALUE"""),22.41)</f>
        <v>22.41</v>
      </c>
      <c r="F880" s="1">
        <f>IFERROR(__xludf.DUMMYFUNCTION("""COMPUTED_VALUE"""),645050.0)</f>
        <v>645050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IFERROR(__xludf.DUMMYFUNCTION("""COMPUTED_VALUE"""),22.26)</f>
        <v>22.26</v>
      </c>
      <c r="C881" s="1">
        <f>IFERROR(__xludf.DUMMYFUNCTION("""COMPUTED_VALUE"""),22.63)</f>
        <v>22.63</v>
      </c>
      <c r="D881" s="1">
        <f>IFERROR(__xludf.DUMMYFUNCTION("""COMPUTED_VALUE"""),21.99)</f>
        <v>21.99</v>
      </c>
      <c r="E881" s="1">
        <f>IFERROR(__xludf.DUMMYFUNCTION("""COMPUTED_VALUE"""),22.1)</f>
        <v>22.1</v>
      </c>
      <c r="F881" s="1">
        <f>IFERROR(__xludf.DUMMYFUNCTION("""COMPUTED_VALUE"""),811529.0)</f>
        <v>811529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IFERROR(__xludf.DUMMYFUNCTION("""COMPUTED_VALUE"""),21.79)</f>
        <v>21.79</v>
      </c>
      <c r="C882" s="1">
        <f>IFERROR(__xludf.DUMMYFUNCTION("""COMPUTED_VALUE"""),22.05)</f>
        <v>22.05</v>
      </c>
      <c r="D882" s="1">
        <f>IFERROR(__xludf.DUMMYFUNCTION("""COMPUTED_VALUE"""),21.3)</f>
        <v>21.3</v>
      </c>
      <c r="E882" s="1">
        <f>IFERROR(__xludf.DUMMYFUNCTION("""COMPUTED_VALUE"""),21.49)</f>
        <v>21.49</v>
      </c>
      <c r="F882" s="1">
        <f>IFERROR(__xludf.DUMMYFUNCTION("""COMPUTED_VALUE"""),976194.0)</f>
        <v>976194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IFERROR(__xludf.DUMMYFUNCTION("""COMPUTED_VALUE"""),21.81)</f>
        <v>21.81</v>
      </c>
      <c r="C883" s="1">
        <f>IFERROR(__xludf.DUMMYFUNCTION("""COMPUTED_VALUE"""),23.0)</f>
        <v>23</v>
      </c>
      <c r="D883" s="1">
        <f>IFERROR(__xludf.DUMMYFUNCTION("""COMPUTED_VALUE"""),21.69)</f>
        <v>21.69</v>
      </c>
      <c r="E883" s="1">
        <f>IFERROR(__xludf.DUMMYFUNCTION("""COMPUTED_VALUE"""),22.98)</f>
        <v>22.98</v>
      </c>
      <c r="F883" s="1">
        <f>IFERROR(__xludf.DUMMYFUNCTION("""COMPUTED_VALUE"""),2099646.0)</f>
        <v>2099646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IFERROR(__xludf.DUMMYFUNCTION("""COMPUTED_VALUE"""),23.0)</f>
        <v>23</v>
      </c>
      <c r="C884" s="1">
        <f>IFERROR(__xludf.DUMMYFUNCTION("""COMPUTED_VALUE"""),23.29)</f>
        <v>23.29</v>
      </c>
      <c r="D884" s="1">
        <f>IFERROR(__xludf.DUMMYFUNCTION("""COMPUTED_VALUE"""),22.68)</f>
        <v>22.68</v>
      </c>
      <c r="E884" s="1">
        <f>IFERROR(__xludf.DUMMYFUNCTION("""COMPUTED_VALUE"""),23.13)</f>
        <v>23.13</v>
      </c>
      <c r="F884" s="1">
        <f>IFERROR(__xludf.DUMMYFUNCTION("""COMPUTED_VALUE"""),1473055.0)</f>
        <v>1473055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IFERROR(__xludf.DUMMYFUNCTION("""COMPUTED_VALUE"""),23.27)</f>
        <v>23.27</v>
      </c>
      <c r="C885" s="1">
        <f>IFERROR(__xludf.DUMMYFUNCTION("""COMPUTED_VALUE"""),23.28)</f>
        <v>23.28</v>
      </c>
      <c r="D885" s="1">
        <f>IFERROR(__xludf.DUMMYFUNCTION("""COMPUTED_VALUE"""),22.59)</f>
        <v>22.59</v>
      </c>
      <c r="E885" s="1">
        <f>IFERROR(__xludf.DUMMYFUNCTION("""COMPUTED_VALUE"""),23.14)</f>
        <v>23.14</v>
      </c>
      <c r="F885" s="1">
        <f>IFERROR(__xludf.DUMMYFUNCTION("""COMPUTED_VALUE"""),758514.0)</f>
        <v>758514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IFERROR(__xludf.DUMMYFUNCTION("""COMPUTED_VALUE"""),23.19)</f>
        <v>23.19</v>
      </c>
      <c r="C886" s="1">
        <f>IFERROR(__xludf.DUMMYFUNCTION("""COMPUTED_VALUE"""),23.56)</f>
        <v>23.56</v>
      </c>
      <c r="D886" s="1">
        <f>IFERROR(__xludf.DUMMYFUNCTION("""COMPUTED_VALUE"""),23.15)</f>
        <v>23.15</v>
      </c>
      <c r="E886" s="1">
        <f>IFERROR(__xludf.DUMMYFUNCTION("""COMPUTED_VALUE"""),23.48)</f>
        <v>23.48</v>
      </c>
      <c r="F886" s="1">
        <f>IFERROR(__xludf.DUMMYFUNCTION("""COMPUTED_VALUE"""),1005862.0)</f>
        <v>1005862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IFERROR(__xludf.DUMMYFUNCTION("""COMPUTED_VALUE"""),23.85)</f>
        <v>23.85</v>
      </c>
      <c r="C887" s="1">
        <f>IFERROR(__xludf.DUMMYFUNCTION("""COMPUTED_VALUE"""),24.15)</f>
        <v>24.15</v>
      </c>
      <c r="D887" s="1">
        <f>IFERROR(__xludf.DUMMYFUNCTION("""COMPUTED_VALUE"""),23.59)</f>
        <v>23.59</v>
      </c>
      <c r="E887" s="1">
        <f>IFERROR(__xludf.DUMMYFUNCTION("""COMPUTED_VALUE"""),24.1)</f>
        <v>24.1</v>
      </c>
      <c r="F887" s="1">
        <f>IFERROR(__xludf.DUMMYFUNCTION("""COMPUTED_VALUE"""),1185373.0)</f>
        <v>1185373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IFERROR(__xludf.DUMMYFUNCTION("""COMPUTED_VALUE"""),24.0)</f>
        <v>24</v>
      </c>
      <c r="C888" s="1">
        <f>IFERROR(__xludf.DUMMYFUNCTION("""COMPUTED_VALUE"""),24.13)</f>
        <v>24.13</v>
      </c>
      <c r="D888" s="1">
        <f>IFERROR(__xludf.DUMMYFUNCTION("""COMPUTED_VALUE"""),23.74)</f>
        <v>23.74</v>
      </c>
      <c r="E888" s="1">
        <f>IFERROR(__xludf.DUMMYFUNCTION("""COMPUTED_VALUE"""),24.01)</f>
        <v>24.01</v>
      </c>
      <c r="F888" s="1">
        <f>IFERROR(__xludf.DUMMYFUNCTION("""COMPUTED_VALUE"""),752359.0)</f>
        <v>752359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IFERROR(__xludf.DUMMYFUNCTION("""COMPUTED_VALUE"""),24.0)</f>
        <v>24</v>
      </c>
      <c r="C889" s="1">
        <f>IFERROR(__xludf.DUMMYFUNCTION("""COMPUTED_VALUE"""),24.24)</f>
        <v>24.24</v>
      </c>
      <c r="D889" s="1">
        <f>IFERROR(__xludf.DUMMYFUNCTION("""COMPUTED_VALUE"""),23.86)</f>
        <v>23.86</v>
      </c>
      <c r="E889" s="1">
        <f>IFERROR(__xludf.DUMMYFUNCTION("""COMPUTED_VALUE"""),24.2)</f>
        <v>24.2</v>
      </c>
      <c r="F889" s="1">
        <f>IFERROR(__xludf.DUMMYFUNCTION("""COMPUTED_VALUE"""),1338029.0)</f>
        <v>1338029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IFERROR(__xludf.DUMMYFUNCTION("""COMPUTED_VALUE"""),24.27)</f>
        <v>24.27</v>
      </c>
      <c r="C890" s="1">
        <f>IFERROR(__xludf.DUMMYFUNCTION("""COMPUTED_VALUE"""),24.42)</f>
        <v>24.42</v>
      </c>
      <c r="D890" s="1">
        <f>IFERROR(__xludf.DUMMYFUNCTION("""COMPUTED_VALUE"""),23.97)</f>
        <v>23.97</v>
      </c>
      <c r="E890" s="1">
        <f>IFERROR(__xludf.DUMMYFUNCTION("""COMPUTED_VALUE"""),23.99)</f>
        <v>23.99</v>
      </c>
      <c r="F890" s="1">
        <f>IFERROR(__xludf.DUMMYFUNCTION("""COMPUTED_VALUE"""),1379389.0)</f>
        <v>1379389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IFERROR(__xludf.DUMMYFUNCTION("""COMPUTED_VALUE"""),23.9)</f>
        <v>23.9</v>
      </c>
      <c r="C891" s="1">
        <f>IFERROR(__xludf.DUMMYFUNCTION("""COMPUTED_VALUE"""),23.95)</f>
        <v>23.95</v>
      </c>
      <c r="D891" s="1">
        <f>IFERROR(__xludf.DUMMYFUNCTION("""COMPUTED_VALUE"""),23.25)</f>
        <v>23.25</v>
      </c>
      <c r="E891" s="1">
        <f>IFERROR(__xludf.DUMMYFUNCTION("""COMPUTED_VALUE"""),23.48)</f>
        <v>23.48</v>
      </c>
      <c r="F891" s="1">
        <f>IFERROR(__xludf.DUMMYFUNCTION("""COMPUTED_VALUE"""),1095748.0)</f>
        <v>1095748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IFERROR(__xludf.DUMMYFUNCTION("""COMPUTED_VALUE"""),23.52)</f>
        <v>23.52</v>
      </c>
      <c r="C892" s="1">
        <f>IFERROR(__xludf.DUMMYFUNCTION("""COMPUTED_VALUE"""),23.6)</f>
        <v>23.6</v>
      </c>
      <c r="D892" s="1">
        <f>IFERROR(__xludf.DUMMYFUNCTION("""COMPUTED_VALUE"""),22.98)</f>
        <v>22.98</v>
      </c>
      <c r="E892" s="1">
        <f>IFERROR(__xludf.DUMMYFUNCTION("""COMPUTED_VALUE"""),23.25)</f>
        <v>23.25</v>
      </c>
      <c r="F892" s="1">
        <f>IFERROR(__xludf.DUMMYFUNCTION("""COMPUTED_VALUE"""),1305172.0)</f>
        <v>1305172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IFERROR(__xludf.DUMMYFUNCTION("""COMPUTED_VALUE"""),23.15)</f>
        <v>23.15</v>
      </c>
      <c r="C893" s="1">
        <f>IFERROR(__xludf.DUMMYFUNCTION("""COMPUTED_VALUE"""),23.21)</f>
        <v>23.21</v>
      </c>
      <c r="D893" s="1">
        <f>IFERROR(__xludf.DUMMYFUNCTION("""COMPUTED_VALUE"""),22.48)</f>
        <v>22.48</v>
      </c>
      <c r="E893" s="1">
        <f>IFERROR(__xludf.DUMMYFUNCTION("""COMPUTED_VALUE"""),22.8)</f>
        <v>22.8</v>
      </c>
      <c r="F893" s="1">
        <f>IFERROR(__xludf.DUMMYFUNCTION("""COMPUTED_VALUE"""),1796229.0)</f>
        <v>1796229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IFERROR(__xludf.DUMMYFUNCTION("""COMPUTED_VALUE"""),22.85)</f>
        <v>22.85</v>
      </c>
      <c r="C894" s="1">
        <f>IFERROR(__xludf.DUMMYFUNCTION("""COMPUTED_VALUE"""),22.85)</f>
        <v>22.85</v>
      </c>
      <c r="D894" s="1">
        <f>IFERROR(__xludf.DUMMYFUNCTION("""COMPUTED_VALUE"""),21.92)</f>
        <v>21.92</v>
      </c>
      <c r="E894" s="1">
        <f>IFERROR(__xludf.DUMMYFUNCTION("""COMPUTED_VALUE"""),22.67)</f>
        <v>22.67</v>
      </c>
      <c r="F894" s="1">
        <f>IFERROR(__xludf.DUMMYFUNCTION("""COMPUTED_VALUE"""),2830650.0)</f>
        <v>2830650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IFERROR(__xludf.DUMMYFUNCTION("""COMPUTED_VALUE"""),22.3)</f>
        <v>22.3</v>
      </c>
      <c r="C895" s="1">
        <f>IFERROR(__xludf.DUMMYFUNCTION("""COMPUTED_VALUE"""),22.3)</f>
        <v>22.3</v>
      </c>
      <c r="D895" s="1">
        <f>IFERROR(__xludf.DUMMYFUNCTION("""COMPUTED_VALUE"""),21.4)</f>
        <v>21.4</v>
      </c>
      <c r="E895" s="1">
        <f>IFERROR(__xludf.DUMMYFUNCTION("""COMPUTED_VALUE"""),21.92)</f>
        <v>21.92</v>
      </c>
      <c r="F895" s="1">
        <f>IFERROR(__xludf.DUMMYFUNCTION("""COMPUTED_VALUE"""),5077368.0)</f>
        <v>5077368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IFERROR(__xludf.DUMMYFUNCTION("""COMPUTED_VALUE"""),22.0)</f>
        <v>22</v>
      </c>
      <c r="C896" s="1">
        <f>IFERROR(__xludf.DUMMYFUNCTION("""COMPUTED_VALUE"""),22.11)</f>
        <v>22.11</v>
      </c>
      <c r="D896" s="1">
        <f>IFERROR(__xludf.DUMMYFUNCTION("""COMPUTED_VALUE"""),21.71)</f>
        <v>21.71</v>
      </c>
      <c r="E896" s="1">
        <f>IFERROR(__xludf.DUMMYFUNCTION("""COMPUTED_VALUE"""),21.75)</f>
        <v>21.75</v>
      </c>
      <c r="F896" s="1">
        <f>IFERROR(__xludf.DUMMYFUNCTION("""COMPUTED_VALUE"""),1492581.0)</f>
        <v>1492581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IFERROR(__xludf.DUMMYFUNCTION("""COMPUTED_VALUE"""),21.81)</f>
        <v>21.81</v>
      </c>
      <c r="C897" s="1">
        <f>IFERROR(__xludf.DUMMYFUNCTION("""COMPUTED_VALUE"""),22.14)</f>
        <v>22.14</v>
      </c>
      <c r="D897" s="1">
        <f>IFERROR(__xludf.DUMMYFUNCTION("""COMPUTED_VALUE"""),21.75)</f>
        <v>21.75</v>
      </c>
      <c r="E897" s="1">
        <f>IFERROR(__xludf.DUMMYFUNCTION("""COMPUTED_VALUE"""),21.89)</f>
        <v>21.89</v>
      </c>
      <c r="F897" s="1">
        <f>IFERROR(__xludf.DUMMYFUNCTION("""COMPUTED_VALUE"""),1126587.0)</f>
        <v>1126587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IFERROR(__xludf.DUMMYFUNCTION("""COMPUTED_VALUE"""),21.8)</f>
        <v>21.8</v>
      </c>
      <c r="C898" s="1">
        <f>IFERROR(__xludf.DUMMYFUNCTION("""COMPUTED_VALUE"""),22.08)</f>
        <v>22.08</v>
      </c>
      <c r="D898" s="1">
        <f>IFERROR(__xludf.DUMMYFUNCTION("""COMPUTED_VALUE"""),21.77)</f>
        <v>21.77</v>
      </c>
      <c r="E898" s="1">
        <f>IFERROR(__xludf.DUMMYFUNCTION("""COMPUTED_VALUE"""),21.99)</f>
        <v>21.99</v>
      </c>
      <c r="F898" s="1">
        <f>IFERROR(__xludf.DUMMYFUNCTION("""COMPUTED_VALUE"""),1100719.0)</f>
        <v>1100719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IFERROR(__xludf.DUMMYFUNCTION("""COMPUTED_VALUE"""),21.98)</f>
        <v>21.98</v>
      </c>
      <c r="C899" s="1">
        <f>IFERROR(__xludf.DUMMYFUNCTION("""COMPUTED_VALUE"""),22.41)</f>
        <v>22.41</v>
      </c>
      <c r="D899" s="1">
        <f>IFERROR(__xludf.DUMMYFUNCTION("""COMPUTED_VALUE"""),21.73)</f>
        <v>21.73</v>
      </c>
      <c r="E899" s="1">
        <f>IFERROR(__xludf.DUMMYFUNCTION("""COMPUTED_VALUE"""),21.83)</f>
        <v>21.83</v>
      </c>
      <c r="F899" s="1">
        <f>IFERROR(__xludf.DUMMYFUNCTION("""COMPUTED_VALUE"""),1594507.0)</f>
        <v>1594507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IFERROR(__xludf.DUMMYFUNCTION("""COMPUTED_VALUE"""),21.97)</f>
        <v>21.97</v>
      </c>
      <c r="C900" s="1">
        <f>IFERROR(__xludf.DUMMYFUNCTION("""COMPUTED_VALUE"""),22.1)</f>
        <v>22.1</v>
      </c>
      <c r="D900" s="1">
        <f>IFERROR(__xludf.DUMMYFUNCTION("""COMPUTED_VALUE"""),21.75)</f>
        <v>21.75</v>
      </c>
      <c r="E900" s="1">
        <f>IFERROR(__xludf.DUMMYFUNCTION("""COMPUTED_VALUE"""),21.75)</f>
        <v>21.75</v>
      </c>
      <c r="F900" s="1">
        <f>IFERROR(__xludf.DUMMYFUNCTION("""COMPUTED_VALUE"""),905375.0)</f>
        <v>905375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IFERROR(__xludf.DUMMYFUNCTION("""COMPUTED_VALUE"""),21.79)</f>
        <v>21.79</v>
      </c>
      <c r="C901" s="1">
        <f>IFERROR(__xludf.DUMMYFUNCTION("""COMPUTED_VALUE"""),22.28)</f>
        <v>22.28</v>
      </c>
      <c r="D901" s="1">
        <f>IFERROR(__xludf.DUMMYFUNCTION("""COMPUTED_VALUE"""),21.74)</f>
        <v>21.74</v>
      </c>
      <c r="E901" s="1">
        <f>IFERROR(__xludf.DUMMYFUNCTION("""COMPUTED_VALUE"""),22.19)</f>
        <v>22.19</v>
      </c>
      <c r="F901" s="1">
        <f>IFERROR(__xludf.DUMMYFUNCTION("""COMPUTED_VALUE"""),1414882.0)</f>
        <v>1414882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IFERROR(__xludf.DUMMYFUNCTION("""COMPUTED_VALUE"""),22.54)</f>
        <v>22.54</v>
      </c>
      <c r="C902" s="1">
        <f>IFERROR(__xludf.DUMMYFUNCTION("""COMPUTED_VALUE"""),23.14)</f>
        <v>23.14</v>
      </c>
      <c r="D902" s="1">
        <f>IFERROR(__xludf.DUMMYFUNCTION("""COMPUTED_VALUE"""),22.44)</f>
        <v>22.44</v>
      </c>
      <c r="E902" s="1">
        <f>IFERROR(__xludf.DUMMYFUNCTION("""COMPUTED_VALUE"""),22.82)</f>
        <v>22.82</v>
      </c>
      <c r="F902" s="1">
        <f>IFERROR(__xludf.DUMMYFUNCTION("""COMPUTED_VALUE"""),1258624.0)</f>
        <v>1258624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IFERROR(__xludf.DUMMYFUNCTION("""COMPUTED_VALUE"""),22.74)</f>
        <v>22.74</v>
      </c>
      <c r="C903" s="1">
        <f>IFERROR(__xludf.DUMMYFUNCTION("""COMPUTED_VALUE"""),22.94)</f>
        <v>22.94</v>
      </c>
      <c r="D903" s="1">
        <f>IFERROR(__xludf.DUMMYFUNCTION("""COMPUTED_VALUE"""),22.53)</f>
        <v>22.53</v>
      </c>
      <c r="E903" s="1">
        <f>IFERROR(__xludf.DUMMYFUNCTION("""COMPUTED_VALUE"""),22.93)</f>
        <v>22.93</v>
      </c>
      <c r="F903" s="1">
        <f>IFERROR(__xludf.DUMMYFUNCTION("""COMPUTED_VALUE"""),588414.0)</f>
        <v>588414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IFERROR(__xludf.DUMMYFUNCTION("""COMPUTED_VALUE"""),22.8)</f>
        <v>22.8</v>
      </c>
      <c r="C904" s="1">
        <f>IFERROR(__xludf.DUMMYFUNCTION("""COMPUTED_VALUE"""),22.91)</f>
        <v>22.91</v>
      </c>
      <c r="D904" s="1">
        <f>IFERROR(__xludf.DUMMYFUNCTION("""COMPUTED_VALUE"""),22.61)</f>
        <v>22.61</v>
      </c>
      <c r="E904" s="1">
        <f>IFERROR(__xludf.DUMMYFUNCTION("""COMPUTED_VALUE"""),22.77)</f>
        <v>22.77</v>
      </c>
      <c r="F904" s="1">
        <f>IFERROR(__xludf.DUMMYFUNCTION("""COMPUTED_VALUE"""),605791.0)</f>
        <v>605791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IFERROR(__xludf.DUMMYFUNCTION("""COMPUTED_VALUE"""),22.55)</f>
        <v>22.55</v>
      </c>
      <c r="C905" s="1">
        <f>IFERROR(__xludf.DUMMYFUNCTION("""COMPUTED_VALUE"""),22.77)</f>
        <v>22.77</v>
      </c>
      <c r="D905" s="1">
        <f>IFERROR(__xludf.DUMMYFUNCTION("""COMPUTED_VALUE"""),21.91)</f>
        <v>21.91</v>
      </c>
      <c r="E905" s="1">
        <f>IFERROR(__xludf.DUMMYFUNCTION("""COMPUTED_VALUE"""),22.18)</f>
        <v>22.18</v>
      </c>
      <c r="F905" s="1">
        <f>IFERROR(__xludf.DUMMYFUNCTION("""COMPUTED_VALUE"""),1359468.0)</f>
        <v>1359468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IFERROR(__xludf.DUMMYFUNCTION("""COMPUTED_VALUE"""),22.18)</f>
        <v>22.18</v>
      </c>
      <c r="C906" s="1">
        <f>IFERROR(__xludf.DUMMYFUNCTION("""COMPUTED_VALUE"""),22.18)</f>
        <v>22.18</v>
      </c>
      <c r="D906" s="1">
        <f>IFERROR(__xludf.DUMMYFUNCTION("""COMPUTED_VALUE"""),21.64)</f>
        <v>21.64</v>
      </c>
      <c r="E906" s="1">
        <f>IFERROR(__xludf.DUMMYFUNCTION("""COMPUTED_VALUE"""),22.02)</f>
        <v>22.02</v>
      </c>
      <c r="F906" s="1">
        <f>IFERROR(__xludf.DUMMYFUNCTION("""COMPUTED_VALUE"""),730930.0)</f>
        <v>730930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IFERROR(__xludf.DUMMYFUNCTION("""COMPUTED_VALUE"""),22.17)</f>
        <v>22.17</v>
      </c>
      <c r="C907" s="1">
        <f>IFERROR(__xludf.DUMMYFUNCTION("""COMPUTED_VALUE"""),23.02)</f>
        <v>23.02</v>
      </c>
      <c r="D907" s="1">
        <f>IFERROR(__xludf.DUMMYFUNCTION("""COMPUTED_VALUE"""),22.17)</f>
        <v>22.17</v>
      </c>
      <c r="E907" s="1">
        <f>IFERROR(__xludf.DUMMYFUNCTION("""COMPUTED_VALUE"""),22.9)</f>
        <v>22.9</v>
      </c>
      <c r="F907" s="1">
        <f>IFERROR(__xludf.DUMMYFUNCTION("""COMPUTED_VALUE"""),1123924.0)</f>
        <v>1123924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IFERROR(__xludf.DUMMYFUNCTION("""COMPUTED_VALUE"""),22.73)</f>
        <v>22.73</v>
      </c>
      <c r="C908" s="1">
        <f>IFERROR(__xludf.DUMMYFUNCTION("""COMPUTED_VALUE"""),22.75)</f>
        <v>22.75</v>
      </c>
      <c r="D908" s="1">
        <f>IFERROR(__xludf.DUMMYFUNCTION("""COMPUTED_VALUE"""),21.96)</f>
        <v>21.96</v>
      </c>
      <c r="E908" s="1">
        <f>IFERROR(__xludf.DUMMYFUNCTION("""COMPUTED_VALUE"""),22.0)</f>
        <v>22</v>
      </c>
      <c r="F908" s="1">
        <f>IFERROR(__xludf.DUMMYFUNCTION("""COMPUTED_VALUE"""),957850.0)</f>
        <v>957850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IFERROR(__xludf.DUMMYFUNCTION("""COMPUTED_VALUE"""),21.91)</f>
        <v>21.91</v>
      </c>
      <c r="C909" s="1">
        <f>IFERROR(__xludf.DUMMYFUNCTION("""COMPUTED_VALUE"""),22.99)</f>
        <v>22.99</v>
      </c>
      <c r="D909" s="1">
        <f>IFERROR(__xludf.DUMMYFUNCTION("""COMPUTED_VALUE"""),21.81)</f>
        <v>21.81</v>
      </c>
      <c r="E909" s="1">
        <f>IFERROR(__xludf.DUMMYFUNCTION("""COMPUTED_VALUE"""),22.95)</f>
        <v>22.95</v>
      </c>
      <c r="F909" s="1">
        <f>IFERROR(__xludf.DUMMYFUNCTION("""COMPUTED_VALUE"""),1263851.0)</f>
        <v>1263851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IFERROR(__xludf.DUMMYFUNCTION("""COMPUTED_VALUE"""),23.06)</f>
        <v>23.06</v>
      </c>
      <c r="C910" s="1">
        <f>IFERROR(__xludf.DUMMYFUNCTION("""COMPUTED_VALUE"""),23.19)</f>
        <v>23.19</v>
      </c>
      <c r="D910" s="1">
        <f>IFERROR(__xludf.DUMMYFUNCTION("""COMPUTED_VALUE"""),22.75)</f>
        <v>22.75</v>
      </c>
      <c r="E910" s="1">
        <f>IFERROR(__xludf.DUMMYFUNCTION("""COMPUTED_VALUE"""),23.0)</f>
        <v>23</v>
      </c>
      <c r="F910" s="1">
        <f>IFERROR(__xludf.DUMMYFUNCTION("""COMPUTED_VALUE"""),989815.0)</f>
        <v>989815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IFERROR(__xludf.DUMMYFUNCTION("""COMPUTED_VALUE"""),23.0)</f>
        <v>23</v>
      </c>
      <c r="C911" s="1">
        <f>IFERROR(__xludf.DUMMYFUNCTION("""COMPUTED_VALUE"""),23.44)</f>
        <v>23.44</v>
      </c>
      <c r="D911" s="1">
        <f>IFERROR(__xludf.DUMMYFUNCTION("""COMPUTED_VALUE"""),22.85)</f>
        <v>22.85</v>
      </c>
      <c r="E911" s="1">
        <f>IFERROR(__xludf.DUMMYFUNCTION("""COMPUTED_VALUE"""),23.41)</f>
        <v>23.41</v>
      </c>
      <c r="F911" s="1">
        <f>IFERROR(__xludf.DUMMYFUNCTION("""COMPUTED_VALUE"""),1279712.0)</f>
        <v>1279712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IFERROR(__xludf.DUMMYFUNCTION("""COMPUTED_VALUE"""),23.18)</f>
        <v>23.18</v>
      </c>
      <c r="C912" s="1">
        <f>IFERROR(__xludf.DUMMYFUNCTION("""COMPUTED_VALUE"""),23.18)</f>
        <v>23.18</v>
      </c>
      <c r="D912" s="1">
        <f>IFERROR(__xludf.DUMMYFUNCTION("""COMPUTED_VALUE"""),22.23)</f>
        <v>22.23</v>
      </c>
      <c r="E912" s="1">
        <f>IFERROR(__xludf.DUMMYFUNCTION("""COMPUTED_VALUE"""),22.45)</f>
        <v>22.45</v>
      </c>
      <c r="F912" s="1">
        <f>IFERROR(__xludf.DUMMYFUNCTION("""COMPUTED_VALUE"""),785533.0)</f>
        <v>785533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IFERROR(__xludf.DUMMYFUNCTION("""COMPUTED_VALUE"""),22.34)</f>
        <v>22.34</v>
      </c>
      <c r="C913" s="1">
        <f>IFERROR(__xludf.DUMMYFUNCTION("""COMPUTED_VALUE"""),22.79)</f>
        <v>22.79</v>
      </c>
      <c r="D913" s="1">
        <f>IFERROR(__xludf.DUMMYFUNCTION("""COMPUTED_VALUE"""),22.25)</f>
        <v>22.25</v>
      </c>
      <c r="E913" s="1">
        <f>IFERROR(__xludf.DUMMYFUNCTION("""COMPUTED_VALUE"""),22.49)</f>
        <v>22.49</v>
      </c>
      <c r="F913" s="1">
        <f>IFERROR(__xludf.DUMMYFUNCTION("""COMPUTED_VALUE"""),751380.0)</f>
        <v>751380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IFERROR(__xludf.DUMMYFUNCTION("""COMPUTED_VALUE"""),22.5)</f>
        <v>22.5</v>
      </c>
      <c r="C914" s="1">
        <f>IFERROR(__xludf.DUMMYFUNCTION("""COMPUTED_VALUE"""),22.88)</f>
        <v>22.88</v>
      </c>
      <c r="D914" s="1">
        <f>IFERROR(__xludf.DUMMYFUNCTION("""COMPUTED_VALUE"""),22.25)</f>
        <v>22.25</v>
      </c>
      <c r="E914" s="1">
        <f>IFERROR(__xludf.DUMMYFUNCTION("""COMPUTED_VALUE"""),22.33)</f>
        <v>22.33</v>
      </c>
      <c r="F914" s="1">
        <f>IFERROR(__xludf.DUMMYFUNCTION("""COMPUTED_VALUE"""),737429.0)</f>
        <v>737429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IFERROR(__xludf.DUMMYFUNCTION("""COMPUTED_VALUE"""),22.31)</f>
        <v>22.31</v>
      </c>
      <c r="C915" s="1">
        <f>IFERROR(__xludf.DUMMYFUNCTION("""COMPUTED_VALUE"""),22.52)</f>
        <v>22.52</v>
      </c>
      <c r="D915" s="1">
        <f>IFERROR(__xludf.DUMMYFUNCTION("""COMPUTED_VALUE"""),22.08)</f>
        <v>22.08</v>
      </c>
      <c r="E915" s="1">
        <f>IFERROR(__xludf.DUMMYFUNCTION("""COMPUTED_VALUE"""),22.44)</f>
        <v>22.44</v>
      </c>
      <c r="F915" s="1">
        <f>IFERROR(__xludf.DUMMYFUNCTION("""COMPUTED_VALUE"""),680303.0)</f>
        <v>680303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IFERROR(__xludf.DUMMYFUNCTION("""COMPUTED_VALUE"""),22.24)</f>
        <v>22.24</v>
      </c>
      <c r="C916" s="1">
        <f>IFERROR(__xludf.DUMMYFUNCTION("""COMPUTED_VALUE"""),22.69)</f>
        <v>22.69</v>
      </c>
      <c r="D916" s="1">
        <f>IFERROR(__xludf.DUMMYFUNCTION("""COMPUTED_VALUE"""),22.17)</f>
        <v>22.17</v>
      </c>
      <c r="E916" s="1">
        <f>IFERROR(__xludf.DUMMYFUNCTION("""COMPUTED_VALUE"""),22.58)</f>
        <v>22.58</v>
      </c>
      <c r="F916" s="1">
        <f>IFERROR(__xludf.DUMMYFUNCTION("""COMPUTED_VALUE"""),969798.0)</f>
        <v>969798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IFERROR(__xludf.DUMMYFUNCTION("""COMPUTED_VALUE"""),22.69)</f>
        <v>22.69</v>
      </c>
      <c r="C917" s="1">
        <f>IFERROR(__xludf.DUMMYFUNCTION("""COMPUTED_VALUE"""),23.29)</f>
        <v>23.29</v>
      </c>
      <c r="D917" s="1">
        <f>IFERROR(__xludf.DUMMYFUNCTION("""COMPUTED_VALUE"""),22.5)</f>
        <v>22.5</v>
      </c>
      <c r="E917" s="1">
        <f>IFERROR(__xludf.DUMMYFUNCTION("""COMPUTED_VALUE"""),23.1)</f>
        <v>23.1</v>
      </c>
      <c r="F917" s="1">
        <f>IFERROR(__xludf.DUMMYFUNCTION("""COMPUTED_VALUE"""),911332.0)</f>
        <v>911332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IFERROR(__xludf.DUMMYFUNCTION("""COMPUTED_VALUE"""),23.06)</f>
        <v>23.06</v>
      </c>
      <c r="C918" s="1">
        <f>IFERROR(__xludf.DUMMYFUNCTION("""COMPUTED_VALUE"""),23.12)</f>
        <v>23.12</v>
      </c>
      <c r="D918" s="1">
        <f>IFERROR(__xludf.DUMMYFUNCTION("""COMPUTED_VALUE"""),22.75)</f>
        <v>22.75</v>
      </c>
      <c r="E918" s="1">
        <f>IFERROR(__xludf.DUMMYFUNCTION("""COMPUTED_VALUE"""),23.0)</f>
        <v>23</v>
      </c>
      <c r="F918" s="1">
        <f>IFERROR(__xludf.DUMMYFUNCTION("""COMPUTED_VALUE"""),647308.0)</f>
        <v>647308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IFERROR(__xludf.DUMMYFUNCTION("""COMPUTED_VALUE"""),23.0)</f>
        <v>23</v>
      </c>
      <c r="C919" s="1">
        <f>IFERROR(__xludf.DUMMYFUNCTION("""COMPUTED_VALUE"""),23.24)</f>
        <v>23.24</v>
      </c>
      <c r="D919" s="1">
        <f>IFERROR(__xludf.DUMMYFUNCTION("""COMPUTED_VALUE"""),22.76)</f>
        <v>22.76</v>
      </c>
      <c r="E919" s="1">
        <f>IFERROR(__xludf.DUMMYFUNCTION("""COMPUTED_VALUE"""),23.06)</f>
        <v>23.06</v>
      </c>
      <c r="F919" s="1">
        <f>IFERROR(__xludf.DUMMYFUNCTION("""COMPUTED_VALUE"""),732228.0)</f>
        <v>732228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IFERROR(__xludf.DUMMYFUNCTION("""COMPUTED_VALUE"""),22.76)</f>
        <v>22.76</v>
      </c>
      <c r="C920" s="1">
        <f>IFERROR(__xludf.DUMMYFUNCTION("""COMPUTED_VALUE"""),22.79)</f>
        <v>22.79</v>
      </c>
      <c r="D920" s="1">
        <f>IFERROR(__xludf.DUMMYFUNCTION("""COMPUTED_VALUE"""),22.31)</f>
        <v>22.31</v>
      </c>
      <c r="E920" s="1">
        <f>IFERROR(__xludf.DUMMYFUNCTION("""COMPUTED_VALUE"""),22.38)</f>
        <v>22.38</v>
      </c>
      <c r="F920" s="1">
        <f>IFERROR(__xludf.DUMMYFUNCTION("""COMPUTED_VALUE"""),2148897.0)</f>
        <v>2148897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IFERROR(__xludf.DUMMYFUNCTION("""COMPUTED_VALUE"""),22.18)</f>
        <v>22.18</v>
      </c>
      <c r="C921" s="1">
        <f>IFERROR(__xludf.DUMMYFUNCTION("""COMPUTED_VALUE"""),22.41)</f>
        <v>22.41</v>
      </c>
      <c r="D921" s="1">
        <f>IFERROR(__xludf.DUMMYFUNCTION("""COMPUTED_VALUE"""),21.66)</f>
        <v>21.66</v>
      </c>
      <c r="E921" s="1">
        <f>IFERROR(__xludf.DUMMYFUNCTION("""COMPUTED_VALUE"""),21.95)</f>
        <v>21.95</v>
      </c>
      <c r="F921" s="1">
        <f>IFERROR(__xludf.DUMMYFUNCTION("""COMPUTED_VALUE"""),666267.0)</f>
        <v>666267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IFERROR(__xludf.DUMMYFUNCTION("""COMPUTED_VALUE"""),21.89)</f>
        <v>21.89</v>
      </c>
      <c r="C922" s="1">
        <f>IFERROR(__xludf.DUMMYFUNCTION("""COMPUTED_VALUE"""),22.15)</f>
        <v>22.15</v>
      </c>
      <c r="D922" s="1">
        <f>IFERROR(__xludf.DUMMYFUNCTION("""COMPUTED_VALUE"""),21.71)</f>
        <v>21.71</v>
      </c>
      <c r="E922" s="1">
        <f>IFERROR(__xludf.DUMMYFUNCTION("""COMPUTED_VALUE"""),21.88)</f>
        <v>21.88</v>
      </c>
      <c r="F922" s="1">
        <f>IFERROR(__xludf.DUMMYFUNCTION("""COMPUTED_VALUE"""),876809.0)</f>
        <v>876809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IFERROR(__xludf.DUMMYFUNCTION("""COMPUTED_VALUE"""),21.91)</f>
        <v>21.91</v>
      </c>
      <c r="C923" s="1">
        <f>IFERROR(__xludf.DUMMYFUNCTION("""COMPUTED_VALUE"""),21.91)</f>
        <v>21.91</v>
      </c>
      <c r="D923" s="1">
        <f>IFERROR(__xludf.DUMMYFUNCTION("""COMPUTED_VALUE"""),20.91)</f>
        <v>20.91</v>
      </c>
      <c r="E923" s="1">
        <f>IFERROR(__xludf.DUMMYFUNCTION("""COMPUTED_VALUE"""),21.23)</f>
        <v>21.23</v>
      </c>
      <c r="F923" s="1">
        <f>IFERROR(__xludf.DUMMYFUNCTION("""COMPUTED_VALUE"""),1171520.0)</f>
        <v>1171520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IFERROR(__xludf.DUMMYFUNCTION("""COMPUTED_VALUE"""),21.49)</f>
        <v>21.49</v>
      </c>
      <c r="C924" s="1">
        <f>IFERROR(__xludf.DUMMYFUNCTION("""COMPUTED_VALUE"""),21.72)</f>
        <v>21.72</v>
      </c>
      <c r="D924" s="1">
        <f>IFERROR(__xludf.DUMMYFUNCTION("""COMPUTED_VALUE"""),21.29)</f>
        <v>21.29</v>
      </c>
      <c r="E924" s="1">
        <f>IFERROR(__xludf.DUMMYFUNCTION("""COMPUTED_VALUE"""),21.39)</f>
        <v>21.39</v>
      </c>
      <c r="F924" s="1">
        <f>IFERROR(__xludf.DUMMYFUNCTION("""COMPUTED_VALUE"""),812969.0)</f>
        <v>812969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IFERROR(__xludf.DUMMYFUNCTION("""COMPUTED_VALUE"""),21.3)</f>
        <v>21.3</v>
      </c>
      <c r="C925" s="1">
        <f>IFERROR(__xludf.DUMMYFUNCTION("""COMPUTED_VALUE"""),21.43)</f>
        <v>21.43</v>
      </c>
      <c r="D925" s="1">
        <f>IFERROR(__xludf.DUMMYFUNCTION("""COMPUTED_VALUE"""),20.76)</f>
        <v>20.76</v>
      </c>
      <c r="E925" s="1">
        <f>IFERROR(__xludf.DUMMYFUNCTION("""COMPUTED_VALUE"""),21.16)</f>
        <v>21.16</v>
      </c>
      <c r="F925" s="1">
        <f>IFERROR(__xludf.DUMMYFUNCTION("""COMPUTED_VALUE"""),704372.0)</f>
        <v>704372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IFERROR(__xludf.DUMMYFUNCTION("""COMPUTED_VALUE"""),21.2)</f>
        <v>21.2</v>
      </c>
      <c r="C926" s="1">
        <f>IFERROR(__xludf.DUMMYFUNCTION("""COMPUTED_VALUE"""),21.53)</f>
        <v>21.53</v>
      </c>
      <c r="D926" s="1">
        <f>IFERROR(__xludf.DUMMYFUNCTION("""COMPUTED_VALUE"""),21.18)</f>
        <v>21.18</v>
      </c>
      <c r="E926" s="1">
        <f>IFERROR(__xludf.DUMMYFUNCTION("""COMPUTED_VALUE"""),21.37)</f>
        <v>21.37</v>
      </c>
      <c r="F926" s="1">
        <f>IFERROR(__xludf.DUMMYFUNCTION("""COMPUTED_VALUE"""),397520.0)</f>
        <v>397520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IFERROR(__xludf.DUMMYFUNCTION("""COMPUTED_VALUE"""),21.6)</f>
        <v>21.6</v>
      </c>
      <c r="C927" s="1">
        <f>IFERROR(__xludf.DUMMYFUNCTION("""COMPUTED_VALUE"""),21.93)</f>
        <v>21.93</v>
      </c>
      <c r="D927" s="1">
        <f>IFERROR(__xludf.DUMMYFUNCTION("""COMPUTED_VALUE"""),21.22)</f>
        <v>21.22</v>
      </c>
      <c r="E927" s="1">
        <f>IFERROR(__xludf.DUMMYFUNCTION("""COMPUTED_VALUE"""),21.77)</f>
        <v>21.77</v>
      </c>
      <c r="F927" s="1">
        <f>IFERROR(__xludf.DUMMYFUNCTION("""COMPUTED_VALUE"""),578634.0)</f>
        <v>578634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IFERROR(__xludf.DUMMYFUNCTION("""COMPUTED_VALUE"""),21.95)</f>
        <v>21.95</v>
      </c>
      <c r="C928" s="1">
        <f>IFERROR(__xludf.DUMMYFUNCTION("""COMPUTED_VALUE"""),22.2)</f>
        <v>22.2</v>
      </c>
      <c r="D928" s="1">
        <f>IFERROR(__xludf.DUMMYFUNCTION("""COMPUTED_VALUE"""),21.81)</f>
        <v>21.81</v>
      </c>
      <c r="E928" s="1">
        <f>IFERROR(__xludf.DUMMYFUNCTION("""COMPUTED_VALUE"""),22.0)</f>
        <v>22</v>
      </c>
      <c r="F928" s="1">
        <f>IFERROR(__xludf.DUMMYFUNCTION("""COMPUTED_VALUE"""),383992.0)</f>
        <v>383992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IFERROR(__xludf.DUMMYFUNCTION("""COMPUTED_VALUE"""),22.0)</f>
        <v>22</v>
      </c>
      <c r="C929" s="1">
        <f>IFERROR(__xludf.DUMMYFUNCTION("""COMPUTED_VALUE"""),22.69)</f>
        <v>22.69</v>
      </c>
      <c r="D929" s="1">
        <f>IFERROR(__xludf.DUMMYFUNCTION("""COMPUTED_VALUE"""),22.0)</f>
        <v>22</v>
      </c>
      <c r="E929" s="1">
        <f>IFERROR(__xludf.DUMMYFUNCTION("""COMPUTED_VALUE"""),22.69)</f>
        <v>22.69</v>
      </c>
      <c r="F929" s="1">
        <f>IFERROR(__xludf.DUMMYFUNCTION("""COMPUTED_VALUE"""),1010923.0)</f>
        <v>1010923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IFERROR(__xludf.DUMMYFUNCTION("""COMPUTED_VALUE"""),22.5)</f>
        <v>22.5</v>
      </c>
      <c r="C930" s="1">
        <f>IFERROR(__xludf.DUMMYFUNCTION("""COMPUTED_VALUE"""),23.0)</f>
        <v>23</v>
      </c>
      <c r="D930" s="1">
        <f>IFERROR(__xludf.DUMMYFUNCTION("""COMPUTED_VALUE"""),22.43)</f>
        <v>22.43</v>
      </c>
      <c r="E930" s="1">
        <f>IFERROR(__xludf.DUMMYFUNCTION("""COMPUTED_VALUE"""),22.98)</f>
        <v>22.98</v>
      </c>
      <c r="F930" s="1">
        <f>IFERROR(__xludf.DUMMYFUNCTION("""COMPUTED_VALUE"""),658314.0)</f>
        <v>658314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IFERROR(__xludf.DUMMYFUNCTION("""COMPUTED_VALUE"""),22.94)</f>
        <v>22.94</v>
      </c>
      <c r="C931" s="1">
        <f>IFERROR(__xludf.DUMMYFUNCTION("""COMPUTED_VALUE"""),23.34)</f>
        <v>23.34</v>
      </c>
      <c r="D931" s="1">
        <f>IFERROR(__xludf.DUMMYFUNCTION("""COMPUTED_VALUE"""),22.61)</f>
        <v>22.61</v>
      </c>
      <c r="E931" s="1">
        <f>IFERROR(__xludf.DUMMYFUNCTION("""COMPUTED_VALUE"""),23.29)</f>
        <v>23.29</v>
      </c>
      <c r="F931" s="1">
        <f>IFERROR(__xludf.DUMMYFUNCTION("""COMPUTED_VALUE"""),1162126.0)</f>
        <v>1162126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IFERROR(__xludf.DUMMYFUNCTION("""COMPUTED_VALUE"""),23.46)</f>
        <v>23.46</v>
      </c>
      <c r="C932" s="1">
        <f>IFERROR(__xludf.DUMMYFUNCTION("""COMPUTED_VALUE"""),24.0)</f>
        <v>24</v>
      </c>
      <c r="D932" s="1">
        <f>IFERROR(__xludf.DUMMYFUNCTION("""COMPUTED_VALUE"""),23.1)</f>
        <v>23.1</v>
      </c>
      <c r="E932" s="1">
        <f>IFERROR(__xludf.DUMMYFUNCTION("""COMPUTED_VALUE"""),23.79)</f>
        <v>23.79</v>
      </c>
      <c r="F932" s="1">
        <f>IFERROR(__xludf.DUMMYFUNCTION("""COMPUTED_VALUE"""),1946119.0)</f>
        <v>1946119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IFERROR(__xludf.DUMMYFUNCTION("""COMPUTED_VALUE"""),24.0)</f>
        <v>24</v>
      </c>
      <c r="C933" s="1">
        <f>IFERROR(__xludf.DUMMYFUNCTION("""COMPUTED_VALUE"""),24.5)</f>
        <v>24.5</v>
      </c>
      <c r="D933" s="1">
        <f>IFERROR(__xludf.DUMMYFUNCTION("""COMPUTED_VALUE"""),24.0)</f>
        <v>24</v>
      </c>
      <c r="E933" s="1">
        <f>IFERROR(__xludf.DUMMYFUNCTION("""COMPUTED_VALUE"""),24.2)</f>
        <v>24.2</v>
      </c>
      <c r="F933" s="1">
        <f>IFERROR(__xludf.DUMMYFUNCTION("""COMPUTED_VALUE"""),1501818.0)</f>
        <v>1501818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IFERROR(__xludf.DUMMYFUNCTION("""COMPUTED_VALUE"""),24.26)</f>
        <v>24.26</v>
      </c>
      <c r="C934" s="1">
        <f>IFERROR(__xludf.DUMMYFUNCTION("""COMPUTED_VALUE"""),24.26)</f>
        <v>24.26</v>
      </c>
      <c r="D934" s="1">
        <f>IFERROR(__xludf.DUMMYFUNCTION("""COMPUTED_VALUE"""),23.74)</f>
        <v>23.74</v>
      </c>
      <c r="E934" s="1">
        <f>IFERROR(__xludf.DUMMYFUNCTION("""COMPUTED_VALUE"""),23.97)</f>
        <v>23.97</v>
      </c>
      <c r="F934" s="1">
        <f>IFERROR(__xludf.DUMMYFUNCTION("""COMPUTED_VALUE"""),611185.0)</f>
        <v>611185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IFERROR(__xludf.DUMMYFUNCTION("""COMPUTED_VALUE"""),24.01)</f>
        <v>24.01</v>
      </c>
      <c r="C935" s="1">
        <f>IFERROR(__xludf.DUMMYFUNCTION("""COMPUTED_VALUE"""),24.01)</f>
        <v>24.01</v>
      </c>
      <c r="D935" s="1">
        <f>IFERROR(__xludf.DUMMYFUNCTION("""COMPUTED_VALUE"""),23.25)</f>
        <v>23.25</v>
      </c>
      <c r="E935" s="1">
        <f>IFERROR(__xludf.DUMMYFUNCTION("""COMPUTED_VALUE"""),23.83)</f>
        <v>23.83</v>
      </c>
      <c r="F935" s="1">
        <f>IFERROR(__xludf.DUMMYFUNCTION("""COMPUTED_VALUE"""),879205.0)</f>
        <v>879205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IFERROR(__xludf.DUMMYFUNCTION("""COMPUTED_VALUE"""),23.83)</f>
        <v>23.83</v>
      </c>
      <c r="C936" s="1">
        <f>IFERROR(__xludf.DUMMYFUNCTION("""COMPUTED_VALUE"""),23.97)</f>
        <v>23.97</v>
      </c>
      <c r="D936" s="1">
        <f>IFERROR(__xludf.DUMMYFUNCTION("""COMPUTED_VALUE"""),23.6)</f>
        <v>23.6</v>
      </c>
      <c r="E936" s="1">
        <f>IFERROR(__xludf.DUMMYFUNCTION("""COMPUTED_VALUE"""),23.96)</f>
        <v>23.96</v>
      </c>
      <c r="F936" s="1">
        <f>IFERROR(__xludf.DUMMYFUNCTION("""COMPUTED_VALUE"""),322747.0)</f>
        <v>322747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IFERROR(__xludf.DUMMYFUNCTION("""COMPUTED_VALUE"""),24.0)</f>
        <v>24</v>
      </c>
      <c r="C937" s="1">
        <f>IFERROR(__xludf.DUMMYFUNCTION("""COMPUTED_VALUE"""),24.08)</f>
        <v>24.08</v>
      </c>
      <c r="D937" s="1">
        <f>IFERROR(__xludf.DUMMYFUNCTION("""COMPUTED_VALUE"""),23.06)</f>
        <v>23.06</v>
      </c>
      <c r="E937" s="1">
        <f>IFERROR(__xludf.DUMMYFUNCTION("""COMPUTED_VALUE"""),23.09)</f>
        <v>23.09</v>
      </c>
      <c r="F937" s="1">
        <f>IFERROR(__xludf.DUMMYFUNCTION("""COMPUTED_VALUE"""),2349595.0)</f>
        <v>2349595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IFERROR(__xludf.DUMMYFUNCTION("""COMPUTED_VALUE"""),23.16)</f>
        <v>23.16</v>
      </c>
      <c r="C938" s="1">
        <f>IFERROR(__xludf.DUMMYFUNCTION("""COMPUTED_VALUE"""),23.57)</f>
        <v>23.57</v>
      </c>
      <c r="D938" s="1">
        <f>IFERROR(__xludf.DUMMYFUNCTION("""COMPUTED_VALUE"""),23.09)</f>
        <v>23.09</v>
      </c>
      <c r="E938" s="1">
        <f>IFERROR(__xludf.DUMMYFUNCTION("""COMPUTED_VALUE"""),23.5)</f>
        <v>23.5</v>
      </c>
      <c r="F938" s="1">
        <f>IFERROR(__xludf.DUMMYFUNCTION("""COMPUTED_VALUE"""),433534.0)</f>
        <v>433534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IFERROR(__xludf.DUMMYFUNCTION("""COMPUTED_VALUE"""),23.45)</f>
        <v>23.45</v>
      </c>
      <c r="C939" s="1">
        <f>IFERROR(__xludf.DUMMYFUNCTION("""COMPUTED_VALUE"""),23.88)</f>
        <v>23.88</v>
      </c>
      <c r="D939" s="1">
        <f>IFERROR(__xludf.DUMMYFUNCTION("""COMPUTED_VALUE"""),23.17)</f>
        <v>23.17</v>
      </c>
      <c r="E939" s="1">
        <f>IFERROR(__xludf.DUMMYFUNCTION("""COMPUTED_VALUE"""),23.52)</f>
        <v>23.52</v>
      </c>
      <c r="F939" s="1">
        <f>IFERROR(__xludf.DUMMYFUNCTION("""COMPUTED_VALUE"""),555846.0)</f>
        <v>555846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IFERROR(__xludf.DUMMYFUNCTION("""COMPUTED_VALUE"""),23.7)</f>
        <v>23.7</v>
      </c>
      <c r="C940" s="1">
        <f>IFERROR(__xludf.DUMMYFUNCTION("""COMPUTED_VALUE"""),24.74)</f>
        <v>24.74</v>
      </c>
      <c r="D940" s="1">
        <f>IFERROR(__xludf.DUMMYFUNCTION("""COMPUTED_VALUE"""),23.65)</f>
        <v>23.65</v>
      </c>
      <c r="E940" s="1">
        <f>IFERROR(__xludf.DUMMYFUNCTION("""COMPUTED_VALUE"""),24.64)</f>
        <v>24.64</v>
      </c>
      <c r="F940" s="1">
        <f>IFERROR(__xludf.DUMMYFUNCTION("""COMPUTED_VALUE"""),2983652.0)</f>
        <v>2983652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IFERROR(__xludf.DUMMYFUNCTION("""COMPUTED_VALUE"""),24.85)</f>
        <v>24.85</v>
      </c>
      <c r="C941" s="1">
        <f>IFERROR(__xludf.DUMMYFUNCTION("""COMPUTED_VALUE"""),25.0)</f>
        <v>25</v>
      </c>
      <c r="D941" s="1">
        <f>IFERROR(__xludf.DUMMYFUNCTION("""COMPUTED_VALUE"""),24.58)</f>
        <v>24.58</v>
      </c>
      <c r="E941" s="1">
        <f>IFERROR(__xludf.DUMMYFUNCTION("""COMPUTED_VALUE"""),24.67)</f>
        <v>24.67</v>
      </c>
      <c r="F941" s="1">
        <f>IFERROR(__xludf.DUMMYFUNCTION("""COMPUTED_VALUE"""),1523639.0)</f>
        <v>1523639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IFERROR(__xludf.DUMMYFUNCTION("""COMPUTED_VALUE"""),24.6)</f>
        <v>24.6</v>
      </c>
      <c r="C942" s="1">
        <f>IFERROR(__xludf.DUMMYFUNCTION("""COMPUTED_VALUE"""),25.0)</f>
        <v>25</v>
      </c>
      <c r="D942" s="1">
        <f>IFERROR(__xludf.DUMMYFUNCTION("""COMPUTED_VALUE"""),24.6)</f>
        <v>24.6</v>
      </c>
      <c r="E942" s="1">
        <f>IFERROR(__xludf.DUMMYFUNCTION("""COMPUTED_VALUE"""),24.9)</f>
        <v>24.9</v>
      </c>
      <c r="F942" s="1">
        <f>IFERROR(__xludf.DUMMYFUNCTION("""COMPUTED_VALUE"""),1143503.0)</f>
        <v>1143503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IFERROR(__xludf.DUMMYFUNCTION("""COMPUTED_VALUE"""),24.89)</f>
        <v>24.89</v>
      </c>
      <c r="C943" s="1">
        <f>IFERROR(__xludf.DUMMYFUNCTION("""COMPUTED_VALUE"""),25.0)</f>
        <v>25</v>
      </c>
      <c r="D943" s="1">
        <f>IFERROR(__xludf.DUMMYFUNCTION("""COMPUTED_VALUE"""),24.57)</f>
        <v>24.57</v>
      </c>
      <c r="E943" s="1">
        <f>IFERROR(__xludf.DUMMYFUNCTION("""COMPUTED_VALUE"""),24.9)</f>
        <v>24.9</v>
      </c>
      <c r="F943" s="1">
        <f>IFERROR(__xludf.DUMMYFUNCTION("""COMPUTED_VALUE"""),1456988.0)</f>
        <v>1456988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IFERROR(__xludf.DUMMYFUNCTION("""COMPUTED_VALUE"""),24.92)</f>
        <v>24.92</v>
      </c>
      <c r="C944" s="1">
        <f>IFERROR(__xludf.DUMMYFUNCTION("""COMPUTED_VALUE"""),25.0)</f>
        <v>25</v>
      </c>
      <c r="D944" s="1">
        <f>IFERROR(__xludf.DUMMYFUNCTION("""COMPUTED_VALUE"""),24.84)</f>
        <v>24.84</v>
      </c>
      <c r="E944" s="1">
        <f>IFERROR(__xludf.DUMMYFUNCTION("""COMPUTED_VALUE"""),25.0)</f>
        <v>25</v>
      </c>
      <c r="F944" s="1">
        <f>IFERROR(__xludf.DUMMYFUNCTION("""COMPUTED_VALUE"""),741806.0)</f>
        <v>741806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IFERROR(__xludf.DUMMYFUNCTION("""COMPUTED_VALUE"""),25.0)</f>
        <v>25</v>
      </c>
      <c r="C945" s="1">
        <f>IFERROR(__xludf.DUMMYFUNCTION("""COMPUTED_VALUE"""),25.67)</f>
        <v>25.67</v>
      </c>
      <c r="D945" s="1">
        <f>IFERROR(__xludf.DUMMYFUNCTION("""COMPUTED_VALUE"""),24.78)</f>
        <v>24.78</v>
      </c>
      <c r="E945" s="1">
        <f>IFERROR(__xludf.DUMMYFUNCTION("""COMPUTED_VALUE"""),25.54)</f>
        <v>25.54</v>
      </c>
      <c r="F945" s="1">
        <f>IFERROR(__xludf.DUMMYFUNCTION("""COMPUTED_VALUE"""),1146236.0)</f>
        <v>1146236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IFERROR(__xludf.DUMMYFUNCTION("""COMPUTED_VALUE"""),25.61)</f>
        <v>25.61</v>
      </c>
      <c r="C946" s="1">
        <f>IFERROR(__xludf.DUMMYFUNCTION("""COMPUTED_VALUE"""),25.9)</f>
        <v>25.9</v>
      </c>
      <c r="D946" s="1">
        <f>IFERROR(__xludf.DUMMYFUNCTION("""COMPUTED_VALUE"""),25.21)</f>
        <v>25.21</v>
      </c>
      <c r="E946" s="1">
        <f>IFERROR(__xludf.DUMMYFUNCTION("""COMPUTED_VALUE"""),25.37)</f>
        <v>25.37</v>
      </c>
      <c r="F946" s="1">
        <f>IFERROR(__xludf.DUMMYFUNCTION("""COMPUTED_VALUE"""),943741.0)</f>
        <v>943741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IFERROR(__xludf.DUMMYFUNCTION("""COMPUTED_VALUE"""),25.4)</f>
        <v>25.4</v>
      </c>
      <c r="C947" s="1">
        <f>IFERROR(__xludf.DUMMYFUNCTION("""COMPUTED_VALUE"""),25.4)</f>
        <v>25.4</v>
      </c>
      <c r="D947" s="1">
        <f>IFERROR(__xludf.DUMMYFUNCTION("""COMPUTED_VALUE"""),25.03)</f>
        <v>25.03</v>
      </c>
      <c r="E947" s="1">
        <f>IFERROR(__xludf.DUMMYFUNCTION("""COMPUTED_VALUE"""),25.33)</f>
        <v>25.33</v>
      </c>
      <c r="F947" s="1">
        <f>IFERROR(__xludf.DUMMYFUNCTION("""COMPUTED_VALUE"""),593161.0)</f>
        <v>593161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IFERROR(__xludf.DUMMYFUNCTION("""COMPUTED_VALUE"""),25.16)</f>
        <v>25.16</v>
      </c>
      <c r="C948" s="1">
        <f>IFERROR(__xludf.DUMMYFUNCTION("""COMPUTED_VALUE"""),25.4)</f>
        <v>25.4</v>
      </c>
      <c r="D948" s="1">
        <f>IFERROR(__xludf.DUMMYFUNCTION("""COMPUTED_VALUE"""),25.06)</f>
        <v>25.06</v>
      </c>
      <c r="E948" s="1">
        <f>IFERROR(__xludf.DUMMYFUNCTION("""COMPUTED_VALUE"""),25.16)</f>
        <v>25.16</v>
      </c>
      <c r="F948" s="1">
        <f>IFERROR(__xludf.DUMMYFUNCTION("""COMPUTED_VALUE"""),480413.0)</f>
        <v>480413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IFERROR(__xludf.DUMMYFUNCTION("""COMPUTED_VALUE"""),25.11)</f>
        <v>25.11</v>
      </c>
      <c r="C949" s="1">
        <f>IFERROR(__xludf.DUMMYFUNCTION("""COMPUTED_VALUE"""),25.11)</f>
        <v>25.11</v>
      </c>
      <c r="D949" s="1">
        <f>IFERROR(__xludf.DUMMYFUNCTION("""COMPUTED_VALUE"""),23.53)</f>
        <v>23.53</v>
      </c>
      <c r="E949" s="1">
        <f>IFERROR(__xludf.DUMMYFUNCTION("""COMPUTED_VALUE"""),23.77)</f>
        <v>23.77</v>
      </c>
      <c r="F949" s="1">
        <f>IFERROR(__xludf.DUMMYFUNCTION("""COMPUTED_VALUE"""),1200642.0)</f>
        <v>1200642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IFERROR(__xludf.DUMMYFUNCTION("""COMPUTED_VALUE"""),23.88)</f>
        <v>23.88</v>
      </c>
      <c r="C950" s="1">
        <f>IFERROR(__xludf.DUMMYFUNCTION("""COMPUTED_VALUE"""),24.57)</f>
        <v>24.57</v>
      </c>
      <c r="D950" s="1">
        <f>IFERROR(__xludf.DUMMYFUNCTION("""COMPUTED_VALUE"""),23.85)</f>
        <v>23.85</v>
      </c>
      <c r="E950" s="1">
        <f>IFERROR(__xludf.DUMMYFUNCTION("""COMPUTED_VALUE"""),24.43)</f>
        <v>24.43</v>
      </c>
      <c r="F950" s="1">
        <f>IFERROR(__xludf.DUMMYFUNCTION("""COMPUTED_VALUE"""),1154239.0)</f>
        <v>1154239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IFERROR(__xludf.DUMMYFUNCTION("""COMPUTED_VALUE"""),24.7)</f>
        <v>24.7</v>
      </c>
      <c r="C951" s="1">
        <f>IFERROR(__xludf.DUMMYFUNCTION("""COMPUTED_VALUE"""),25.11)</f>
        <v>25.11</v>
      </c>
      <c r="D951" s="1">
        <f>IFERROR(__xludf.DUMMYFUNCTION("""COMPUTED_VALUE"""),24.7)</f>
        <v>24.7</v>
      </c>
      <c r="E951" s="1">
        <f>IFERROR(__xludf.DUMMYFUNCTION("""COMPUTED_VALUE"""),25.0)</f>
        <v>25</v>
      </c>
      <c r="F951" s="1">
        <f>IFERROR(__xludf.DUMMYFUNCTION("""COMPUTED_VALUE"""),650740.0)</f>
        <v>650740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IFERROR(__xludf.DUMMYFUNCTION("""COMPUTED_VALUE"""),25.06)</f>
        <v>25.06</v>
      </c>
      <c r="C952" s="1">
        <f>IFERROR(__xludf.DUMMYFUNCTION("""COMPUTED_VALUE"""),25.19)</f>
        <v>25.19</v>
      </c>
      <c r="D952" s="1">
        <f>IFERROR(__xludf.DUMMYFUNCTION("""COMPUTED_VALUE"""),24.7)</f>
        <v>24.7</v>
      </c>
      <c r="E952" s="1">
        <f>IFERROR(__xludf.DUMMYFUNCTION("""COMPUTED_VALUE"""),24.98)</f>
        <v>24.98</v>
      </c>
      <c r="F952" s="1">
        <f>IFERROR(__xludf.DUMMYFUNCTION("""COMPUTED_VALUE"""),480979.0)</f>
        <v>480979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IFERROR(__xludf.DUMMYFUNCTION("""COMPUTED_VALUE"""),24.95)</f>
        <v>24.95</v>
      </c>
      <c r="C953" s="1">
        <f>IFERROR(__xludf.DUMMYFUNCTION("""COMPUTED_VALUE"""),25.61)</f>
        <v>25.61</v>
      </c>
      <c r="D953" s="1">
        <f>IFERROR(__xludf.DUMMYFUNCTION("""COMPUTED_VALUE"""),24.75)</f>
        <v>24.75</v>
      </c>
      <c r="E953" s="1">
        <f>IFERROR(__xludf.DUMMYFUNCTION("""COMPUTED_VALUE"""),25.54)</f>
        <v>25.54</v>
      </c>
      <c r="F953" s="1">
        <f>IFERROR(__xludf.DUMMYFUNCTION("""COMPUTED_VALUE"""),674152.0)</f>
        <v>674152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IFERROR(__xludf.DUMMYFUNCTION("""COMPUTED_VALUE"""),25.7)</f>
        <v>25.7</v>
      </c>
      <c r="C954" s="1">
        <f>IFERROR(__xludf.DUMMYFUNCTION("""COMPUTED_VALUE"""),25.74)</f>
        <v>25.74</v>
      </c>
      <c r="D954" s="1">
        <f>IFERROR(__xludf.DUMMYFUNCTION("""COMPUTED_VALUE"""),25.3)</f>
        <v>25.3</v>
      </c>
      <c r="E954" s="1">
        <f>IFERROR(__xludf.DUMMYFUNCTION("""COMPUTED_VALUE"""),25.45)</f>
        <v>25.45</v>
      </c>
      <c r="F954" s="1">
        <f>IFERROR(__xludf.DUMMYFUNCTION("""COMPUTED_VALUE"""),668355.0)</f>
        <v>668355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IFERROR(__xludf.DUMMYFUNCTION("""COMPUTED_VALUE"""),25.66)</f>
        <v>25.66</v>
      </c>
      <c r="C955" s="1">
        <f>IFERROR(__xludf.DUMMYFUNCTION("""COMPUTED_VALUE"""),26.19)</f>
        <v>26.19</v>
      </c>
      <c r="D955" s="1">
        <f>IFERROR(__xludf.DUMMYFUNCTION("""COMPUTED_VALUE"""),25.62)</f>
        <v>25.62</v>
      </c>
      <c r="E955" s="1">
        <f>IFERROR(__xludf.DUMMYFUNCTION("""COMPUTED_VALUE"""),25.99)</f>
        <v>25.99</v>
      </c>
      <c r="F955" s="1">
        <f>IFERROR(__xludf.DUMMYFUNCTION("""COMPUTED_VALUE"""),918372.0)</f>
        <v>918372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IFERROR(__xludf.DUMMYFUNCTION("""COMPUTED_VALUE"""),25.95)</f>
        <v>25.95</v>
      </c>
      <c r="C956" s="1">
        <f>IFERROR(__xludf.DUMMYFUNCTION("""COMPUTED_VALUE"""),26.5)</f>
        <v>26.5</v>
      </c>
      <c r="D956" s="1">
        <f>IFERROR(__xludf.DUMMYFUNCTION("""COMPUTED_VALUE"""),25.9)</f>
        <v>25.9</v>
      </c>
      <c r="E956" s="1">
        <f>IFERROR(__xludf.DUMMYFUNCTION("""COMPUTED_VALUE"""),26.26)</f>
        <v>26.26</v>
      </c>
      <c r="F956" s="1">
        <f>IFERROR(__xludf.DUMMYFUNCTION("""COMPUTED_VALUE"""),1004672.0)</f>
        <v>1004672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IFERROR(__xludf.DUMMYFUNCTION("""COMPUTED_VALUE"""),26.51)</f>
        <v>26.51</v>
      </c>
      <c r="C957" s="1">
        <f>IFERROR(__xludf.DUMMYFUNCTION("""COMPUTED_VALUE"""),26.92)</f>
        <v>26.92</v>
      </c>
      <c r="D957" s="1">
        <f>IFERROR(__xludf.DUMMYFUNCTION("""COMPUTED_VALUE"""),26.28)</f>
        <v>26.28</v>
      </c>
      <c r="E957" s="1">
        <f>IFERROR(__xludf.DUMMYFUNCTION("""COMPUTED_VALUE"""),26.46)</f>
        <v>26.46</v>
      </c>
      <c r="F957" s="1">
        <f>IFERROR(__xludf.DUMMYFUNCTION("""COMPUTED_VALUE"""),1017703.0)</f>
        <v>1017703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IFERROR(__xludf.DUMMYFUNCTION("""COMPUTED_VALUE"""),26.56)</f>
        <v>26.56</v>
      </c>
      <c r="C958" s="1">
        <f>IFERROR(__xludf.DUMMYFUNCTION("""COMPUTED_VALUE"""),26.6)</f>
        <v>26.6</v>
      </c>
      <c r="D958" s="1">
        <f>IFERROR(__xludf.DUMMYFUNCTION("""COMPUTED_VALUE"""),26.0)</f>
        <v>26</v>
      </c>
      <c r="E958" s="1">
        <f>IFERROR(__xludf.DUMMYFUNCTION("""COMPUTED_VALUE"""),26.18)</f>
        <v>26.18</v>
      </c>
      <c r="F958" s="1">
        <f>IFERROR(__xludf.DUMMYFUNCTION("""COMPUTED_VALUE"""),998818.0)</f>
        <v>998818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IFERROR(__xludf.DUMMYFUNCTION("""COMPUTED_VALUE"""),26.42)</f>
        <v>26.42</v>
      </c>
      <c r="C959" s="1">
        <f>IFERROR(__xludf.DUMMYFUNCTION("""COMPUTED_VALUE"""),27.16)</f>
        <v>27.16</v>
      </c>
      <c r="D959" s="1">
        <f>IFERROR(__xludf.DUMMYFUNCTION("""COMPUTED_VALUE"""),26.23)</f>
        <v>26.23</v>
      </c>
      <c r="E959" s="1">
        <f>IFERROR(__xludf.DUMMYFUNCTION("""COMPUTED_VALUE"""),26.63)</f>
        <v>26.63</v>
      </c>
      <c r="F959" s="1">
        <f>IFERROR(__xludf.DUMMYFUNCTION("""COMPUTED_VALUE"""),1719621.0)</f>
        <v>1719621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IFERROR(__xludf.DUMMYFUNCTION("""COMPUTED_VALUE"""),27.11)</f>
        <v>27.11</v>
      </c>
      <c r="C960" s="1">
        <f>IFERROR(__xludf.DUMMYFUNCTION("""COMPUTED_VALUE"""),27.11)</f>
        <v>27.11</v>
      </c>
      <c r="D960" s="1">
        <f>IFERROR(__xludf.DUMMYFUNCTION("""COMPUTED_VALUE"""),25.36)</f>
        <v>25.36</v>
      </c>
      <c r="E960" s="1">
        <f>IFERROR(__xludf.DUMMYFUNCTION("""COMPUTED_VALUE"""),26.47)</f>
        <v>26.47</v>
      </c>
      <c r="F960" s="1">
        <f>IFERROR(__xludf.DUMMYFUNCTION("""COMPUTED_VALUE"""),2408741.0)</f>
        <v>2408741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IFERROR(__xludf.DUMMYFUNCTION("""COMPUTED_VALUE"""),26.17)</f>
        <v>26.17</v>
      </c>
      <c r="C961" s="1">
        <f>IFERROR(__xludf.DUMMYFUNCTION("""COMPUTED_VALUE"""),28.4)</f>
        <v>28.4</v>
      </c>
      <c r="D961" s="1">
        <f>IFERROR(__xludf.DUMMYFUNCTION("""COMPUTED_VALUE"""),26.17)</f>
        <v>26.17</v>
      </c>
      <c r="E961" s="1">
        <f>IFERROR(__xludf.DUMMYFUNCTION("""COMPUTED_VALUE"""),28.08)</f>
        <v>28.08</v>
      </c>
      <c r="F961" s="1">
        <f>IFERROR(__xludf.DUMMYFUNCTION("""COMPUTED_VALUE"""),3758719.0)</f>
        <v>3758719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IFERROR(__xludf.DUMMYFUNCTION("""COMPUTED_VALUE"""),27.3)</f>
        <v>27.3</v>
      </c>
      <c r="C962" s="1">
        <f>IFERROR(__xludf.DUMMYFUNCTION("""COMPUTED_VALUE"""),28.11)</f>
        <v>28.11</v>
      </c>
      <c r="D962" s="1">
        <f>IFERROR(__xludf.DUMMYFUNCTION("""COMPUTED_VALUE"""),25.93)</f>
        <v>25.93</v>
      </c>
      <c r="E962" s="1">
        <f>IFERROR(__xludf.DUMMYFUNCTION("""COMPUTED_VALUE"""),27.1)</f>
        <v>27.1</v>
      </c>
      <c r="F962" s="1">
        <f>IFERROR(__xludf.DUMMYFUNCTION("""COMPUTED_VALUE"""),1410977.0)</f>
        <v>1410977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IFERROR(__xludf.DUMMYFUNCTION("""COMPUTED_VALUE"""),27.14)</f>
        <v>27.14</v>
      </c>
      <c r="C963" s="1">
        <f>IFERROR(__xludf.DUMMYFUNCTION("""COMPUTED_VALUE"""),27.53)</f>
        <v>27.53</v>
      </c>
      <c r="D963" s="1">
        <f>IFERROR(__xludf.DUMMYFUNCTION("""COMPUTED_VALUE"""),26.3)</f>
        <v>26.3</v>
      </c>
      <c r="E963" s="1">
        <f>IFERROR(__xludf.DUMMYFUNCTION("""COMPUTED_VALUE"""),26.53)</f>
        <v>26.53</v>
      </c>
      <c r="F963" s="1">
        <f>IFERROR(__xludf.DUMMYFUNCTION("""COMPUTED_VALUE"""),1372483.0)</f>
        <v>1372483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IFERROR(__xludf.DUMMYFUNCTION("""COMPUTED_VALUE"""),26.81)</f>
        <v>26.81</v>
      </c>
      <c r="C964" s="1">
        <f>IFERROR(__xludf.DUMMYFUNCTION("""COMPUTED_VALUE"""),27.44)</f>
        <v>27.44</v>
      </c>
      <c r="D964" s="1">
        <f>IFERROR(__xludf.DUMMYFUNCTION("""COMPUTED_VALUE"""),26.44)</f>
        <v>26.44</v>
      </c>
      <c r="E964" s="1">
        <f>IFERROR(__xludf.DUMMYFUNCTION("""COMPUTED_VALUE"""),27.42)</f>
        <v>27.42</v>
      </c>
      <c r="F964" s="1">
        <f>IFERROR(__xludf.DUMMYFUNCTION("""COMPUTED_VALUE"""),637908.0)</f>
        <v>637908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IFERROR(__xludf.DUMMYFUNCTION("""COMPUTED_VALUE"""),27.41)</f>
        <v>27.41</v>
      </c>
      <c r="C965" s="1">
        <f>IFERROR(__xludf.DUMMYFUNCTION("""COMPUTED_VALUE"""),27.6)</f>
        <v>27.6</v>
      </c>
      <c r="D965" s="1">
        <f>IFERROR(__xludf.DUMMYFUNCTION("""COMPUTED_VALUE"""),26.54)</f>
        <v>26.54</v>
      </c>
      <c r="E965" s="1">
        <f>IFERROR(__xludf.DUMMYFUNCTION("""COMPUTED_VALUE"""),26.7)</f>
        <v>26.7</v>
      </c>
      <c r="F965" s="1">
        <f>IFERROR(__xludf.DUMMYFUNCTION("""COMPUTED_VALUE"""),401470.0)</f>
        <v>401470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IFERROR(__xludf.DUMMYFUNCTION("""COMPUTED_VALUE"""),26.73)</f>
        <v>26.73</v>
      </c>
      <c r="C966" s="1">
        <f>IFERROR(__xludf.DUMMYFUNCTION("""COMPUTED_VALUE"""),26.75)</f>
        <v>26.75</v>
      </c>
      <c r="D966" s="1">
        <f>IFERROR(__xludf.DUMMYFUNCTION("""COMPUTED_VALUE"""),26.04)</f>
        <v>26.04</v>
      </c>
      <c r="E966" s="1">
        <f>IFERROR(__xludf.DUMMYFUNCTION("""COMPUTED_VALUE"""),26.21)</f>
        <v>26.21</v>
      </c>
      <c r="F966" s="1">
        <f>IFERROR(__xludf.DUMMYFUNCTION("""COMPUTED_VALUE"""),786603.0)</f>
        <v>786603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IFERROR(__xludf.DUMMYFUNCTION("""COMPUTED_VALUE"""),26.23)</f>
        <v>26.23</v>
      </c>
      <c r="C967" s="1">
        <f>IFERROR(__xludf.DUMMYFUNCTION("""COMPUTED_VALUE"""),26.67)</f>
        <v>26.67</v>
      </c>
      <c r="D967" s="1">
        <f>IFERROR(__xludf.DUMMYFUNCTION("""COMPUTED_VALUE"""),26.04)</f>
        <v>26.04</v>
      </c>
      <c r="E967" s="1">
        <f>IFERROR(__xludf.DUMMYFUNCTION("""COMPUTED_VALUE"""),26.66)</f>
        <v>26.66</v>
      </c>
      <c r="F967" s="1">
        <f>IFERROR(__xludf.DUMMYFUNCTION("""COMPUTED_VALUE"""),941514.0)</f>
        <v>941514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IFERROR(__xludf.DUMMYFUNCTION("""COMPUTED_VALUE"""),26.58)</f>
        <v>26.58</v>
      </c>
      <c r="C968" s="1">
        <f>IFERROR(__xludf.DUMMYFUNCTION("""COMPUTED_VALUE"""),26.87)</f>
        <v>26.87</v>
      </c>
      <c r="D968" s="1">
        <f>IFERROR(__xludf.DUMMYFUNCTION("""COMPUTED_VALUE"""),26.41)</f>
        <v>26.41</v>
      </c>
      <c r="E968" s="1">
        <f>IFERROR(__xludf.DUMMYFUNCTION("""COMPUTED_VALUE"""),26.75)</f>
        <v>26.75</v>
      </c>
      <c r="F968" s="1">
        <f>IFERROR(__xludf.DUMMYFUNCTION("""COMPUTED_VALUE"""),579980.0)</f>
        <v>579980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IFERROR(__xludf.DUMMYFUNCTION("""COMPUTED_VALUE"""),26.7)</f>
        <v>26.7</v>
      </c>
      <c r="C969" s="1">
        <f>IFERROR(__xludf.DUMMYFUNCTION("""COMPUTED_VALUE"""),27.07)</f>
        <v>27.07</v>
      </c>
      <c r="D969" s="1">
        <f>IFERROR(__xludf.DUMMYFUNCTION("""COMPUTED_VALUE"""),26.43)</f>
        <v>26.43</v>
      </c>
      <c r="E969" s="1">
        <f>IFERROR(__xludf.DUMMYFUNCTION("""COMPUTED_VALUE"""),26.84)</f>
        <v>26.84</v>
      </c>
      <c r="F969" s="1">
        <f>IFERROR(__xludf.DUMMYFUNCTION("""COMPUTED_VALUE"""),759702.0)</f>
        <v>759702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IFERROR(__xludf.DUMMYFUNCTION("""COMPUTED_VALUE"""),26.85)</f>
        <v>26.85</v>
      </c>
      <c r="C970" s="1">
        <f>IFERROR(__xludf.DUMMYFUNCTION("""COMPUTED_VALUE"""),27.08)</f>
        <v>27.08</v>
      </c>
      <c r="D970" s="1">
        <f>IFERROR(__xludf.DUMMYFUNCTION("""COMPUTED_VALUE"""),26.47)</f>
        <v>26.47</v>
      </c>
      <c r="E970" s="1">
        <f>IFERROR(__xludf.DUMMYFUNCTION("""COMPUTED_VALUE"""),26.58)</f>
        <v>26.58</v>
      </c>
      <c r="F970" s="1">
        <f>IFERROR(__xludf.DUMMYFUNCTION("""COMPUTED_VALUE"""),539875.0)</f>
        <v>539875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IFERROR(__xludf.DUMMYFUNCTION("""COMPUTED_VALUE"""),26.59)</f>
        <v>26.59</v>
      </c>
      <c r="C971" s="1">
        <f>IFERROR(__xludf.DUMMYFUNCTION("""COMPUTED_VALUE"""),26.59)</f>
        <v>26.59</v>
      </c>
      <c r="D971" s="1">
        <f>IFERROR(__xludf.DUMMYFUNCTION("""COMPUTED_VALUE"""),25.49)</f>
        <v>25.49</v>
      </c>
      <c r="E971" s="1">
        <f>IFERROR(__xludf.DUMMYFUNCTION("""COMPUTED_VALUE"""),25.78)</f>
        <v>25.78</v>
      </c>
      <c r="F971" s="1">
        <f>IFERROR(__xludf.DUMMYFUNCTION("""COMPUTED_VALUE"""),1464679.0)</f>
        <v>1464679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IFERROR(__xludf.DUMMYFUNCTION("""COMPUTED_VALUE"""),25.89)</f>
        <v>25.89</v>
      </c>
      <c r="C972" s="1">
        <f>IFERROR(__xludf.DUMMYFUNCTION("""COMPUTED_VALUE"""),26.59)</f>
        <v>26.59</v>
      </c>
      <c r="D972" s="1">
        <f>IFERROR(__xludf.DUMMYFUNCTION("""COMPUTED_VALUE"""),25.86)</f>
        <v>25.86</v>
      </c>
      <c r="E972" s="1">
        <f>IFERROR(__xludf.DUMMYFUNCTION("""COMPUTED_VALUE"""),26.38)</f>
        <v>26.38</v>
      </c>
      <c r="F972" s="1">
        <f>IFERROR(__xludf.DUMMYFUNCTION("""COMPUTED_VALUE"""),982642.0)</f>
        <v>982642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IFERROR(__xludf.DUMMYFUNCTION("""COMPUTED_VALUE"""),26.44)</f>
        <v>26.44</v>
      </c>
      <c r="C973" s="1">
        <f>IFERROR(__xludf.DUMMYFUNCTION("""COMPUTED_VALUE"""),26.55)</f>
        <v>26.55</v>
      </c>
      <c r="D973" s="1">
        <f>IFERROR(__xludf.DUMMYFUNCTION("""COMPUTED_VALUE"""),26.0)</f>
        <v>26</v>
      </c>
      <c r="E973" s="1">
        <f>IFERROR(__xludf.DUMMYFUNCTION("""COMPUTED_VALUE"""),26.42)</f>
        <v>26.42</v>
      </c>
      <c r="F973" s="1">
        <f>IFERROR(__xludf.DUMMYFUNCTION("""COMPUTED_VALUE"""),743459.0)</f>
        <v>743459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IFERROR(__xludf.DUMMYFUNCTION("""COMPUTED_VALUE"""),26.43)</f>
        <v>26.43</v>
      </c>
      <c r="C974" s="1">
        <f>IFERROR(__xludf.DUMMYFUNCTION("""COMPUTED_VALUE"""),26.52)</f>
        <v>26.52</v>
      </c>
      <c r="D974" s="1">
        <f>IFERROR(__xludf.DUMMYFUNCTION("""COMPUTED_VALUE"""),25.86)</f>
        <v>25.86</v>
      </c>
      <c r="E974" s="1">
        <f>IFERROR(__xludf.DUMMYFUNCTION("""COMPUTED_VALUE"""),26.18)</f>
        <v>26.18</v>
      </c>
      <c r="F974" s="1">
        <f>IFERROR(__xludf.DUMMYFUNCTION("""COMPUTED_VALUE"""),717915.0)</f>
        <v>717915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IFERROR(__xludf.DUMMYFUNCTION("""COMPUTED_VALUE"""),26.17)</f>
        <v>26.17</v>
      </c>
      <c r="C975" s="1">
        <f>IFERROR(__xludf.DUMMYFUNCTION("""COMPUTED_VALUE"""),27.15)</f>
        <v>27.15</v>
      </c>
      <c r="D975" s="1">
        <f>IFERROR(__xludf.DUMMYFUNCTION("""COMPUTED_VALUE"""),25.99)</f>
        <v>25.99</v>
      </c>
      <c r="E975" s="1">
        <f>IFERROR(__xludf.DUMMYFUNCTION("""COMPUTED_VALUE"""),26.92)</f>
        <v>26.92</v>
      </c>
      <c r="F975" s="1">
        <f>IFERROR(__xludf.DUMMYFUNCTION("""COMPUTED_VALUE"""),815478.0)</f>
        <v>815478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IFERROR(__xludf.DUMMYFUNCTION("""COMPUTED_VALUE"""),26.92)</f>
        <v>26.92</v>
      </c>
      <c r="C976" s="1">
        <f>IFERROR(__xludf.DUMMYFUNCTION("""COMPUTED_VALUE"""),27.65)</f>
        <v>27.65</v>
      </c>
      <c r="D976" s="1">
        <f>IFERROR(__xludf.DUMMYFUNCTION("""COMPUTED_VALUE"""),26.85)</f>
        <v>26.85</v>
      </c>
      <c r="E976" s="1">
        <f>IFERROR(__xludf.DUMMYFUNCTION("""COMPUTED_VALUE"""),27.51)</f>
        <v>27.51</v>
      </c>
      <c r="F976" s="1">
        <f>IFERROR(__xludf.DUMMYFUNCTION("""COMPUTED_VALUE"""),1563924.0)</f>
        <v>1563924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IFERROR(__xludf.DUMMYFUNCTION("""COMPUTED_VALUE"""),27.55)</f>
        <v>27.55</v>
      </c>
      <c r="C977" s="1">
        <f>IFERROR(__xludf.DUMMYFUNCTION("""COMPUTED_VALUE"""),28.27)</f>
        <v>28.27</v>
      </c>
      <c r="D977" s="1">
        <f>IFERROR(__xludf.DUMMYFUNCTION("""COMPUTED_VALUE"""),27.47)</f>
        <v>27.47</v>
      </c>
      <c r="E977" s="1">
        <f>IFERROR(__xludf.DUMMYFUNCTION("""COMPUTED_VALUE"""),28.14)</f>
        <v>28.14</v>
      </c>
      <c r="F977" s="1">
        <f>IFERROR(__xludf.DUMMYFUNCTION("""COMPUTED_VALUE"""),1123396.0)</f>
        <v>1123396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IFERROR(__xludf.DUMMYFUNCTION("""COMPUTED_VALUE"""),28.5)</f>
        <v>28.5</v>
      </c>
      <c r="C978" s="1">
        <f>IFERROR(__xludf.DUMMYFUNCTION("""COMPUTED_VALUE"""),30.73)</f>
        <v>30.73</v>
      </c>
      <c r="D978" s="1">
        <f>IFERROR(__xludf.DUMMYFUNCTION("""COMPUTED_VALUE"""),28.47)</f>
        <v>28.47</v>
      </c>
      <c r="E978" s="1">
        <f>IFERROR(__xludf.DUMMYFUNCTION("""COMPUTED_VALUE"""),29.67)</f>
        <v>29.67</v>
      </c>
      <c r="F978" s="1">
        <f>IFERROR(__xludf.DUMMYFUNCTION("""COMPUTED_VALUE"""),4258099.0)</f>
        <v>4258099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IFERROR(__xludf.DUMMYFUNCTION("""COMPUTED_VALUE"""),29.78)</f>
        <v>29.78</v>
      </c>
      <c r="C979" s="1">
        <f>IFERROR(__xludf.DUMMYFUNCTION("""COMPUTED_VALUE"""),29.78)</f>
        <v>29.78</v>
      </c>
      <c r="D979" s="1">
        <f>IFERROR(__xludf.DUMMYFUNCTION("""COMPUTED_VALUE"""),28.88)</f>
        <v>28.88</v>
      </c>
      <c r="E979" s="1">
        <f>IFERROR(__xludf.DUMMYFUNCTION("""COMPUTED_VALUE"""),29.17)</f>
        <v>29.17</v>
      </c>
      <c r="F979" s="1">
        <f>IFERROR(__xludf.DUMMYFUNCTION("""COMPUTED_VALUE"""),1565855.0)</f>
        <v>1565855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IFERROR(__xludf.DUMMYFUNCTION("""COMPUTED_VALUE"""),29.15)</f>
        <v>29.15</v>
      </c>
      <c r="C980" s="1">
        <f>IFERROR(__xludf.DUMMYFUNCTION("""COMPUTED_VALUE"""),29.76)</f>
        <v>29.76</v>
      </c>
      <c r="D980" s="1">
        <f>IFERROR(__xludf.DUMMYFUNCTION("""COMPUTED_VALUE"""),28.92)</f>
        <v>28.92</v>
      </c>
      <c r="E980" s="1">
        <f>IFERROR(__xludf.DUMMYFUNCTION("""COMPUTED_VALUE"""),29.0)</f>
        <v>29</v>
      </c>
      <c r="F980" s="1">
        <f>IFERROR(__xludf.DUMMYFUNCTION("""COMPUTED_VALUE"""),1160970.0)</f>
        <v>1160970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IFERROR(__xludf.DUMMYFUNCTION("""COMPUTED_VALUE"""),29.0)</f>
        <v>29</v>
      </c>
      <c r="C981" s="1">
        <f>IFERROR(__xludf.DUMMYFUNCTION("""COMPUTED_VALUE"""),29.6)</f>
        <v>29.6</v>
      </c>
      <c r="D981" s="1">
        <f>IFERROR(__xludf.DUMMYFUNCTION("""COMPUTED_VALUE"""),28.93)</f>
        <v>28.93</v>
      </c>
      <c r="E981" s="1">
        <f>IFERROR(__xludf.DUMMYFUNCTION("""COMPUTED_VALUE"""),29.2)</f>
        <v>29.2</v>
      </c>
      <c r="F981" s="1">
        <f>IFERROR(__xludf.DUMMYFUNCTION("""COMPUTED_VALUE"""),1001392.0)</f>
        <v>1001392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IFERROR(__xludf.DUMMYFUNCTION("""COMPUTED_VALUE"""),29.16)</f>
        <v>29.16</v>
      </c>
      <c r="C982" s="1">
        <f>IFERROR(__xludf.DUMMYFUNCTION("""COMPUTED_VALUE"""),29.62)</f>
        <v>29.62</v>
      </c>
      <c r="D982" s="1">
        <f>IFERROR(__xludf.DUMMYFUNCTION("""COMPUTED_VALUE"""),29.0)</f>
        <v>29</v>
      </c>
      <c r="E982" s="1">
        <f>IFERROR(__xludf.DUMMYFUNCTION("""COMPUTED_VALUE"""),29.59)</f>
        <v>29.59</v>
      </c>
      <c r="F982" s="1">
        <f>IFERROR(__xludf.DUMMYFUNCTION("""COMPUTED_VALUE"""),853016.0)</f>
        <v>853016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IFERROR(__xludf.DUMMYFUNCTION("""COMPUTED_VALUE"""),29.62)</f>
        <v>29.62</v>
      </c>
      <c r="C983" s="1">
        <f>IFERROR(__xludf.DUMMYFUNCTION("""COMPUTED_VALUE"""),29.78)</f>
        <v>29.78</v>
      </c>
      <c r="D983" s="1">
        <f>IFERROR(__xludf.DUMMYFUNCTION("""COMPUTED_VALUE"""),28.95)</f>
        <v>28.95</v>
      </c>
      <c r="E983" s="1">
        <f>IFERROR(__xludf.DUMMYFUNCTION("""COMPUTED_VALUE"""),29.0)</f>
        <v>29</v>
      </c>
      <c r="F983" s="1">
        <f>IFERROR(__xludf.DUMMYFUNCTION("""COMPUTED_VALUE"""),735459.0)</f>
        <v>735459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IFERROR(__xludf.DUMMYFUNCTION("""COMPUTED_VALUE"""),28.93)</f>
        <v>28.93</v>
      </c>
      <c r="C984" s="1">
        <f>IFERROR(__xludf.DUMMYFUNCTION("""COMPUTED_VALUE"""),29.42)</f>
        <v>29.42</v>
      </c>
      <c r="D984" s="1">
        <f>IFERROR(__xludf.DUMMYFUNCTION("""COMPUTED_VALUE"""),28.91)</f>
        <v>28.91</v>
      </c>
      <c r="E984" s="1">
        <f>IFERROR(__xludf.DUMMYFUNCTION("""COMPUTED_VALUE"""),29.28)</f>
        <v>29.28</v>
      </c>
      <c r="F984" s="1">
        <f>IFERROR(__xludf.DUMMYFUNCTION("""COMPUTED_VALUE"""),812547.0)</f>
        <v>812547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IFERROR(__xludf.DUMMYFUNCTION("""COMPUTED_VALUE"""),29.42)</f>
        <v>29.42</v>
      </c>
      <c r="C985" s="1">
        <f>IFERROR(__xludf.DUMMYFUNCTION("""COMPUTED_VALUE"""),29.64)</f>
        <v>29.64</v>
      </c>
      <c r="D985" s="1">
        <f>IFERROR(__xludf.DUMMYFUNCTION("""COMPUTED_VALUE"""),29.08)</f>
        <v>29.08</v>
      </c>
      <c r="E985" s="1">
        <f>IFERROR(__xludf.DUMMYFUNCTION("""COMPUTED_VALUE"""),29.53)</f>
        <v>29.53</v>
      </c>
      <c r="F985" s="1">
        <f>IFERROR(__xludf.DUMMYFUNCTION("""COMPUTED_VALUE"""),571149.0)</f>
        <v>571149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IFERROR(__xludf.DUMMYFUNCTION("""COMPUTED_VALUE"""),29.52)</f>
        <v>29.52</v>
      </c>
      <c r="C986" s="1">
        <f>IFERROR(__xludf.DUMMYFUNCTION("""COMPUTED_VALUE"""),29.98)</f>
        <v>29.98</v>
      </c>
      <c r="D986" s="1">
        <f>IFERROR(__xludf.DUMMYFUNCTION("""COMPUTED_VALUE"""),29.28)</f>
        <v>29.28</v>
      </c>
      <c r="E986" s="1">
        <f>IFERROR(__xludf.DUMMYFUNCTION("""COMPUTED_VALUE"""),29.69)</f>
        <v>29.69</v>
      </c>
      <c r="F986" s="1">
        <f>IFERROR(__xludf.DUMMYFUNCTION("""COMPUTED_VALUE"""),475519.0)</f>
        <v>475519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IFERROR(__xludf.DUMMYFUNCTION("""COMPUTED_VALUE"""),29.88)</f>
        <v>29.88</v>
      </c>
      <c r="C987" s="1">
        <f>IFERROR(__xludf.DUMMYFUNCTION("""COMPUTED_VALUE"""),31.48)</f>
        <v>31.48</v>
      </c>
      <c r="D987" s="1">
        <f>IFERROR(__xludf.DUMMYFUNCTION("""COMPUTED_VALUE"""),29.88)</f>
        <v>29.88</v>
      </c>
      <c r="E987" s="1">
        <f>IFERROR(__xludf.DUMMYFUNCTION("""COMPUTED_VALUE"""),30.0)</f>
        <v>30</v>
      </c>
      <c r="F987" s="1">
        <f>IFERROR(__xludf.DUMMYFUNCTION("""COMPUTED_VALUE"""),1231468.0)</f>
        <v>1231468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IFERROR(__xludf.DUMMYFUNCTION("""COMPUTED_VALUE"""),30.01)</f>
        <v>30.01</v>
      </c>
      <c r="C988" s="1">
        <f>IFERROR(__xludf.DUMMYFUNCTION("""COMPUTED_VALUE"""),30.05)</f>
        <v>30.05</v>
      </c>
      <c r="D988" s="1">
        <f>IFERROR(__xludf.DUMMYFUNCTION("""COMPUTED_VALUE"""),29.41)</f>
        <v>29.41</v>
      </c>
      <c r="E988" s="1">
        <f>IFERROR(__xludf.DUMMYFUNCTION("""COMPUTED_VALUE"""),29.91)</f>
        <v>29.91</v>
      </c>
      <c r="F988" s="1">
        <f>IFERROR(__xludf.DUMMYFUNCTION("""COMPUTED_VALUE"""),1189507.0)</f>
        <v>1189507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IFERROR(__xludf.DUMMYFUNCTION("""COMPUTED_VALUE"""),29.82)</f>
        <v>29.82</v>
      </c>
      <c r="C989" s="1">
        <f>IFERROR(__xludf.DUMMYFUNCTION("""COMPUTED_VALUE"""),30.39)</f>
        <v>30.39</v>
      </c>
      <c r="D989" s="1">
        <f>IFERROR(__xludf.DUMMYFUNCTION("""COMPUTED_VALUE"""),29.76)</f>
        <v>29.76</v>
      </c>
      <c r="E989" s="1">
        <f>IFERROR(__xludf.DUMMYFUNCTION("""COMPUTED_VALUE"""),29.99)</f>
        <v>29.99</v>
      </c>
      <c r="F989" s="1">
        <f>IFERROR(__xludf.DUMMYFUNCTION("""COMPUTED_VALUE"""),1489176.0)</f>
        <v>1489176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IFERROR(__xludf.DUMMYFUNCTION("""COMPUTED_VALUE"""),29.99)</f>
        <v>29.99</v>
      </c>
      <c r="C990" s="1">
        <f>IFERROR(__xludf.DUMMYFUNCTION("""COMPUTED_VALUE"""),30.18)</f>
        <v>30.18</v>
      </c>
      <c r="D990" s="1">
        <f>IFERROR(__xludf.DUMMYFUNCTION("""COMPUTED_VALUE"""),29.37)</f>
        <v>29.37</v>
      </c>
      <c r="E990" s="1">
        <f>IFERROR(__xludf.DUMMYFUNCTION("""COMPUTED_VALUE"""),29.47)</f>
        <v>29.47</v>
      </c>
      <c r="F990" s="1">
        <f>IFERROR(__xludf.DUMMYFUNCTION("""COMPUTED_VALUE"""),861116.0)</f>
        <v>861116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IFERROR(__xludf.DUMMYFUNCTION("""COMPUTED_VALUE"""),29.87)</f>
        <v>29.87</v>
      </c>
      <c r="C991" s="1">
        <f>IFERROR(__xludf.DUMMYFUNCTION("""COMPUTED_VALUE"""),30.14)</f>
        <v>30.14</v>
      </c>
      <c r="D991" s="1">
        <f>IFERROR(__xludf.DUMMYFUNCTION("""COMPUTED_VALUE"""),29.84)</f>
        <v>29.84</v>
      </c>
      <c r="E991" s="1">
        <f>IFERROR(__xludf.DUMMYFUNCTION("""COMPUTED_VALUE"""),29.98)</f>
        <v>29.98</v>
      </c>
      <c r="F991" s="1">
        <f>IFERROR(__xludf.DUMMYFUNCTION("""COMPUTED_VALUE"""),708449.0)</f>
        <v>708449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IFERROR(__xludf.DUMMYFUNCTION("""COMPUTED_VALUE"""),29.8)</f>
        <v>29.8</v>
      </c>
      <c r="C992" s="1">
        <f>IFERROR(__xludf.DUMMYFUNCTION("""COMPUTED_VALUE"""),29.8)</f>
        <v>29.8</v>
      </c>
      <c r="D992" s="1">
        <f>IFERROR(__xludf.DUMMYFUNCTION("""COMPUTED_VALUE"""),29.12)</f>
        <v>29.12</v>
      </c>
      <c r="E992" s="1">
        <f>IFERROR(__xludf.DUMMYFUNCTION("""COMPUTED_VALUE"""),29.43)</f>
        <v>29.43</v>
      </c>
      <c r="F992" s="1">
        <f>IFERROR(__xludf.DUMMYFUNCTION("""COMPUTED_VALUE"""),661103.0)</f>
        <v>661103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IFERROR(__xludf.DUMMYFUNCTION("""COMPUTED_VALUE"""),29.16)</f>
        <v>29.16</v>
      </c>
      <c r="C993" s="1">
        <f>IFERROR(__xludf.DUMMYFUNCTION("""COMPUTED_VALUE"""),29.61)</f>
        <v>29.61</v>
      </c>
      <c r="D993" s="1">
        <f>IFERROR(__xludf.DUMMYFUNCTION("""COMPUTED_VALUE"""),29.01)</f>
        <v>29.01</v>
      </c>
      <c r="E993" s="1">
        <f>IFERROR(__xludf.DUMMYFUNCTION("""COMPUTED_VALUE"""),29.58)</f>
        <v>29.58</v>
      </c>
      <c r="F993" s="1">
        <f>IFERROR(__xludf.DUMMYFUNCTION("""COMPUTED_VALUE"""),978056.0)</f>
        <v>978056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IFERROR(__xludf.DUMMYFUNCTION("""COMPUTED_VALUE"""),29.4)</f>
        <v>29.4</v>
      </c>
      <c r="C994" s="1">
        <f>IFERROR(__xludf.DUMMYFUNCTION("""COMPUTED_VALUE"""),29.82)</f>
        <v>29.82</v>
      </c>
      <c r="D994" s="1">
        <f>IFERROR(__xludf.DUMMYFUNCTION("""COMPUTED_VALUE"""),28.92)</f>
        <v>28.92</v>
      </c>
      <c r="E994" s="1">
        <f>IFERROR(__xludf.DUMMYFUNCTION("""COMPUTED_VALUE"""),28.94)</f>
        <v>28.94</v>
      </c>
      <c r="F994" s="1">
        <f>IFERROR(__xludf.DUMMYFUNCTION("""COMPUTED_VALUE"""),1206990.0)</f>
        <v>1206990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IFERROR(__xludf.DUMMYFUNCTION("""COMPUTED_VALUE"""),28.9)</f>
        <v>28.9</v>
      </c>
      <c r="C995" s="1">
        <f>IFERROR(__xludf.DUMMYFUNCTION("""COMPUTED_VALUE"""),29.28)</f>
        <v>29.28</v>
      </c>
      <c r="D995" s="1">
        <f>IFERROR(__xludf.DUMMYFUNCTION("""COMPUTED_VALUE"""),28.71)</f>
        <v>28.71</v>
      </c>
      <c r="E995" s="1">
        <f>IFERROR(__xludf.DUMMYFUNCTION("""COMPUTED_VALUE"""),29.2)</f>
        <v>29.2</v>
      </c>
      <c r="F995" s="1">
        <f>IFERROR(__xludf.DUMMYFUNCTION("""COMPUTED_VALUE"""),497596.0)</f>
        <v>497596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IFERROR(__xludf.DUMMYFUNCTION("""COMPUTED_VALUE"""),29.52)</f>
        <v>29.52</v>
      </c>
      <c r="C996" s="1">
        <f>IFERROR(__xludf.DUMMYFUNCTION("""COMPUTED_VALUE"""),30.12)</f>
        <v>30.12</v>
      </c>
      <c r="D996" s="1">
        <f>IFERROR(__xludf.DUMMYFUNCTION("""COMPUTED_VALUE"""),29.28)</f>
        <v>29.28</v>
      </c>
      <c r="E996" s="1">
        <f>IFERROR(__xludf.DUMMYFUNCTION("""COMPUTED_VALUE"""),29.51)</f>
        <v>29.51</v>
      </c>
      <c r="F996" s="1">
        <f>IFERROR(__xludf.DUMMYFUNCTION("""COMPUTED_VALUE"""),465208.0)</f>
        <v>465208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IFERROR(__xludf.DUMMYFUNCTION("""COMPUTED_VALUE"""),28.68)</f>
        <v>28.68</v>
      </c>
      <c r="C997" s="1">
        <f>IFERROR(__xludf.DUMMYFUNCTION("""COMPUTED_VALUE"""),29.54)</f>
        <v>29.54</v>
      </c>
      <c r="D997" s="1">
        <f>IFERROR(__xludf.DUMMYFUNCTION("""COMPUTED_VALUE"""),28.62)</f>
        <v>28.62</v>
      </c>
      <c r="E997" s="1">
        <f>IFERROR(__xludf.DUMMYFUNCTION("""COMPUTED_VALUE"""),29.34)</f>
        <v>29.34</v>
      </c>
      <c r="F997" s="1">
        <f>IFERROR(__xludf.DUMMYFUNCTION("""COMPUTED_VALUE"""),519255.0)</f>
        <v>519255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IFERROR(__xludf.DUMMYFUNCTION("""COMPUTED_VALUE"""),29.41)</f>
        <v>29.41</v>
      </c>
      <c r="C998" s="1">
        <f>IFERROR(__xludf.DUMMYFUNCTION("""COMPUTED_VALUE"""),29.59)</f>
        <v>29.59</v>
      </c>
      <c r="D998" s="1">
        <f>IFERROR(__xludf.DUMMYFUNCTION("""COMPUTED_VALUE"""),28.93)</f>
        <v>28.93</v>
      </c>
      <c r="E998" s="1">
        <f>IFERROR(__xludf.DUMMYFUNCTION("""COMPUTED_VALUE"""),28.93)</f>
        <v>28.93</v>
      </c>
      <c r="F998" s="1">
        <f>IFERROR(__xludf.DUMMYFUNCTION("""COMPUTED_VALUE"""),366642.0)</f>
        <v>366642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IFERROR(__xludf.DUMMYFUNCTION("""COMPUTED_VALUE"""),29.07)</f>
        <v>29.07</v>
      </c>
      <c r="C999" s="1">
        <f>IFERROR(__xludf.DUMMYFUNCTION("""COMPUTED_VALUE"""),29.69)</f>
        <v>29.69</v>
      </c>
      <c r="D999" s="1">
        <f>IFERROR(__xludf.DUMMYFUNCTION("""COMPUTED_VALUE"""),29.02)</f>
        <v>29.02</v>
      </c>
      <c r="E999" s="1">
        <f>IFERROR(__xludf.DUMMYFUNCTION("""COMPUTED_VALUE"""),29.66)</f>
        <v>29.66</v>
      </c>
      <c r="F999" s="1">
        <f>IFERROR(__xludf.DUMMYFUNCTION("""COMPUTED_VALUE"""),595531.0)</f>
        <v>595531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IFERROR(__xludf.DUMMYFUNCTION("""COMPUTED_VALUE"""),29.3)</f>
        <v>29.3</v>
      </c>
      <c r="C1000" s="1">
        <f>IFERROR(__xludf.DUMMYFUNCTION("""COMPUTED_VALUE"""),29.77)</f>
        <v>29.77</v>
      </c>
      <c r="D1000" s="1">
        <f>IFERROR(__xludf.DUMMYFUNCTION("""COMPUTED_VALUE"""),28.87)</f>
        <v>28.87</v>
      </c>
      <c r="E1000" s="1">
        <f>IFERROR(__xludf.DUMMYFUNCTION("""COMPUTED_VALUE"""),29.7)</f>
        <v>29.7</v>
      </c>
      <c r="F1000" s="1">
        <f>IFERROR(__xludf.DUMMYFUNCTION("""COMPUTED_VALUE"""),517693.0)</f>
        <v>517693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IFERROR(__xludf.DUMMYFUNCTION("""COMPUTED_VALUE"""),29.8)</f>
        <v>29.8</v>
      </c>
      <c r="C1001" s="1">
        <f>IFERROR(__xludf.DUMMYFUNCTION("""COMPUTED_VALUE"""),29.98)</f>
        <v>29.98</v>
      </c>
      <c r="D1001" s="1">
        <f>IFERROR(__xludf.DUMMYFUNCTION("""COMPUTED_VALUE"""),29.31)</f>
        <v>29.31</v>
      </c>
      <c r="E1001" s="1">
        <f>IFERROR(__xludf.DUMMYFUNCTION("""COMPUTED_VALUE"""),29.79)</f>
        <v>29.79</v>
      </c>
      <c r="F1001" s="1">
        <f>IFERROR(__xludf.DUMMYFUNCTION("""COMPUTED_VALUE"""),771743.0)</f>
        <v>771743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IFERROR(__xludf.DUMMYFUNCTION("""COMPUTED_VALUE"""),29.85)</f>
        <v>29.85</v>
      </c>
      <c r="C1002" s="1">
        <f>IFERROR(__xludf.DUMMYFUNCTION("""COMPUTED_VALUE"""),30.03)</f>
        <v>30.03</v>
      </c>
      <c r="D1002" s="1">
        <f>IFERROR(__xludf.DUMMYFUNCTION("""COMPUTED_VALUE"""),29.8)</f>
        <v>29.8</v>
      </c>
      <c r="E1002" s="1">
        <f>IFERROR(__xludf.DUMMYFUNCTION("""COMPUTED_VALUE"""),29.96)</f>
        <v>29.96</v>
      </c>
      <c r="F1002" s="1">
        <f>IFERROR(__xludf.DUMMYFUNCTION("""COMPUTED_VALUE"""),377211.0)</f>
        <v>377211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IFERROR(__xludf.DUMMYFUNCTION("""COMPUTED_VALUE"""),29.96)</f>
        <v>29.96</v>
      </c>
      <c r="C1003" s="1">
        <f>IFERROR(__xludf.DUMMYFUNCTION("""COMPUTED_VALUE"""),30.7)</f>
        <v>30.7</v>
      </c>
      <c r="D1003" s="1">
        <f>IFERROR(__xludf.DUMMYFUNCTION("""COMPUTED_VALUE"""),29.65)</f>
        <v>29.65</v>
      </c>
      <c r="E1003" s="1">
        <f>IFERROR(__xludf.DUMMYFUNCTION("""COMPUTED_VALUE"""),30.57)</f>
        <v>30.57</v>
      </c>
      <c r="F1003" s="1">
        <f>IFERROR(__xludf.DUMMYFUNCTION("""COMPUTED_VALUE"""),388369.0)</f>
        <v>388369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IFERROR(__xludf.DUMMYFUNCTION("""COMPUTED_VALUE"""),30.57)</f>
        <v>30.57</v>
      </c>
      <c r="C1004" s="1">
        <f>IFERROR(__xludf.DUMMYFUNCTION("""COMPUTED_VALUE"""),30.87)</f>
        <v>30.87</v>
      </c>
      <c r="D1004" s="1">
        <f>IFERROR(__xludf.DUMMYFUNCTION("""COMPUTED_VALUE"""),29.95)</f>
        <v>29.95</v>
      </c>
      <c r="E1004" s="1">
        <f>IFERROR(__xludf.DUMMYFUNCTION("""COMPUTED_VALUE"""),30.02)</f>
        <v>30.02</v>
      </c>
      <c r="F1004" s="1">
        <f>IFERROR(__xludf.DUMMYFUNCTION("""COMPUTED_VALUE"""),303729.0)</f>
        <v>303729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IFERROR(__xludf.DUMMYFUNCTION("""COMPUTED_VALUE"""),30.2)</f>
        <v>30.2</v>
      </c>
      <c r="C1005" s="1">
        <f>IFERROR(__xludf.DUMMYFUNCTION("""COMPUTED_VALUE"""),30.58)</f>
        <v>30.58</v>
      </c>
      <c r="D1005" s="1">
        <f>IFERROR(__xludf.DUMMYFUNCTION("""COMPUTED_VALUE"""),29.76)</f>
        <v>29.76</v>
      </c>
      <c r="E1005" s="1">
        <f>IFERROR(__xludf.DUMMYFUNCTION("""COMPUTED_VALUE"""),29.93)</f>
        <v>29.93</v>
      </c>
      <c r="F1005" s="1">
        <f>IFERROR(__xludf.DUMMYFUNCTION("""COMPUTED_VALUE"""),350856.0)</f>
        <v>350856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IFERROR(__xludf.DUMMYFUNCTION("""COMPUTED_VALUE"""),29.93)</f>
        <v>29.93</v>
      </c>
      <c r="C1006" s="1">
        <f>IFERROR(__xludf.DUMMYFUNCTION("""COMPUTED_VALUE"""),31.47)</f>
        <v>31.47</v>
      </c>
      <c r="D1006" s="1">
        <f>IFERROR(__xludf.DUMMYFUNCTION("""COMPUTED_VALUE"""),29.89)</f>
        <v>29.89</v>
      </c>
      <c r="E1006" s="1">
        <f>IFERROR(__xludf.DUMMYFUNCTION("""COMPUTED_VALUE"""),31.0)</f>
        <v>31</v>
      </c>
      <c r="F1006" s="1">
        <f>IFERROR(__xludf.DUMMYFUNCTION("""COMPUTED_VALUE"""),848909.0)</f>
        <v>848909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IFERROR(__xludf.DUMMYFUNCTION("""COMPUTED_VALUE"""),31.19)</f>
        <v>31.19</v>
      </c>
      <c r="C1007" s="1">
        <f>IFERROR(__xludf.DUMMYFUNCTION("""COMPUTED_VALUE"""),32.0)</f>
        <v>32</v>
      </c>
      <c r="D1007" s="1">
        <f>IFERROR(__xludf.DUMMYFUNCTION("""COMPUTED_VALUE"""),31.05)</f>
        <v>31.05</v>
      </c>
      <c r="E1007" s="1">
        <f>IFERROR(__xludf.DUMMYFUNCTION("""COMPUTED_VALUE"""),31.5)</f>
        <v>31.5</v>
      </c>
      <c r="F1007" s="1">
        <f>IFERROR(__xludf.DUMMYFUNCTION("""COMPUTED_VALUE"""),852932.0)</f>
        <v>852932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IFERROR(__xludf.DUMMYFUNCTION("""COMPUTED_VALUE"""),31.1)</f>
        <v>31.1</v>
      </c>
      <c r="C1008" s="1">
        <f>IFERROR(__xludf.DUMMYFUNCTION("""COMPUTED_VALUE"""),31.21)</f>
        <v>31.21</v>
      </c>
      <c r="D1008" s="1">
        <f>IFERROR(__xludf.DUMMYFUNCTION("""COMPUTED_VALUE"""),30.36)</f>
        <v>30.36</v>
      </c>
      <c r="E1008" s="1">
        <f>IFERROR(__xludf.DUMMYFUNCTION("""COMPUTED_VALUE"""),30.62)</f>
        <v>30.62</v>
      </c>
      <c r="F1008" s="1">
        <f>IFERROR(__xludf.DUMMYFUNCTION("""COMPUTED_VALUE"""),463187.0)</f>
        <v>463187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IFERROR(__xludf.DUMMYFUNCTION("""COMPUTED_VALUE"""),30.08)</f>
        <v>30.08</v>
      </c>
      <c r="C1009" s="1">
        <f>IFERROR(__xludf.DUMMYFUNCTION("""COMPUTED_VALUE"""),30.72)</f>
        <v>30.72</v>
      </c>
      <c r="D1009" s="1">
        <f>IFERROR(__xludf.DUMMYFUNCTION("""COMPUTED_VALUE"""),30.06)</f>
        <v>30.06</v>
      </c>
      <c r="E1009" s="1">
        <f>IFERROR(__xludf.DUMMYFUNCTION("""COMPUTED_VALUE"""),30.27)</f>
        <v>30.27</v>
      </c>
      <c r="F1009" s="1">
        <f>IFERROR(__xludf.DUMMYFUNCTION("""COMPUTED_VALUE"""),593274.0)</f>
        <v>593274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IFERROR(__xludf.DUMMYFUNCTION("""COMPUTED_VALUE"""),30.46)</f>
        <v>30.46</v>
      </c>
      <c r="C1010" s="1">
        <f>IFERROR(__xludf.DUMMYFUNCTION("""COMPUTED_VALUE"""),30.67)</f>
        <v>30.67</v>
      </c>
      <c r="D1010" s="1">
        <f>IFERROR(__xludf.DUMMYFUNCTION("""COMPUTED_VALUE"""),30.11)</f>
        <v>30.11</v>
      </c>
      <c r="E1010" s="1">
        <f>IFERROR(__xludf.DUMMYFUNCTION("""COMPUTED_VALUE"""),30.38)</f>
        <v>30.38</v>
      </c>
      <c r="F1010" s="1">
        <f>IFERROR(__xludf.DUMMYFUNCTION("""COMPUTED_VALUE"""),2021069.0)</f>
        <v>2021069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IFERROR(__xludf.DUMMYFUNCTION("""COMPUTED_VALUE"""),30.47)</f>
        <v>30.47</v>
      </c>
      <c r="C1011" s="1">
        <f>IFERROR(__xludf.DUMMYFUNCTION("""COMPUTED_VALUE"""),31.39)</f>
        <v>31.39</v>
      </c>
      <c r="D1011" s="1">
        <f>IFERROR(__xludf.DUMMYFUNCTION("""COMPUTED_VALUE"""),30.32)</f>
        <v>30.32</v>
      </c>
      <c r="E1011" s="1">
        <f>IFERROR(__xludf.DUMMYFUNCTION("""COMPUTED_VALUE"""),31.26)</f>
        <v>31.26</v>
      </c>
      <c r="F1011" s="1">
        <f>IFERROR(__xludf.DUMMYFUNCTION("""COMPUTED_VALUE"""),1159097.0)</f>
        <v>1159097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IFERROR(__xludf.DUMMYFUNCTION("""COMPUTED_VALUE"""),31.71)</f>
        <v>31.71</v>
      </c>
      <c r="C1012" s="1">
        <f>IFERROR(__xludf.DUMMYFUNCTION("""COMPUTED_VALUE"""),32.63)</f>
        <v>32.63</v>
      </c>
      <c r="D1012" s="1">
        <f>IFERROR(__xludf.DUMMYFUNCTION("""COMPUTED_VALUE"""),31.59)</f>
        <v>31.59</v>
      </c>
      <c r="E1012" s="1">
        <f>IFERROR(__xludf.DUMMYFUNCTION("""COMPUTED_VALUE"""),32.41)</f>
        <v>32.41</v>
      </c>
      <c r="F1012" s="1">
        <f>IFERROR(__xludf.DUMMYFUNCTION("""COMPUTED_VALUE"""),1528179.0)</f>
        <v>1528179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IFERROR(__xludf.DUMMYFUNCTION("""COMPUTED_VALUE"""),32.0)</f>
        <v>32</v>
      </c>
      <c r="C1013" s="1">
        <f>IFERROR(__xludf.DUMMYFUNCTION("""COMPUTED_VALUE"""),33.59)</f>
        <v>33.59</v>
      </c>
      <c r="D1013" s="1">
        <f>IFERROR(__xludf.DUMMYFUNCTION("""COMPUTED_VALUE"""),32.0)</f>
        <v>32</v>
      </c>
      <c r="E1013" s="1">
        <f>IFERROR(__xludf.DUMMYFUNCTION("""COMPUTED_VALUE"""),32.54)</f>
        <v>32.54</v>
      </c>
      <c r="F1013" s="1">
        <f>IFERROR(__xludf.DUMMYFUNCTION("""COMPUTED_VALUE"""),1450780.0)</f>
        <v>1450780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IFERROR(__xludf.DUMMYFUNCTION("""COMPUTED_VALUE"""),32.94)</f>
        <v>32.94</v>
      </c>
      <c r="C1014" s="1">
        <f>IFERROR(__xludf.DUMMYFUNCTION("""COMPUTED_VALUE"""),32.99)</f>
        <v>32.99</v>
      </c>
      <c r="D1014" s="1">
        <f>IFERROR(__xludf.DUMMYFUNCTION("""COMPUTED_VALUE"""),32.27)</f>
        <v>32.27</v>
      </c>
      <c r="E1014" s="1">
        <f>IFERROR(__xludf.DUMMYFUNCTION("""COMPUTED_VALUE"""),32.63)</f>
        <v>32.63</v>
      </c>
      <c r="F1014" s="1">
        <f>IFERROR(__xludf.DUMMYFUNCTION("""COMPUTED_VALUE"""),834461.0)</f>
        <v>834461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IFERROR(__xludf.DUMMYFUNCTION("""COMPUTED_VALUE"""),32.64)</f>
        <v>32.64</v>
      </c>
      <c r="C1015" s="1">
        <f>IFERROR(__xludf.DUMMYFUNCTION("""COMPUTED_VALUE"""),32.78)</f>
        <v>32.78</v>
      </c>
      <c r="D1015" s="1">
        <f>IFERROR(__xludf.DUMMYFUNCTION("""COMPUTED_VALUE"""),32.08)</f>
        <v>32.08</v>
      </c>
      <c r="E1015" s="1">
        <f>IFERROR(__xludf.DUMMYFUNCTION("""COMPUTED_VALUE"""),32.66)</f>
        <v>32.66</v>
      </c>
      <c r="F1015" s="1">
        <f>IFERROR(__xludf.DUMMYFUNCTION("""COMPUTED_VALUE"""),1083610.0)</f>
        <v>1083610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IFERROR(__xludf.DUMMYFUNCTION("""COMPUTED_VALUE"""),32.63)</f>
        <v>32.63</v>
      </c>
      <c r="C1016" s="1">
        <f>IFERROR(__xludf.DUMMYFUNCTION("""COMPUTED_VALUE"""),32.82)</f>
        <v>32.82</v>
      </c>
      <c r="D1016" s="1">
        <f>IFERROR(__xludf.DUMMYFUNCTION("""COMPUTED_VALUE"""),32.17)</f>
        <v>32.17</v>
      </c>
      <c r="E1016" s="1">
        <f>IFERROR(__xludf.DUMMYFUNCTION("""COMPUTED_VALUE"""),32.77)</f>
        <v>32.77</v>
      </c>
      <c r="F1016" s="1">
        <f>IFERROR(__xludf.DUMMYFUNCTION("""COMPUTED_VALUE"""),1463459.0)</f>
        <v>1463459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IFERROR(__xludf.DUMMYFUNCTION("""COMPUTED_VALUE"""),32.83)</f>
        <v>32.83</v>
      </c>
      <c r="C1017" s="1">
        <f>IFERROR(__xludf.DUMMYFUNCTION("""COMPUTED_VALUE"""),33.39)</f>
        <v>33.39</v>
      </c>
      <c r="D1017" s="1">
        <f>IFERROR(__xludf.DUMMYFUNCTION("""COMPUTED_VALUE"""),32.65)</f>
        <v>32.65</v>
      </c>
      <c r="E1017" s="1">
        <f>IFERROR(__xludf.DUMMYFUNCTION("""COMPUTED_VALUE"""),33.07)</f>
        <v>33.07</v>
      </c>
      <c r="F1017" s="1">
        <f>IFERROR(__xludf.DUMMYFUNCTION("""COMPUTED_VALUE"""),1037789.0)</f>
        <v>1037789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IFERROR(__xludf.DUMMYFUNCTION("""COMPUTED_VALUE"""),33.18)</f>
        <v>33.18</v>
      </c>
      <c r="C1018" s="1">
        <f>IFERROR(__xludf.DUMMYFUNCTION("""COMPUTED_VALUE"""),33.28)</f>
        <v>33.28</v>
      </c>
      <c r="D1018" s="1">
        <f>IFERROR(__xludf.DUMMYFUNCTION("""COMPUTED_VALUE"""),32.8)</f>
        <v>32.8</v>
      </c>
      <c r="E1018" s="1">
        <f>IFERROR(__xludf.DUMMYFUNCTION("""COMPUTED_VALUE"""),33.0)</f>
        <v>33</v>
      </c>
      <c r="F1018" s="1">
        <f>IFERROR(__xludf.DUMMYFUNCTION("""COMPUTED_VALUE"""),1129040.0)</f>
        <v>1129040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IFERROR(__xludf.DUMMYFUNCTION("""COMPUTED_VALUE"""),33.0)</f>
        <v>33</v>
      </c>
      <c r="C1019" s="1">
        <f>IFERROR(__xludf.DUMMYFUNCTION("""COMPUTED_VALUE"""),34.49)</f>
        <v>34.49</v>
      </c>
      <c r="D1019" s="1">
        <f>IFERROR(__xludf.DUMMYFUNCTION("""COMPUTED_VALUE"""),32.87)</f>
        <v>32.87</v>
      </c>
      <c r="E1019" s="1">
        <f>IFERROR(__xludf.DUMMYFUNCTION("""COMPUTED_VALUE"""),33.68)</f>
        <v>33.68</v>
      </c>
      <c r="F1019" s="1">
        <f>IFERROR(__xludf.DUMMYFUNCTION("""COMPUTED_VALUE"""),2384811.0)</f>
        <v>2384811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IFERROR(__xludf.DUMMYFUNCTION("""COMPUTED_VALUE"""),34.5)</f>
        <v>34.5</v>
      </c>
      <c r="C1020" s="1">
        <f>IFERROR(__xludf.DUMMYFUNCTION("""COMPUTED_VALUE"""),34.5)</f>
        <v>34.5</v>
      </c>
      <c r="D1020" s="1">
        <f>IFERROR(__xludf.DUMMYFUNCTION("""COMPUTED_VALUE"""),31.63)</f>
        <v>31.63</v>
      </c>
      <c r="E1020" s="1">
        <f>IFERROR(__xludf.DUMMYFUNCTION("""COMPUTED_VALUE"""),33.0)</f>
        <v>33</v>
      </c>
      <c r="F1020" s="1">
        <f>IFERROR(__xludf.DUMMYFUNCTION("""COMPUTED_VALUE"""),2958432.0)</f>
        <v>2958432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IFERROR(__xludf.DUMMYFUNCTION("""COMPUTED_VALUE"""),33.65)</f>
        <v>33.65</v>
      </c>
      <c r="C1021" s="1">
        <f>IFERROR(__xludf.DUMMYFUNCTION("""COMPUTED_VALUE"""),33.86)</f>
        <v>33.86</v>
      </c>
      <c r="D1021" s="1">
        <f>IFERROR(__xludf.DUMMYFUNCTION("""COMPUTED_VALUE"""),32.59)</f>
        <v>32.59</v>
      </c>
      <c r="E1021" s="1">
        <f>IFERROR(__xludf.DUMMYFUNCTION("""COMPUTED_VALUE"""),32.94)</f>
        <v>32.94</v>
      </c>
      <c r="F1021" s="1">
        <f>IFERROR(__xludf.DUMMYFUNCTION("""COMPUTED_VALUE"""),1656239.0)</f>
        <v>1656239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IFERROR(__xludf.DUMMYFUNCTION("""COMPUTED_VALUE"""),32.32)</f>
        <v>32.32</v>
      </c>
      <c r="C1022" s="1">
        <f>IFERROR(__xludf.DUMMYFUNCTION("""COMPUTED_VALUE"""),32.44)</f>
        <v>32.44</v>
      </c>
      <c r="D1022" s="1">
        <f>IFERROR(__xludf.DUMMYFUNCTION("""COMPUTED_VALUE"""),29.21)</f>
        <v>29.21</v>
      </c>
      <c r="E1022" s="1">
        <f>IFERROR(__xludf.DUMMYFUNCTION("""COMPUTED_VALUE"""),30.7)</f>
        <v>30.7</v>
      </c>
      <c r="F1022" s="1">
        <f>IFERROR(__xludf.DUMMYFUNCTION("""COMPUTED_VALUE"""),2541586.0)</f>
        <v>2541586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IFERROR(__xludf.DUMMYFUNCTION("""COMPUTED_VALUE"""),30.28)</f>
        <v>30.28</v>
      </c>
      <c r="C1023" s="1">
        <f>IFERROR(__xludf.DUMMYFUNCTION("""COMPUTED_VALUE"""),30.46)</f>
        <v>30.46</v>
      </c>
      <c r="D1023" s="1">
        <f>IFERROR(__xludf.DUMMYFUNCTION("""COMPUTED_VALUE"""),29.8)</f>
        <v>29.8</v>
      </c>
      <c r="E1023" s="1">
        <f>IFERROR(__xludf.DUMMYFUNCTION("""COMPUTED_VALUE"""),29.96)</f>
        <v>29.96</v>
      </c>
      <c r="F1023" s="1">
        <f>IFERROR(__xludf.DUMMYFUNCTION("""COMPUTED_VALUE"""),2122258.0)</f>
        <v>2122258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IFERROR(__xludf.DUMMYFUNCTION("""COMPUTED_VALUE"""),29.9)</f>
        <v>29.9</v>
      </c>
      <c r="C1024" s="1">
        <f>IFERROR(__xludf.DUMMYFUNCTION("""COMPUTED_VALUE"""),30.03)</f>
        <v>30.03</v>
      </c>
      <c r="D1024" s="1">
        <f>IFERROR(__xludf.DUMMYFUNCTION("""COMPUTED_VALUE"""),29.14)</f>
        <v>29.14</v>
      </c>
      <c r="E1024" s="1">
        <f>IFERROR(__xludf.DUMMYFUNCTION("""COMPUTED_VALUE"""),29.2)</f>
        <v>29.2</v>
      </c>
      <c r="F1024" s="1">
        <f>IFERROR(__xludf.DUMMYFUNCTION("""COMPUTED_VALUE"""),1582112.0)</f>
        <v>1582112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IFERROR(__xludf.DUMMYFUNCTION("""COMPUTED_VALUE"""),29.75)</f>
        <v>29.75</v>
      </c>
      <c r="C1025" s="1">
        <f>IFERROR(__xludf.DUMMYFUNCTION("""COMPUTED_VALUE"""),30.84)</f>
        <v>30.84</v>
      </c>
      <c r="D1025" s="1">
        <f>IFERROR(__xludf.DUMMYFUNCTION("""COMPUTED_VALUE"""),29.33)</f>
        <v>29.33</v>
      </c>
      <c r="E1025" s="1">
        <f>IFERROR(__xludf.DUMMYFUNCTION("""COMPUTED_VALUE"""),30.2)</f>
        <v>30.2</v>
      </c>
      <c r="F1025" s="1">
        <f>IFERROR(__xludf.DUMMYFUNCTION("""COMPUTED_VALUE"""),1771385.0)</f>
        <v>1771385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IFERROR(__xludf.DUMMYFUNCTION("""COMPUTED_VALUE"""),30.2)</f>
        <v>30.2</v>
      </c>
      <c r="C1026" s="1">
        <f>IFERROR(__xludf.DUMMYFUNCTION("""COMPUTED_VALUE"""),30.35)</f>
        <v>30.35</v>
      </c>
      <c r="D1026" s="1">
        <f>IFERROR(__xludf.DUMMYFUNCTION("""COMPUTED_VALUE"""),29.3)</f>
        <v>29.3</v>
      </c>
      <c r="E1026" s="1">
        <f>IFERROR(__xludf.DUMMYFUNCTION("""COMPUTED_VALUE"""),29.4)</f>
        <v>29.4</v>
      </c>
      <c r="F1026" s="1">
        <f>IFERROR(__xludf.DUMMYFUNCTION("""COMPUTED_VALUE"""),1257795.0)</f>
        <v>1257795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IFERROR(__xludf.DUMMYFUNCTION("""COMPUTED_VALUE"""),29.69)</f>
        <v>29.69</v>
      </c>
      <c r="C1027" s="1">
        <f>IFERROR(__xludf.DUMMYFUNCTION("""COMPUTED_VALUE"""),29.89)</f>
        <v>29.89</v>
      </c>
      <c r="D1027" s="1">
        <f>IFERROR(__xludf.DUMMYFUNCTION("""COMPUTED_VALUE"""),29.22)</f>
        <v>29.22</v>
      </c>
      <c r="E1027" s="1">
        <f>IFERROR(__xludf.DUMMYFUNCTION("""COMPUTED_VALUE"""),29.44)</f>
        <v>29.44</v>
      </c>
      <c r="F1027" s="1">
        <f>IFERROR(__xludf.DUMMYFUNCTION("""COMPUTED_VALUE"""),786983.0)</f>
        <v>786983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IFERROR(__xludf.DUMMYFUNCTION("""COMPUTED_VALUE"""),29.29)</f>
        <v>29.29</v>
      </c>
      <c r="C1028" s="1">
        <f>IFERROR(__xludf.DUMMYFUNCTION("""COMPUTED_VALUE"""),29.57)</f>
        <v>29.57</v>
      </c>
      <c r="D1028" s="1">
        <f>IFERROR(__xludf.DUMMYFUNCTION("""COMPUTED_VALUE"""),28.73)</f>
        <v>28.73</v>
      </c>
      <c r="E1028" s="1">
        <f>IFERROR(__xludf.DUMMYFUNCTION("""COMPUTED_VALUE"""),29.34)</f>
        <v>29.34</v>
      </c>
      <c r="F1028" s="1">
        <f>IFERROR(__xludf.DUMMYFUNCTION("""COMPUTED_VALUE"""),987010.0)</f>
        <v>987010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IFERROR(__xludf.DUMMYFUNCTION("""COMPUTED_VALUE"""),29.21)</f>
        <v>29.21</v>
      </c>
      <c r="C1029" s="1">
        <f>IFERROR(__xludf.DUMMYFUNCTION("""COMPUTED_VALUE"""),29.82)</f>
        <v>29.82</v>
      </c>
      <c r="D1029" s="1">
        <f>IFERROR(__xludf.DUMMYFUNCTION("""COMPUTED_VALUE"""),28.05)</f>
        <v>28.05</v>
      </c>
      <c r="E1029" s="1">
        <f>IFERROR(__xludf.DUMMYFUNCTION("""COMPUTED_VALUE"""),28.09)</f>
        <v>28.09</v>
      </c>
      <c r="F1029" s="1">
        <f>IFERROR(__xludf.DUMMYFUNCTION("""COMPUTED_VALUE"""),1264533.0)</f>
        <v>1264533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IFERROR(__xludf.DUMMYFUNCTION("""COMPUTED_VALUE"""),28.17)</f>
        <v>28.17</v>
      </c>
      <c r="C1030" s="1">
        <f>IFERROR(__xludf.DUMMYFUNCTION("""COMPUTED_VALUE"""),28.8)</f>
        <v>28.8</v>
      </c>
      <c r="D1030" s="1">
        <f>IFERROR(__xludf.DUMMYFUNCTION("""COMPUTED_VALUE"""),28.08)</f>
        <v>28.08</v>
      </c>
      <c r="E1030" s="1">
        <f>IFERROR(__xludf.DUMMYFUNCTION("""COMPUTED_VALUE"""),28.7)</f>
        <v>28.7</v>
      </c>
      <c r="F1030" s="1">
        <f>IFERROR(__xludf.DUMMYFUNCTION("""COMPUTED_VALUE"""),1391384.0)</f>
        <v>1391384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IFERROR(__xludf.DUMMYFUNCTION("""COMPUTED_VALUE"""),28.83)</f>
        <v>28.83</v>
      </c>
      <c r="C1031" s="1">
        <f>IFERROR(__xludf.DUMMYFUNCTION("""COMPUTED_VALUE"""),29.55)</f>
        <v>29.55</v>
      </c>
      <c r="D1031" s="1">
        <f>IFERROR(__xludf.DUMMYFUNCTION("""COMPUTED_VALUE"""),28.31)</f>
        <v>28.31</v>
      </c>
      <c r="E1031" s="1">
        <f>IFERROR(__xludf.DUMMYFUNCTION("""COMPUTED_VALUE"""),29.45)</f>
        <v>29.45</v>
      </c>
      <c r="F1031" s="1">
        <f>IFERROR(__xludf.DUMMYFUNCTION("""COMPUTED_VALUE"""),931875.0)</f>
        <v>931875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IFERROR(__xludf.DUMMYFUNCTION("""COMPUTED_VALUE"""),29.53)</f>
        <v>29.53</v>
      </c>
      <c r="C1032" s="1">
        <f>IFERROR(__xludf.DUMMYFUNCTION("""COMPUTED_VALUE"""),29.81)</f>
        <v>29.81</v>
      </c>
      <c r="D1032" s="1">
        <f>IFERROR(__xludf.DUMMYFUNCTION("""COMPUTED_VALUE"""),29.24)</f>
        <v>29.24</v>
      </c>
      <c r="E1032" s="1">
        <f>IFERROR(__xludf.DUMMYFUNCTION("""COMPUTED_VALUE"""),29.79)</f>
        <v>29.79</v>
      </c>
      <c r="F1032" s="1">
        <f>IFERROR(__xludf.DUMMYFUNCTION("""COMPUTED_VALUE"""),482682.0)</f>
        <v>482682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IFERROR(__xludf.DUMMYFUNCTION("""COMPUTED_VALUE"""),30.03)</f>
        <v>30.03</v>
      </c>
      <c r="C1033" s="1">
        <f>IFERROR(__xludf.DUMMYFUNCTION("""COMPUTED_VALUE"""),31.44)</f>
        <v>31.44</v>
      </c>
      <c r="D1033" s="1">
        <f>IFERROR(__xludf.DUMMYFUNCTION("""COMPUTED_VALUE"""),30.03)</f>
        <v>30.03</v>
      </c>
      <c r="E1033" s="1">
        <f>IFERROR(__xludf.DUMMYFUNCTION("""COMPUTED_VALUE"""),31.4)</f>
        <v>31.4</v>
      </c>
      <c r="F1033" s="1">
        <f>IFERROR(__xludf.DUMMYFUNCTION("""COMPUTED_VALUE"""),1249426.0)</f>
        <v>1249426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IFERROR(__xludf.DUMMYFUNCTION("""COMPUTED_VALUE"""),31.42)</f>
        <v>31.42</v>
      </c>
      <c r="C1034" s="1">
        <f>IFERROR(__xludf.DUMMYFUNCTION("""COMPUTED_VALUE"""),31.42)</f>
        <v>31.42</v>
      </c>
      <c r="D1034" s="1">
        <f>IFERROR(__xludf.DUMMYFUNCTION("""COMPUTED_VALUE"""),30.14)</f>
        <v>30.14</v>
      </c>
      <c r="E1034" s="1">
        <f>IFERROR(__xludf.DUMMYFUNCTION("""COMPUTED_VALUE"""),30.24)</f>
        <v>30.24</v>
      </c>
      <c r="F1034" s="1">
        <f>IFERROR(__xludf.DUMMYFUNCTION("""COMPUTED_VALUE"""),1148134.0)</f>
        <v>1148134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IFERROR(__xludf.DUMMYFUNCTION("""COMPUTED_VALUE"""),30.4)</f>
        <v>30.4</v>
      </c>
      <c r="C1035" s="1">
        <f>IFERROR(__xludf.DUMMYFUNCTION("""COMPUTED_VALUE"""),30.47)</f>
        <v>30.47</v>
      </c>
      <c r="D1035" s="1">
        <f>IFERROR(__xludf.DUMMYFUNCTION("""COMPUTED_VALUE"""),30.07)</f>
        <v>30.07</v>
      </c>
      <c r="E1035" s="1">
        <f>IFERROR(__xludf.DUMMYFUNCTION("""COMPUTED_VALUE"""),30.18)</f>
        <v>30.18</v>
      </c>
      <c r="F1035" s="1">
        <f>IFERROR(__xludf.DUMMYFUNCTION("""COMPUTED_VALUE"""),949013.0)</f>
        <v>949013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IFERROR(__xludf.DUMMYFUNCTION("""COMPUTED_VALUE"""),30.27)</f>
        <v>30.27</v>
      </c>
      <c r="C1036" s="1">
        <f>IFERROR(__xludf.DUMMYFUNCTION("""COMPUTED_VALUE"""),30.56)</f>
        <v>30.56</v>
      </c>
      <c r="D1036" s="1">
        <f>IFERROR(__xludf.DUMMYFUNCTION("""COMPUTED_VALUE"""),30.15)</f>
        <v>30.15</v>
      </c>
      <c r="E1036" s="1">
        <f>IFERROR(__xludf.DUMMYFUNCTION("""COMPUTED_VALUE"""),30.38)</f>
        <v>30.38</v>
      </c>
      <c r="F1036" s="1">
        <f>IFERROR(__xludf.DUMMYFUNCTION("""COMPUTED_VALUE"""),1126815.0)</f>
        <v>1126815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IFERROR(__xludf.DUMMYFUNCTION("""COMPUTED_VALUE"""),30.3)</f>
        <v>30.3</v>
      </c>
      <c r="C1037" s="1">
        <f>IFERROR(__xludf.DUMMYFUNCTION("""COMPUTED_VALUE"""),31.82)</f>
        <v>31.82</v>
      </c>
      <c r="D1037" s="1">
        <f>IFERROR(__xludf.DUMMYFUNCTION("""COMPUTED_VALUE"""),30.09)</f>
        <v>30.09</v>
      </c>
      <c r="E1037" s="1">
        <f>IFERROR(__xludf.DUMMYFUNCTION("""COMPUTED_VALUE"""),31.52)</f>
        <v>31.52</v>
      </c>
      <c r="F1037" s="1">
        <f>IFERROR(__xludf.DUMMYFUNCTION("""COMPUTED_VALUE"""),964395.0)</f>
        <v>964395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IFERROR(__xludf.DUMMYFUNCTION("""COMPUTED_VALUE"""),31.56)</f>
        <v>31.56</v>
      </c>
      <c r="C1038" s="1">
        <f>IFERROR(__xludf.DUMMYFUNCTION("""COMPUTED_VALUE"""),31.68)</f>
        <v>31.68</v>
      </c>
      <c r="D1038" s="1">
        <f>IFERROR(__xludf.DUMMYFUNCTION("""COMPUTED_VALUE"""),31.08)</f>
        <v>31.08</v>
      </c>
      <c r="E1038" s="1">
        <f>IFERROR(__xludf.DUMMYFUNCTION("""COMPUTED_VALUE"""),31.67)</f>
        <v>31.67</v>
      </c>
      <c r="F1038" s="1">
        <f>IFERROR(__xludf.DUMMYFUNCTION("""COMPUTED_VALUE"""),513467.0)</f>
        <v>513467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IFERROR(__xludf.DUMMYFUNCTION("""COMPUTED_VALUE"""),31.74)</f>
        <v>31.74</v>
      </c>
      <c r="C1039" s="1">
        <f>IFERROR(__xludf.DUMMYFUNCTION("""COMPUTED_VALUE"""),33.13)</f>
        <v>33.13</v>
      </c>
      <c r="D1039" s="1">
        <f>IFERROR(__xludf.DUMMYFUNCTION("""COMPUTED_VALUE"""),31.71)</f>
        <v>31.71</v>
      </c>
      <c r="E1039" s="1">
        <f>IFERROR(__xludf.DUMMYFUNCTION("""COMPUTED_VALUE"""),32.9)</f>
        <v>32.9</v>
      </c>
      <c r="F1039" s="1">
        <f>IFERROR(__xludf.DUMMYFUNCTION("""COMPUTED_VALUE"""),913896.0)</f>
        <v>913896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IFERROR(__xludf.DUMMYFUNCTION("""COMPUTED_VALUE"""),32.9)</f>
        <v>32.9</v>
      </c>
      <c r="C1040" s="1">
        <f>IFERROR(__xludf.DUMMYFUNCTION("""COMPUTED_VALUE"""),33.68)</f>
        <v>33.68</v>
      </c>
      <c r="D1040" s="1">
        <f>IFERROR(__xludf.DUMMYFUNCTION("""COMPUTED_VALUE"""),32.81)</f>
        <v>32.81</v>
      </c>
      <c r="E1040" s="1">
        <f>IFERROR(__xludf.DUMMYFUNCTION("""COMPUTED_VALUE"""),32.88)</f>
        <v>32.88</v>
      </c>
      <c r="F1040" s="1">
        <f>IFERROR(__xludf.DUMMYFUNCTION("""COMPUTED_VALUE"""),1736613.0)</f>
        <v>1736613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IFERROR(__xludf.DUMMYFUNCTION("""COMPUTED_VALUE"""),32.88)</f>
        <v>32.88</v>
      </c>
      <c r="C1041" s="1">
        <f>IFERROR(__xludf.DUMMYFUNCTION("""COMPUTED_VALUE"""),33.0)</f>
        <v>33</v>
      </c>
      <c r="D1041" s="1">
        <f>IFERROR(__xludf.DUMMYFUNCTION("""COMPUTED_VALUE"""),31.68)</f>
        <v>31.68</v>
      </c>
      <c r="E1041" s="1">
        <f>IFERROR(__xludf.DUMMYFUNCTION("""COMPUTED_VALUE"""),32.0)</f>
        <v>32</v>
      </c>
      <c r="F1041" s="1">
        <f>IFERROR(__xludf.DUMMYFUNCTION("""COMPUTED_VALUE"""),1304893.0)</f>
        <v>1304893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IFERROR(__xludf.DUMMYFUNCTION("""COMPUTED_VALUE"""),32.0)</f>
        <v>32</v>
      </c>
      <c r="C1042" s="1">
        <f>IFERROR(__xludf.DUMMYFUNCTION("""COMPUTED_VALUE"""),32.16)</f>
        <v>32.16</v>
      </c>
      <c r="D1042" s="1">
        <f>IFERROR(__xludf.DUMMYFUNCTION("""COMPUTED_VALUE"""),31.86)</f>
        <v>31.86</v>
      </c>
      <c r="E1042" s="1">
        <f>IFERROR(__xludf.DUMMYFUNCTION("""COMPUTED_VALUE"""),32.0)</f>
        <v>32</v>
      </c>
      <c r="F1042" s="1">
        <f>IFERROR(__xludf.DUMMYFUNCTION("""COMPUTED_VALUE"""),1051678.0)</f>
        <v>1051678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IFERROR(__xludf.DUMMYFUNCTION("""COMPUTED_VALUE"""),32.0)</f>
        <v>32</v>
      </c>
      <c r="C1043" s="1">
        <f>IFERROR(__xludf.DUMMYFUNCTION("""COMPUTED_VALUE"""),32.81)</f>
        <v>32.81</v>
      </c>
      <c r="D1043" s="1">
        <f>IFERROR(__xludf.DUMMYFUNCTION("""COMPUTED_VALUE"""),31.89)</f>
        <v>31.89</v>
      </c>
      <c r="E1043" s="1">
        <f>IFERROR(__xludf.DUMMYFUNCTION("""COMPUTED_VALUE"""),32.39)</f>
        <v>32.39</v>
      </c>
      <c r="F1043" s="1">
        <f>IFERROR(__xludf.DUMMYFUNCTION("""COMPUTED_VALUE"""),723006.0)</f>
        <v>723006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IFERROR(__xludf.DUMMYFUNCTION("""COMPUTED_VALUE"""),32.48)</f>
        <v>32.48</v>
      </c>
      <c r="C1044" s="1">
        <f>IFERROR(__xludf.DUMMYFUNCTION("""COMPUTED_VALUE"""),32.81)</f>
        <v>32.81</v>
      </c>
      <c r="D1044" s="1">
        <f>IFERROR(__xludf.DUMMYFUNCTION("""COMPUTED_VALUE"""),31.75)</f>
        <v>31.75</v>
      </c>
      <c r="E1044" s="1">
        <f>IFERROR(__xludf.DUMMYFUNCTION("""COMPUTED_VALUE"""),32.5)</f>
        <v>32.5</v>
      </c>
      <c r="F1044" s="1">
        <f>IFERROR(__xludf.DUMMYFUNCTION("""COMPUTED_VALUE"""),845140.0)</f>
        <v>845140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IFERROR(__xludf.DUMMYFUNCTION("""COMPUTED_VALUE"""),32.7)</f>
        <v>32.7</v>
      </c>
      <c r="C1045" s="1">
        <f>IFERROR(__xludf.DUMMYFUNCTION("""COMPUTED_VALUE"""),32.7)</f>
        <v>32.7</v>
      </c>
      <c r="D1045" s="1">
        <f>IFERROR(__xludf.DUMMYFUNCTION("""COMPUTED_VALUE"""),29.79)</f>
        <v>29.79</v>
      </c>
      <c r="E1045" s="1">
        <f>IFERROR(__xludf.DUMMYFUNCTION("""COMPUTED_VALUE"""),30.15)</f>
        <v>30.15</v>
      </c>
      <c r="F1045" s="1">
        <f>IFERROR(__xludf.DUMMYFUNCTION("""COMPUTED_VALUE"""),2740233.0)</f>
        <v>2740233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IFERROR(__xludf.DUMMYFUNCTION("""COMPUTED_VALUE"""),30.07)</f>
        <v>30.07</v>
      </c>
      <c r="C1046" s="1">
        <f>IFERROR(__xludf.DUMMYFUNCTION("""COMPUTED_VALUE"""),30.12)</f>
        <v>30.12</v>
      </c>
      <c r="D1046" s="1">
        <f>IFERROR(__xludf.DUMMYFUNCTION("""COMPUTED_VALUE"""),28.02)</f>
        <v>28.02</v>
      </c>
      <c r="E1046" s="1">
        <f>IFERROR(__xludf.DUMMYFUNCTION("""COMPUTED_VALUE"""),28.09)</f>
        <v>28.09</v>
      </c>
      <c r="F1046" s="1">
        <f>IFERROR(__xludf.DUMMYFUNCTION("""COMPUTED_VALUE"""),4060836.0)</f>
        <v>4060836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IFERROR(__xludf.DUMMYFUNCTION("""COMPUTED_VALUE"""),28.17)</f>
        <v>28.17</v>
      </c>
      <c r="C1047" s="1">
        <f>IFERROR(__xludf.DUMMYFUNCTION("""COMPUTED_VALUE"""),28.19)</f>
        <v>28.19</v>
      </c>
      <c r="D1047" s="1">
        <f>IFERROR(__xludf.DUMMYFUNCTION("""COMPUTED_VALUE"""),27.79)</f>
        <v>27.79</v>
      </c>
      <c r="E1047" s="1">
        <f>IFERROR(__xludf.DUMMYFUNCTION("""COMPUTED_VALUE"""),27.84)</f>
        <v>27.84</v>
      </c>
      <c r="F1047" s="1">
        <f>IFERROR(__xludf.DUMMYFUNCTION("""COMPUTED_VALUE"""),3392893.0)</f>
        <v>3392893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IFERROR(__xludf.DUMMYFUNCTION("""COMPUTED_VALUE"""),27.94)</f>
        <v>27.94</v>
      </c>
      <c r="C1048" s="1">
        <f>IFERROR(__xludf.DUMMYFUNCTION("""COMPUTED_VALUE"""),28.67)</f>
        <v>28.67</v>
      </c>
      <c r="D1048" s="1">
        <f>IFERROR(__xludf.DUMMYFUNCTION("""COMPUTED_VALUE"""),27.81)</f>
        <v>27.81</v>
      </c>
      <c r="E1048" s="1">
        <f>IFERROR(__xludf.DUMMYFUNCTION("""COMPUTED_VALUE"""),28.4)</f>
        <v>28.4</v>
      </c>
      <c r="F1048" s="1">
        <f>IFERROR(__xludf.DUMMYFUNCTION("""COMPUTED_VALUE"""),3321984.0)</f>
        <v>3321984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IFERROR(__xludf.DUMMYFUNCTION("""COMPUTED_VALUE"""),28.64)</f>
        <v>28.64</v>
      </c>
      <c r="C1049" s="1">
        <f>IFERROR(__xludf.DUMMYFUNCTION("""COMPUTED_VALUE"""),29.38)</f>
        <v>29.38</v>
      </c>
      <c r="D1049" s="1">
        <f>IFERROR(__xludf.DUMMYFUNCTION("""COMPUTED_VALUE"""),28.53)</f>
        <v>28.53</v>
      </c>
      <c r="E1049" s="1">
        <f>IFERROR(__xludf.DUMMYFUNCTION("""COMPUTED_VALUE"""),28.79)</f>
        <v>28.79</v>
      </c>
      <c r="F1049" s="1">
        <f>IFERROR(__xludf.DUMMYFUNCTION("""COMPUTED_VALUE"""),2545143.0)</f>
        <v>2545143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IFERROR(__xludf.DUMMYFUNCTION("""COMPUTED_VALUE"""),29.0)</f>
        <v>29</v>
      </c>
      <c r="C1050" s="1">
        <f>IFERROR(__xludf.DUMMYFUNCTION("""COMPUTED_VALUE"""),29.06)</f>
        <v>29.06</v>
      </c>
      <c r="D1050" s="1">
        <f>IFERROR(__xludf.DUMMYFUNCTION("""COMPUTED_VALUE"""),28.55)</f>
        <v>28.55</v>
      </c>
      <c r="E1050" s="1">
        <f>IFERROR(__xludf.DUMMYFUNCTION("""COMPUTED_VALUE"""),28.79)</f>
        <v>28.79</v>
      </c>
      <c r="F1050" s="1">
        <f>IFERROR(__xludf.DUMMYFUNCTION("""COMPUTED_VALUE"""),1214271.0)</f>
        <v>1214271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IFERROR(__xludf.DUMMYFUNCTION("""COMPUTED_VALUE"""),28.98)</f>
        <v>28.98</v>
      </c>
      <c r="C1051" s="1">
        <f>IFERROR(__xludf.DUMMYFUNCTION("""COMPUTED_VALUE"""),29.11)</f>
        <v>29.11</v>
      </c>
      <c r="D1051" s="1">
        <f>IFERROR(__xludf.DUMMYFUNCTION("""COMPUTED_VALUE"""),28.01)</f>
        <v>28.01</v>
      </c>
      <c r="E1051" s="1">
        <f>IFERROR(__xludf.DUMMYFUNCTION("""COMPUTED_VALUE"""),28.17)</f>
        <v>28.17</v>
      </c>
      <c r="F1051" s="1">
        <f>IFERROR(__xludf.DUMMYFUNCTION("""COMPUTED_VALUE"""),1547912.0)</f>
        <v>1547912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IFERROR(__xludf.DUMMYFUNCTION("""COMPUTED_VALUE"""),28.28)</f>
        <v>28.28</v>
      </c>
      <c r="C1052" s="1">
        <f>IFERROR(__xludf.DUMMYFUNCTION("""COMPUTED_VALUE"""),28.63)</f>
        <v>28.63</v>
      </c>
      <c r="D1052" s="1">
        <f>IFERROR(__xludf.DUMMYFUNCTION("""COMPUTED_VALUE"""),26.25)</f>
        <v>26.25</v>
      </c>
      <c r="E1052" s="1">
        <f>IFERROR(__xludf.DUMMYFUNCTION("""COMPUTED_VALUE"""),26.5)</f>
        <v>26.5</v>
      </c>
      <c r="F1052" s="1">
        <f>IFERROR(__xludf.DUMMYFUNCTION("""COMPUTED_VALUE"""),2841240.0)</f>
        <v>2841240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IFERROR(__xludf.DUMMYFUNCTION("""COMPUTED_VALUE"""),26.39)</f>
        <v>26.39</v>
      </c>
      <c r="C1053" s="1">
        <f>IFERROR(__xludf.DUMMYFUNCTION("""COMPUTED_VALUE"""),27.32)</f>
        <v>27.32</v>
      </c>
      <c r="D1053" s="1">
        <f>IFERROR(__xludf.DUMMYFUNCTION("""COMPUTED_VALUE"""),26.39)</f>
        <v>26.39</v>
      </c>
      <c r="E1053" s="1">
        <f>IFERROR(__xludf.DUMMYFUNCTION("""COMPUTED_VALUE"""),26.49)</f>
        <v>26.49</v>
      </c>
      <c r="F1053" s="1">
        <f>IFERROR(__xludf.DUMMYFUNCTION("""COMPUTED_VALUE"""),2100783.0)</f>
        <v>2100783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IFERROR(__xludf.DUMMYFUNCTION("""COMPUTED_VALUE"""),26.51)</f>
        <v>26.51</v>
      </c>
      <c r="C1054" s="1">
        <f>IFERROR(__xludf.DUMMYFUNCTION("""COMPUTED_VALUE"""),26.93)</f>
        <v>26.93</v>
      </c>
      <c r="D1054" s="1">
        <f>IFERROR(__xludf.DUMMYFUNCTION("""COMPUTED_VALUE"""),26.25)</f>
        <v>26.25</v>
      </c>
      <c r="E1054" s="1">
        <f>IFERROR(__xludf.DUMMYFUNCTION("""COMPUTED_VALUE"""),26.56)</f>
        <v>26.56</v>
      </c>
      <c r="F1054" s="1">
        <f>IFERROR(__xludf.DUMMYFUNCTION("""COMPUTED_VALUE"""),1585211.0)</f>
        <v>1585211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IFERROR(__xludf.DUMMYFUNCTION("""COMPUTED_VALUE"""),26.57)</f>
        <v>26.57</v>
      </c>
      <c r="C1055" s="1">
        <f>IFERROR(__xludf.DUMMYFUNCTION("""COMPUTED_VALUE"""),27.58)</f>
        <v>27.58</v>
      </c>
      <c r="D1055" s="1">
        <f>IFERROR(__xludf.DUMMYFUNCTION("""COMPUTED_VALUE"""),26.01)</f>
        <v>26.01</v>
      </c>
      <c r="E1055" s="1">
        <f>IFERROR(__xludf.DUMMYFUNCTION("""COMPUTED_VALUE"""),27.57)</f>
        <v>27.57</v>
      </c>
      <c r="F1055" s="1">
        <f>IFERROR(__xludf.DUMMYFUNCTION("""COMPUTED_VALUE"""),2168488.0)</f>
        <v>2168488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IFERROR(__xludf.DUMMYFUNCTION("""COMPUTED_VALUE"""),27.61)</f>
        <v>27.61</v>
      </c>
      <c r="C1056" s="1">
        <f>IFERROR(__xludf.DUMMYFUNCTION("""COMPUTED_VALUE"""),28.19)</f>
        <v>28.19</v>
      </c>
      <c r="D1056" s="1">
        <f>IFERROR(__xludf.DUMMYFUNCTION("""COMPUTED_VALUE"""),27.21)</f>
        <v>27.21</v>
      </c>
      <c r="E1056" s="1">
        <f>IFERROR(__xludf.DUMMYFUNCTION("""COMPUTED_VALUE"""),27.73)</f>
        <v>27.73</v>
      </c>
      <c r="F1056" s="1">
        <f>IFERROR(__xludf.DUMMYFUNCTION("""COMPUTED_VALUE"""),3058970.0)</f>
        <v>3058970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IFERROR(__xludf.DUMMYFUNCTION("""COMPUTED_VALUE"""),27.5)</f>
        <v>27.5</v>
      </c>
      <c r="C1057" s="1">
        <f>IFERROR(__xludf.DUMMYFUNCTION("""COMPUTED_VALUE"""),27.8)</f>
        <v>27.8</v>
      </c>
      <c r="D1057" s="1">
        <f>IFERROR(__xludf.DUMMYFUNCTION("""COMPUTED_VALUE"""),26.52)</f>
        <v>26.52</v>
      </c>
      <c r="E1057" s="1">
        <f>IFERROR(__xludf.DUMMYFUNCTION("""COMPUTED_VALUE"""),26.72)</f>
        <v>26.72</v>
      </c>
      <c r="F1057" s="1">
        <f>IFERROR(__xludf.DUMMYFUNCTION("""COMPUTED_VALUE"""),2073180.0)</f>
        <v>2073180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IFERROR(__xludf.DUMMYFUNCTION("""COMPUTED_VALUE"""),26.99)</f>
        <v>26.99</v>
      </c>
      <c r="C1058" s="1">
        <f>IFERROR(__xludf.DUMMYFUNCTION("""COMPUTED_VALUE"""),27.16)</f>
        <v>27.16</v>
      </c>
      <c r="D1058" s="1">
        <f>IFERROR(__xludf.DUMMYFUNCTION("""COMPUTED_VALUE"""),26.85)</f>
        <v>26.85</v>
      </c>
      <c r="E1058" s="1">
        <f>IFERROR(__xludf.DUMMYFUNCTION("""COMPUTED_VALUE"""),27.03)</f>
        <v>27.03</v>
      </c>
      <c r="F1058" s="1">
        <f>IFERROR(__xludf.DUMMYFUNCTION("""COMPUTED_VALUE"""),1265408.0)</f>
        <v>1265408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IFERROR(__xludf.DUMMYFUNCTION("""COMPUTED_VALUE"""),28.16)</f>
        <v>28.16</v>
      </c>
      <c r="C1059" s="1">
        <f>IFERROR(__xludf.DUMMYFUNCTION("""COMPUTED_VALUE"""),29.56)</f>
        <v>29.56</v>
      </c>
      <c r="D1059" s="1">
        <f>IFERROR(__xludf.DUMMYFUNCTION("""COMPUTED_VALUE"""),28.11)</f>
        <v>28.11</v>
      </c>
      <c r="E1059" s="1">
        <f>IFERROR(__xludf.DUMMYFUNCTION("""COMPUTED_VALUE"""),29.35)</f>
        <v>29.35</v>
      </c>
      <c r="F1059" s="1">
        <f>IFERROR(__xludf.DUMMYFUNCTION("""COMPUTED_VALUE"""),2693408.0)</f>
        <v>2693408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IFERROR(__xludf.DUMMYFUNCTION("""COMPUTED_VALUE"""),29.36)</f>
        <v>29.36</v>
      </c>
      <c r="C1060" s="1">
        <f>IFERROR(__xludf.DUMMYFUNCTION("""COMPUTED_VALUE"""),30.41)</f>
        <v>30.41</v>
      </c>
      <c r="D1060" s="1">
        <f>IFERROR(__xludf.DUMMYFUNCTION("""COMPUTED_VALUE"""),29.13)</f>
        <v>29.13</v>
      </c>
      <c r="E1060" s="1">
        <f>IFERROR(__xludf.DUMMYFUNCTION("""COMPUTED_VALUE"""),29.84)</f>
        <v>29.84</v>
      </c>
      <c r="F1060" s="1">
        <f>IFERROR(__xludf.DUMMYFUNCTION("""COMPUTED_VALUE"""),2461252.0)</f>
        <v>2461252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IFERROR(__xludf.DUMMYFUNCTION("""COMPUTED_VALUE"""),29.77)</f>
        <v>29.77</v>
      </c>
      <c r="C1061" s="1">
        <f>IFERROR(__xludf.DUMMYFUNCTION("""COMPUTED_VALUE"""),29.77)</f>
        <v>29.77</v>
      </c>
      <c r="D1061" s="1">
        <f>IFERROR(__xludf.DUMMYFUNCTION("""COMPUTED_VALUE"""),28.75)</f>
        <v>28.75</v>
      </c>
      <c r="E1061" s="1">
        <f>IFERROR(__xludf.DUMMYFUNCTION("""COMPUTED_VALUE"""),28.8)</f>
        <v>28.8</v>
      </c>
      <c r="F1061" s="1">
        <f>IFERROR(__xludf.DUMMYFUNCTION("""COMPUTED_VALUE"""),1862806.0)</f>
        <v>1862806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IFERROR(__xludf.DUMMYFUNCTION("""COMPUTED_VALUE"""),29.11)</f>
        <v>29.11</v>
      </c>
      <c r="C1062" s="1">
        <f>IFERROR(__xludf.DUMMYFUNCTION("""COMPUTED_VALUE"""),29.49)</f>
        <v>29.49</v>
      </c>
      <c r="D1062" s="1">
        <f>IFERROR(__xludf.DUMMYFUNCTION("""COMPUTED_VALUE"""),28.55)</f>
        <v>28.55</v>
      </c>
      <c r="E1062" s="1">
        <f>IFERROR(__xludf.DUMMYFUNCTION("""COMPUTED_VALUE"""),28.71)</f>
        <v>28.71</v>
      </c>
      <c r="F1062" s="1">
        <f>IFERROR(__xludf.DUMMYFUNCTION("""COMPUTED_VALUE"""),1111908.0)</f>
        <v>1111908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IFERROR(__xludf.DUMMYFUNCTION("""COMPUTED_VALUE"""),28.83)</f>
        <v>28.83</v>
      </c>
      <c r="C1063" s="1">
        <f>IFERROR(__xludf.DUMMYFUNCTION("""COMPUTED_VALUE"""),29.11)</f>
        <v>29.11</v>
      </c>
      <c r="D1063" s="1">
        <f>IFERROR(__xludf.DUMMYFUNCTION("""COMPUTED_VALUE"""),27.7)</f>
        <v>27.7</v>
      </c>
      <c r="E1063" s="1">
        <f>IFERROR(__xludf.DUMMYFUNCTION("""COMPUTED_VALUE"""),27.95)</f>
        <v>27.95</v>
      </c>
      <c r="F1063" s="1">
        <f>IFERROR(__xludf.DUMMYFUNCTION("""COMPUTED_VALUE"""),1829515.0)</f>
        <v>1829515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IFERROR(__xludf.DUMMYFUNCTION("""COMPUTED_VALUE"""),28.05)</f>
        <v>28.05</v>
      </c>
      <c r="C1064" s="1">
        <f>IFERROR(__xludf.DUMMYFUNCTION("""COMPUTED_VALUE"""),28.98)</f>
        <v>28.98</v>
      </c>
      <c r="D1064" s="1">
        <f>IFERROR(__xludf.DUMMYFUNCTION("""COMPUTED_VALUE"""),27.93)</f>
        <v>27.93</v>
      </c>
      <c r="E1064" s="1">
        <f>IFERROR(__xludf.DUMMYFUNCTION("""COMPUTED_VALUE"""),28.91)</f>
        <v>28.91</v>
      </c>
      <c r="F1064" s="1">
        <f>IFERROR(__xludf.DUMMYFUNCTION("""COMPUTED_VALUE"""),842763.0)</f>
        <v>842763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IFERROR(__xludf.DUMMYFUNCTION("""COMPUTED_VALUE"""),28.89)</f>
        <v>28.89</v>
      </c>
      <c r="C1065" s="1">
        <f>IFERROR(__xludf.DUMMYFUNCTION("""COMPUTED_VALUE"""),30.0)</f>
        <v>30</v>
      </c>
      <c r="D1065" s="1">
        <f>IFERROR(__xludf.DUMMYFUNCTION("""COMPUTED_VALUE"""),28.89)</f>
        <v>28.89</v>
      </c>
      <c r="E1065" s="1">
        <f>IFERROR(__xludf.DUMMYFUNCTION("""COMPUTED_VALUE"""),29.32)</f>
        <v>29.32</v>
      </c>
      <c r="F1065" s="1">
        <f>IFERROR(__xludf.DUMMYFUNCTION("""COMPUTED_VALUE"""),1522838.0)</f>
        <v>1522838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IFERROR(__xludf.DUMMYFUNCTION("""COMPUTED_VALUE"""),29.3)</f>
        <v>29.3</v>
      </c>
      <c r="C1066" s="1">
        <f>IFERROR(__xludf.DUMMYFUNCTION("""COMPUTED_VALUE"""),29.31)</f>
        <v>29.31</v>
      </c>
      <c r="D1066" s="1">
        <f>IFERROR(__xludf.DUMMYFUNCTION("""COMPUTED_VALUE"""),26.53)</f>
        <v>26.53</v>
      </c>
      <c r="E1066" s="1">
        <f>IFERROR(__xludf.DUMMYFUNCTION("""COMPUTED_VALUE"""),27.41)</f>
        <v>27.41</v>
      </c>
      <c r="F1066" s="1">
        <f>IFERROR(__xludf.DUMMYFUNCTION("""COMPUTED_VALUE"""),2450824.0)</f>
        <v>2450824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IFERROR(__xludf.DUMMYFUNCTION("""COMPUTED_VALUE"""),27.43)</f>
        <v>27.43</v>
      </c>
      <c r="C1067" s="1">
        <f>IFERROR(__xludf.DUMMYFUNCTION("""COMPUTED_VALUE"""),29.93)</f>
        <v>29.93</v>
      </c>
      <c r="D1067" s="1">
        <f>IFERROR(__xludf.DUMMYFUNCTION("""COMPUTED_VALUE"""),27.43)</f>
        <v>27.43</v>
      </c>
      <c r="E1067" s="1">
        <f>IFERROR(__xludf.DUMMYFUNCTION("""COMPUTED_VALUE"""),29.47)</f>
        <v>29.47</v>
      </c>
      <c r="F1067" s="1">
        <f>IFERROR(__xludf.DUMMYFUNCTION("""COMPUTED_VALUE"""),2073522.0)</f>
        <v>2073522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IFERROR(__xludf.DUMMYFUNCTION("""COMPUTED_VALUE"""),29.37)</f>
        <v>29.37</v>
      </c>
      <c r="C1068" s="1">
        <f>IFERROR(__xludf.DUMMYFUNCTION("""COMPUTED_VALUE"""),29.88)</f>
        <v>29.88</v>
      </c>
      <c r="D1068" s="1">
        <f>IFERROR(__xludf.DUMMYFUNCTION("""COMPUTED_VALUE"""),29.13)</f>
        <v>29.13</v>
      </c>
      <c r="E1068" s="1">
        <f>IFERROR(__xludf.DUMMYFUNCTION("""COMPUTED_VALUE"""),29.35)</f>
        <v>29.35</v>
      </c>
      <c r="F1068" s="1">
        <f>IFERROR(__xludf.DUMMYFUNCTION("""COMPUTED_VALUE"""),747856.0)</f>
        <v>747856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IFERROR(__xludf.DUMMYFUNCTION("""COMPUTED_VALUE"""),29.59)</f>
        <v>29.59</v>
      </c>
      <c r="C1069" s="1">
        <f>IFERROR(__xludf.DUMMYFUNCTION("""COMPUTED_VALUE"""),29.78)</f>
        <v>29.78</v>
      </c>
      <c r="D1069" s="1">
        <f>IFERROR(__xludf.DUMMYFUNCTION("""COMPUTED_VALUE"""),29.01)</f>
        <v>29.01</v>
      </c>
      <c r="E1069" s="1">
        <f>IFERROR(__xludf.DUMMYFUNCTION("""COMPUTED_VALUE"""),29.45)</f>
        <v>29.45</v>
      </c>
      <c r="F1069" s="1">
        <f>IFERROR(__xludf.DUMMYFUNCTION("""COMPUTED_VALUE"""),1301774.0)</f>
        <v>1301774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IFERROR(__xludf.DUMMYFUNCTION("""COMPUTED_VALUE"""),29.45)</f>
        <v>29.45</v>
      </c>
      <c r="C1070" s="1">
        <f>IFERROR(__xludf.DUMMYFUNCTION("""COMPUTED_VALUE"""),29.7)</f>
        <v>29.7</v>
      </c>
      <c r="D1070" s="1">
        <f>IFERROR(__xludf.DUMMYFUNCTION("""COMPUTED_VALUE"""),28.71)</f>
        <v>28.71</v>
      </c>
      <c r="E1070" s="1">
        <f>IFERROR(__xludf.DUMMYFUNCTION("""COMPUTED_VALUE"""),28.93)</f>
        <v>28.93</v>
      </c>
      <c r="F1070" s="1">
        <f>IFERROR(__xludf.DUMMYFUNCTION("""COMPUTED_VALUE"""),950004.0)</f>
        <v>950004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IFERROR(__xludf.DUMMYFUNCTION("""COMPUTED_VALUE"""),28.74)</f>
        <v>28.74</v>
      </c>
      <c r="C1071" s="1">
        <f>IFERROR(__xludf.DUMMYFUNCTION("""COMPUTED_VALUE"""),28.97)</f>
        <v>28.97</v>
      </c>
      <c r="D1071" s="1">
        <f>IFERROR(__xludf.DUMMYFUNCTION("""COMPUTED_VALUE"""),26.58)</f>
        <v>26.58</v>
      </c>
      <c r="E1071" s="1">
        <f>IFERROR(__xludf.DUMMYFUNCTION("""COMPUTED_VALUE"""),27.28)</f>
        <v>27.28</v>
      </c>
      <c r="F1071" s="1">
        <f>IFERROR(__xludf.DUMMYFUNCTION("""COMPUTED_VALUE"""),1649712.0)</f>
        <v>1649712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IFERROR(__xludf.DUMMYFUNCTION("""COMPUTED_VALUE"""),27.57)</f>
        <v>27.57</v>
      </c>
      <c r="C1072" s="1">
        <f>IFERROR(__xludf.DUMMYFUNCTION("""COMPUTED_VALUE"""),27.92)</f>
        <v>27.92</v>
      </c>
      <c r="D1072" s="1">
        <f>IFERROR(__xludf.DUMMYFUNCTION("""COMPUTED_VALUE"""),26.96)</f>
        <v>26.96</v>
      </c>
      <c r="E1072" s="1">
        <f>IFERROR(__xludf.DUMMYFUNCTION("""COMPUTED_VALUE"""),27.46)</f>
        <v>27.46</v>
      </c>
      <c r="F1072" s="1">
        <f>IFERROR(__xludf.DUMMYFUNCTION("""COMPUTED_VALUE"""),758918.0)</f>
        <v>758918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IFERROR(__xludf.DUMMYFUNCTION("""COMPUTED_VALUE"""),27.27)</f>
        <v>27.27</v>
      </c>
      <c r="C1073" s="1">
        <f>IFERROR(__xludf.DUMMYFUNCTION("""COMPUTED_VALUE"""),27.45)</f>
        <v>27.45</v>
      </c>
      <c r="D1073" s="1">
        <f>IFERROR(__xludf.DUMMYFUNCTION("""COMPUTED_VALUE"""),26.1)</f>
        <v>26.1</v>
      </c>
      <c r="E1073" s="1">
        <f>IFERROR(__xludf.DUMMYFUNCTION("""COMPUTED_VALUE"""),26.56)</f>
        <v>26.56</v>
      </c>
      <c r="F1073" s="1">
        <f>IFERROR(__xludf.DUMMYFUNCTION("""COMPUTED_VALUE"""),1069102.0)</f>
        <v>1069102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IFERROR(__xludf.DUMMYFUNCTION("""COMPUTED_VALUE"""),26.6)</f>
        <v>26.6</v>
      </c>
      <c r="C1074" s="1">
        <f>IFERROR(__xludf.DUMMYFUNCTION("""COMPUTED_VALUE"""),27.48)</f>
        <v>27.48</v>
      </c>
      <c r="D1074" s="1">
        <f>IFERROR(__xludf.DUMMYFUNCTION("""COMPUTED_VALUE"""),26.42)</f>
        <v>26.42</v>
      </c>
      <c r="E1074" s="1">
        <f>IFERROR(__xludf.DUMMYFUNCTION("""COMPUTED_VALUE"""),27.4)</f>
        <v>27.4</v>
      </c>
      <c r="F1074" s="1">
        <f>IFERROR(__xludf.DUMMYFUNCTION("""COMPUTED_VALUE"""),660399.0)</f>
        <v>660399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IFERROR(__xludf.DUMMYFUNCTION("""COMPUTED_VALUE"""),27.53)</f>
        <v>27.53</v>
      </c>
      <c r="C1075" s="1">
        <f>IFERROR(__xludf.DUMMYFUNCTION("""COMPUTED_VALUE"""),27.84)</f>
        <v>27.84</v>
      </c>
      <c r="D1075" s="1">
        <f>IFERROR(__xludf.DUMMYFUNCTION("""COMPUTED_VALUE"""),27.02)</f>
        <v>27.02</v>
      </c>
      <c r="E1075" s="1">
        <f>IFERROR(__xludf.DUMMYFUNCTION("""COMPUTED_VALUE"""),27.68)</f>
        <v>27.68</v>
      </c>
      <c r="F1075" s="1">
        <f>IFERROR(__xludf.DUMMYFUNCTION("""COMPUTED_VALUE"""),879386.0)</f>
        <v>879386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IFERROR(__xludf.DUMMYFUNCTION("""COMPUTED_VALUE"""),27.75)</f>
        <v>27.75</v>
      </c>
      <c r="C1076" s="1">
        <f>IFERROR(__xludf.DUMMYFUNCTION("""COMPUTED_VALUE"""),28.0)</f>
        <v>28</v>
      </c>
      <c r="D1076" s="1">
        <f>IFERROR(__xludf.DUMMYFUNCTION("""COMPUTED_VALUE"""),26.64)</f>
        <v>26.64</v>
      </c>
      <c r="E1076" s="1">
        <f>IFERROR(__xludf.DUMMYFUNCTION("""COMPUTED_VALUE"""),26.75)</f>
        <v>26.75</v>
      </c>
      <c r="F1076" s="1">
        <f>IFERROR(__xludf.DUMMYFUNCTION("""COMPUTED_VALUE"""),978753.0)</f>
        <v>978753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IFERROR(__xludf.DUMMYFUNCTION("""COMPUTED_VALUE"""),26.47)</f>
        <v>26.47</v>
      </c>
      <c r="C1077" s="1">
        <f>IFERROR(__xludf.DUMMYFUNCTION("""COMPUTED_VALUE"""),26.88)</f>
        <v>26.88</v>
      </c>
      <c r="D1077" s="1">
        <f>IFERROR(__xludf.DUMMYFUNCTION("""COMPUTED_VALUE"""),26.15)</f>
        <v>26.15</v>
      </c>
      <c r="E1077" s="1">
        <f>IFERROR(__xludf.DUMMYFUNCTION("""COMPUTED_VALUE"""),26.36)</f>
        <v>26.36</v>
      </c>
      <c r="F1077" s="1">
        <f>IFERROR(__xludf.DUMMYFUNCTION("""COMPUTED_VALUE"""),1890633.0)</f>
        <v>1890633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IFERROR(__xludf.DUMMYFUNCTION("""COMPUTED_VALUE"""),26.46)</f>
        <v>26.46</v>
      </c>
      <c r="C1078" s="1">
        <f>IFERROR(__xludf.DUMMYFUNCTION("""COMPUTED_VALUE"""),26.66)</f>
        <v>26.66</v>
      </c>
      <c r="D1078" s="1">
        <f>IFERROR(__xludf.DUMMYFUNCTION("""COMPUTED_VALUE"""),25.85)</f>
        <v>25.85</v>
      </c>
      <c r="E1078" s="1">
        <f>IFERROR(__xludf.DUMMYFUNCTION("""COMPUTED_VALUE"""),26.13)</f>
        <v>26.13</v>
      </c>
      <c r="F1078" s="1">
        <f>IFERROR(__xludf.DUMMYFUNCTION("""COMPUTED_VALUE"""),1599790.0)</f>
        <v>1599790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IFERROR(__xludf.DUMMYFUNCTION("""COMPUTED_VALUE"""),26.13)</f>
        <v>26.13</v>
      </c>
      <c r="C1079" s="1">
        <f>IFERROR(__xludf.DUMMYFUNCTION("""COMPUTED_VALUE"""),26.25)</f>
        <v>26.25</v>
      </c>
      <c r="D1079" s="1">
        <f>IFERROR(__xludf.DUMMYFUNCTION("""COMPUTED_VALUE"""),24.81)</f>
        <v>24.81</v>
      </c>
      <c r="E1079" s="1">
        <f>IFERROR(__xludf.DUMMYFUNCTION("""COMPUTED_VALUE"""),25.42)</f>
        <v>25.42</v>
      </c>
      <c r="F1079" s="1">
        <f>IFERROR(__xludf.DUMMYFUNCTION("""COMPUTED_VALUE"""),1755010.0)</f>
        <v>1755010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IFERROR(__xludf.DUMMYFUNCTION("""COMPUTED_VALUE"""),25.68)</f>
        <v>25.68</v>
      </c>
      <c r="C1080" s="1">
        <f>IFERROR(__xludf.DUMMYFUNCTION("""COMPUTED_VALUE"""),26.82)</f>
        <v>26.82</v>
      </c>
      <c r="D1080" s="1">
        <f>IFERROR(__xludf.DUMMYFUNCTION("""COMPUTED_VALUE"""),25.68)</f>
        <v>25.68</v>
      </c>
      <c r="E1080" s="1">
        <f>IFERROR(__xludf.DUMMYFUNCTION("""COMPUTED_VALUE"""),26.81)</f>
        <v>26.81</v>
      </c>
      <c r="F1080" s="1">
        <f>IFERROR(__xludf.DUMMYFUNCTION("""COMPUTED_VALUE"""),1274333.0)</f>
        <v>1274333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IFERROR(__xludf.DUMMYFUNCTION("""COMPUTED_VALUE"""),26.73)</f>
        <v>26.73</v>
      </c>
      <c r="C1081" s="1">
        <f>IFERROR(__xludf.DUMMYFUNCTION("""COMPUTED_VALUE"""),26.89)</f>
        <v>26.89</v>
      </c>
      <c r="D1081" s="1">
        <f>IFERROR(__xludf.DUMMYFUNCTION("""COMPUTED_VALUE"""),26.48)</f>
        <v>26.48</v>
      </c>
      <c r="E1081" s="1">
        <f>IFERROR(__xludf.DUMMYFUNCTION("""COMPUTED_VALUE"""),26.51)</f>
        <v>26.51</v>
      </c>
      <c r="F1081" s="1">
        <f>IFERROR(__xludf.DUMMYFUNCTION("""COMPUTED_VALUE"""),747807.0)</f>
        <v>747807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IFERROR(__xludf.DUMMYFUNCTION("""COMPUTED_VALUE"""),26.53)</f>
        <v>26.53</v>
      </c>
      <c r="C1082" s="1">
        <f>IFERROR(__xludf.DUMMYFUNCTION("""COMPUTED_VALUE"""),27.08)</f>
        <v>27.08</v>
      </c>
      <c r="D1082" s="1">
        <f>IFERROR(__xludf.DUMMYFUNCTION("""COMPUTED_VALUE"""),26.53)</f>
        <v>26.53</v>
      </c>
      <c r="E1082" s="1">
        <f>IFERROR(__xludf.DUMMYFUNCTION("""COMPUTED_VALUE"""),26.79)</f>
        <v>26.79</v>
      </c>
      <c r="F1082" s="1">
        <f>IFERROR(__xludf.DUMMYFUNCTION("""COMPUTED_VALUE"""),1667230.0)</f>
        <v>1667230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IFERROR(__xludf.DUMMYFUNCTION("""COMPUTED_VALUE"""),26.62)</f>
        <v>26.62</v>
      </c>
      <c r="C1083" s="1">
        <f>IFERROR(__xludf.DUMMYFUNCTION("""COMPUTED_VALUE"""),26.79)</f>
        <v>26.79</v>
      </c>
      <c r="D1083" s="1">
        <f>IFERROR(__xludf.DUMMYFUNCTION("""COMPUTED_VALUE"""),25.98)</f>
        <v>25.98</v>
      </c>
      <c r="E1083" s="1">
        <f>IFERROR(__xludf.DUMMYFUNCTION("""COMPUTED_VALUE"""),26.56)</f>
        <v>26.56</v>
      </c>
      <c r="F1083" s="1">
        <f>IFERROR(__xludf.DUMMYFUNCTION("""COMPUTED_VALUE"""),2640671.0)</f>
        <v>2640671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IFERROR(__xludf.DUMMYFUNCTION("""COMPUTED_VALUE"""),26.56)</f>
        <v>26.56</v>
      </c>
      <c r="C1084" s="1">
        <f>IFERROR(__xludf.DUMMYFUNCTION("""COMPUTED_VALUE"""),26.77)</f>
        <v>26.77</v>
      </c>
      <c r="D1084" s="1">
        <f>IFERROR(__xludf.DUMMYFUNCTION("""COMPUTED_VALUE"""),26.19)</f>
        <v>26.19</v>
      </c>
      <c r="E1084" s="1">
        <f>IFERROR(__xludf.DUMMYFUNCTION("""COMPUTED_VALUE"""),26.71)</f>
        <v>26.71</v>
      </c>
      <c r="F1084" s="1">
        <f>IFERROR(__xludf.DUMMYFUNCTION("""COMPUTED_VALUE"""),1594428.0)</f>
        <v>1594428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IFERROR(__xludf.DUMMYFUNCTION("""COMPUTED_VALUE"""),26.87)</f>
        <v>26.87</v>
      </c>
      <c r="C1085" s="1">
        <f>IFERROR(__xludf.DUMMYFUNCTION("""COMPUTED_VALUE"""),26.89)</f>
        <v>26.89</v>
      </c>
      <c r="D1085" s="1">
        <f>IFERROR(__xludf.DUMMYFUNCTION("""COMPUTED_VALUE"""),26.35)</f>
        <v>26.35</v>
      </c>
      <c r="E1085" s="1">
        <f>IFERROR(__xludf.DUMMYFUNCTION("""COMPUTED_VALUE"""),26.61)</f>
        <v>26.61</v>
      </c>
      <c r="F1085" s="1">
        <f>IFERROR(__xludf.DUMMYFUNCTION("""COMPUTED_VALUE"""),1216936.0)</f>
        <v>1216936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IFERROR(__xludf.DUMMYFUNCTION("""COMPUTED_VALUE"""),26.53)</f>
        <v>26.53</v>
      </c>
      <c r="C1086" s="1">
        <f>IFERROR(__xludf.DUMMYFUNCTION("""COMPUTED_VALUE"""),26.8)</f>
        <v>26.8</v>
      </c>
      <c r="D1086" s="1">
        <f>IFERROR(__xludf.DUMMYFUNCTION("""COMPUTED_VALUE"""),25.94)</f>
        <v>25.94</v>
      </c>
      <c r="E1086" s="1">
        <f>IFERROR(__xludf.DUMMYFUNCTION("""COMPUTED_VALUE"""),25.98)</f>
        <v>25.98</v>
      </c>
      <c r="F1086" s="1">
        <f>IFERROR(__xludf.DUMMYFUNCTION("""COMPUTED_VALUE"""),1911200.0)</f>
        <v>1911200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IFERROR(__xludf.DUMMYFUNCTION("""COMPUTED_VALUE"""),23.81)</f>
        <v>23.81</v>
      </c>
      <c r="C1087" s="1">
        <f>IFERROR(__xludf.DUMMYFUNCTION("""COMPUTED_VALUE"""),24.19)</f>
        <v>24.19</v>
      </c>
      <c r="D1087" s="1">
        <f>IFERROR(__xludf.DUMMYFUNCTION("""COMPUTED_VALUE"""),22.66)</f>
        <v>22.66</v>
      </c>
      <c r="E1087" s="1">
        <f>IFERROR(__xludf.DUMMYFUNCTION("""COMPUTED_VALUE"""),23.76)</f>
        <v>23.76</v>
      </c>
      <c r="F1087" s="1">
        <f>IFERROR(__xludf.DUMMYFUNCTION("""COMPUTED_VALUE"""),5959363.0)</f>
        <v>5959363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IFERROR(__xludf.DUMMYFUNCTION("""COMPUTED_VALUE"""),23.82)</f>
        <v>23.82</v>
      </c>
      <c r="C1088" s="1">
        <f>IFERROR(__xludf.DUMMYFUNCTION("""COMPUTED_VALUE"""),25.19)</f>
        <v>25.19</v>
      </c>
      <c r="D1088" s="1">
        <f>IFERROR(__xludf.DUMMYFUNCTION("""COMPUTED_VALUE"""),23.8)</f>
        <v>23.8</v>
      </c>
      <c r="E1088" s="1">
        <f>IFERROR(__xludf.DUMMYFUNCTION("""COMPUTED_VALUE"""),24.02)</f>
        <v>24.02</v>
      </c>
      <c r="F1088" s="1">
        <f>IFERROR(__xludf.DUMMYFUNCTION("""COMPUTED_VALUE"""),1716880.0)</f>
        <v>1716880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IFERROR(__xludf.DUMMYFUNCTION("""COMPUTED_VALUE"""),23.96)</f>
        <v>23.96</v>
      </c>
      <c r="C1089" s="1">
        <f>IFERROR(__xludf.DUMMYFUNCTION("""COMPUTED_VALUE"""),24.32)</f>
        <v>24.32</v>
      </c>
      <c r="D1089" s="1">
        <f>IFERROR(__xludf.DUMMYFUNCTION("""COMPUTED_VALUE"""),23.78)</f>
        <v>23.78</v>
      </c>
      <c r="E1089" s="1">
        <f>IFERROR(__xludf.DUMMYFUNCTION("""COMPUTED_VALUE"""),24.2)</f>
        <v>24.2</v>
      </c>
      <c r="F1089" s="1">
        <f>IFERROR(__xludf.DUMMYFUNCTION("""COMPUTED_VALUE"""),995208.0)</f>
        <v>995208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IFERROR(__xludf.DUMMYFUNCTION("""COMPUTED_VALUE"""),24.26)</f>
        <v>24.26</v>
      </c>
      <c r="C1090" s="1">
        <f>IFERROR(__xludf.DUMMYFUNCTION("""COMPUTED_VALUE"""),24.66)</f>
        <v>24.66</v>
      </c>
      <c r="D1090" s="1">
        <f>IFERROR(__xludf.DUMMYFUNCTION("""COMPUTED_VALUE"""),23.82)</f>
        <v>23.82</v>
      </c>
      <c r="E1090" s="1">
        <f>IFERROR(__xludf.DUMMYFUNCTION("""COMPUTED_VALUE"""),23.85)</f>
        <v>23.85</v>
      </c>
      <c r="F1090" s="1">
        <f>IFERROR(__xludf.DUMMYFUNCTION("""COMPUTED_VALUE"""),799664.0)</f>
        <v>799664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IFERROR(__xludf.DUMMYFUNCTION("""COMPUTED_VALUE"""),23.8)</f>
        <v>23.8</v>
      </c>
      <c r="C1091" s="1">
        <f>IFERROR(__xludf.DUMMYFUNCTION("""COMPUTED_VALUE"""),26.18)</f>
        <v>26.18</v>
      </c>
      <c r="D1091" s="1">
        <f>IFERROR(__xludf.DUMMYFUNCTION("""COMPUTED_VALUE"""),23.75)</f>
        <v>23.75</v>
      </c>
      <c r="E1091" s="1">
        <f>IFERROR(__xludf.DUMMYFUNCTION("""COMPUTED_VALUE"""),25.5)</f>
        <v>25.5</v>
      </c>
      <c r="F1091" s="1">
        <f>IFERROR(__xludf.DUMMYFUNCTION("""COMPUTED_VALUE"""),1610863.0)</f>
        <v>1610863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IFERROR(__xludf.DUMMYFUNCTION("""COMPUTED_VALUE"""),24.52)</f>
        <v>24.52</v>
      </c>
      <c r="C1092" s="1">
        <f>IFERROR(__xludf.DUMMYFUNCTION("""COMPUTED_VALUE"""),24.72)</f>
        <v>24.72</v>
      </c>
      <c r="D1092" s="1">
        <f>IFERROR(__xludf.DUMMYFUNCTION("""COMPUTED_VALUE"""),23.65)</f>
        <v>23.65</v>
      </c>
      <c r="E1092" s="1">
        <f>IFERROR(__xludf.DUMMYFUNCTION("""COMPUTED_VALUE"""),23.98)</f>
        <v>23.98</v>
      </c>
      <c r="F1092" s="1">
        <f>IFERROR(__xludf.DUMMYFUNCTION("""COMPUTED_VALUE"""),1248487.0)</f>
        <v>1248487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IFERROR(__xludf.DUMMYFUNCTION("""COMPUTED_VALUE"""),24.02)</f>
        <v>24.02</v>
      </c>
      <c r="C1093" s="1">
        <f>IFERROR(__xludf.DUMMYFUNCTION("""COMPUTED_VALUE"""),24.88)</f>
        <v>24.88</v>
      </c>
      <c r="D1093" s="1">
        <f>IFERROR(__xludf.DUMMYFUNCTION("""COMPUTED_VALUE"""),23.78)</f>
        <v>23.78</v>
      </c>
      <c r="E1093" s="1">
        <f>IFERROR(__xludf.DUMMYFUNCTION("""COMPUTED_VALUE"""),23.89)</f>
        <v>23.89</v>
      </c>
      <c r="F1093" s="1">
        <f>IFERROR(__xludf.DUMMYFUNCTION("""COMPUTED_VALUE"""),793936.0)</f>
        <v>793936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IFERROR(__xludf.DUMMYFUNCTION("""COMPUTED_VALUE"""),23.81)</f>
        <v>23.81</v>
      </c>
      <c r="C1094" s="1">
        <f>IFERROR(__xludf.DUMMYFUNCTION("""COMPUTED_VALUE"""),24.16)</f>
        <v>24.16</v>
      </c>
      <c r="D1094" s="1">
        <f>IFERROR(__xludf.DUMMYFUNCTION("""COMPUTED_VALUE"""),22.48)</f>
        <v>22.48</v>
      </c>
      <c r="E1094" s="1">
        <f>IFERROR(__xludf.DUMMYFUNCTION("""COMPUTED_VALUE"""),22.88)</f>
        <v>22.88</v>
      </c>
      <c r="F1094" s="1">
        <f>IFERROR(__xludf.DUMMYFUNCTION("""COMPUTED_VALUE"""),2311591.0)</f>
        <v>2311591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IFERROR(__xludf.DUMMYFUNCTION("""COMPUTED_VALUE"""),23.1)</f>
        <v>23.1</v>
      </c>
      <c r="C1095" s="1">
        <f>IFERROR(__xludf.DUMMYFUNCTION("""COMPUTED_VALUE"""),23.6)</f>
        <v>23.6</v>
      </c>
      <c r="D1095" s="1">
        <f>IFERROR(__xludf.DUMMYFUNCTION("""COMPUTED_VALUE"""),22.97)</f>
        <v>22.97</v>
      </c>
      <c r="E1095" s="1">
        <f>IFERROR(__xludf.DUMMYFUNCTION("""COMPUTED_VALUE"""),23.09)</f>
        <v>23.09</v>
      </c>
      <c r="F1095" s="1">
        <f>IFERROR(__xludf.DUMMYFUNCTION("""COMPUTED_VALUE"""),588715.0)</f>
        <v>588715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IFERROR(__xludf.DUMMYFUNCTION("""COMPUTED_VALUE"""),23.43)</f>
        <v>23.43</v>
      </c>
      <c r="C1096" s="1">
        <f>IFERROR(__xludf.DUMMYFUNCTION("""COMPUTED_VALUE"""),23.66)</f>
        <v>23.66</v>
      </c>
      <c r="D1096" s="1">
        <f>IFERROR(__xludf.DUMMYFUNCTION("""COMPUTED_VALUE"""),22.95)</f>
        <v>22.95</v>
      </c>
      <c r="E1096" s="1">
        <f>IFERROR(__xludf.DUMMYFUNCTION("""COMPUTED_VALUE"""),23.52)</f>
        <v>23.52</v>
      </c>
      <c r="F1096" s="1">
        <f>IFERROR(__xludf.DUMMYFUNCTION("""COMPUTED_VALUE"""),865265.0)</f>
        <v>865265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IFERROR(__xludf.DUMMYFUNCTION("""COMPUTED_VALUE"""),23.62)</f>
        <v>23.62</v>
      </c>
      <c r="C1097" s="1">
        <f>IFERROR(__xludf.DUMMYFUNCTION("""COMPUTED_VALUE"""),24.19)</f>
        <v>24.19</v>
      </c>
      <c r="D1097" s="1">
        <f>IFERROR(__xludf.DUMMYFUNCTION("""COMPUTED_VALUE"""),23.46)</f>
        <v>23.46</v>
      </c>
      <c r="E1097" s="1">
        <f>IFERROR(__xludf.DUMMYFUNCTION("""COMPUTED_VALUE"""),24.08)</f>
        <v>24.08</v>
      </c>
      <c r="F1097" s="1">
        <f>IFERROR(__xludf.DUMMYFUNCTION("""COMPUTED_VALUE"""),1067592.0)</f>
        <v>1067592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IFERROR(__xludf.DUMMYFUNCTION("""COMPUTED_VALUE"""),23.86)</f>
        <v>23.86</v>
      </c>
      <c r="C1098" s="1">
        <f>IFERROR(__xludf.DUMMYFUNCTION("""COMPUTED_VALUE"""),24.28)</f>
        <v>24.28</v>
      </c>
      <c r="D1098" s="1">
        <f>IFERROR(__xludf.DUMMYFUNCTION("""COMPUTED_VALUE"""),23.86)</f>
        <v>23.86</v>
      </c>
      <c r="E1098" s="1">
        <f>IFERROR(__xludf.DUMMYFUNCTION("""COMPUTED_VALUE"""),24.14)</f>
        <v>24.14</v>
      </c>
      <c r="F1098" s="1">
        <f>IFERROR(__xludf.DUMMYFUNCTION("""COMPUTED_VALUE"""),1160745.0)</f>
        <v>1160745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IFERROR(__xludf.DUMMYFUNCTION("""COMPUTED_VALUE"""),24.21)</f>
        <v>24.21</v>
      </c>
      <c r="C1099" s="1">
        <f>IFERROR(__xludf.DUMMYFUNCTION("""COMPUTED_VALUE"""),24.49)</f>
        <v>24.49</v>
      </c>
      <c r="D1099" s="1">
        <f>IFERROR(__xludf.DUMMYFUNCTION("""COMPUTED_VALUE"""),23.88)</f>
        <v>23.88</v>
      </c>
      <c r="E1099" s="1">
        <f>IFERROR(__xludf.DUMMYFUNCTION("""COMPUTED_VALUE"""),24.32)</f>
        <v>24.32</v>
      </c>
      <c r="F1099" s="1">
        <f>IFERROR(__xludf.DUMMYFUNCTION("""COMPUTED_VALUE"""),884841.0)</f>
        <v>884841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IFERROR(__xludf.DUMMYFUNCTION("""COMPUTED_VALUE"""),24.2)</f>
        <v>24.2</v>
      </c>
      <c r="C1100" s="1">
        <f>IFERROR(__xludf.DUMMYFUNCTION("""COMPUTED_VALUE"""),24.31)</f>
        <v>24.31</v>
      </c>
      <c r="D1100" s="1">
        <f>IFERROR(__xludf.DUMMYFUNCTION("""COMPUTED_VALUE"""),23.57)</f>
        <v>23.57</v>
      </c>
      <c r="E1100" s="1">
        <f>IFERROR(__xludf.DUMMYFUNCTION("""COMPUTED_VALUE"""),23.83)</f>
        <v>23.83</v>
      </c>
      <c r="F1100" s="1">
        <f>IFERROR(__xludf.DUMMYFUNCTION("""COMPUTED_VALUE"""),1124491.0)</f>
        <v>1124491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IFERROR(__xludf.DUMMYFUNCTION("""COMPUTED_VALUE"""),23.76)</f>
        <v>23.76</v>
      </c>
      <c r="C1101" s="1">
        <f>IFERROR(__xludf.DUMMYFUNCTION("""COMPUTED_VALUE"""),24.02)</f>
        <v>24.02</v>
      </c>
      <c r="D1101" s="1">
        <f>IFERROR(__xludf.DUMMYFUNCTION("""COMPUTED_VALUE"""),23.47)</f>
        <v>23.47</v>
      </c>
      <c r="E1101" s="1">
        <f>IFERROR(__xludf.DUMMYFUNCTION("""COMPUTED_VALUE"""),23.97)</f>
        <v>23.97</v>
      </c>
      <c r="F1101" s="1">
        <f>IFERROR(__xludf.DUMMYFUNCTION("""COMPUTED_VALUE"""),870341.0)</f>
        <v>870341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IFERROR(__xludf.DUMMYFUNCTION("""COMPUTED_VALUE"""),23.8)</f>
        <v>23.8</v>
      </c>
      <c r="C1102" s="1">
        <f>IFERROR(__xludf.DUMMYFUNCTION("""COMPUTED_VALUE"""),24.7)</f>
        <v>24.7</v>
      </c>
      <c r="D1102" s="1">
        <f>IFERROR(__xludf.DUMMYFUNCTION("""COMPUTED_VALUE"""),23.8)</f>
        <v>23.8</v>
      </c>
      <c r="E1102" s="1">
        <f>IFERROR(__xludf.DUMMYFUNCTION("""COMPUTED_VALUE"""),24.65)</f>
        <v>24.65</v>
      </c>
      <c r="F1102" s="1">
        <f>IFERROR(__xludf.DUMMYFUNCTION("""COMPUTED_VALUE"""),652397.0)</f>
        <v>652397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IFERROR(__xludf.DUMMYFUNCTION("""COMPUTED_VALUE"""),24.57)</f>
        <v>24.57</v>
      </c>
      <c r="C1103" s="1">
        <f>IFERROR(__xludf.DUMMYFUNCTION("""COMPUTED_VALUE"""),25.13)</f>
        <v>25.13</v>
      </c>
      <c r="D1103" s="1">
        <f>IFERROR(__xludf.DUMMYFUNCTION("""COMPUTED_VALUE"""),24.41)</f>
        <v>24.41</v>
      </c>
      <c r="E1103" s="1">
        <f>IFERROR(__xludf.DUMMYFUNCTION("""COMPUTED_VALUE"""),24.98)</f>
        <v>24.98</v>
      </c>
      <c r="F1103" s="1">
        <f>IFERROR(__xludf.DUMMYFUNCTION("""COMPUTED_VALUE"""),880151.0)</f>
        <v>880151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IFERROR(__xludf.DUMMYFUNCTION("""COMPUTED_VALUE"""),25.06)</f>
        <v>25.06</v>
      </c>
      <c r="C1104" s="1">
        <f>IFERROR(__xludf.DUMMYFUNCTION("""COMPUTED_VALUE"""),25.51)</f>
        <v>25.51</v>
      </c>
      <c r="D1104" s="1">
        <f>IFERROR(__xludf.DUMMYFUNCTION("""COMPUTED_VALUE"""),24.97)</f>
        <v>24.97</v>
      </c>
      <c r="E1104" s="1">
        <f>IFERROR(__xludf.DUMMYFUNCTION("""COMPUTED_VALUE"""),25.43)</f>
        <v>25.43</v>
      </c>
      <c r="F1104" s="1">
        <f>IFERROR(__xludf.DUMMYFUNCTION("""COMPUTED_VALUE"""),693838.0)</f>
        <v>693838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IFERROR(__xludf.DUMMYFUNCTION("""COMPUTED_VALUE"""),25.37)</f>
        <v>25.37</v>
      </c>
      <c r="C1105" s="1">
        <f>IFERROR(__xludf.DUMMYFUNCTION("""COMPUTED_VALUE"""),25.71)</f>
        <v>25.71</v>
      </c>
      <c r="D1105" s="1">
        <f>IFERROR(__xludf.DUMMYFUNCTION("""COMPUTED_VALUE"""),25.0)</f>
        <v>25</v>
      </c>
      <c r="E1105" s="1">
        <f>IFERROR(__xludf.DUMMYFUNCTION("""COMPUTED_VALUE"""),25.15)</f>
        <v>25.15</v>
      </c>
      <c r="F1105" s="1">
        <f>IFERROR(__xludf.DUMMYFUNCTION("""COMPUTED_VALUE"""),740395.0)</f>
        <v>740395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IFERROR(__xludf.DUMMYFUNCTION("""COMPUTED_VALUE"""),25.26)</f>
        <v>25.26</v>
      </c>
      <c r="C1106" s="1">
        <f>IFERROR(__xludf.DUMMYFUNCTION("""COMPUTED_VALUE"""),25.88)</f>
        <v>25.88</v>
      </c>
      <c r="D1106" s="1">
        <f>IFERROR(__xludf.DUMMYFUNCTION("""COMPUTED_VALUE"""),24.98)</f>
        <v>24.98</v>
      </c>
      <c r="E1106" s="1">
        <f>IFERROR(__xludf.DUMMYFUNCTION("""COMPUTED_VALUE"""),25.8)</f>
        <v>25.8</v>
      </c>
      <c r="F1106" s="1">
        <f>IFERROR(__xludf.DUMMYFUNCTION("""COMPUTED_VALUE"""),714684.0)</f>
        <v>714684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IFERROR(__xludf.DUMMYFUNCTION("""COMPUTED_VALUE"""),25.96)</f>
        <v>25.96</v>
      </c>
      <c r="C1107" s="1">
        <f>IFERROR(__xludf.DUMMYFUNCTION("""COMPUTED_VALUE"""),26.29)</f>
        <v>26.29</v>
      </c>
      <c r="D1107" s="1">
        <f>IFERROR(__xludf.DUMMYFUNCTION("""COMPUTED_VALUE"""),25.74)</f>
        <v>25.74</v>
      </c>
      <c r="E1107" s="1">
        <f>IFERROR(__xludf.DUMMYFUNCTION("""COMPUTED_VALUE"""),26.19)</f>
        <v>26.19</v>
      </c>
      <c r="F1107" s="1">
        <f>IFERROR(__xludf.DUMMYFUNCTION("""COMPUTED_VALUE"""),904336.0)</f>
        <v>904336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IFERROR(__xludf.DUMMYFUNCTION("""COMPUTED_VALUE"""),26.18)</f>
        <v>26.18</v>
      </c>
      <c r="C1108" s="1">
        <f>IFERROR(__xludf.DUMMYFUNCTION("""COMPUTED_VALUE"""),26.45)</f>
        <v>26.45</v>
      </c>
      <c r="D1108" s="1">
        <f>IFERROR(__xludf.DUMMYFUNCTION("""COMPUTED_VALUE"""),25.53)</f>
        <v>25.53</v>
      </c>
      <c r="E1108" s="1">
        <f>IFERROR(__xludf.DUMMYFUNCTION("""COMPUTED_VALUE"""),25.55)</f>
        <v>25.55</v>
      </c>
      <c r="F1108" s="1">
        <f>IFERROR(__xludf.DUMMYFUNCTION("""COMPUTED_VALUE"""),1167043.0)</f>
        <v>1167043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IFERROR(__xludf.DUMMYFUNCTION("""COMPUTED_VALUE"""),25.65)</f>
        <v>25.65</v>
      </c>
      <c r="C1109" s="1">
        <f>IFERROR(__xludf.DUMMYFUNCTION("""COMPUTED_VALUE"""),25.97)</f>
        <v>25.97</v>
      </c>
      <c r="D1109" s="1">
        <f>IFERROR(__xludf.DUMMYFUNCTION("""COMPUTED_VALUE"""),25.46)</f>
        <v>25.46</v>
      </c>
      <c r="E1109" s="1">
        <f>IFERROR(__xludf.DUMMYFUNCTION("""COMPUTED_VALUE"""),25.92)</f>
        <v>25.92</v>
      </c>
      <c r="F1109" s="1">
        <f>IFERROR(__xludf.DUMMYFUNCTION("""COMPUTED_VALUE"""),728210.0)</f>
        <v>728210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IFERROR(__xludf.DUMMYFUNCTION("""COMPUTED_VALUE"""),25.89)</f>
        <v>25.89</v>
      </c>
      <c r="C1110" s="1">
        <f>IFERROR(__xludf.DUMMYFUNCTION("""COMPUTED_VALUE"""),26.45)</f>
        <v>26.45</v>
      </c>
      <c r="D1110" s="1">
        <f>IFERROR(__xludf.DUMMYFUNCTION("""COMPUTED_VALUE"""),25.68)</f>
        <v>25.68</v>
      </c>
      <c r="E1110" s="1">
        <f>IFERROR(__xludf.DUMMYFUNCTION("""COMPUTED_VALUE"""),25.82)</f>
        <v>25.82</v>
      </c>
      <c r="F1110" s="1">
        <f>IFERROR(__xludf.DUMMYFUNCTION("""COMPUTED_VALUE"""),950183.0)</f>
        <v>950183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IFERROR(__xludf.DUMMYFUNCTION("""COMPUTED_VALUE"""),26.07)</f>
        <v>26.07</v>
      </c>
      <c r="C1111" s="1">
        <f>IFERROR(__xludf.DUMMYFUNCTION("""COMPUTED_VALUE"""),26.86)</f>
        <v>26.86</v>
      </c>
      <c r="D1111" s="1">
        <f>IFERROR(__xludf.DUMMYFUNCTION("""COMPUTED_VALUE"""),25.94)</f>
        <v>25.94</v>
      </c>
      <c r="E1111" s="1">
        <f>IFERROR(__xludf.DUMMYFUNCTION("""COMPUTED_VALUE"""),26.75)</f>
        <v>26.75</v>
      </c>
      <c r="F1111" s="1">
        <f>IFERROR(__xludf.DUMMYFUNCTION("""COMPUTED_VALUE"""),889904.0)</f>
        <v>889904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IFERROR(__xludf.DUMMYFUNCTION("""COMPUTED_VALUE"""),26.71)</f>
        <v>26.71</v>
      </c>
      <c r="C1112" s="1">
        <f>IFERROR(__xludf.DUMMYFUNCTION("""COMPUTED_VALUE"""),26.86)</f>
        <v>26.86</v>
      </c>
      <c r="D1112" s="1">
        <f>IFERROR(__xludf.DUMMYFUNCTION("""COMPUTED_VALUE"""),25.68)</f>
        <v>25.68</v>
      </c>
      <c r="E1112" s="1">
        <f>IFERROR(__xludf.DUMMYFUNCTION("""COMPUTED_VALUE"""),25.76)</f>
        <v>25.76</v>
      </c>
      <c r="F1112" s="1">
        <f>IFERROR(__xludf.DUMMYFUNCTION("""COMPUTED_VALUE"""),685171.0)</f>
        <v>685171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IFERROR(__xludf.DUMMYFUNCTION("""COMPUTED_VALUE"""),25.52)</f>
        <v>25.52</v>
      </c>
      <c r="C1113" s="1">
        <f>IFERROR(__xludf.DUMMYFUNCTION("""COMPUTED_VALUE"""),25.74)</f>
        <v>25.74</v>
      </c>
      <c r="D1113" s="1">
        <f>IFERROR(__xludf.DUMMYFUNCTION("""COMPUTED_VALUE"""),25.16)</f>
        <v>25.16</v>
      </c>
      <c r="E1113" s="1">
        <f>IFERROR(__xludf.DUMMYFUNCTION("""COMPUTED_VALUE"""),25.7)</f>
        <v>25.7</v>
      </c>
      <c r="F1113" s="1">
        <f>IFERROR(__xludf.DUMMYFUNCTION("""COMPUTED_VALUE"""),444681.0)</f>
        <v>444681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IFERROR(__xludf.DUMMYFUNCTION("""COMPUTED_VALUE"""),25.91)</f>
        <v>25.91</v>
      </c>
      <c r="C1114" s="1">
        <f>IFERROR(__xludf.DUMMYFUNCTION("""COMPUTED_VALUE"""),26.53)</f>
        <v>26.53</v>
      </c>
      <c r="D1114" s="1">
        <f>IFERROR(__xludf.DUMMYFUNCTION("""COMPUTED_VALUE"""),25.66)</f>
        <v>25.66</v>
      </c>
      <c r="E1114" s="1">
        <f>IFERROR(__xludf.DUMMYFUNCTION("""COMPUTED_VALUE"""),26.26)</f>
        <v>26.26</v>
      </c>
      <c r="F1114" s="1">
        <f>IFERROR(__xludf.DUMMYFUNCTION("""COMPUTED_VALUE"""),586972.0)</f>
        <v>586972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IFERROR(__xludf.DUMMYFUNCTION("""COMPUTED_VALUE"""),26.27)</f>
        <v>26.27</v>
      </c>
      <c r="C1115" s="1">
        <f>IFERROR(__xludf.DUMMYFUNCTION("""COMPUTED_VALUE"""),26.55)</f>
        <v>26.55</v>
      </c>
      <c r="D1115" s="1">
        <f>IFERROR(__xludf.DUMMYFUNCTION("""COMPUTED_VALUE"""),25.79)</f>
        <v>25.79</v>
      </c>
      <c r="E1115" s="1">
        <f>IFERROR(__xludf.DUMMYFUNCTION("""COMPUTED_VALUE"""),26.21)</f>
        <v>26.21</v>
      </c>
      <c r="F1115" s="1">
        <f>IFERROR(__xludf.DUMMYFUNCTION("""COMPUTED_VALUE"""),775353.0)</f>
        <v>775353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IFERROR(__xludf.DUMMYFUNCTION("""COMPUTED_VALUE"""),26.04)</f>
        <v>26.04</v>
      </c>
      <c r="C1116" s="1">
        <f>IFERROR(__xludf.DUMMYFUNCTION("""COMPUTED_VALUE"""),26.19)</f>
        <v>26.19</v>
      </c>
      <c r="D1116" s="1">
        <f>IFERROR(__xludf.DUMMYFUNCTION("""COMPUTED_VALUE"""),25.74)</f>
        <v>25.74</v>
      </c>
      <c r="E1116" s="1">
        <f>IFERROR(__xludf.DUMMYFUNCTION("""COMPUTED_VALUE"""),26.11)</f>
        <v>26.11</v>
      </c>
      <c r="F1116" s="1">
        <f>IFERROR(__xludf.DUMMYFUNCTION("""COMPUTED_VALUE"""),652065.0)</f>
        <v>652065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IFERROR(__xludf.DUMMYFUNCTION("""COMPUTED_VALUE"""),26.29)</f>
        <v>26.29</v>
      </c>
      <c r="C1117" s="1">
        <f>IFERROR(__xludf.DUMMYFUNCTION("""COMPUTED_VALUE"""),27.42)</f>
        <v>27.42</v>
      </c>
      <c r="D1117" s="1">
        <f>IFERROR(__xludf.DUMMYFUNCTION("""COMPUTED_VALUE"""),25.99)</f>
        <v>25.99</v>
      </c>
      <c r="E1117" s="1">
        <f>IFERROR(__xludf.DUMMYFUNCTION("""COMPUTED_VALUE"""),27.02)</f>
        <v>27.02</v>
      </c>
      <c r="F1117" s="1">
        <f>IFERROR(__xludf.DUMMYFUNCTION("""COMPUTED_VALUE"""),859337.0)</f>
        <v>859337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IFERROR(__xludf.DUMMYFUNCTION("""COMPUTED_VALUE"""),26.92)</f>
        <v>26.92</v>
      </c>
      <c r="C1118" s="1">
        <f>IFERROR(__xludf.DUMMYFUNCTION("""COMPUTED_VALUE"""),26.92)</f>
        <v>26.92</v>
      </c>
      <c r="D1118" s="1">
        <f>IFERROR(__xludf.DUMMYFUNCTION("""COMPUTED_VALUE"""),26.06)</f>
        <v>26.06</v>
      </c>
      <c r="E1118" s="1">
        <f>IFERROR(__xludf.DUMMYFUNCTION("""COMPUTED_VALUE"""),26.5)</f>
        <v>26.5</v>
      </c>
      <c r="F1118" s="1">
        <f>IFERROR(__xludf.DUMMYFUNCTION("""COMPUTED_VALUE"""),648657.0)</f>
        <v>648657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IFERROR(__xludf.DUMMYFUNCTION("""COMPUTED_VALUE"""),26.5)</f>
        <v>26.5</v>
      </c>
      <c r="C1119" s="1">
        <f>IFERROR(__xludf.DUMMYFUNCTION("""COMPUTED_VALUE"""),26.54)</f>
        <v>26.54</v>
      </c>
      <c r="D1119" s="1">
        <f>IFERROR(__xludf.DUMMYFUNCTION("""COMPUTED_VALUE"""),26.16)</f>
        <v>26.16</v>
      </c>
      <c r="E1119" s="1">
        <f>IFERROR(__xludf.DUMMYFUNCTION("""COMPUTED_VALUE"""),26.4)</f>
        <v>26.4</v>
      </c>
      <c r="F1119" s="1">
        <f>IFERROR(__xludf.DUMMYFUNCTION("""COMPUTED_VALUE"""),440975.0)</f>
        <v>440975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IFERROR(__xludf.DUMMYFUNCTION("""COMPUTED_VALUE"""),26.52)</f>
        <v>26.52</v>
      </c>
      <c r="C1120" s="1">
        <f>IFERROR(__xludf.DUMMYFUNCTION("""COMPUTED_VALUE"""),26.63)</f>
        <v>26.63</v>
      </c>
      <c r="D1120" s="1">
        <f>IFERROR(__xludf.DUMMYFUNCTION("""COMPUTED_VALUE"""),26.2)</f>
        <v>26.2</v>
      </c>
      <c r="E1120" s="1">
        <f>IFERROR(__xludf.DUMMYFUNCTION("""COMPUTED_VALUE"""),26.37)</f>
        <v>26.37</v>
      </c>
      <c r="F1120" s="1">
        <f>IFERROR(__xludf.DUMMYFUNCTION("""COMPUTED_VALUE"""),415600.0)</f>
        <v>415600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IFERROR(__xludf.DUMMYFUNCTION("""COMPUTED_VALUE"""),26.48)</f>
        <v>26.48</v>
      </c>
      <c r="C1121" s="1">
        <f>IFERROR(__xludf.DUMMYFUNCTION("""COMPUTED_VALUE"""),26.59)</f>
        <v>26.59</v>
      </c>
      <c r="D1121" s="1">
        <f>IFERROR(__xludf.DUMMYFUNCTION("""COMPUTED_VALUE"""),26.12)</f>
        <v>26.12</v>
      </c>
      <c r="E1121" s="1">
        <f>IFERROR(__xludf.DUMMYFUNCTION("""COMPUTED_VALUE"""),26.37)</f>
        <v>26.37</v>
      </c>
      <c r="F1121" s="1">
        <f>IFERROR(__xludf.DUMMYFUNCTION("""COMPUTED_VALUE"""),392132.0)</f>
        <v>392132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IFERROR(__xludf.DUMMYFUNCTION("""COMPUTED_VALUE"""),26.29)</f>
        <v>26.29</v>
      </c>
      <c r="C1122" s="1">
        <f>IFERROR(__xludf.DUMMYFUNCTION("""COMPUTED_VALUE"""),26.73)</f>
        <v>26.73</v>
      </c>
      <c r="D1122" s="1">
        <f>IFERROR(__xludf.DUMMYFUNCTION("""COMPUTED_VALUE"""),26.06)</f>
        <v>26.06</v>
      </c>
      <c r="E1122" s="1">
        <f>IFERROR(__xludf.DUMMYFUNCTION("""COMPUTED_VALUE"""),26.24)</f>
        <v>26.24</v>
      </c>
      <c r="F1122" s="1">
        <f>IFERROR(__xludf.DUMMYFUNCTION("""COMPUTED_VALUE"""),466224.0)</f>
        <v>466224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IFERROR(__xludf.DUMMYFUNCTION("""COMPUTED_VALUE"""),26.23)</f>
        <v>26.23</v>
      </c>
      <c r="C1123" s="1">
        <f>IFERROR(__xludf.DUMMYFUNCTION("""COMPUTED_VALUE"""),26.4)</f>
        <v>26.4</v>
      </c>
      <c r="D1123" s="1">
        <f>IFERROR(__xludf.DUMMYFUNCTION("""COMPUTED_VALUE"""),25.94)</f>
        <v>25.94</v>
      </c>
      <c r="E1123" s="1">
        <f>IFERROR(__xludf.DUMMYFUNCTION("""COMPUTED_VALUE"""),26.29)</f>
        <v>26.29</v>
      </c>
      <c r="F1123" s="1">
        <f>IFERROR(__xludf.DUMMYFUNCTION("""COMPUTED_VALUE"""),339876.0)</f>
        <v>339876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IFERROR(__xludf.DUMMYFUNCTION("""COMPUTED_VALUE"""),26.26)</f>
        <v>26.26</v>
      </c>
      <c r="C1124" s="1">
        <f>IFERROR(__xludf.DUMMYFUNCTION("""COMPUTED_VALUE"""),26.42)</f>
        <v>26.42</v>
      </c>
      <c r="D1124" s="1">
        <f>IFERROR(__xludf.DUMMYFUNCTION("""COMPUTED_VALUE"""),24.9)</f>
        <v>24.9</v>
      </c>
      <c r="E1124" s="1">
        <f>IFERROR(__xludf.DUMMYFUNCTION("""COMPUTED_VALUE"""),25.54)</f>
        <v>25.54</v>
      </c>
      <c r="F1124" s="1">
        <f>IFERROR(__xludf.DUMMYFUNCTION("""COMPUTED_VALUE"""),1409518.0)</f>
        <v>1409518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IFERROR(__xludf.DUMMYFUNCTION("""COMPUTED_VALUE"""),25.74)</f>
        <v>25.74</v>
      </c>
      <c r="C1125" s="1">
        <f>IFERROR(__xludf.DUMMYFUNCTION("""COMPUTED_VALUE"""),26.16)</f>
        <v>26.16</v>
      </c>
      <c r="D1125" s="1">
        <f>IFERROR(__xludf.DUMMYFUNCTION("""COMPUTED_VALUE"""),25.59)</f>
        <v>25.59</v>
      </c>
      <c r="E1125" s="1">
        <f>IFERROR(__xludf.DUMMYFUNCTION("""COMPUTED_VALUE"""),25.96)</f>
        <v>25.96</v>
      </c>
      <c r="F1125" s="1">
        <f>IFERROR(__xludf.DUMMYFUNCTION("""COMPUTED_VALUE"""),773843.0)</f>
        <v>773843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IFERROR(__xludf.DUMMYFUNCTION("""COMPUTED_VALUE"""),25.98)</f>
        <v>25.98</v>
      </c>
      <c r="C1126" s="1">
        <f>IFERROR(__xludf.DUMMYFUNCTION("""COMPUTED_VALUE"""),26.73)</f>
        <v>26.73</v>
      </c>
      <c r="D1126" s="1">
        <f>IFERROR(__xludf.DUMMYFUNCTION("""COMPUTED_VALUE"""),25.33)</f>
        <v>25.33</v>
      </c>
      <c r="E1126" s="1">
        <f>IFERROR(__xludf.DUMMYFUNCTION("""COMPUTED_VALUE"""),26.68)</f>
        <v>26.68</v>
      </c>
      <c r="F1126" s="1">
        <f>IFERROR(__xludf.DUMMYFUNCTION("""COMPUTED_VALUE"""),773424.0)</f>
        <v>773424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IFERROR(__xludf.DUMMYFUNCTION("""COMPUTED_VALUE"""),26.46)</f>
        <v>26.46</v>
      </c>
      <c r="C1127" s="1">
        <f>IFERROR(__xludf.DUMMYFUNCTION("""COMPUTED_VALUE"""),26.96)</f>
        <v>26.96</v>
      </c>
      <c r="D1127" s="1">
        <f>IFERROR(__xludf.DUMMYFUNCTION("""COMPUTED_VALUE"""),26.24)</f>
        <v>26.24</v>
      </c>
      <c r="E1127" s="1">
        <f>IFERROR(__xludf.DUMMYFUNCTION("""COMPUTED_VALUE"""),26.29)</f>
        <v>26.29</v>
      </c>
      <c r="F1127" s="1">
        <f>IFERROR(__xludf.DUMMYFUNCTION("""COMPUTED_VALUE"""),649428.0)</f>
        <v>649428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IFERROR(__xludf.DUMMYFUNCTION("""COMPUTED_VALUE"""),26.1)</f>
        <v>26.1</v>
      </c>
      <c r="C1128" s="1">
        <f>IFERROR(__xludf.DUMMYFUNCTION("""COMPUTED_VALUE"""),26.39)</f>
        <v>26.39</v>
      </c>
      <c r="D1128" s="1">
        <f>IFERROR(__xludf.DUMMYFUNCTION("""COMPUTED_VALUE"""),25.7)</f>
        <v>25.7</v>
      </c>
      <c r="E1128" s="1">
        <f>IFERROR(__xludf.DUMMYFUNCTION("""COMPUTED_VALUE"""),26.26)</f>
        <v>26.26</v>
      </c>
      <c r="F1128" s="1">
        <f>IFERROR(__xludf.DUMMYFUNCTION("""COMPUTED_VALUE"""),421200.0)</f>
        <v>421200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IFERROR(__xludf.DUMMYFUNCTION("""COMPUTED_VALUE"""),26.33)</f>
        <v>26.33</v>
      </c>
      <c r="C1129" s="1">
        <f>IFERROR(__xludf.DUMMYFUNCTION("""COMPUTED_VALUE"""),26.52)</f>
        <v>26.52</v>
      </c>
      <c r="D1129" s="1">
        <f>IFERROR(__xludf.DUMMYFUNCTION("""COMPUTED_VALUE"""),25.68)</f>
        <v>25.68</v>
      </c>
      <c r="E1129" s="1">
        <f>IFERROR(__xludf.DUMMYFUNCTION("""COMPUTED_VALUE"""),26.11)</f>
        <v>26.11</v>
      </c>
      <c r="F1129" s="1">
        <f>IFERROR(__xludf.DUMMYFUNCTION("""COMPUTED_VALUE"""),801288.0)</f>
        <v>801288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IFERROR(__xludf.DUMMYFUNCTION("""COMPUTED_VALUE"""),26.11)</f>
        <v>26.11</v>
      </c>
      <c r="C1130" s="1">
        <f>IFERROR(__xludf.DUMMYFUNCTION("""COMPUTED_VALUE"""),26.5)</f>
        <v>26.5</v>
      </c>
      <c r="D1130" s="1">
        <f>IFERROR(__xludf.DUMMYFUNCTION("""COMPUTED_VALUE"""),25.93)</f>
        <v>25.93</v>
      </c>
      <c r="E1130" s="1">
        <f>IFERROR(__xludf.DUMMYFUNCTION("""COMPUTED_VALUE"""),26.25)</f>
        <v>26.25</v>
      </c>
      <c r="F1130" s="1">
        <f>IFERROR(__xludf.DUMMYFUNCTION("""COMPUTED_VALUE"""),314331.0)</f>
        <v>314331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IFERROR(__xludf.DUMMYFUNCTION("""COMPUTED_VALUE"""),26.33)</f>
        <v>26.33</v>
      </c>
      <c r="C1131" s="1">
        <f>IFERROR(__xludf.DUMMYFUNCTION("""COMPUTED_VALUE"""),26.59)</f>
        <v>26.59</v>
      </c>
      <c r="D1131" s="1">
        <f>IFERROR(__xludf.DUMMYFUNCTION("""COMPUTED_VALUE"""),25.94)</f>
        <v>25.94</v>
      </c>
      <c r="E1131" s="1">
        <f>IFERROR(__xludf.DUMMYFUNCTION("""COMPUTED_VALUE"""),26.57)</f>
        <v>26.57</v>
      </c>
      <c r="F1131" s="1">
        <f>IFERROR(__xludf.DUMMYFUNCTION("""COMPUTED_VALUE"""),540933.0)</f>
        <v>540933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IFERROR(__xludf.DUMMYFUNCTION("""COMPUTED_VALUE"""),26.51)</f>
        <v>26.51</v>
      </c>
      <c r="C1132" s="1">
        <f>IFERROR(__xludf.DUMMYFUNCTION("""COMPUTED_VALUE"""),27.19)</f>
        <v>27.19</v>
      </c>
      <c r="D1132" s="1">
        <f>IFERROR(__xludf.DUMMYFUNCTION("""COMPUTED_VALUE"""),26.07)</f>
        <v>26.07</v>
      </c>
      <c r="E1132" s="1">
        <f>IFERROR(__xludf.DUMMYFUNCTION("""COMPUTED_VALUE"""),26.44)</f>
        <v>26.44</v>
      </c>
      <c r="F1132" s="1">
        <f>IFERROR(__xludf.DUMMYFUNCTION("""COMPUTED_VALUE"""),1126303.0)</f>
        <v>1126303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IFERROR(__xludf.DUMMYFUNCTION("""COMPUTED_VALUE"""),26.4)</f>
        <v>26.4</v>
      </c>
      <c r="C1133" s="1">
        <f>IFERROR(__xludf.DUMMYFUNCTION("""COMPUTED_VALUE"""),26.91)</f>
        <v>26.91</v>
      </c>
      <c r="D1133" s="1">
        <f>IFERROR(__xludf.DUMMYFUNCTION("""COMPUTED_VALUE"""),26.15)</f>
        <v>26.15</v>
      </c>
      <c r="E1133" s="1">
        <f>IFERROR(__xludf.DUMMYFUNCTION("""COMPUTED_VALUE"""),26.15)</f>
        <v>26.15</v>
      </c>
      <c r="F1133" s="1">
        <f>IFERROR(__xludf.DUMMYFUNCTION("""COMPUTED_VALUE"""),1171235.0)</f>
        <v>1171235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IFERROR(__xludf.DUMMYFUNCTION("""COMPUTED_VALUE"""),26.3)</f>
        <v>26.3</v>
      </c>
      <c r="C1134" s="1">
        <f>IFERROR(__xludf.DUMMYFUNCTION("""COMPUTED_VALUE"""),27.23)</f>
        <v>27.23</v>
      </c>
      <c r="D1134" s="1">
        <f>IFERROR(__xludf.DUMMYFUNCTION("""COMPUTED_VALUE"""),26.22)</f>
        <v>26.22</v>
      </c>
      <c r="E1134" s="1">
        <f>IFERROR(__xludf.DUMMYFUNCTION("""COMPUTED_VALUE"""),27.1)</f>
        <v>27.1</v>
      </c>
      <c r="F1134" s="1">
        <f>IFERROR(__xludf.DUMMYFUNCTION("""COMPUTED_VALUE"""),652182.0)</f>
        <v>652182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IFERROR(__xludf.DUMMYFUNCTION("""COMPUTED_VALUE"""),26.97)</f>
        <v>26.97</v>
      </c>
      <c r="C1135" s="1">
        <f>IFERROR(__xludf.DUMMYFUNCTION("""COMPUTED_VALUE"""),27.22)</f>
        <v>27.22</v>
      </c>
      <c r="D1135" s="1">
        <f>IFERROR(__xludf.DUMMYFUNCTION("""COMPUTED_VALUE"""),25.91)</f>
        <v>25.91</v>
      </c>
      <c r="E1135" s="1">
        <f>IFERROR(__xludf.DUMMYFUNCTION("""COMPUTED_VALUE"""),26.1)</f>
        <v>26.1</v>
      </c>
      <c r="F1135" s="1">
        <f>IFERROR(__xludf.DUMMYFUNCTION("""COMPUTED_VALUE"""),590915.0)</f>
        <v>590915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IFERROR(__xludf.DUMMYFUNCTION("""COMPUTED_VALUE"""),26.2)</f>
        <v>26.2</v>
      </c>
      <c r="C1136" s="1">
        <f>IFERROR(__xludf.DUMMYFUNCTION("""COMPUTED_VALUE"""),26.23)</f>
        <v>26.23</v>
      </c>
      <c r="D1136" s="1">
        <f>IFERROR(__xludf.DUMMYFUNCTION("""COMPUTED_VALUE"""),25.26)</f>
        <v>25.26</v>
      </c>
      <c r="E1136" s="1">
        <f>IFERROR(__xludf.DUMMYFUNCTION("""COMPUTED_VALUE"""),25.54)</f>
        <v>25.54</v>
      </c>
      <c r="F1136" s="1">
        <f>IFERROR(__xludf.DUMMYFUNCTION("""COMPUTED_VALUE"""),570150.0)</f>
        <v>570150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IFERROR(__xludf.DUMMYFUNCTION("""COMPUTED_VALUE"""),25.6)</f>
        <v>25.6</v>
      </c>
      <c r="C1137" s="1">
        <f>IFERROR(__xludf.DUMMYFUNCTION("""COMPUTED_VALUE"""),26.25)</f>
        <v>26.25</v>
      </c>
      <c r="D1137" s="1">
        <f>IFERROR(__xludf.DUMMYFUNCTION("""COMPUTED_VALUE"""),25.4)</f>
        <v>25.4</v>
      </c>
      <c r="E1137" s="1">
        <f>IFERROR(__xludf.DUMMYFUNCTION("""COMPUTED_VALUE"""),26.15)</f>
        <v>26.15</v>
      </c>
      <c r="F1137" s="1">
        <f>IFERROR(__xludf.DUMMYFUNCTION("""COMPUTED_VALUE"""),310879.0)</f>
        <v>310879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IFERROR(__xludf.DUMMYFUNCTION("""COMPUTED_VALUE"""),25.78)</f>
        <v>25.78</v>
      </c>
      <c r="C1138" s="1">
        <f>IFERROR(__xludf.DUMMYFUNCTION("""COMPUTED_VALUE"""),26.01)</f>
        <v>26.01</v>
      </c>
      <c r="D1138" s="1">
        <f>IFERROR(__xludf.DUMMYFUNCTION("""COMPUTED_VALUE"""),25.51)</f>
        <v>25.51</v>
      </c>
      <c r="E1138" s="1">
        <f>IFERROR(__xludf.DUMMYFUNCTION("""COMPUTED_VALUE"""),25.59)</f>
        <v>25.59</v>
      </c>
      <c r="F1138" s="1">
        <f>IFERROR(__xludf.DUMMYFUNCTION("""COMPUTED_VALUE"""),408437.0)</f>
        <v>408437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IFERROR(__xludf.DUMMYFUNCTION("""COMPUTED_VALUE"""),25.85)</f>
        <v>25.85</v>
      </c>
      <c r="C1139" s="1">
        <f>IFERROR(__xludf.DUMMYFUNCTION("""COMPUTED_VALUE"""),26.1)</f>
        <v>26.1</v>
      </c>
      <c r="D1139" s="1">
        <f>IFERROR(__xludf.DUMMYFUNCTION("""COMPUTED_VALUE"""),25.61)</f>
        <v>25.61</v>
      </c>
      <c r="E1139" s="1">
        <f>IFERROR(__xludf.DUMMYFUNCTION("""COMPUTED_VALUE"""),25.85)</f>
        <v>25.85</v>
      </c>
      <c r="F1139" s="1">
        <f>IFERROR(__xludf.DUMMYFUNCTION("""COMPUTED_VALUE"""),420332.0)</f>
        <v>420332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IFERROR(__xludf.DUMMYFUNCTION("""COMPUTED_VALUE"""),25.91)</f>
        <v>25.91</v>
      </c>
      <c r="C1140" s="1">
        <f>IFERROR(__xludf.DUMMYFUNCTION("""COMPUTED_VALUE"""),26.4)</f>
        <v>26.4</v>
      </c>
      <c r="D1140" s="1">
        <f>IFERROR(__xludf.DUMMYFUNCTION("""COMPUTED_VALUE"""),25.74)</f>
        <v>25.74</v>
      </c>
      <c r="E1140" s="1">
        <f>IFERROR(__xludf.DUMMYFUNCTION("""COMPUTED_VALUE"""),26.01)</f>
        <v>26.01</v>
      </c>
      <c r="F1140" s="1">
        <f>IFERROR(__xludf.DUMMYFUNCTION("""COMPUTED_VALUE"""),351926.0)</f>
        <v>351926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IFERROR(__xludf.DUMMYFUNCTION("""COMPUTED_VALUE"""),25.92)</f>
        <v>25.92</v>
      </c>
      <c r="C1141" s="1">
        <f>IFERROR(__xludf.DUMMYFUNCTION("""COMPUTED_VALUE"""),25.92)</f>
        <v>25.92</v>
      </c>
      <c r="D1141" s="1">
        <f>IFERROR(__xludf.DUMMYFUNCTION("""COMPUTED_VALUE"""),24.55)</f>
        <v>24.55</v>
      </c>
      <c r="E1141" s="1">
        <f>IFERROR(__xludf.DUMMYFUNCTION("""COMPUTED_VALUE"""),24.7)</f>
        <v>24.7</v>
      </c>
      <c r="F1141" s="1">
        <f>IFERROR(__xludf.DUMMYFUNCTION("""COMPUTED_VALUE"""),1004436.0)</f>
        <v>1004436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IFERROR(__xludf.DUMMYFUNCTION("""COMPUTED_VALUE"""),24.7)</f>
        <v>24.7</v>
      </c>
      <c r="C1142" s="1">
        <f>IFERROR(__xludf.DUMMYFUNCTION("""COMPUTED_VALUE"""),25.36)</f>
        <v>25.36</v>
      </c>
      <c r="D1142" s="1">
        <f>IFERROR(__xludf.DUMMYFUNCTION("""COMPUTED_VALUE"""),24.69)</f>
        <v>24.69</v>
      </c>
      <c r="E1142" s="1">
        <f>IFERROR(__xludf.DUMMYFUNCTION("""COMPUTED_VALUE"""),24.92)</f>
        <v>24.92</v>
      </c>
      <c r="F1142" s="1">
        <f>IFERROR(__xludf.DUMMYFUNCTION("""COMPUTED_VALUE"""),475565.0)</f>
        <v>475565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IFERROR(__xludf.DUMMYFUNCTION("""COMPUTED_VALUE"""),24.9)</f>
        <v>24.9</v>
      </c>
      <c r="C1143" s="1">
        <f>IFERROR(__xludf.DUMMYFUNCTION("""COMPUTED_VALUE"""),25.47)</f>
        <v>25.47</v>
      </c>
      <c r="D1143" s="1">
        <f>IFERROR(__xludf.DUMMYFUNCTION("""COMPUTED_VALUE"""),24.27)</f>
        <v>24.27</v>
      </c>
      <c r="E1143" s="1">
        <f>IFERROR(__xludf.DUMMYFUNCTION("""COMPUTED_VALUE"""),24.32)</f>
        <v>24.32</v>
      </c>
      <c r="F1143" s="1">
        <f>IFERROR(__xludf.DUMMYFUNCTION("""COMPUTED_VALUE"""),1364146.0)</f>
        <v>1364146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IFERROR(__xludf.DUMMYFUNCTION("""COMPUTED_VALUE"""),24.31)</f>
        <v>24.31</v>
      </c>
      <c r="C1144" s="1">
        <f>IFERROR(__xludf.DUMMYFUNCTION("""COMPUTED_VALUE"""),24.6)</f>
        <v>24.6</v>
      </c>
      <c r="D1144" s="1">
        <f>IFERROR(__xludf.DUMMYFUNCTION("""COMPUTED_VALUE"""),24.11)</f>
        <v>24.11</v>
      </c>
      <c r="E1144" s="1">
        <f>IFERROR(__xludf.DUMMYFUNCTION("""COMPUTED_VALUE"""),24.39)</f>
        <v>24.39</v>
      </c>
      <c r="F1144" s="1">
        <f>IFERROR(__xludf.DUMMYFUNCTION("""COMPUTED_VALUE"""),1593147.0)</f>
        <v>1593147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IFERROR(__xludf.DUMMYFUNCTION("""COMPUTED_VALUE"""),24.3)</f>
        <v>24.3</v>
      </c>
      <c r="C1145" s="1">
        <f>IFERROR(__xludf.DUMMYFUNCTION("""COMPUTED_VALUE"""),24.4)</f>
        <v>24.4</v>
      </c>
      <c r="D1145" s="1">
        <f>IFERROR(__xludf.DUMMYFUNCTION("""COMPUTED_VALUE"""),23.88)</f>
        <v>23.88</v>
      </c>
      <c r="E1145" s="1">
        <f>IFERROR(__xludf.DUMMYFUNCTION("""COMPUTED_VALUE"""),24.2)</f>
        <v>24.2</v>
      </c>
      <c r="F1145" s="1">
        <f>IFERROR(__xludf.DUMMYFUNCTION("""COMPUTED_VALUE"""),1907599.0)</f>
        <v>1907599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IFERROR(__xludf.DUMMYFUNCTION("""COMPUTED_VALUE"""),21.96)</f>
        <v>21.96</v>
      </c>
      <c r="C1146" s="1">
        <f>IFERROR(__xludf.DUMMYFUNCTION("""COMPUTED_VALUE"""),22.3)</f>
        <v>22.3</v>
      </c>
      <c r="D1146" s="1">
        <f>IFERROR(__xludf.DUMMYFUNCTION("""COMPUTED_VALUE"""),20.31)</f>
        <v>20.31</v>
      </c>
      <c r="E1146" s="1">
        <f>IFERROR(__xludf.DUMMYFUNCTION("""COMPUTED_VALUE"""),21.01)</f>
        <v>21.01</v>
      </c>
      <c r="F1146" s="1">
        <f>IFERROR(__xludf.DUMMYFUNCTION("""COMPUTED_VALUE"""),9006671.0)</f>
        <v>9006671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IFERROR(__xludf.DUMMYFUNCTION("""COMPUTED_VALUE"""),21.1)</f>
        <v>21.1</v>
      </c>
      <c r="C1147" s="1">
        <f>IFERROR(__xludf.DUMMYFUNCTION("""COMPUTED_VALUE"""),21.36)</f>
        <v>21.36</v>
      </c>
      <c r="D1147" s="1">
        <f>IFERROR(__xludf.DUMMYFUNCTION("""COMPUTED_VALUE"""),20.42)</f>
        <v>20.42</v>
      </c>
      <c r="E1147" s="1">
        <f>IFERROR(__xludf.DUMMYFUNCTION("""COMPUTED_VALUE"""),20.53)</f>
        <v>20.53</v>
      </c>
      <c r="F1147" s="1">
        <f>IFERROR(__xludf.DUMMYFUNCTION("""COMPUTED_VALUE"""),4119195.0)</f>
        <v>4119195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IFERROR(__xludf.DUMMYFUNCTION("""COMPUTED_VALUE"""),20.52)</f>
        <v>20.52</v>
      </c>
      <c r="C1148" s="1">
        <f>IFERROR(__xludf.DUMMYFUNCTION("""COMPUTED_VALUE"""),20.55)</f>
        <v>20.55</v>
      </c>
      <c r="D1148" s="1">
        <f>IFERROR(__xludf.DUMMYFUNCTION("""COMPUTED_VALUE"""),18.88)</f>
        <v>18.88</v>
      </c>
      <c r="E1148" s="1">
        <f>IFERROR(__xludf.DUMMYFUNCTION("""COMPUTED_VALUE"""),19.39)</f>
        <v>19.39</v>
      </c>
      <c r="F1148" s="1">
        <f>IFERROR(__xludf.DUMMYFUNCTION("""COMPUTED_VALUE"""),5346983.0)</f>
        <v>5346983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IFERROR(__xludf.DUMMYFUNCTION("""COMPUTED_VALUE"""),19.46)</f>
        <v>19.46</v>
      </c>
      <c r="C1149" s="1">
        <f>IFERROR(__xludf.DUMMYFUNCTION("""COMPUTED_VALUE"""),19.55)</f>
        <v>19.55</v>
      </c>
      <c r="D1149" s="1">
        <f>IFERROR(__xludf.DUMMYFUNCTION("""COMPUTED_VALUE"""),19.3)</f>
        <v>19.3</v>
      </c>
      <c r="E1149" s="1">
        <f>IFERROR(__xludf.DUMMYFUNCTION("""COMPUTED_VALUE"""),19.4)</f>
        <v>19.4</v>
      </c>
      <c r="F1149" s="1">
        <f>IFERROR(__xludf.DUMMYFUNCTION("""COMPUTED_VALUE"""),2534660.0)</f>
        <v>2534660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IFERROR(__xludf.DUMMYFUNCTION("""COMPUTED_VALUE"""),19.68)</f>
        <v>19.68</v>
      </c>
      <c r="C1150" s="1">
        <f>IFERROR(__xludf.DUMMYFUNCTION("""COMPUTED_VALUE"""),19.75)</f>
        <v>19.75</v>
      </c>
      <c r="D1150" s="1">
        <f>IFERROR(__xludf.DUMMYFUNCTION("""COMPUTED_VALUE"""),19.41)</f>
        <v>19.41</v>
      </c>
      <c r="E1150" s="1">
        <f>IFERROR(__xludf.DUMMYFUNCTION("""COMPUTED_VALUE"""),19.59)</f>
        <v>19.59</v>
      </c>
      <c r="F1150" s="1">
        <f>IFERROR(__xludf.DUMMYFUNCTION("""COMPUTED_VALUE"""),1357230.0)</f>
        <v>1357230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IFERROR(__xludf.DUMMYFUNCTION("""COMPUTED_VALUE"""),19.63)</f>
        <v>19.63</v>
      </c>
      <c r="C1151" s="1">
        <f>IFERROR(__xludf.DUMMYFUNCTION("""COMPUTED_VALUE"""),19.66)</f>
        <v>19.66</v>
      </c>
      <c r="D1151" s="1">
        <f>IFERROR(__xludf.DUMMYFUNCTION("""COMPUTED_VALUE"""),18.89)</f>
        <v>18.89</v>
      </c>
      <c r="E1151" s="1">
        <f>IFERROR(__xludf.DUMMYFUNCTION("""COMPUTED_VALUE"""),19.03)</f>
        <v>19.03</v>
      </c>
      <c r="F1151" s="1">
        <f>IFERROR(__xludf.DUMMYFUNCTION("""COMPUTED_VALUE"""),2825105.0)</f>
        <v>2825105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IFERROR(__xludf.DUMMYFUNCTION("""COMPUTED_VALUE"""),19.29)</f>
        <v>19.29</v>
      </c>
      <c r="C1152" s="1">
        <f>IFERROR(__xludf.DUMMYFUNCTION("""COMPUTED_VALUE"""),20.14)</f>
        <v>20.14</v>
      </c>
      <c r="D1152" s="1">
        <f>IFERROR(__xludf.DUMMYFUNCTION("""COMPUTED_VALUE"""),19.15)</f>
        <v>19.15</v>
      </c>
      <c r="E1152" s="1">
        <f>IFERROR(__xludf.DUMMYFUNCTION("""COMPUTED_VALUE"""),19.78)</f>
        <v>19.78</v>
      </c>
      <c r="F1152" s="1">
        <f>IFERROR(__xludf.DUMMYFUNCTION("""COMPUTED_VALUE"""),2332226.0)</f>
        <v>2332226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IFERROR(__xludf.DUMMYFUNCTION("""COMPUTED_VALUE"""),19.86)</f>
        <v>19.86</v>
      </c>
      <c r="C1153" s="1">
        <f>IFERROR(__xludf.DUMMYFUNCTION("""COMPUTED_VALUE"""),19.94)</f>
        <v>19.94</v>
      </c>
      <c r="D1153" s="1">
        <f>IFERROR(__xludf.DUMMYFUNCTION("""COMPUTED_VALUE"""),19.5)</f>
        <v>19.5</v>
      </c>
      <c r="E1153" s="1">
        <f>IFERROR(__xludf.DUMMYFUNCTION("""COMPUTED_VALUE"""),19.55)</f>
        <v>19.55</v>
      </c>
      <c r="F1153" s="1">
        <f>IFERROR(__xludf.DUMMYFUNCTION("""COMPUTED_VALUE"""),1754163.0)</f>
        <v>1754163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IFERROR(__xludf.DUMMYFUNCTION("""COMPUTED_VALUE"""),19.5)</f>
        <v>19.5</v>
      </c>
      <c r="C1154" s="1">
        <f>IFERROR(__xludf.DUMMYFUNCTION("""COMPUTED_VALUE"""),19.55)</f>
        <v>19.55</v>
      </c>
      <c r="D1154" s="1">
        <f>IFERROR(__xludf.DUMMYFUNCTION("""COMPUTED_VALUE"""),18.81)</f>
        <v>18.81</v>
      </c>
      <c r="E1154" s="1">
        <f>IFERROR(__xludf.DUMMYFUNCTION("""COMPUTED_VALUE"""),19.27)</f>
        <v>19.27</v>
      </c>
      <c r="F1154" s="1">
        <f>IFERROR(__xludf.DUMMYFUNCTION("""COMPUTED_VALUE"""),1910496.0)</f>
        <v>1910496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IFERROR(__xludf.DUMMYFUNCTION("""COMPUTED_VALUE"""),19.32)</f>
        <v>19.32</v>
      </c>
      <c r="C1155" s="1">
        <f>IFERROR(__xludf.DUMMYFUNCTION("""COMPUTED_VALUE"""),19.32)</f>
        <v>19.32</v>
      </c>
      <c r="D1155" s="1">
        <f>IFERROR(__xludf.DUMMYFUNCTION("""COMPUTED_VALUE"""),18.74)</f>
        <v>18.74</v>
      </c>
      <c r="E1155" s="1">
        <f>IFERROR(__xludf.DUMMYFUNCTION("""COMPUTED_VALUE"""),19.12)</f>
        <v>19.12</v>
      </c>
      <c r="F1155" s="1">
        <f>IFERROR(__xludf.DUMMYFUNCTION("""COMPUTED_VALUE"""),2891646.0)</f>
        <v>2891646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IFERROR(__xludf.DUMMYFUNCTION("""COMPUTED_VALUE"""),19.0)</f>
        <v>19</v>
      </c>
      <c r="C1156" s="1">
        <f>IFERROR(__xludf.DUMMYFUNCTION("""COMPUTED_VALUE"""),19.19)</f>
        <v>19.19</v>
      </c>
      <c r="D1156" s="1">
        <f>IFERROR(__xludf.DUMMYFUNCTION("""COMPUTED_VALUE"""),18.8)</f>
        <v>18.8</v>
      </c>
      <c r="E1156" s="1">
        <f>IFERROR(__xludf.DUMMYFUNCTION("""COMPUTED_VALUE"""),18.92)</f>
        <v>18.92</v>
      </c>
      <c r="F1156" s="1">
        <f>IFERROR(__xludf.DUMMYFUNCTION("""COMPUTED_VALUE"""),1668148.0)</f>
        <v>1668148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IFERROR(__xludf.DUMMYFUNCTION("""COMPUTED_VALUE"""),18.96)</f>
        <v>18.96</v>
      </c>
      <c r="C1157" s="1">
        <f>IFERROR(__xludf.DUMMYFUNCTION("""COMPUTED_VALUE"""),19.16)</f>
        <v>19.16</v>
      </c>
      <c r="D1157" s="1">
        <f>IFERROR(__xludf.DUMMYFUNCTION("""COMPUTED_VALUE"""),18.86)</f>
        <v>18.86</v>
      </c>
      <c r="E1157" s="1">
        <f>IFERROR(__xludf.DUMMYFUNCTION("""COMPUTED_VALUE"""),18.92)</f>
        <v>18.92</v>
      </c>
      <c r="F1157" s="1">
        <f>IFERROR(__xludf.DUMMYFUNCTION("""COMPUTED_VALUE"""),997084.0)</f>
        <v>997084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IFERROR(__xludf.DUMMYFUNCTION("""COMPUTED_VALUE"""),19.0)</f>
        <v>19</v>
      </c>
      <c r="C1158" s="1">
        <f>IFERROR(__xludf.DUMMYFUNCTION("""COMPUTED_VALUE"""),19.27)</f>
        <v>19.27</v>
      </c>
      <c r="D1158" s="1">
        <f>IFERROR(__xludf.DUMMYFUNCTION("""COMPUTED_VALUE"""),18.76)</f>
        <v>18.76</v>
      </c>
      <c r="E1158" s="1">
        <f>IFERROR(__xludf.DUMMYFUNCTION("""COMPUTED_VALUE"""),19.19)</f>
        <v>19.19</v>
      </c>
      <c r="F1158" s="1">
        <f>IFERROR(__xludf.DUMMYFUNCTION("""COMPUTED_VALUE"""),1522702.0)</f>
        <v>1522702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IFERROR(__xludf.DUMMYFUNCTION("""COMPUTED_VALUE"""),19.2)</f>
        <v>19.2</v>
      </c>
      <c r="C1159" s="1">
        <f>IFERROR(__xludf.DUMMYFUNCTION("""COMPUTED_VALUE"""),19.26)</f>
        <v>19.26</v>
      </c>
      <c r="D1159" s="1">
        <f>IFERROR(__xludf.DUMMYFUNCTION("""COMPUTED_VALUE"""),18.96)</f>
        <v>18.96</v>
      </c>
      <c r="E1159" s="1">
        <f>IFERROR(__xludf.DUMMYFUNCTION("""COMPUTED_VALUE"""),19.18)</f>
        <v>19.18</v>
      </c>
      <c r="F1159" s="1">
        <f>IFERROR(__xludf.DUMMYFUNCTION("""COMPUTED_VALUE"""),888440.0)</f>
        <v>888440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IFERROR(__xludf.DUMMYFUNCTION("""COMPUTED_VALUE"""),19.18)</f>
        <v>19.18</v>
      </c>
      <c r="C1160" s="1">
        <f>IFERROR(__xludf.DUMMYFUNCTION("""COMPUTED_VALUE"""),19.72)</f>
        <v>19.72</v>
      </c>
      <c r="D1160" s="1">
        <f>IFERROR(__xludf.DUMMYFUNCTION("""COMPUTED_VALUE"""),19.05)</f>
        <v>19.05</v>
      </c>
      <c r="E1160" s="1">
        <f>IFERROR(__xludf.DUMMYFUNCTION("""COMPUTED_VALUE"""),19.54)</f>
        <v>19.54</v>
      </c>
      <c r="F1160" s="1">
        <f>IFERROR(__xludf.DUMMYFUNCTION("""COMPUTED_VALUE"""),1006951.0)</f>
        <v>1006951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IFERROR(__xludf.DUMMYFUNCTION("""COMPUTED_VALUE"""),19.51)</f>
        <v>19.51</v>
      </c>
      <c r="C1161" s="1">
        <f>IFERROR(__xludf.DUMMYFUNCTION("""COMPUTED_VALUE"""),20.62)</f>
        <v>20.62</v>
      </c>
      <c r="D1161" s="1">
        <f>IFERROR(__xludf.DUMMYFUNCTION("""COMPUTED_VALUE"""),19.51)</f>
        <v>19.51</v>
      </c>
      <c r="E1161" s="1">
        <f>IFERROR(__xludf.DUMMYFUNCTION("""COMPUTED_VALUE"""),20.45)</f>
        <v>20.45</v>
      </c>
      <c r="F1161" s="1">
        <f>IFERROR(__xludf.DUMMYFUNCTION("""COMPUTED_VALUE"""),2355832.0)</f>
        <v>2355832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IFERROR(__xludf.DUMMYFUNCTION("""COMPUTED_VALUE"""),20.45)</f>
        <v>20.45</v>
      </c>
      <c r="C1162" s="1">
        <f>IFERROR(__xludf.DUMMYFUNCTION("""COMPUTED_VALUE"""),20.8)</f>
        <v>20.8</v>
      </c>
      <c r="D1162" s="1">
        <f>IFERROR(__xludf.DUMMYFUNCTION("""COMPUTED_VALUE"""),20.4)</f>
        <v>20.4</v>
      </c>
      <c r="E1162" s="1">
        <f>IFERROR(__xludf.DUMMYFUNCTION("""COMPUTED_VALUE"""),20.69)</f>
        <v>20.69</v>
      </c>
      <c r="F1162" s="1">
        <f>IFERROR(__xludf.DUMMYFUNCTION("""COMPUTED_VALUE"""),2123804.0)</f>
        <v>2123804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IFERROR(__xludf.DUMMYFUNCTION("""COMPUTED_VALUE"""),20.6)</f>
        <v>20.6</v>
      </c>
      <c r="C1163" s="1">
        <f>IFERROR(__xludf.DUMMYFUNCTION("""COMPUTED_VALUE"""),21.01)</f>
        <v>21.01</v>
      </c>
      <c r="D1163" s="1">
        <f>IFERROR(__xludf.DUMMYFUNCTION("""COMPUTED_VALUE"""),20.6)</f>
        <v>20.6</v>
      </c>
      <c r="E1163" s="1">
        <f>IFERROR(__xludf.DUMMYFUNCTION("""COMPUTED_VALUE"""),20.92)</f>
        <v>20.92</v>
      </c>
      <c r="F1163" s="1">
        <f>IFERROR(__xludf.DUMMYFUNCTION("""COMPUTED_VALUE"""),1085539.0)</f>
        <v>1085539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IFERROR(__xludf.DUMMYFUNCTION("""COMPUTED_VALUE"""),21.02)</f>
        <v>21.02</v>
      </c>
      <c r="C1164" s="1">
        <f>IFERROR(__xludf.DUMMYFUNCTION("""COMPUTED_VALUE"""),21.36)</f>
        <v>21.36</v>
      </c>
      <c r="D1164" s="1">
        <f>IFERROR(__xludf.DUMMYFUNCTION("""COMPUTED_VALUE"""),21.0)</f>
        <v>21</v>
      </c>
      <c r="E1164" s="1">
        <f>IFERROR(__xludf.DUMMYFUNCTION("""COMPUTED_VALUE"""),21.27)</f>
        <v>21.27</v>
      </c>
      <c r="F1164" s="1">
        <f>IFERROR(__xludf.DUMMYFUNCTION("""COMPUTED_VALUE"""),1228551.0)</f>
        <v>1228551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IFERROR(__xludf.DUMMYFUNCTION("""COMPUTED_VALUE"""),21.5)</f>
        <v>21.5</v>
      </c>
      <c r="C1165" s="1">
        <f>IFERROR(__xludf.DUMMYFUNCTION("""COMPUTED_VALUE"""),22.46)</f>
        <v>22.46</v>
      </c>
      <c r="D1165" s="1">
        <f>IFERROR(__xludf.DUMMYFUNCTION("""COMPUTED_VALUE"""),21.44)</f>
        <v>21.44</v>
      </c>
      <c r="E1165" s="1">
        <f>IFERROR(__xludf.DUMMYFUNCTION("""COMPUTED_VALUE"""),21.94)</f>
        <v>21.94</v>
      </c>
      <c r="F1165" s="1">
        <f>IFERROR(__xludf.DUMMYFUNCTION("""COMPUTED_VALUE"""),2268991.0)</f>
        <v>2268991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IFERROR(__xludf.DUMMYFUNCTION("""COMPUTED_VALUE"""),22.0)</f>
        <v>22</v>
      </c>
      <c r="C1166" s="1">
        <f>IFERROR(__xludf.DUMMYFUNCTION("""COMPUTED_VALUE"""),22.4)</f>
        <v>22.4</v>
      </c>
      <c r="D1166" s="1">
        <f>IFERROR(__xludf.DUMMYFUNCTION("""COMPUTED_VALUE"""),21.97)</f>
        <v>21.97</v>
      </c>
      <c r="E1166" s="1">
        <f>IFERROR(__xludf.DUMMYFUNCTION("""COMPUTED_VALUE"""),22.25)</f>
        <v>22.25</v>
      </c>
      <c r="F1166" s="1">
        <f>IFERROR(__xludf.DUMMYFUNCTION("""COMPUTED_VALUE"""),1413111.0)</f>
        <v>1413111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IFERROR(__xludf.DUMMYFUNCTION("""COMPUTED_VALUE"""),22.25)</f>
        <v>22.25</v>
      </c>
      <c r="C1167" s="1">
        <f>IFERROR(__xludf.DUMMYFUNCTION("""COMPUTED_VALUE"""),22.29)</f>
        <v>22.29</v>
      </c>
      <c r="D1167" s="1">
        <f>IFERROR(__xludf.DUMMYFUNCTION("""COMPUTED_VALUE"""),22.03)</f>
        <v>22.03</v>
      </c>
      <c r="E1167" s="1">
        <f>IFERROR(__xludf.DUMMYFUNCTION("""COMPUTED_VALUE"""),22.27)</f>
        <v>22.27</v>
      </c>
      <c r="F1167" s="1">
        <f>IFERROR(__xludf.DUMMYFUNCTION("""COMPUTED_VALUE"""),1196267.0)</f>
        <v>1196267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IFERROR(__xludf.DUMMYFUNCTION("""COMPUTED_VALUE"""),22.27)</f>
        <v>22.27</v>
      </c>
      <c r="C1168" s="1">
        <f>IFERROR(__xludf.DUMMYFUNCTION("""COMPUTED_VALUE"""),22.27)</f>
        <v>22.27</v>
      </c>
      <c r="D1168" s="1">
        <f>IFERROR(__xludf.DUMMYFUNCTION("""COMPUTED_VALUE"""),21.75)</f>
        <v>21.75</v>
      </c>
      <c r="E1168" s="1">
        <f>IFERROR(__xludf.DUMMYFUNCTION("""COMPUTED_VALUE"""),21.86)</f>
        <v>21.86</v>
      </c>
      <c r="F1168" s="1">
        <f>IFERROR(__xludf.DUMMYFUNCTION("""COMPUTED_VALUE"""),1996222.0)</f>
        <v>1996222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IFERROR(__xludf.DUMMYFUNCTION("""COMPUTED_VALUE"""),21.87)</f>
        <v>21.87</v>
      </c>
      <c r="C1169" s="1">
        <f>IFERROR(__xludf.DUMMYFUNCTION("""COMPUTED_VALUE"""),22.12)</f>
        <v>22.12</v>
      </c>
      <c r="D1169" s="1">
        <f>IFERROR(__xludf.DUMMYFUNCTION("""COMPUTED_VALUE"""),21.79)</f>
        <v>21.79</v>
      </c>
      <c r="E1169" s="1">
        <f>IFERROR(__xludf.DUMMYFUNCTION("""COMPUTED_VALUE"""),22.11)</f>
        <v>22.11</v>
      </c>
      <c r="F1169" s="1">
        <f>IFERROR(__xludf.DUMMYFUNCTION("""COMPUTED_VALUE"""),961404.0)</f>
        <v>961404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IFERROR(__xludf.DUMMYFUNCTION("""COMPUTED_VALUE"""),22.24)</f>
        <v>22.24</v>
      </c>
      <c r="C1170" s="1">
        <f>IFERROR(__xludf.DUMMYFUNCTION("""COMPUTED_VALUE"""),22.41)</f>
        <v>22.41</v>
      </c>
      <c r="D1170" s="1">
        <f>IFERROR(__xludf.DUMMYFUNCTION("""COMPUTED_VALUE"""),22.0)</f>
        <v>22</v>
      </c>
      <c r="E1170" s="1">
        <f>IFERROR(__xludf.DUMMYFUNCTION("""COMPUTED_VALUE"""),22.41)</f>
        <v>22.41</v>
      </c>
      <c r="F1170" s="1">
        <f>IFERROR(__xludf.DUMMYFUNCTION("""COMPUTED_VALUE"""),1283095.0)</f>
        <v>1283095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IFERROR(__xludf.DUMMYFUNCTION("""COMPUTED_VALUE"""),22.3)</f>
        <v>22.3</v>
      </c>
      <c r="C1171" s="1">
        <f>IFERROR(__xludf.DUMMYFUNCTION("""COMPUTED_VALUE"""),22.8)</f>
        <v>22.8</v>
      </c>
      <c r="D1171" s="1">
        <f>IFERROR(__xludf.DUMMYFUNCTION("""COMPUTED_VALUE"""),22.21)</f>
        <v>22.21</v>
      </c>
      <c r="E1171" s="1">
        <f>IFERROR(__xludf.DUMMYFUNCTION("""COMPUTED_VALUE"""),22.66)</f>
        <v>22.66</v>
      </c>
      <c r="F1171" s="1">
        <f>IFERROR(__xludf.DUMMYFUNCTION("""COMPUTED_VALUE"""),2015751.0)</f>
        <v>2015751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IFERROR(__xludf.DUMMYFUNCTION("""COMPUTED_VALUE"""),22.94)</f>
        <v>22.94</v>
      </c>
      <c r="C1172" s="1">
        <f>IFERROR(__xludf.DUMMYFUNCTION("""COMPUTED_VALUE"""),23.7)</f>
        <v>23.7</v>
      </c>
      <c r="D1172" s="1">
        <f>IFERROR(__xludf.DUMMYFUNCTION("""COMPUTED_VALUE"""),22.9)</f>
        <v>22.9</v>
      </c>
      <c r="E1172" s="1">
        <f>IFERROR(__xludf.DUMMYFUNCTION("""COMPUTED_VALUE"""),23.1)</f>
        <v>23.1</v>
      </c>
      <c r="F1172" s="1">
        <f>IFERROR(__xludf.DUMMYFUNCTION("""COMPUTED_VALUE"""),3345943.0)</f>
        <v>3345943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IFERROR(__xludf.DUMMYFUNCTION("""COMPUTED_VALUE"""),23.0)</f>
        <v>23</v>
      </c>
      <c r="C1173" s="1">
        <f>IFERROR(__xludf.DUMMYFUNCTION("""COMPUTED_VALUE"""),23.16)</f>
        <v>23.16</v>
      </c>
      <c r="D1173" s="1">
        <f>IFERROR(__xludf.DUMMYFUNCTION("""COMPUTED_VALUE"""),22.68)</f>
        <v>22.68</v>
      </c>
      <c r="E1173" s="1">
        <f>IFERROR(__xludf.DUMMYFUNCTION("""COMPUTED_VALUE"""),22.92)</f>
        <v>22.92</v>
      </c>
      <c r="F1173" s="1">
        <f>IFERROR(__xludf.DUMMYFUNCTION("""COMPUTED_VALUE"""),1478951.0)</f>
        <v>1478951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IFERROR(__xludf.DUMMYFUNCTION("""COMPUTED_VALUE"""),22.98)</f>
        <v>22.98</v>
      </c>
      <c r="C1174" s="1">
        <f>IFERROR(__xludf.DUMMYFUNCTION("""COMPUTED_VALUE"""),22.98)</f>
        <v>22.98</v>
      </c>
      <c r="D1174" s="1">
        <f>IFERROR(__xludf.DUMMYFUNCTION("""COMPUTED_VALUE"""),22.73)</f>
        <v>22.73</v>
      </c>
      <c r="E1174" s="1">
        <f>IFERROR(__xludf.DUMMYFUNCTION("""COMPUTED_VALUE"""),22.81)</f>
        <v>22.81</v>
      </c>
      <c r="F1174" s="1">
        <f>IFERROR(__xludf.DUMMYFUNCTION("""COMPUTED_VALUE"""),739671.0)</f>
        <v>739671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IFERROR(__xludf.DUMMYFUNCTION("""COMPUTED_VALUE"""),22.85)</f>
        <v>22.85</v>
      </c>
      <c r="C1175" s="1">
        <f>IFERROR(__xludf.DUMMYFUNCTION("""COMPUTED_VALUE"""),22.9)</f>
        <v>22.9</v>
      </c>
      <c r="D1175" s="1">
        <f>IFERROR(__xludf.DUMMYFUNCTION("""COMPUTED_VALUE"""),22.6)</f>
        <v>22.6</v>
      </c>
      <c r="E1175" s="1">
        <f>IFERROR(__xludf.DUMMYFUNCTION("""COMPUTED_VALUE"""),22.7)</f>
        <v>22.7</v>
      </c>
      <c r="F1175" s="1">
        <f>IFERROR(__xludf.DUMMYFUNCTION("""COMPUTED_VALUE"""),1721377.0)</f>
        <v>1721377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IFERROR(__xludf.DUMMYFUNCTION("""COMPUTED_VALUE"""),22.88)</f>
        <v>22.88</v>
      </c>
      <c r="C1176" s="1">
        <f>IFERROR(__xludf.DUMMYFUNCTION("""COMPUTED_VALUE"""),23.03)</f>
        <v>23.03</v>
      </c>
      <c r="D1176" s="1">
        <f>IFERROR(__xludf.DUMMYFUNCTION("""COMPUTED_VALUE"""),22.67)</f>
        <v>22.67</v>
      </c>
      <c r="E1176" s="1">
        <f>IFERROR(__xludf.DUMMYFUNCTION("""COMPUTED_VALUE"""),22.77)</f>
        <v>22.77</v>
      </c>
      <c r="F1176" s="1">
        <f>IFERROR(__xludf.DUMMYFUNCTION("""COMPUTED_VALUE"""),983567.0)</f>
        <v>983567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IFERROR(__xludf.DUMMYFUNCTION("""COMPUTED_VALUE"""),22.94)</f>
        <v>22.94</v>
      </c>
      <c r="C1177" s="1">
        <f>IFERROR(__xludf.DUMMYFUNCTION("""COMPUTED_VALUE"""),22.96)</f>
        <v>22.96</v>
      </c>
      <c r="D1177" s="1">
        <f>IFERROR(__xludf.DUMMYFUNCTION("""COMPUTED_VALUE"""),22.75)</f>
        <v>22.75</v>
      </c>
      <c r="E1177" s="1">
        <f>IFERROR(__xludf.DUMMYFUNCTION("""COMPUTED_VALUE"""),22.8)</f>
        <v>22.8</v>
      </c>
      <c r="F1177" s="1">
        <f>IFERROR(__xludf.DUMMYFUNCTION("""COMPUTED_VALUE"""),674296.0)</f>
        <v>674296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IFERROR(__xludf.DUMMYFUNCTION("""COMPUTED_VALUE"""),22.75)</f>
        <v>22.75</v>
      </c>
      <c r="C1178" s="1">
        <f>IFERROR(__xludf.DUMMYFUNCTION("""COMPUTED_VALUE"""),23.06)</f>
        <v>23.06</v>
      </c>
      <c r="D1178" s="1">
        <f>IFERROR(__xludf.DUMMYFUNCTION("""COMPUTED_VALUE"""),22.73)</f>
        <v>22.73</v>
      </c>
      <c r="E1178" s="1">
        <f>IFERROR(__xludf.DUMMYFUNCTION("""COMPUTED_VALUE"""),22.93)</f>
        <v>22.93</v>
      </c>
      <c r="F1178" s="1">
        <f>IFERROR(__xludf.DUMMYFUNCTION("""COMPUTED_VALUE"""),1298910.0)</f>
        <v>1298910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IFERROR(__xludf.DUMMYFUNCTION("""COMPUTED_VALUE"""),22.83)</f>
        <v>22.83</v>
      </c>
      <c r="C1179" s="1">
        <f>IFERROR(__xludf.DUMMYFUNCTION("""COMPUTED_VALUE"""),23.01)</f>
        <v>23.01</v>
      </c>
      <c r="D1179" s="1">
        <f>IFERROR(__xludf.DUMMYFUNCTION("""COMPUTED_VALUE"""),22.6)</f>
        <v>22.6</v>
      </c>
      <c r="E1179" s="1">
        <f>IFERROR(__xludf.DUMMYFUNCTION("""COMPUTED_VALUE"""),22.68)</f>
        <v>22.68</v>
      </c>
      <c r="F1179" s="1">
        <f>IFERROR(__xludf.DUMMYFUNCTION("""COMPUTED_VALUE"""),734365.0)</f>
        <v>734365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IFERROR(__xludf.DUMMYFUNCTION("""COMPUTED_VALUE"""),22.73)</f>
        <v>22.73</v>
      </c>
      <c r="C1180" s="1">
        <f>IFERROR(__xludf.DUMMYFUNCTION("""COMPUTED_VALUE"""),22.79)</f>
        <v>22.79</v>
      </c>
      <c r="D1180" s="1">
        <f>IFERROR(__xludf.DUMMYFUNCTION("""COMPUTED_VALUE"""),22.45)</f>
        <v>22.45</v>
      </c>
      <c r="E1180" s="1">
        <f>IFERROR(__xludf.DUMMYFUNCTION("""COMPUTED_VALUE"""),22.51)</f>
        <v>22.51</v>
      </c>
      <c r="F1180" s="1">
        <f>IFERROR(__xludf.DUMMYFUNCTION("""COMPUTED_VALUE"""),744490.0)</f>
        <v>744490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IFERROR(__xludf.DUMMYFUNCTION("""COMPUTED_VALUE"""),22.5)</f>
        <v>22.5</v>
      </c>
      <c r="C1181" s="1">
        <f>IFERROR(__xludf.DUMMYFUNCTION("""COMPUTED_VALUE"""),22.6)</f>
        <v>22.6</v>
      </c>
      <c r="D1181" s="1">
        <f>IFERROR(__xludf.DUMMYFUNCTION("""COMPUTED_VALUE"""),22.29)</f>
        <v>22.29</v>
      </c>
      <c r="E1181" s="1">
        <f>IFERROR(__xludf.DUMMYFUNCTION("""COMPUTED_VALUE"""),22.46)</f>
        <v>22.46</v>
      </c>
      <c r="F1181" s="1">
        <f>IFERROR(__xludf.DUMMYFUNCTION("""COMPUTED_VALUE"""),830319.0)</f>
        <v>830319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IFERROR(__xludf.DUMMYFUNCTION("""COMPUTED_VALUE"""),22.33)</f>
        <v>22.33</v>
      </c>
      <c r="C1182" s="1">
        <f>IFERROR(__xludf.DUMMYFUNCTION("""COMPUTED_VALUE"""),22.6)</f>
        <v>22.6</v>
      </c>
      <c r="D1182" s="1">
        <f>IFERROR(__xludf.DUMMYFUNCTION("""COMPUTED_VALUE"""),22.29)</f>
        <v>22.29</v>
      </c>
      <c r="E1182" s="1">
        <f>IFERROR(__xludf.DUMMYFUNCTION("""COMPUTED_VALUE"""),22.6)</f>
        <v>22.6</v>
      </c>
      <c r="F1182" s="1">
        <f>IFERROR(__xludf.DUMMYFUNCTION("""COMPUTED_VALUE"""),1099254.0)</f>
        <v>1099254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IFERROR(__xludf.DUMMYFUNCTION("""COMPUTED_VALUE"""),22.59)</f>
        <v>22.59</v>
      </c>
      <c r="C1183" s="1">
        <f>IFERROR(__xludf.DUMMYFUNCTION("""COMPUTED_VALUE"""),22.59)</f>
        <v>22.59</v>
      </c>
      <c r="D1183" s="1">
        <f>IFERROR(__xludf.DUMMYFUNCTION("""COMPUTED_VALUE"""),22.28)</f>
        <v>22.28</v>
      </c>
      <c r="E1183" s="1">
        <f>IFERROR(__xludf.DUMMYFUNCTION("""COMPUTED_VALUE"""),22.42)</f>
        <v>22.42</v>
      </c>
      <c r="F1183" s="1">
        <f>IFERROR(__xludf.DUMMYFUNCTION("""COMPUTED_VALUE"""),835810.0)</f>
        <v>835810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IFERROR(__xludf.DUMMYFUNCTION("""COMPUTED_VALUE"""),22.3)</f>
        <v>22.3</v>
      </c>
      <c r="C1184" s="1">
        <f>IFERROR(__xludf.DUMMYFUNCTION("""COMPUTED_VALUE"""),22.33)</f>
        <v>22.33</v>
      </c>
      <c r="D1184" s="1">
        <f>IFERROR(__xludf.DUMMYFUNCTION("""COMPUTED_VALUE"""),21.73)</f>
        <v>21.73</v>
      </c>
      <c r="E1184" s="1">
        <f>IFERROR(__xludf.DUMMYFUNCTION("""COMPUTED_VALUE"""),21.92)</f>
        <v>21.92</v>
      </c>
      <c r="F1184" s="1">
        <f>IFERROR(__xludf.DUMMYFUNCTION("""COMPUTED_VALUE"""),1310672.0)</f>
        <v>1310672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IFERROR(__xludf.DUMMYFUNCTION("""COMPUTED_VALUE"""),21.87)</f>
        <v>21.87</v>
      </c>
      <c r="C1185" s="1">
        <f>IFERROR(__xludf.DUMMYFUNCTION("""COMPUTED_VALUE"""),22.28)</f>
        <v>22.28</v>
      </c>
      <c r="D1185" s="1">
        <f>IFERROR(__xludf.DUMMYFUNCTION("""COMPUTED_VALUE"""),21.73)</f>
        <v>21.73</v>
      </c>
      <c r="E1185" s="1">
        <f>IFERROR(__xludf.DUMMYFUNCTION("""COMPUTED_VALUE"""),22.12)</f>
        <v>22.12</v>
      </c>
      <c r="F1185" s="1">
        <f>IFERROR(__xludf.DUMMYFUNCTION("""COMPUTED_VALUE"""),1281002.0)</f>
        <v>1281002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IFERROR(__xludf.DUMMYFUNCTION("""COMPUTED_VALUE"""),22.11)</f>
        <v>22.11</v>
      </c>
      <c r="C1186" s="1">
        <f>IFERROR(__xludf.DUMMYFUNCTION("""COMPUTED_VALUE"""),22.25)</f>
        <v>22.25</v>
      </c>
      <c r="D1186" s="1">
        <f>IFERROR(__xludf.DUMMYFUNCTION("""COMPUTED_VALUE"""),21.94)</f>
        <v>21.94</v>
      </c>
      <c r="E1186" s="1">
        <f>IFERROR(__xludf.DUMMYFUNCTION("""COMPUTED_VALUE"""),22.15)</f>
        <v>22.15</v>
      </c>
      <c r="F1186" s="1">
        <f>IFERROR(__xludf.DUMMYFUNCTION("""COMPUTED_VALUE"""),845343.0)</f>
        <v>845343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IFERROR(__xludf.DUMMYFUNCTION("""COMPUTED_VALUE"""),22.22)</f>
        <v>22.22</v>
      </c>
      <c r="C1187" s="1">
        <f>IFERROR(__xludf.DUMMYFUNCTION("""COMPUTED_VALUE"""),22.31)</f>
        <v>22.31</v>
      </c>
      <c r="D1187" s="1">
        <f>IFERROR(__xludf.DUMMYFUNCTION("""COMPUTED_VALUE"""),21.88)</f>
        <v>21.88</v>
      </c>
      <c r="E1187" s="1">
        <f>IFERROR(__xludf.DUMMYFUNCTION("""COMPUTED_VALUE"""),21.91)</f>
        <v>21.91</v>
      </c>
      <c r="F1187" s="1">
        <f>IFERROR(__xludf.DUMMYFUNCTION("""COMPUTED_VALUE"""),1651540.0)</f>
        <v>1651540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IFERROR(__xludf.DUMMYFUNCTION("""COMPUTED_VALUE"""),21.91)</f>
        <v>21.91</v>
      </c>
      <c r="C1188" s="1">
        <f>IFERROR(__xludf.DUMMYFUNCTION("""COMPUTED_VALUE"""),22.0)</f>
        <v>22</v>
      </c>
      <c r="D1188" s="1">
        <f>IFERROR(__xludf.DUMMYFUNCTION("""COMPUTED_VALUE"""),21.68)</f>
        <v>21.68</v>
      </c>
      <c r="E1188" s="1">
        <f>IFERROR(__xludf.DUMMYFUNCTION("""COMPUTED_VALUE"""),21.79)</f>
        <v>21.79</v>
      </c>
      <c r="F1188" s="1">
        <f>IFERROR(__xludf.DUMMYFUNCTION("""COMPUTED_VALUE"""),2033851.0)</f>
        <v>2033851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IFERROR(__xludf.DUMMYFUNCTION("""COMPUTED_VALUE"""),21.79)</f>
        <v>21.79</v>
      </c>
      <c r="C1189" s="1">
        <f>IFERROR(__xludf.DUMMYFUNCTION("""COMPUTED_VALUE"""),22.06)</f>
        <v>22.06</v>
      </c>
      <c r="D1189" s="1">
        <f>IFERROR(__xludf.DUMMYFUNCTION("""COMPUTED_VALUE"""),21.68)</f>
        <v>21.68</v>
      </c>
      <c r="E1189" s="1">
        <f>IFERROR(__xludf.DUMMYFUNCTION("""COMPUTED_VALUE"""),21.93)</f>
        <v>21.93</v>
      </c>
      <c r="F1189" s="1">
        <f>IFERROR(__xludf.DUMMYFUNCTION("""COMPUTED_VALUE"""),1348108.0)</f>
        <v>1348108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IFERROR(__xludf.DUMMYFUNCTION("""COMPUTED_VALUE"""),21.85)</f>
        <v>21.85</v>
      </c>
      <c r="C1190" s="1">
        <f>IFERROR(__xludf.DUMMYFUNCTION("""COMPUTED_VALUE"""),22.18)</f>
        <v>22.18</v>
      </c>
      <c r="D1190" s="1">
        <f>IFERROR(__xludf.DUMMYFUNCTION("""COMPUTED_VALUE"""),21.66)</f>
        <v>21.66</v>
      </c>
      <c r="E1190" s="1">
        <f>IFERROR(__xludf.DUMMYFUNCTION("""COMPUTED_VALUE"""),21.9)</f>
        <v>21.9</v>
      </c>
      <c r="F1190" s="1">
        <f>IFERROR(__xludf.DUMMYFUNCTION("""COMPUTED_VALUE"""),905750.0)</f>
        <v>905750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IFERROR(__xludf.DUMMYFUNCTION("""COMPUTED_VALUE"""),21.93)</f>
        <v>21.93</v>
      </c>
      <c r="C1191" s="1">
        <f>IFERROR(__xludf.DUMMYFUNCTION("""COMPUTED_VALUE"""),21.98)</f>
        <v>21.98</v>
      </c>
      <c r="D1191" s="1">
        <f>IFERROR(__xludf.DUMMYFUNCTION("""COMPUTED_VALUE"""),21.77)</f>
        <v>21.77</v>
      </c>
      <c r="E1191" s="1">
        <f>IFERROR(__xludf.DUMMYFUNCTION("""COMPUTED_VALUE"""),21.8)</f>
        <v>21.8</v>
      </c>
      <c r="F1191" s="1">
        <f>IFERROR(__xludf.DUMMYFUNCTION("""COMPUTED_VALUE"""),651783.0)</f>
        <v>651783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IFERROR(__xludf.DUMMYFUNCTION("""COMPUTED_VALUE"""),21.81)</f>
        <v>21.81</v>
      </c>
      <c r="C1192" s="1">
        <f>IFERROR(__xludf.DUMMYFUNCTION("""COMPUTED_VALUE"""),22.1)</f>
        <v>22.1</v>
      </c>
      <c r="D1192" s="1">
        <f>IFERROR(__xludf.DUMMYFUNCTION("""COMPUTED_VALUE"""),21.78)</f>
        <v>21.78</v>
      </c>
      <c r="E1192" s="1">
        <f>IFERROR(__xludf.DUMMYFUNCTION("""COMPUTED_VALUE"""),21.81)</f>
        <v>21.81</v>
      </c>
      <c r="F1192" s="1">
        <f>IFERROR(__xludf.DUMMYFUNCTION("""COMPUTED_VALUE"""),1496646.0)</f>
        <v>1496646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IFERROR(__xludf.DUMMYFUNCTION("""COMPUTED_VALUE"""),22.04)</f>
        <v>22.04</v>
      </c>
      <c r="C1193" s="1">
        <f>IFERROR(__xludf.DUMMYFUNCTION("""COMPUTED_VALUE"""),22.28)</f>
        <v>22.28</v>
      </c>
      <c r="D1193" s="1">
        <f>IFERROR(__xludf.DUMMYFUNCTION("""COMPUTED_VALUE"""),21.84)</f>
        <v>21.84</v>
      </c>
      <c r="E1193" s="1">
        <f>IFERROR(__xludf.DUMMYFUNCTION("""COMPUTED_VALUE"""),22.14)</f>
        <v>22.14</v>
      </c>
      <c r="F1193" s="1">
        <f>IFERROR(__xludf.DUMMYFUNCTION("""COMPUTED_VALUE"""),1193854.0)</f>
        <v>1193854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IFERROR(__xludf.DUMMYFUNCTION("""COMPUTED_VALUE"""),22.02)</f>
        <v>22.02</v>
      </c>
      <c r="C1194" s="1">
        <f>IFERROR(__xludf.DUMMYFUNCTION("""COMPUTED_VALUE"""),22.38)</f>
        <v>22.38</v>
      </c>
      <c r="D1194" s="1">
        <f>IFERROR(__xludf.DUMMYFUNCTION("""COMPUTED_VALUE"""),21.92)</f>
        <v>21.92</v>
      </c>
      <c r="E1194" s="1">
        <f>IFERROR(__xludf.DUMMYFUNCTION("""COMPUTED_VALUE"""),22.32)</f>
        <v>22.32</v>
      </c>
      <c r="F1194" s="1">
        <f>IFERROR(__xludf.DUMMYFUNCTION("""COMPUTED_VALUE"""),872186.0)</f>
        <v>872186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IFERROR(__xludf.DUMMYFUNCTION("""COMPUTED_VALUE"""),22.38)</f>
        <v>22.38</v>
      </c>
      <c r="C1195" s="1">
        <f>IFERROR(__xludf.DUMMYFUNCTION("""COMPUTED_VALUE"""),23.32)</f>
        <v>23.32</v>
      </c>
      <c r="D1195" s="1">
        <f>IFERROR(__xludf.DUMMYFUNCTION("""COMPUTED_VALUE"""),22.24)</f>
        <v>22.24</v>
      </c>
      <c r="E1195" s="1">
        <f>IFERROR(__xludf.DUMMYFUNCTION("""COMPUTED_VALUE"""),23.2)</f>
        <v>23.2</v>
      </c>
      <c r="F1195" s="1">
        <f>IFERROR(__xludf.DUMMYFUNCTION("""COMPUTED_VALUE"""),2642337.0)</f>
        <v>2642337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IFERROR(__xludf.DUMMYFUNCTION("""COMPUTED_VALUE"""),23.25)</f>
        <v>23.25</v>
      </c>
      <c r="C1196" s="1">
        <f>IFERROR(__xludf.DUMMYFUNCTION("""COMPUTED_VALUE"""),23.82)</f>
        <v>23.82</v>
      </c>
      <c r="D1196" s="1">
        <f>IFERROR(__xludf.DUMMYFUNCTION("""COMPUTED_VALUE"""),22.88)</f>
        <v>22.88</v>
      </c>
      <c r="E1196" s="1">
        <f>IFERROR(__xludf.DUMMYFUNCTION("""COMPUTED_VALUE"""),23.06)</f>
        <v>23.06</v>
      </c>
      <c r="F1196" s="1">
        <f>IFERROR(__xludf.DUMMYFUNCTION("""COMPUTED_VALUE"""),1629370.0)</f>
        <v>1629370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IFERROR(__xludf.DUMMYFUNCTION("""COMPUTED_VALUE"""),23.08)</f>
        <v>23.08</v>
      </c>
      <c r="C1197" s="1">
        <f>IFERROR(__xludf.DUMMYFUNCTION("""COMPUTED_VALUE"""),23.86)</f>
        <v>23.86</v>
      </c>
      <c r="D1197" s="1">
        <f>IFERROR(__xludf.DUMMYFUNCTION("""COMPUTED_VALUE"""),23.05)</f>
        <v>23.05</v>
      </c>
      <c r="E1197" s="1">
        <f>IFERROR(__xludf.DUMMYFUNCTION("""COMPUTED_VALUE"""),23.65)</f>
        <v>23.65</v>
      </c>
      <c r="F1197" s="1">
        <f>IFERROR(__xludf.DUMMYFUNCTION("""COMPUTED_VALUE"""),1019894.0)</f>
        <v>1019894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IFERROR(__xludf.DUMMYFUNCTION("""COMPUTED_VALUE"""),23.75)</f>
        <v>23.75</v>
      </c>
      <c r="C1198" s="1">
        <f>IFERROR(__xludf.DUMMYFUNCTION("""COMPUTED_VALUE"""),24.2)</f>
        <v>24.2</v>
      </c>
      <c r="D1198" s="1">
        <f>IFERROR(__xludf.DUMMYFUNCTION("""COMPUTED_VALUE"""),23.67)</f>
        <v>23.67</v>
      </c>
      <c r="E1198" s="1">
        <f>IFERROR(__xludf.DUMMYFUNCTION("""COMPUTED_VALUE"""),23.78)</f>
        <v>23.78</v>
      </c>
      <c r="F1198" s="1">
        <f>IFERROR(__xludf.DUMMYFUNCTION("""COMPUTED_VALUE"""),2170822.0)</f>
        <v>2170822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IFERROR(__xludf.DUMMYFUNCTION("""COMPUTED_VALUE"""),23.82)</f>
        <v>23.82</v>
      </c>
      <c r="C1199" s="1">
        <f>IFERROR(__xludf.DUMMYFUNCTION("""COMPUTED_VALUE"""),23.92)</f>
        <v>23.92</v>
      </c>
      <c r="D1199" s="1">
        <f>IFERROR(__xludf.DUMMYFUNCTION("""COMPUTED_VALUE"""),23.47)</f>
        <v>23.47</v>
      </c>
      <c r="E1199" s="1">
        <f>IFERROR(__xludf.DUMMYFUNCTION("""COMPUTED_VALUE"""),23.59)</f>
        <v>23.59</v>
      </c>
      <c r="F1199" s="1">
        <f>IFERROR(__xludf.DUMMYFUNCTION("""COMPUTED_VALUE"""),1263176.0)</f>
        <v>1263176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IFERROR(__xludf.DUMMYFUNCTION("""COMPUTED_VALUE"""),23.6)</f>
        <v>23.6</v>
      </c>
      <c r="C1200" s="1">
        <f>IFERROR(__xludf.DUMMYFUNCTION("""COMPUTED_VALUE"""),23.6)</f>
        <v>23.6</v>
      </c>
      <c r="D1200" s="1">
        <f>IFERROR(__xludf.DUMMYFUNCTION("""COMPUTED_VALUE"""),23.1)</f>
        <v>23.1</v>
      </c>
      <c r="E1200" s="1">
        <f>IFERROR(__xludf.DUMMYFUNCTION("""COMPUTED_VALUE"""),23.18)</f>
        <v>23.18</v>
      </c>
      <c r="F1200" s="1">
        <f>IFERROR(__xludf.DUMMYFUNCTION("""COMPUTED_VALUE"""),1098077.0)</f>
        <v>1098077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IFERROR(__xludf.DUMMYFUNCTION("""COMPUTED_VALUE"""),23.24)</f>
        <v>23.24</v>
      </c>
      <c r="C1201" s="1">
        <f>IFERROR(__xludf.DUMMYFUNCTION("""COMPUTED_VALUE"""),23.77)</f>
        <v>23.77</v>
      </c>
      <c r="D1201" s="1">
        <f>IFERROR(__xludf.DUMMYFUNCTION("""COMPUTED_VALUE"""),22.57)</f>
        <v>22.57</v>
      </c>
      <c r="E1201" s="1">
        <f>IFERROR(__xludf.DUMMYFUNCTION("""COMPUTED_VALUE"""),23.77)</f>
        <v>23.77</v>
      </c>
      <c r="F1201" s="1">
        <f>IFERROR(__xludf.DUMMYFUNCTION("""COMPUTED_VALUE"""),1298426.0)</f>
        <v>1298426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IFERROR(__xludf.DUMMYFUNCTION("""COMPUTED_VALUE"""),23.79)</f>
        <v>23.79</v>
      </c>
      <c r="C1202" s="1">
        <f>IFERROR(__xludf.DUMMYFUNCTION("""COMPUTED_VALUE"""),23.8)</f>
        <v>23.8</v>
      </c>
      <c r="D1202" s="1">
        <f>IFERROR(__xludf.DUMMYFUNCTION("""COMPUTED_VALUE"""),23.08)</f>
        <v>23.08</v>
      </c>
      <c r="E1202" s="1">
        <f>IFERROR(__xludf.DUMMYFUNCTION("""COMPUTED_VALUE"""),23.38)</f>
        <v>23.38</v>
      </c>
      <c r="F1202" s="1">
        <f>IFERROR(__xludf.DUMMYFUNCTION("""COMPUTED_VALUE"""),1078167.0)</f>
        <v>1078167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IFERROR(__xludf.DUMMYFUNCTION("""COMPUTED_VALUE"""),23.22)</f>
        <v>23.22</v>
      </c>
      <c r="C1203" s="1">
        <f>IFERROR(__xludf.DUMMYFUNCTION("""COMPUTED_VALUE"""),23.53)</f>
        <v>23.53</v>
      </c>
      <c r="D1203" s="1">
        <f>IFERROR(__xludf.DUMMYFUNCTION("""COMPUTED_VALUE"""),22.74)</f>
        <v>22.74</v>
      </c>
      <c r="E1203" s="1">
        <f>IFERROR(__xludf.DUMMYFUNCTION("""COMPUTED_VALUE"""),22.75)</f>
        <v>22.75</v>
      </c>
      <c r="F1203" s="1">
        <f>IFERROR(__xludf.DUMMYFUNCTION("""COMPUTED_VALUE"""),1193267.0)</f>
        <v>1193267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IFERROR(__xludf.DUMMYFUNCTION("""COMPUTED_VALUE"""),22.78)</f>
        <v>22.78</v>
      </c>
      <c r="C1204" s="1">
        <f>IFERROR(__xludf.DUMMYFUNCTION("""COMPUTED_VALUE"""),23.08)</f>
        <v>23.08</v>
      </c>
      <c r="D1204" s="1">
        <f>IFERROR(__xludf.DUMMYFUNCTION("""COMPUTED_VALUE"""),21.85)</f>
        <v>21.85</v>
      </c>
      <c r="E1204" s="1">
        <f>IFERROR(__xludf.DUMMYFUNCTION("""COMPUTED_VALUE"""),21.91)</f>
        <v>21.91</v>
      </c>
      <c r="F1204" s="1">
        <f>IFERROR(__xludf.DUMMYFUNCTION("""COMPUTED_VALUE"""),3033551.0)</f>
        <v>3033551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IFERROR(__xludf.DUMMYFUNCTION("""COMPUTED_VALUE"""),21.91)</f>
        <v>21.91</v>
      </c>
      <c r="C1205" s="1">
        <f>IFERROR(__xludf.DUMMYFUNCTION("""COMPUTED_VALUE"""),22.22)</f>
        <v>22.22</v>
      </c>
      <c r="D1205" s="1">
        <f>IFERROR(__xludf.DUMMYFUNCTION("""COMPUTED_VALUE"""),20.95)</f>
        <v>20.95</v>
      </c>
      <c r="E1205" s="1">
        <f>IFERROR(__xludf.DUMMYFUNCTION("""COMPUTED_VALUE"""),22.01)</f>
        <v>22.01</v>
      </c>
      <c r="F1205" s="1">
        <f>IFERROR(__xludf.DUMMYFUNCTION("""COMPUTED_VALUE"""),1499339.0)</f>
        <v>1499339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IFERROR(__xludf.DUMMYFUNCTION("""COMPUTED_VALUE"""),20.55)</f>
        <v>20.55</v>
      </c>
      <c r="C1206" s="1">
        <f>IFERROR(__xludf.DUMMYFUNCTION("""COMPUTED_VALUE"""),21.14)</f>
        <v>21.14</v>
      </c>
      <c r="D1206" s="1">
        <f>IFERROR(__xludf.DUMMYFUNCTION("""COMPUTED_VALUE"""),20.01)</f>
        <v>20.01</v>
      </c>
      <c r="E1206" s="1">
        <f>IFERROR(__xludf.DUMMYFUNCTION("""COMPUTED_VALUE"""),20.87)</f>
        <v>20.87</v>
      </c>
      <c r="F1206" s="1">
        <f>IFERROR(__xludf.DUMMYFUNCTION("""COMPUTED_VALUE"""),3099793.0)</f>
        <v>3099793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IFERROR(__xludf.DUMMYFUNCTION("""COMPUTED_VALUE"""),20.57)</f>
        <v>20.57</v>
      </c>
      <c r="C1207" s="1">
        <f>IFERROR(__xludf.DUMMYFUNCTION("""COMPUTED_VALUE"""),21.25)</f>
        <v>21.25</v>
      </c>
      <c r="D1207" s="1">
        <f>IFERROR(__xludf.DUMMYFUNCTION("""COMPUTED_VALUE"""),20.36)</f>
        <v>20.36</v>
      </c>
      <c r="E1207" s="1">
        <f>IFERROR(__xludf.DUMMYFUNCTION("""COMPUTED_VALUE"""),21.05)</f>
        <v>21.05</v>
      </c>
      <c r="F1207" s="1">
        <f>IFERROR(__xludf.DUMMYFUNCTION("""COMPUTED_VALUE"""),1662004.0)</f>
        <v>1662004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IFERROR(__xludf.DUMMYFUNCTION("""COMPUTED_VALUE"""),21.1)</f>
        <v>21.1</v>
      </c>
      <c r="C1208" s="1">
        <f>IFERROR(__xludf.DUMMYFUNCTION("""COMPUTED_VALUE"""),21.25)</f>
        <v>21.25</v>
      </c>
      <c r="D1208" s="1">
        <f>IFERROR(__xludf.DUMMYFUNCTION("""COMPUTED_VALUE"""),20.66)</f>
        <v>20.66</v>
      </c>
      <c r="E1208" s="1">
        <f>IFERROR(__xludf.DUMMYFUNCTION("""COMPUTED_VALUE"""),20.75)</f>
        <v>20.75</v>
      </c>
      <c r="F1208" s="1">
        <f>IFERROR(__xludf.DUMMYFUNCTION("""COMPUTED_VALUE"""),2128833.0)</f>
        <v>2128833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IFERROR(__xludf.DUMMYFUNCTION("""COMPUTED_VALUE"""),20.84)</f>
        <v>20.84</v>
      </c>
      <c r="C1209" s="1">
        <f>IFERROR(__xludf.DUMMYFUNCTION("""COMPUTED_VALUE"""),21.29)</f>
        <v>21.29</v>
      </c>
      <c r="D1209" s="1">
        <f>IFERROR(__xludf.DUMMYFUNCTION("""COMPUTED_VALUE"""),20.81)</f>
        <v>20.81</v>
      </c>
      <c r="E1209" s="1">
        <f>IFERROR(__xludf.DUMMYFUNCTION("""COMPUTED_VALUE"""),21.11)</f>
        <v>21.11</v>
      </c>
      <c r="F1209" s="1">
        <f>IFERROR(__xludf.DUMMYFUNCTION("""COMPUTED_VALUE"""),1358327.0)</f>
        <v>1358327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IFERROR(__xludf.DUMMYFUNCTION("""COMPUTED_VALUE"""),20.68)</f>
        <v>20.68</v>
      </c>
      <c r="C1210" s="1">
        <f>IFERROR(__xludf.DUMMYFUNCTION("""COMPUTED_VALUE"""),21.69)</f>
        <v>21.69</v>
      </c>
      <c r="D1210" s="1">
        <f>IFERROR(__xludf.DUMMYFUNCTION("""COMPUTED_VALUE"""),20.61)</f>
        <v>20.61</v>
      </c>
      <c r="E1210" s="1">
        <f>IFERROR(__xludf.DUMMYFUNCTION("""COMPUTED_VALUE"""),21.55)</f>
        <v>21.55</v>
      </c>
      <c r="F1210" s="1">
        <f>IFERROR(__xludf.DUMMYFUNCTION("""COMPUTED_VALUE"""),1776255.0)</f>
        <v>1776255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IFERROR(__xludf.DUMMYFUNCTION("""COMPUTED_VALUE"""),21.48)</f>
        <v>21.48</v>
      </c>
      <c r="C1211" s="1">
        <f>IFERROR(__xludf.DUMMYFUNCTION("""COMPUTED_VALUE"""),21.76)</f>
        <v>21.76</v>
      </c>
      <c r="D1211" s="1">
        <f>IFERROR(__xludf.DUMMYFUNCTION("""COMPUTED_VALUE"""),21.2)</f>
        <v>21.2</v>
      </c>
      <c r="E1211" s="1">
        <f>IFERROR(__xludf.DUMMYFUNCTION("""COMPUTED_VALUE"""),21.36)</f>
        <v>21.36</v>
      </c>
      <c r="F1211" s="1">
        <f>IFERROR(__xludf.DUMMYFUNCTION("""COMPUTED_VALUE"""),1173725.0)</f>
        <v>1173725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IFERROR(__xludf.DUMMYFUNCTION("""COMPUTED_VALUE"""),21.7)</f>
        <v>21.7</v>
      </c>
      <c r="C1212" s="1">
        <f>IFERROR(__xludf.DUMMYFUNCTION("""COMPUTED_VALUE"""),21.76)</f>
        <v>21.76</v>
      </c>
      <c r="D1212" s="1">
        <f>IFERROR(__xludf.DUMMYFUNCTION("""COMPUTED_VALUE"""),21.2)</f>
        <v>21.2</v>
      </c>
      <c r="E1212" s="1">
        <f>IFERROR(__xludf.DUMMYFUNCTION("""COMPUTED_VALUE"""),21.4)</f>
        <v>21.4</v>
      </c>
      <c r="F1212" s="1">
        <f>IFERROR(__xludf.DUMMYFUNCTION("""COMPUTED_VALUE"""),1484332.0)</f>
        <v>1484332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IFERROR(__xludf.DUMMYFUNCTION("""COMPUTED_VALUE"""),20.57)</f>
        <v>20.57</v>
      </c>
      <c r="C1213" s="1">
        <f>IFERROR(__xludf.DUMMYFUNCTION("""COMPUTED_VALUE"""),22.46)</f>
        <v>22.46</v>
      </c>
      <c r="D1213" s="1">
        <f>IFERROR(__xludf.DUMMYFUNCTION("""COMPUTED_VALUE"""),20.51)</f>
        <v>20.51</v>
      </c>
      <c r="E1213" s="1">
        <f>IFERROR(__xludf.DUMMYFUNCTION("""COMPUTED_VALUE"""),22.35)</f>
        <v>22.35</v>
      </c>
      <c r="F1213" s="1">
        <f>IFERROR(__xludf.DUMMYFUNCTION("""COMPUTED_VALUE"""),2831825.0)</f>
        <v>2831825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IFERROR(__xludf.DUMMYFUNCTION("""COMPUTED_VALUE"""),22.15)</f>
        <v>22.15</v>
      </c>
      <c r="C1214" s="1">
        <f>IFERROR(__xludf.DUMMYFUNCTION("""COMPUTED_VALUE"""),22.35)</f>
        <v>22.35</v>
      </c>
      <c r="D1214" s="1">
        <f>IFERROR(__xludf.DUMMYFUNCTION("""COMPUTED_VALUE"""),21.14)</f>
        <v>21.14</v>
      </c>
      <c r="E1214" s="1">
        <f>IFERROR(__xludf.DUMMYFUNCTION("""COMPUTED_VALUE"""),21.37)</f>
        <v>21.37</v>
      </c>
      <c r="F1214" s="1">
        <f>IFERROR(__xludf.DUMMYFUNCTION("""COMPUTED_VALUE"""),1686769.0)</f>
        <v>1686769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IFERROR(__xludf.DUMMYFUNCTION("""COMPUTED_VALUE"""),21.41)</f>
        <v>21.41</v>
      </c>
      <c r="C1215" s="1">
        <f>IFERROR(__xludf.DUMMYFUNCTION("""COMPUTED_VALUE"""),21.77)</f>
        <v>21.77</v>
      </c>
      <c r="D1215" s="1">
        <f>IFERROR(__xludf.DUMMYFUNCTION("""COMPUTED_VALUE"""),21.22)</f>
        <v>21.22</v>
      </c>
      <c r="E1215" s="1">
        <f>IFERROR(__xludf.DUMMYFUNCTION("""COMPUTED_VALUE"""),21.58)</f>
        <v>21.58</v>
      </c>
      <c r="F1215" s="1">
        <f>IFERROR(__xludf.DUMMYFUNCTION("""COMPUTED_VALUE"""),1286338.0)</f>
        <v>1286338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IFERROR(__xludf.DUMMYFUNCTION("""COMPUTED_VALUE"""),21.73)</f>
        <v>21.73</v>
      </c>
      <c r="C1216" s="1">
        <f>IFERROR(__xludf.DUMMYFUNCTION("""COMPUTED_VALUE"""),21.95)</f>
        <v>21.95</v>
      </c>
      <c r="D1216" s="1">
        <f>IFERROR(__xludf.DUMMYFUNCTION("""COMPUTED_VALUE"""),21.38)</f>
        <v>21.38</v>
      </c>
      <c r="E1216" s="1">
        <f>IFERROR(__xludf.DUMMYFUNCTION("""COMPUTED_VALUE"""),21.59)</f>
        <v>21.59</v>
      </c>
      <c r="F1216" s="1">
        <f>IFERROR(__xludf.DUMMYFUNCTION("""COMPUTED_VALUE"""),1555354.0)</f>
        <v>1555354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IFERROR(__xludf.DUMMYFUNCTION("""COMPUTED_VALUE"""),21.5)</f>
        <v>21.5</v>
      </c>
      <c r="C1217" s="1">
        <f>IFERROR(__xludf.DUMMYFUNCTION("""COMPUTED_VALUE"""),21.72)</f>
        <v>21.72</v>
      </c>
      <c r="D1217" s="1">
        <f>IFERROR(__xludf.DUMMYFUNCTION("""COMPUTED_VALUE"""),21.43)</f>
        <v>21.43</v>
      </c>
      <c r="E1217" s="1">
        <f>IFERROR(__xludf.DUMMYFUNCTION("""COMPUTED_VALUE"""),21.51)</f>
        <v>21.51</v>
      </c>
      <c r="F1217" s="1">
        <f>IFERROR(__xludf.DUMMYFUNCTION("""COMPUTED_VALUE"""),1329392.0)</f>
        <v>1329392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IFERROR(__xludf.DUMMYFUNCTION("""COMPUTED_VALUE"""),21.79)</f>
        <v>21.79</v>
      </c>
      <c r="C1218" s="1">
        <f>IFERROR(__xludf.DUMMYFUNCTION("""COMPUTED_VALUE"""),22.01)</f>
        <v>22.01</v>
      </c>
      <c r="D1218" s="1">
        <f>IFERROR(__xludf.DUMMYFUNCTION("""COMPUTED_VALUE"""),21.31)</f>
        <v>21.31</v>
      </c>
      <c r="E1218" s="1">
        <f>IFERROR(__xludf.DUMMYFUNCTION("""COMPUTED_VALUE"""),21.6)</f>
        <v>21.6</v>
      </c>
      <c r="F1218" s="1">
        <f>IFERROR(__xludf.DUMMYFUNCTION("""COMPUTED_VALUE"""),1444169.0)</f>
        <v>1444169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IFERROR(__xludf.DUMMYFUNCTION("""COMPUTED_VALUE"""),21.73)</f>
        <v>21.73</v>
      </c>
      <c r="C1219" s="1">
        <f>IFERROR(__xludf.DUMMYFUNCTION("""COMPUTED_VALUE"""),22.04)</f>
        <v>22.04</v>
      </c>
      <c r="D1219" s="1">
        <f>IFERROR(__xludf.DUMMYFUNCTION("""COMPUTED_VALUE"""),21.42)</f>
        <v>21.42</v>
      </c>
      <c r="E1219" s="1">
        <f>IFERROR(__xludf.DUMMYFUNCTION("""COMPUTED_VALUE"""),22.0)</f>
        <v>22</v>
      </c>
      <c r="F1219" s="1">
        <f>IFERROR(__xludf.DUMMYFUNCTION("""COMPUTED_VALUE"""),834029.0)</f>
        <v>834029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IFERROR(__xludf.DUMMYFUNCTION("""COMPUTED_VALUE"""),22.0)</f>
        <v>22</v>
      </c>
      <c r="C1220" s="1">
        <f>IFERROR(__xludf.DUMMYFUNCTION("""COMPUTED_VALUE"""),22.03)</f>
        <v>22.03</v>
      </c>
      <c r="D1220" s="1">
        <f>IFERROR(__xludf.DUMMYFUNCTION("""COMPUTED_VALUE"""),21.43)</f>
        <v>21.43</v>
      </c>
      <c r="E1220" s="1">
        <f>IFERROR(__xludf.DUMMYFUNCTION("""COMPUTED_VALUE"""),21.95)</f>
        <v>21.95</v>
      </c>
      <c r="F1220" s="1">
        <f>IFERROR(__xludf.DUMMYFUNCTION("""COMPUTED_VALUE"""),1585080.0)</f>
        <v>1585080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IFERROR(__xludf.DUMMYFUNCTION("""COMPUTED_VALUE"""),21.97)</f>
        <v>21.97</v>
      </c>
      <c r="C1221" s="1">
        <f>IFERROR(__xludf.DUMMYFUNCTION("""COMPUTED_VALUE"""),22.19)</f>
        <v>22.19</v>
      </c>
      <c r="D1221" s="1">
        <f>IFERROR(__xludf.DUMMYFUNCTION("""COMPUTED_VALUE"""),21.68)</f>
        <v>21.68</v>
      </c>
      <c r="E1221" s="1">
        <f>IFERROR(__xludf.DUMMYFUNCTION("""COMPUTED_VALUE"""),21.95)</f>
        <v>21.95</v>
      </c>
      <c r="F1221" s="1">
        <f>IFERROR(__xludf.DUMMYFUNCTION("""COMPUTED_VALUE"""),1573003.0)</f>
        <v>1573003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IFERROR(__xludf.DUMMYFUNCTION("""COMPUTED_VALUE"""),22.03)</f>
        <v>22.03</v>
      </c>
      <c r="C1222" s="1">
        <f>IFERROR(__xludf.DUMMYFUNCTION("""COMPUTED_VALUE"""),22.44)</f>
        <v>22.44</v>
      </c>
      <c r="D1222" s="1">
        <f>IFERROR(__xludf.DUMMYFUNCTION("""COMPUTED_VALUE"""),22.0)</f>
        <v>22</v>
      </c>
      <c r="E1222" s="1">
        <f>IFERROR(__xludf.DUMMYFUNCTION("""COMPUTED_VALUE"""),22.3)</f>
        <v>22.3</v>
      </c>
      <c r="F1222" s="1">
        <f>IFERROR(__xludf.DUMMYFUNCTION("""COMPUTED_VALUE"""),985577.0)</f>
        <v>985577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IFERROR(__xludf.DUMMYFUNCTION("""COMPUTED_VALUE"""),22.38)</f>
        <v>22.38</v>
      </c>
      <c r="C1223" s="1">
        <f>IFERROR(__xludf.DUMMYFUNCTION("""COMPUTED_VALUE"""),22.61)</f>
        <v>22.61</v>
      </c>
      <c r="D1223" s="1">
        <f>IFERROR(__xludf.DUMMYFUNCTION("""COMPUTED_VALUE"""),22.02)</f>
        <v>22.02</v>
      </c>
      <c r="E1223" s="1">
        <f>IFERROR(__xludf.DUMMYFUNCTION("""COMPUTED_VALUE"""),22.35)</f>
        <v>22.35</v>
      </c>
      <c r="F1223" s="1">
        <f>IFERROR(__xludf.DUMMYFUNCTION("""COMPUTED_VALUE"""),1008269.0)</f>
        <v>1008269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IFERROR(__xludf.DUMMYFUNCTION("""COMPUTED_VALUE"""),22.42)</f>
        <v>22.42</v>
      </c>
      <c r="C1224" s="1">
        <f>IFERROR(__xludf.DUMMYFUNCTION("""COMPUTED_VALUE"""),22.46)</f>
        <v>22.46</v>
      </c>
      <c r="D1224" s="1">
        <f>IFERROR(__xludf.DUMMYFUNCTION("""COMPUTED_VALUE"""),21.52)</f>
        <v>21.52</v>
      </c>
      <c r="E1224" s="1">
        <f>IFERROR(__xludf.DUMMYFUNCTION("""COMPUTED_VALUE"""),21.66)</f>
        <v>21.66</v>
      </c>
      <c r="F1224" s="1">
        <f>IFERROR(__xludf.DUMMYFUNCTION("""COMPUTED_VALUE"""),2002273.0)</f>
        <v>2002273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IFERROR(__xludf.DUMMYFUNCTION("""COMPUTED_VALUE"""),21.67)</f>
        <v>21.67</v>
      </c>
      <c r="C1225" s="1">
        <f>IFERROR(__xludf.DUMMYFUNCTION("""COMPUTED_VALUE"""),22.0)</f>
        <v>22</v>
      </c>
      <c r="D1225" s="1">
        <f>IFERROR(__xludf.DUMMYFUNCTION("""COMPUTED_VALUE"""),21.5)</f>
        <v>21.5</v>
      </c>
      <c r="E1225" s="1">
        <f>IFERROR(__xludf.DUMMYFUNCTION("""COMPUTED_VALUE"""),21.84)</f>
        <v>21.84</v>
      </c>
      <c r="F1225" s="1">
        <f>IFERROR(__xludf.DUMMYFUNCTION("""COMPUTED_VALUE"""),1174648.0)</f>
        <v>1174648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IFERROR(__xludf.DUMMYFUNCTION("""COMPUTED_VALUE"""),21.75)</f>
        <v>21.75</v>
      </c>
      <c r="C1226" s="1">
        <f>IFERROR(__xludf.DUMMYFUNCTION("""COMPUTED_VALUE"""),22.05)</f>
        <v>22.05</v>
      </c>
      <c r="D1226" s="1">
        <f>IFERROR(__xludf.DUMMYFUNCTION("""COMPUTED_VALUE"""),21.56)</f>
        <v>21.56</v>
      </c>
      <c r="E1226" s="1">
        <f>IFERROR(__xludf.DUMMYFUNCTION("""COMPUTED_VALUE"""),21.81)</f>
        <v>21.81</v>
      </c>
      <c r="F1226" s="1">
        <f>IFERROR(__xludf.DUMMYFUNCTION("""COMPUTED_VALUE"""),887483.0)</f>
        <v>887483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IFERROR(__xludf.DUMMYFUNCTION("""COMPUTED_VALUE"""),21.79)</f>
        <v>21.79</v>
      </c>
      <c r="C1227" s="1">
        <f>IFERROR(__xludf.DUMMYFUNCTION("""COMPUTED_VALUE"""),22.12)</f>
        <v>22.12</v>
      </c>
      <c r="D1227" s="1">
        <f>IFERROR(__xludf.DUMMYFUNCTION("""COMPUTED_VALUE"""),21.63)</f>
        <v>21.63</v>
      </c>
      <c r="E1227" s="1">
        <f>IFERROR(__xludf.DUMMYFUNCTION("""COMPUTED_VALUE"""),22.09)</f>
        <v>22.09</v>
      </c>
      <c r="F1227" s="1">
        <f>IFERROR(__xludf.DUMMYFUNCTION("""COMPUTED_VALUE"""),865807.0)</f>
        <v>865807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IFERROR(__xludf.DUMMYFUNCTION("""COMPUTED_VALUE"""),22.08)</f>
        <v>22.08</v>
      </c>
      <c r="C1228" s="1">
        <f>IFERROR(__xludf.DUMMYFUNCTION("""COMPUTED_VALUE"""),22.48)</f>
        <v>22.48</v>
      </c>
      <c r="D1228" s="1">
        <f>IFERROR(__xludf.DUMMYFUNCTION("""COMPUTED_VALUE"""),21.75)</f>
        <v>21.75</v>
      </c>
      <c r="E1228" s="1">
        <f>IFERROR(__xludf.DUMMYFUNCTION("""COMPUTED_VALUE"""),22.46)</f>
        <v>22.46</v>
      </c>
      <c r="F1228" s="1">
        <f>IFERROR(__xludf.DUMMYFUNCTION("""COMPUTED_VALUE"""),760395.0)</f>
        <v>760395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IFERROR(__xludf.DUMMYFUNCTION("""COMPUTED_VALUE"""),22.29)</f>
        <v>22.29</v>
      </c>
      <c r="C1229" s="1">
        <f>IFERROR(__xludf.DUMMYFUNCTION("""COMPUTED_VALUE"""),22.95)</f>
        <v>22.95</v>
      </c>
      <c r="D1229" s="1">
        <f>IFERROR(__xludf.DUMMYFUNCTION("""COMPUTED_VALUE"""),22.29)</f>
        <v>22.29</v>
      </c>
      <c r="E1229" s="1">
        <f>IFERROR(__xludf.DUMMYFUNCTION("""COMPUTED_VALUE"""),22.8)</f>
        <v>22.8</v>
      </c>
      <c r="F1229" s="1">
        <f>IFERROR(__xludf.DUMMYFUNCTION("""COMPUTED_VALUE"""),1874637.0)</f>
        <v>1874637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IFERROR(__xludf.DUMMYFUNCTION("""COMPUTED_VALUE"""),22.6)</f>
        <v>22.6</v>
      </c>
      <c r="C1230" s="1">
        <f>IFERROR(__xludf.DUMMYFUNCTION("""COMPUTED_VALUE"""),22.9)</f>
        <v>22.9</v>
      </c>
      <c r="D1230" s="1">
        <f>IFERROR(__xludf.DUMMYFUNCTION("""COMPUTED_VALUE"""),22.4)</f>
        <v>22.4</v>
      </c>
      <c r="E1230" s="1">
        <f>IFERROR(__xludf.DUMMYFUNCTION("""COMPUTED_VALUE"""),22.42)</f>
        <v>22.42</v>
      </c>
      <c r="F1230" s="1">
        <f>IFERROR(__xludf.DUMMYFUNCTION("""COMPUTED_VALUE"""),2443633.0)</f>
        <v>2443633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IFERROR(__xludf.DUMMYFUNCTION("""COMPUTED_VALUE"""),22.29)</f>
        <v>22.29</v>
      </c>
      <c r="C1231" s="1">
        <f>IFERROR(__xludf.DUMMYFUNCTION("""COMPUTED_VALUE"""),22.84)</f>
        <v>22.84</v>
      </c>
      <c r="D1231" s="1">
        <f>IFERROR(__xludf.DUMMYFUNCTION("""COMPUTED_VALUE"""),22.03)</f>
        <v>22.03</v>
      </c>
      <c r="E1231" s="1">
        <f>IFERROR(__xludf.DUMMYFUNCTION("""COMPUTED_VALUE"""),22.76)</f>
        <v>22.76</v>
      </c>
      <c r="F1231" s="1">
        <f>IFERROR(__xludf.DUMMYFUNCTION("""COMPUTED_VALUE"""),1853907.0)</f>
        <v>1853907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IFERROR(__xludf.DUMMYFUNCTION("""COMPUTED_VALUE"""),22.8)</f>
        <v>22.8</v>
      </c>
      <c r="C1232" s="1">
        <f>IFERROR(__xludf.DUMMYFUNCTION("""COMPUTED_VALUE"""),22.91)</f>
        <v>22.91</v>
      </c>
      <c r="D1232" s="1">
        <f>IFERROR(__xludf.DUMMYFUNCTION("""COMPUTED_VALUE"""),22.32)</f>
        <v>22.32</v>
      </c>
      <c r="E1232" s="1">
        <f>IFERROR(__xludf.DUMMYFUNCTION("""COMPUTED_VALUE"""),22.5)</f>
        <v>22.5</v>
      </c>
      <c r="F1232" s="1">
        <f>IFERROR(__xludf.DUMMYFUNCTION("""COMPUTED_VALUE"""),1425638.0)</f>
        <v>1425638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IFERROR(__xludf.DUMMYFUNCTION("""COMPUTED_VALUE"""),22.68)</f>
        <v>22.68</v>
      </c>
      <c r="C1233" s="1">
        <f>IFERROR(__xludf.DUMMYFUNCTION("""COMPUTED_VALUE"""),22.83)</f>
        <v>22.83</v>
      </c>
      <c r="D1233" s="1">
        <f>IFERROR(__xludf.DUMMYFUNCTION("""COMPUTED_VALUE"""),22.3)</f>
        <v>22.3</v>
      </c>
      <c r="E1233" s="1">
        <f>IFERROR(__xludf.DUMMYFUNCTION("""COMPUTED_VALUE"""),22.34)</f>
        <v>22.34</v>
      </c>
      <c r="F1233" s="1">
        <f>IFERROR(__xludf.DUMMYFUNCTION("""COMPUTED_VALUE"""),1117985.0)</f>
        <v>1117985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IFERROR(__xludf.DUMMYFUNCTION("""COMPUTED_VALUE"""),22.34)</f>
        <v>22.34</v>
      </c>
      <c r="C1234" s="1">
        <f>IFERROR(__xludf.DUMMYFUNCTION("""COMPUTED_VALUE"""),22.59)</f>
        <v>22.59</v>
      </c>
      <c r="D1234" s="1">
        <f>IFERROR(__xludf.DUMMYFUNCTION("""COMPUTED_VALUE"""),22.34)</f>
        <v>22.34</v>
      </c>
      <c r="E1234" s="1">
        <f>IFERROR(__xludf.DUMMYFUNCTION("""COMPUTED_VALUE"""),22.51)</f>
        <v>22.51</v>
      </c>
      <c r="F1234" s="1">
        <f>IFERROR(__xludf.DUMMYFUNCTION("""COMPUTED_VALUE"""),988706.0)</f>
        <v>988706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IFERROR(__xludf.DUMMYFUNCTION("""COMPUTED_VALUE"""),22.43)</f>
        <v>22.43</v>
      </c>
      <c r="C1235" s="1">
        <f>IFERROR(__xludf.DUMMYFUNCTION("""COMPUTED_VALUE"""),22.51)</f>
        <v>22.51</v>
      </c>
      <c r="D1235" s="1">
        <f>IFERROR(__xludf.DUMMYFUNCTION("""COMPUTED_VALUE"""),22.31)</f>
        <v>22.31</v>
      </c>
      <c r="E1235" s="1">
        <f>IFERROR(__xludf.DUMMYFUNCTION("""COMPUTED_VALUE"""),22.39)</f>
        <v>22.39</v>
      </c>
      <c r="F1235" s="1">
        <f>IFERROR(__xludf.DUMMYFUNCTION("""COMPUTED_VALUE"""),447290.0)</f>
        <v>447290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IFERROR(__xludf.DUMMYFUNCTION("""COMPUTED_VALUE"""),22.48)</f>
        <v>22.48</v>
      </c>
      <c r="C1236" s="1">
        <f>IFERROR(__xludf.DUMMYFUNCTION("""COMPUTED_VALUE"""),22.52)</f>
        <v>22.52</v>
      </c>
      <c r="D1236" s="1">
        <f>IFERROR(__xludf.DUMMYFUNCTION("""COMPUTED_VALUE"""),22.2)</f>
        <v>22.2</v>
      </c>
      <c r="E1236" s="1">
        <f>IFERROR(__xludf.DUMMYFUNCTION("""COMPUTED_VALUE"""),22.35)</f>
        <v>22.35</v>
      </c>
      <c r="F1236" s="1">
        <f>IFERROR(__xludf.DUMMYFUNCTION("""COMPUTED_VALUE"""),334995.0)</f>
        <v>334995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IFERROR(__xludf.DUMMYFUNCTION("""COMPUTED_VALUE"""),22.21)</f>
        <v>22.21</v>
      </c>
      <c r="C1237" s="1">
        <f>IFERROR(__xludf.DUMMYFUNCTION("""COMPUTED_VALUE"""),22.4)</f>
        <v>22.4</v>
      </c>
      <c r="D1237" s="1">
        <f>IFERROR(__xludf.DUMMYFUNCTION("""COMPUTED_VALUE"""),22.07)</f>
        <v>22.07</v>
      </c>
      <c r="E1237" s="1">
        <f>IFERROR(__xludf.DUMMYFUNCTION("""COMPUTED_VALUE"""),22.12)</f>
        <v>22.12</v>
      </c>
      <c r="F1237" s="1">
        <f>IFERROR(__xludf.DUMMYFUNCTION("""COMPUTED_VALUE"""),332458.0)</f>
        <v>332458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IFERROR(__xludf.DUMMYFUNCTION("""COMPUTED_VALUE"""),22.0)</f>
        <v>22</v>
      </c>
      <c r="C1238" s="1">
        <f>IFERROR(__xludf.DUMMYFUNCTION("""COMPUTED_VALUE"""),22.04)</f>
        <v>22.04</v>
      </c>
      <c r="D1238" s="1">
        <f>IFERROR(__xludf.DUMMYFUNCTION("""COMPUTED_VALUE"""),21.46)</f>
        <v>21.46</v>
      </c>
      <c r="E1238" s="1">
        <f>IFERROR(__xludf.DUMMYFUNCTION("""COMPUTED_VALUE"""),21.58)</f>
        <v>21.58</v>
      </c>
      <c r="F1238" s="1">
        <f>IFERROR(__xludf.DUMMYFUNCTION("""COMPUTED_VALUE"""),1087776.0)</f>
        <v>1087776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IFERROR(__xludf.DUMMYFUNCTION("""COMPUTED_VALUE"""),21.74)</f>
        <v>21.74</v>
      </c>
      <c r="C1239" s="1">
        <f>IFERROR(__xludf.DUMMYFUNCTION("""COMPUTED_VALUE"""),22.06)</f>
        <v>22.06</v>
      </c>
      <c r="D1239" s="1">
        <f>IFERROR(__xludf.DUMMYFUNCTION("""COMPUTED_VALUE"""),21.55)</f>
        <v>21.55</v>
      </c>
      <c r="E1239" s="1">
        <f>IFERROR(__xludf.DUMMYFUNCTION("""COMPUTED_VALUE"""),21.84)</f>
        <v>21.84</v>
      </c>
      <c r="F1239" s="1">
        <f>IFERROR(__xludf.DUMMYFUNCTION("""COMPUTED_VALUE"""),714491.0)</f>
        <v>714491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IFERROR(__xludf.DUMMYFUNCTION("""COMPUTED_VALUE"""),21.79)</f>
        <v>21.79</v>
      </c>
      <c r="C1240" s="1">
        <f>IFERROR(__xludf.DUMMYFUNCTION("""COMPUTED_VALUE"""),21.88)</f>
        <v>21.88</v>
      </c>
      <c r="D1240" s="1">
        <f>IFERROR(__xludf.DUMMYFUNCTION("""COMPUTED_VALUE"""),21.39)</f>
        <v>21.39</v>
      </c>
      <c r="E1240" s="1">
        <f>IFERROR(__xludf.DUMMYFUNCTION("""COMPUTED_VALUE"""),21.41)</f>
        <v>21.41</v>
      </c>
      <c r="F1240" s="1">
        <f>IFERROR(__xludf.DUMMYFUNCTION("""COMPUTED_VALUE"""),561444.0)</f>
        <v>561444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IFERROR(__xludf.DUMMYFUNCTION("""COMPUTED_VALUE"""),21.58)</f>
        <v>21.58</v>
      </c>
      <c r="C1241" s="1">
        <f>IFERROR(__xludf.DUMMYFUNCTION("""COMPUTED_VALUE"""),21.71)</f>
        <v>21.71</v>
      </c>
      <c r="D1241" s="1">
        <f>IFERROR(__xludf.DUMMYFUNCTION("""COMPUTED_VALUE"""),21.23)</f>
        <v>21.23</v>
      </c>
      <c r="E1241" s="1">
        <f>IFERROR(__xludf.DUMMYFUNCTION("""COMPUTED_VALUE"""),21.55)</f>
        <v>21.55</v>
      </c>
      <c r="F1241" s="1">
        <f>IFERROR(__xludf.DUMMYFUNCTION("""COMPUTED_VALUE"""),1088653.0)</f>
        <v>1088653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IFERROR(__xludf.DUMMYFUNCTION("""COMPUTED_VALUE"""),21.78)</f>
        <v>21.78</v>
      </c>
      <c r="C1242" s="1">
        <f>IFERROR(__xludf.DUMMYFUNCTION("""COMPUTED_VALUE"""),21.8)</f>
        <v>21.8</v>
      </c>
      <c r="D1242" s="1">
        <f>IFERROR(__xludf.DUMMYFUNCTION("""COMPUTED_VALUE"""),21.31)</f>
        <v>21.31</v>
      </c>
      <c r="E1242" s="1">
        <f>IFERROR(__xludf.DUMMYFUNCTION("""COMPUTED_VALUE"""),21.36)</f>
        <v>21.36</v>
      </c>
      <c r="F1242" s="1">
        <f>IFERROR(__xludf.DUMMYFUNCTION("""COMPUTED_VALUE"""),564534.0)</f>
        <v>564534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IFERROR(__xludf.DUMMYFUNCTION("""COMPUTED_VALUE"""),21.35)</f>
        <v>21.35</v>
      </c>
      <c r="C1243" s="1">
        <f>IFERROR(__xludf.DUMMYFUNCTION("""COMPUTED_VALUE"""),21.38)</f>
        <v>21.38</v>
      </c>
      <c r="D1243" s="1">
        <f>IFERROR(__xludf.DUMMYFUNCTION("""COMPUTED_VALUE"""),20.67)</f>
        <v>20.67</v>
      </c>
      <c r="E1243" s="1">
        <f>IFERROR(__xludf.DUMMYFUNCTION("""COMPUTED_VALUE"""),21.0)</f>
        <v>21</v>
      </c>
      <c r="F1243" s="1">
        <f>IFERROR(__xludf.DUMMYFUNCTION("""COMPUTED_VALUE"""),828336.0)</f>
        <v>828336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IFERROR(__xludf.DUMMYFUNCTION("""COMPUTED_VALUE"""),20.52)</f>
        <v>20.52</v>
      </c>
      <c r="C1244" s="1">
        <f>IFERROR(__xludf.DUMMYFUNCTION("""COMPUTED_VALUE"""),20.97)</f>
        <v>20.97</v>
      </c>
      <c r="D1244" s="1">
        <f>IFERROR(__xludf.DUMMYFUNCTION("""COMPUTED_VALUE"""),20.48)</f>
        <v>20.48</v>
      </c>
      <c r="E1244" s="1">
        <f>IFERROR(__xludf.DUMMYFUNCTION("""COMPUTED_VALUE"""),20.92)</f>
        <v>20.92</v>
      </c>
      <c r="F1244" s="1">
        <f>IFERROR(__xludf.DUMMYFUNCTION("""COMPUTED_VALUE"""),834132.0)</f>
        <v>834132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IFERROR(__xludf.DUMMYFUNCTION("""COMPUTED_VALUE"""),20.91)</f>
        <v>20.91</v>
      </c>
      <c r="C1245" s="1">
        <f>IFERROR(__xludf.DUMMYFUNCTION("""COMPUTED_VALUE"""),21.07)</f>
        <v>21.07</v>
      </c>
      <c r="D1245" s="1">
        <f>IFERROR(__xludf.DUMMYFUNCTION("""COMPUTED_VALUE"""),20.74)</f>
        <v>20.74</v>
      </c>
      <c r="E1245" s="1">
        <f>IFERROR(__xludf.DUMMYFUNCTION("""COMPUTED_VALUE"""),21.04)</f>
        <v>21.04</v>
      </c>
      <c r="F1245" s="1">
        <f>IFERROR(__xludf.DUMMYFUNCTION("""COMPUTED_VALUE"""),1382240.0)</f>
        <v>1382240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IFERROR(__xludf.DUMMYFUNCTION("""COMPUTED_VALUE"""),21.04)</f>
        <v>21.04</v>
      </c>
      <c r="C1246" s="1">
        <f>IFERROR(__xludf.DUMMYFUNCTION("""COMPUTED_VALUE"""),21.59)</f>
        <v>21.59</v>
      </c>
      <c r="D1246" s="1">
        <f>IFERROR(__xludf.DUMMYFUNCTION("""COMPUTED_VALUE"""),20.86)</f>
        <v>20.86</v>
      </c>
      <c r="E1246" s="1">
        <f>IFERROR(__xludf.DUMMYFUNCTION("""COMPUTED_VALUE"""),21.36)</f>
        <v>21.36</v>
      </c>
      <c r="F1246" s="1">
        <f>IFERROR(__xludf.DUMMYFUNCTION("""COMPUTED_VALUE"""),1075687.0)</f>
        <v>1075687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IFERROR(__xludf.DUMMYFUNCTION("""COMPUTED_VALUE"""),21.24)</f>
        <v>21.24</v>
      </c>
      <c r="C1247" s="1">
        <f>IFERROR(__xludf.DUMMYFUNCTION("""COMPUTED_VALUE"""),21.5)</f>
        <v>21.5</v>
      </c>
      <c r="D1247" s="1">
        <f>IFERROR(__xludf.DUMMYFUNCTION("""COMPUTED_VALUE"""),21.03)</f>
        <v>21.03</v>
      </c>
      <c r="E1247" s="1">
        <f>IFERROR(__xludf.DUMMYFUNCTION("""COMPUTED_VALUE"""),21.03)</f>
        <v>21.03</v>
      </c>
      <c r="F1247" s="1">
        <f>IFERROR(__xludf.DUMMYFUNCTION("""COMPUTED_VALUE"""),754271.0)</f>
        <v>754271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IFERROR(__xludf.DUMMYFUNCTION("""COMPUTED_VALUE"""),21.06)</f>
        <v>21.06</v>
      </c>
      <c r="C1248" s="1">
        <f>IFERROR(__xludf.DUMMYFUNCTION("""COMPUTED_VALUE"""),21.22)</f>
        <v>21.22</v>
      </c>
      <c r="D1248" s="1">
        <f>IFERROR(__xludf.DUMMYFUNCTION("""COMPUTED_VALUE"""),20.6)</f>
        <v>20.6</v>
      </c>
      <c r="E1248" s="1">
        <f>IFERROR(__xludf.DUMMYFUNCTION("""COMPUTED_VALUE"""),20.64)</f>
        <v>20.64</v>
      </c>
      <c r="F1248" s="1">
        <f>IFERROR(__xludf.DUMMYFUNCTION("""COMPUTED_VALUE"""),611921.0)</f>
        <v>611921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IFERROR(__xludf.DUMMYFUNCTION("""COMPUTED_VALUE"""),20.49)</f>
        <v>20.49</v>
      </c>
      <c r="C1249" s="1">
        <f>IFERROR(__xludf.DUMMYFUNCTION("""COMPUTED_VALUE"""),20.72)</f>
        <v>20.72</v>
      </c>
      <c r="D1249" s="1">
        <f>IFERROR(__xludf.DUMMYFUNCTION("""COMPUTED_VALUE"""),20.16)</f>
        <v>20.16</v>
      </c>
      <c r="E1249" s="1">
        <f>IFERROR(__xludf.DUMMYFUNCTION("""COMPUTED_VALUE"""),20.16)</f>
        <v>20.16</v>
      </c>
      <c r="F1249" s="1">
        <f>IFERROR(__xludf.DUMMYFUNCTION("""COMPUTED_VALUE"""),722081.0)</f>
        <v>722081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IFERROR(__xludf.DUMMYFUNCTION("""COMPUTED_VALUE"""),20.53)</f>
        <v>20.53</v>
      </c>
      <c r="C1250" s="1">
        <f>IFERROR(__xludf.DUMMYFUNCTION("""COMPUTED_VALUE"""),20.73)</f>
        <v>20.73</v>
      </c>
      <c r="D1250" s="1">
        <f>IFERROR(__xludf.DUMMYFUNCTION("""COMPUTED_VALUE"""),20.09)</f>
        <v>20.09</v>
      </c>
      <c r="E1250" s="1">
        <f>IFERROR(__xludf.DUMMYFUNCTION("""COMPUTED_VALUE"""),20.53)</f>
        <v>20.53</v>
      </c>
      <c r="F1250" s="1">
        <f>IFERROR(__xludf.DUMMYFUNCTION("""COMPUTED_VALUE"""),589032.0)</f>
        <v>589032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IFERROR(__xludf.DUMMYFUNCTION("""COMPUTED_VALUE"""),20.76)</f>
        <v>20.76</v>
      </c>
      <c r="C1251" s="1">
        <f>IFERROR(__xludf.DUMMYFUNCTION("""COMPUTED_VALUE"""),21.11)</f>
        <v>21.11</v>
      </c>
      <c r="D1251" s="1">
        <f>IFERROR(__xludf.DUMMYFUNCTION("""COMPUTED_VALUE"""),20.28)</f>
        <v>20.28</v>
      </c>
      <c r="E1251" s="1">
        <f>IFERROR(__xludf.DUMMYFUNCTION("""COMPUTED_VALUE"""),20.34)</f>
        <v>20.34</v>
      </c>
      <c r="F1251" s="1">
        <f>IFERROR(__xludf.DUMMYFUNCTION("""COMPUTED_VALUE"""),1149401.0)</f>
        <v>1149401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IFERROR(__xludf.DUMMYFUNCTION("""COMPUTED_VALUE"""),20.4)</f>
        <v>20.4</v>
      </c>
      <c r="C1252" s="1">
        <f>IFERROR(__xludf.DUMMYFUNCTION("""COMPUTED_VALUE"""),20.73)</f>
        <v>20.73</v>
      </c>
      <c r="D1252" s="1">
        <f>IFERROR(__xludf.DUMMYFUNCTION("""COMPUTED_VALUE"""),20.28)</f>
        <v>20.28</v>
      </c>
      <c r="E1252" s="1">
        <f>IFERROR(__xludf.DUMMYFUNCTION("""COMPUTED_VALUE"""),20.55)</f>
        <v>20.55</v>
      </c>
      <c r="F1252" s="1">
        <f>IFERROR(__xludf.DUMMYFUNCTION("""COMPUTED_VALUE"""),1599020.0)</f>
        <v>1599020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IFERROR(__xludf.DUMMYFUNCTION("""COMPUTED_VALUE"""),20.51)</f>
        <v>20.51</v>
      </c>
      <c r="C1253" s="1">
        <f>IFERROR(__xludf.DUMMYFUNCTION("""COMPUTED_VALUE"""),20.68)</f>
        <v>20.68</v>
      </c>
      <c r="D1253" s="1">
        <f>IFERROR(__xludf.DUMMYFUNCTION("""COMPUTED_VALUE"""),20.45)</f>
        <v>20.45</v>
      </c>
      <c r="E1253" s="1">
        <f>IFERROR(__xludf.DUMMYFUNCTION("""COMPUTED_VALUE"""),20.46)</f>
        <v>20.46</v>
      </c>
      <c r="F1253" s="1">
        <f>IFERROR(__xludf.DUMMYFUNCTION("""COMPUTED_VALUE"""),662537.0)</f>
        <v>662537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IFERROR(__xludf.DUMMYFUNCTION("""COMPUTED_VALUE"""),20.46)</f>
        <v>20.46</v>
      </c>
      <c r="C1254" s="1">
        <f>IFERROR(__xludf.DUMMYFUNCTION("""COMPUTED_VALUE"""),20.65)</f>
        <v>20.65</v>
      </c>
      <c r="D1254" s="1">
        <f>IFERROR(__xludf.DUMMYFUNCTION("""COMPUTED_VALUE"""),20.39)</f>
        <v>20.39</v>
      </c>
      <c r="E1254" s="1">
        <f>IFERROR(__xludf.DUMMYFUNCTION("""COMPUTED_VALUE"""),20.39)</f>
        <v>20.39</v>
      </c>
      <c r="F1254" s="1">
        <f>IFERROR(__xludf.DUMMYFUNCTION("""COMPUTED_VALUE"""),398202.0)</f>
        <v>398202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IFERROR(__xludf.DUMMYFUNCTION("""COMPUTED_VALUE"""),20.34)</f>
        <v>20.34</v>
      </c>
      <c r="C1255" s="1">
        <f>IFERROR(__xludf.DUMMYFUNCTION("""COMPUTED_VALUE"""),20.51)</f>
        <v>20.51</v>
      </c>
      <c r="D1255" s="1">
        <f>IFERROR(__xludf.DUMMYFUNCTION("""COMPUTED_VALUE"""),20.3)</f>
        <v>20.3</v>
      </c>
      <c r="E1255" s="1">
        <f>IFERROR(__xludf.DUMMYFUNCTION("""COMPUTED_VALUE"""),20.35)</f>
        <v>20.35</v>
      </c>
      <c r="F1255" s="1">
        <f>IFERROR(__xludf.DUMMYFUNCTION("""COMPUTED_VALUE"""),269932.0)</f>
        <v>269932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IFERROR(__xludf.DUMMYFUNCTION("""COMPUTED_VALUE"""),20.53)</f>
        <v>20.53</v>
      </c>
      <c r="C1256" s="1">
        <f>IFERROR(__xludf.DUMMYFUNCTION("""COMPUTED_VALUE"""),20.53)</f>
        <v>20.53</v>
      </c>
      <c r="D1256" s="1">
        <f>IFERROR(__xludf.DUMMYFUNCTION("""COMPUTED_VALUE"""),20.08)</f>
        <v>20.08</v>
      </c>
      <c r="E1256" s="1">
        <f>IFERROR(__xludf.DUMMYFUNCTION("""COMPUTED_VALUE"""),20.19)</f>
        <v>20.19</v>
      </c>
      <c r="F1256" s="1">
        <f>IFERROR(__xludf.DUMMYFUNCTION("""COMPUTED_VALUE"""),202675.0)</f>
        <v>202675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IFERROR(__xludf.DUMMYFUNCTION("""COMPUTED_VALUE"""),20.14)</f>
        <v>20.14</v>
      </c>
      <c r="C1257" s="1">
        <f>IFERROR(__xludf.DUMMYFUNCTION("""COMPUTED_VALUE"""),20.4)</f>
        <v>20.4</v>
      </c>
      <c r="D1257" s="1">
        <f>IFERROR(__xludf.DUMMYFUNCTION("""COMPUTED_VALUE"""),20.14)</f>
        <v>20.14</v>
      </c>
      <c r="E1257" s="1">
        <f>IFERROR(__xludf.DUMMYFUNCTION("""COMPUTED_VALUE"""),20.27)</f>
        <v>20.27</v>
      </c>
      <c r="F1257" s="1">
        <f>IFERROR(__xludf.DUMMYFUNCTION("""COMPUTED_VALUE"""),538711.0)</f>
        <v>538711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IFERROR(__xludf.DUMMYFUNCTION("""COMPUTED_VALUE"""),20.21)</f>
        <v>20.21</v>
      </c>
      <c r="C1258" s="1">
        <f>IFERROR(__xludf.DUMMYFUNCTION("""COMPUTED_VALUE"""),20.5)</f>
        <v>20.5</v>
      </c>
      <c r="D1258" s="1">
        <f>IFERROR(__xludf.DUMMYFUNCTION("""COMPUTED_VALUE"""),20.18)</f>
        <v>20.18</v>
      </c>
      <c r="E1258" s="1">
        <f>IFERROR(__xludf.DUMMYFUNCTION("""COMPUTED_VALUE"""),20.45)</f>
        <v>20.45</v>
      </c>
      <c r="F1258" s="1">
        <f>IFERROR(__xludf.DUMMYFUNCTION("""COMPUTED_VALUE"""),624667.0)</f>
        <v>624667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IFERROR(__xludf.DUMMYFUNCTION("""COMPUTED_VALUE"""),20.58)</f>
        <v>20.58</v>
      </c>
      <c r="C1259" s="1">
        <f>IFERROR(__xludf.DUMMYFUNCTION("""COMPUTED_VALUE"""),20.61)</f>
        <v>20.61</v>
      </c>
      <c r="D1259" s="1">
        <f>IFERROR(__xludf.DUMMYFUNCTION("""COMPUTED_VALUE"""),20.32)</f>
        <v>20.32</v>
      </c>
      <c r="E1259" s="1">
        <f>IFERROR(__xludf.DUMMYFUNCTION("""COMPUTED_VALUE"""),20.41)</f>
        <v>20.41</v>
      </c>
      <c r="F1259" s="1">
        <f>IFERROR(__xludf.DUMMYFUNCTION("""COMPUTED_VALUE"""),269325.0)</f>
        <v>269325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IFERROR(__xludf.DUMMYFUNCTION("""COMPUTED_VALUE"""),20.61)</f>
        <v>20.61</v>
      </c>
      <c r="C1260" s="1">
        <f>IFERROR(__xludf.DUMMYFUNCTION("""COMPUTED_VALUE"""),20.67)</f>
        <v>20.67</v>
      </c>
      <c r="D1260" s="1">
        <f>IFERROR(__xludf.DUMMYFUNCTION("""COMPUTED_VALUE"""),20.19)</f>
        <v>20.19</v>
      </c>
      <c r="E1260" s="1">
        <f>IFERROR(__xludf.DUMMYFUNCTION("""COMPUTED_VALUE"""),20.42)</f>
        <v>20.42</v>
      </c>
      <c r="F1260" s="1">
        <f>IFERROR(__xludf.DUMMYFUNCTION("""COMPUTED_VALUE"""),346581.0)</f>
        <v>346581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IFERROR(__xludf.DUMMYFUNCTION("""COMPUTED_VALUE"""),20.41)</f>
        <v>20.41</v>
      </c>
      <c r="C1261" s="1">
        <f>IFERROR(__xludf.DUMMYFUNCTION("""COMPUTED_VALUE"""),21.06)</f>
        <v>21.06</v>
      </c>
      <c r="D1261" s="1">
        <f>IFERROR(__xludf.DUMMYFUNCTION("""COMPUTED_VALUE"""),20.39)</f>
        <v>20.39</v>
      </c>
      <c r="E1261" s="1">
        <f>IFERROR(__xludf.DUMMYFUNCTION("""COMPUTED_VALUE"""),20.85)</f>
        <v>20.85</v>
      </c>
      <c r="F1261" s="1">
        <f>IFERROR(__xludf.DUMMYFUNCTION("""COMPUTED_VALUE"""),690243.0)</f>
        <v>690243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IFERROR(__xludf.DUMMYFUNCTION("""COMPUTED_VALUE"""),20.79)</f>
        <v>20.79</v>
      </c>
      <c r="C1262" s="1">
        <f>IFERROR(__xludf.DUMMYFUNCTION("""COMPUTED_VALUE"""),20.91)</f>
        <v>20.91</v>
      </c>
      <c r="D1262" s="1">
        <f>IFERROR(__xludf.DUMMYFUNCTION("""COMPUTED_VALUE"""),20.03)</f>
        <v>20.03</v>
      </c>
      <c r="E1262" s="1">
        <f>IFERROR(__xludf.DUMMYFUNCTION("""COMPUTED_VALUE"""),20.66)</f>
        <v>20.66</v>
      </c>
      <c r="F1262" s="1">
        <f>IFERROR(__xludf.DUMMYFUNCTION("""COMPUTED_VALUE"""),958309.0)</f>
        <v>958309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IFERROR(__xludf.DUMMYFUNCTION("""COMPUTED_VALUE"""),20.87)</f>
        <v>20.87</v>
      </c>
      <c r="C1263" s="1">
        <f>IFERROR(__xludf.DUMMYFUNCTION("""COMPUTED_VALUE"""),20.87)</f>
        <v>20.87</v>
      </c>
      <c r="D1263" s="1">
        <f>IFERROR(__xludf.DUMMYFUNCTION("""COMPUTED_VALUE"""),20.39)</f>
        <v>20.39</v>
      </c>
      <c r="E1263" s="1">
        <f>IFERROR(__xludf.DUMMYFUNCTION("""COMPUTED_VALUE"""),20.61)</f>
        <v>20.61</v>
      </c>
      <c r="F1263" s="1">
        <f>IFERROR(__xludf.DUMMYFUNCTION("""COMPUTED_VALUE"""),714078.0)</f>
        <v>714078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IFERROR(__xludf.DUMMYFUNCTION("""COMPUTED_VALUE"""),20.49)</f>
        <v>20.49</v>
      </c>
      <c r="C1264" s="1">
        <f>IFERROR(__xludf.DUMMYFUNCTION("""COMPUTED_VALUE"""),20.89)</f>
        <v>20.89</v>
      </c>
      <c r="D1264" s="1">
        <f>IFERROR(__xludf.DUMMYFUNCTION("""COMPUTED_VALUE"""),20.4)</f>
        <v>20.4</v>
      </c>
      <c r="E1264" s="1">
        <f>IFERROR(__xludf.DUMMYFUNCTION("""COMPUTED_VALUE"""),20.77)</f>
        <v>20.77</v>
      </c>
      <c r="F1264" s="1">
        <f>IFERROR(__xludf.DUMMYFUNCTION("""COMPUTED_VALUE"""),420952.0)</f>
        <v>420952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IFERROR(__xludf.DUMMYFUNCTION("""COMPUTED_VALUE"""),20.78)</f>
        <v>20.78</v>
      </c>
      <c r="C1265" s="1">
        <f>IFERROR(__xludf.DUMMYFUNCTION("""COMPUTED_VALUE"""),21.07)</f>
        <v>21.07</v>
      </c>
      <c r="D1265" s="1">
        <f>IFERROR(__xludf.DUMMYFUNCTION("""COMPUTED_VALUE"""),20.4)</f>
        <v>20.4</v>
      </c>
      <c r="E1265" s="1">
        <f>IFERROR(__xludf.DUMMYFUNCTION("""COMPUTED_VALUE"""),20.98)</f>
        <v>20.98</v>
      </c>
      <c r="F1265" s="1">
        <f>IFERROR(__xludf.DUMMYFUNCTION("""COMPUTED_VALUE"""),1233895.0)</f>
        <v>1233895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IFERROR(__xludf.DUMMYFUNCTION("""COMPUTED_VALUE"""),20.89)</f>
        <v>20.89</v>
      </c>
      <c r="C1266" s="1">
        <f>IFERROR(__xludf.DUMMYFUNCTION("""COMPUTED_VALUE"""),21.35)</f>
        <v>21.35</v>
      </c>
      <c r="D1266" s="1">
        <f>IFERROR(__xludf.DUMMYFUNCTION("""COMPUTED_VALUE"""),20.76)</f>
        <v>20.76</v>
      </c>
      <c r="E1266" s="1">
        <f>IFERROR(__xludf.DUMMYFUNCTION("""COMPUTED_VALUE"""),21.33)</f>
        <v>21.33</v>
      </c>
      <c r="F1266" s="1">
        <f>IFERROR(__xludf.DUMMYFUNCTION("""COMPUTED_VALUE"""),1075622.0)</f>
        <v>1075622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IFERROR(__xludf.DUMMYFUNCTION("""COMPUTED_VALUE"""),21.5)</f>
        <v>21.5</v>
      </c>
      <c r="C1267" s="1">
        <f>IFERROR(__xludf.DUMMYFUNCTION("""COMPUTED_VALUE"""),21.56)</f>
        <v>21.56</v>
      </c>
      <c r="D1267" s="1">
        <f>IFERROR(__xludf.DUMMYFUNCTION("""COMPUTED_VALUE"""),21.21)</f>
        <v>21.21</v>
      </c>
      <c r="E1267" s="1">
        <f>IFERROR(__xludf.DUMMYFUNCTION("""COMPUTED_VALUE"""),21.35)</f>
        <v>21.35</v>
      </c>
      <c r="F1267" s="1">
        <f>IFERROR(__xludf.DUMMYFUNCTION("""COMPUTED_VALUE"""),506347.0)</f>
        <v>506347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IFERROR(__xludf.DUMMYFUNCTION("""COMPUTED_VALUE"""),21.23)</f>
        <v>21.23</v>
      </c>
      <c r="C1268" s="1">
        <f>IFERROR(__xludf.DUMMYFUNCTION("""COMPUTED_VALUE"""),21.34)</f>
        <v>21.34</v>
      </c>
      <c r="D1268" s="1">
        <f>IFERROR(__xludf.DUMMYFUNCTION("""COMPUTED_VALUE"""),21.02)</f>
        <v>21.02</v>
      </c>
      <c r="E1268" s="1">
        <f>IFERROR(__xludf.DUMMYFUNCTION("""COMPUTED_VALUE"""),21.21)</f>
        <v>21.21</v>
      </c>
      <c r="F1268" s="1">
        <f>IFERROR(__xludf.DUMMYFUNCTION("""COMPUTED_VALUE"""),741228.0)</f>
        <v>741228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IFERROR(__xludf.DUMMYFUNCTION("""COMPUTED_VALUE"""),21.29)</f>
        <v>21.29</v>
      </c>
      <c r="C1269" s="1">
        <f>IFERROR(__xludf.DUMMYFUNCTION("""COMPUTED_VALUE"""),21.38)</f>
        <v>21.38</v>
      </c>
      <c r="D1269" s="1">
        <f>IFERROR(__xludf.DUMMYFUNCTION("""COMPUTED_VALUE"""),20.53)</f>
        <v>20.53</v>
      </c>
      <c r="E1269" s="1">
        <f>IFERROR(__xludf.DUMMYFUNCTION("""COMPUTED_VALUE"""),20.57)</f>
        <v>20.57</v>
      </c>
      <c r="F1269" s="1">
        <f>IFERROR(__xludf.DUMMYFUNCTION("""COMPUTED_VALUE"""),1569353.0)</f>
        <v>1569353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IFERROR(__xludf.DUMMYFUNCTION("""COMPUTED_VALUE"""),20.45)</f>
        <v>20.45</v>
      </c>
      <c r="C1270" s="1">
        <f>IFERROR(__xludf.DUMMYFUNCTION("""COMPUTED_VALUE"""),20.82)</f>
        <v>20.82</v>
      </c>
      <c r="D1270" s="1">
        <f>IFERROR(__xludf.DUMMYFUNCTION("""COMPUTED_VALUE"""),20.38)</f>
        <v>20.38</v>
      </c>
      <c r="E1270" s="1">
        <f>IFERROR(__xludf.DUMMYFUNCTION("""COMPUTED_VALUE"""),20.51)</f>
        <v>20.51</v>
      </c>
      <c r="F1270" s="1">
        <f>IFERROR(__xludf.DUMMYFUNCTION("""COMPUTED_VALUE"""),1238837.0)</f>
        <v>1238837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IFERROR(__xludf.DUMMYFUNCTION("""COMPUTED_VALUE"""),20.51)</f>
        <v>20.51</v>
      </c>
      <c r="C1271" s="1">
        <f>IFERROR(__xludf.DUMMYFUNCTION("""COMPUTED_VALUE"""),21.79)</f>
        <v>21.79</v>
      </c>
      <c r="D1271" s="1">
        <f>IFERROR(__xludf.DUMMYFUNCTION("""COMPUTED_VALUE"""),20.12)</f>
        <v>20.12</v>
      </c>
      <c r="E1271" s="1">
        <f>IFERROR(__xludf.DUMMYFUNCTION("""COMPUTED_VALUE"""),20.19)</f>
        <v>20.19</v>
      </c>
      <c r="F1271" s="1">
        <f>IFERROR(__xludf.DUMMYFUNCTION("""COMPUTED_VALUE"""),1742730.0)</f>
        <v>1742730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IFERROR(__xludf.DUMMYFUNCTION("""COMPUTED_VALUE"""),20.06)</f>
        <v>20.06</v>
      </c>
      <c r="C1272" s="1">
        <f>IFERROR(__xludf.DUMMYFUNCTION("""COMPUTED_VALUE"""),20.15)</f>
        <v>20.15</v>
      </c>
      <c r="D1272" s="1">
        <f>IFERROR(__xludf.DUMMYFUNCTION("""COMPUTED_VALUE"""),19.16)</f>
        <v>19.16</v>
      </c>
      <c r="E1272" s="1">
        <f>IFERROR(__xludf.DUMMYFUNCTION("""COMPUTED_VALUE"""),19.56)</f>
        <v>19.56</v>
      </c>
      <c r="F1272" s="1">
        <f>IFERROR(__xludf.DUMMYFUNCTION("""COMPUTED_VALUE"""),3126720.0)</f>
        <v>3126720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IFERROR(__xludf.DUMMYFUNCTION("""COMPUTED_VALUE"""),19.64)</f>
        <v>19.64</v>
      </c>
      <c r="C1273" s="1">
        <f>IFERROR(__xludf.DUMMYFUNCTION("""COMPUTED_VALUE"""),19.99)</f>
        <v>19.99</v>
      </c>
      <c r="D1273" s="1">
        <f>IFERROR(__xludf.DUMMYFUNCTION("""COMPUTED_VALUE"""),19.04)</f>
        <v>19.04</v>
      </c>
      <c r="E1273" s="1">
        <f>IFERROR(__xludf.DUMMYFUNCTION("""COMPUTED_VALUE"""),19.17)</f>
        <v>19.17</v>
      </c>
      <c r="F1273" s="1">
        <f>IFERROR(__xludf.DUMMYFUNCTION("""COMPUTED_VALUE"""),2834977.0)</f>
        <v>2834977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IFERROR(__xludf.DUMMYFUNCTION("""COMPUTED_VALUE"""),19.12)</f>
        <v>19.12</v>
      </c>
      <c r="C1274" s="1">
        <f>IFERROR(__xludf.DUMMYFUNCTION("""COMPUTED_VALUE"""),19.24)</f>
        <v>19.24</v>
      </c>
      <c r="D1274" s="1">
        <f>IFERROR(__xludf.DUMMYFUNCTION("""COMPUTED_VALUE"""),18.3)</f>
        <v>18.3</v>
      </c>
      <c r="E1274" s="1">
        <f>IFERROR(__xludf.DUMMYFUNCTION("""COMPUTED_VALUE"""),18.63)</f>
        <v>18.63</v>
      </c>
      <c r="F1274" s="1">
        <f>IFERROR(__xludf.DUMMYFUNCTION("""COMPUTED_VALUE"""),2366755.0)</f>
        <v>2366755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IFERROR(__xludf.DUMMYFUNCTION("""COMPUTED_VALUE"""),18.71)</f>
        <v>18.71</v>
      </c>
      <c r="C1275" s="1">
        <f>IFERROR(__xludf.DUMMYFUNCTION("""COMPUTED_VALUE"""),19.15)</f>
        <v>19.15</v>
      </c>
      <c r="D1275" s="1">
        <f>IFERROR(__xludf.DUMMYFUNCTION("""COMPUTED_VALUE"""),18.42)</f>
        <v>18.42</v>
      </c>
      <c r="E1275" s="1">
        <f>IFERROR(__xludf.DUMMYFUNCTION("""COMPUTED_VALUE"""),18.66)</f>
        <v>18.66</v>
      </c>
      <c r="F1275" s="1">
        <f>IFERROR(__xludf.DUMMYFUNCTION("""COMPUTED_VALUE"""),1543716.0)</f>
        <v>1543716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IFERROR(__xludf.DUMMYFUNCTION("""COMPUTED_VALUE"""),18.6)</f>
        <v>18.6</v>
      </c>
      <c r="C1276" s="1">
        <f>IFERROR(__xludf.DUMMYFUNCTION("""COMPUTED_VALUE"""),18.66)</f>
        <v>18.66</v>
      </c>
      <c r="D1276" s="1">
        <f>IFERROR(__xludf.DUMMYFUNCTION("""COMPUTED_VALUE"""),18.26)</f>
        <v>18.26</v>
      </c>
      <c r="E1276" s="1">
        <f>IFERROR(__xludf.DUMMYFUNCTION("""COMPUTED_VALUE"""),18.45)</f>
        <v>18.45</v>
      </c>
      <c r="F1276" s="1">
        <f>IFERROR(__xludf.DUMMYFUNCTION("""COMPUTED_VALUE"""),3415834.0)</f>
        <v>3415834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IFERROR(__xludf.DUMMYFUNCTION("""COMPUTED_VALUE"""),18.41)</f>
        <v>18.41</v>
      </c>
      <c r="C1277" s="1">
        <f>IFERROR(__xludf.DUMMYFUNCTION("""COMPUTED_VALUE"""),18.64)</f>
        <v>18.64</v>
      </c>
      <c r="D1277" s="1">
        <f>IFERROR(__xludf.DUMMYFUNCTION("""COMPUTED_VALUE"""),18.1)</f>
        <v>18.1</v>
      </c>
      <c r="E1277" s="1">
        <f>IFERROR(__xludf.DUMMYFUNCTION("""COMPUTED_VALUE"""),18.45)</f>
        <v>18.45</v>
      </c>
      <c r="F1277" s="1">
        <f>IFERROR(__xludf.DUMMYFUNCTION("""COMPUTED_VALUE"""),2156798.0)</f>
        <v>2156798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IFERROR(__xludf.DUMMYFUNCTION("""COMPUTED_VALUE"""),18.48)</f>
        <v>18.48</v>
      </c>
      <c r="C1278" s="1">
        <f>IFERROR(__xludf.DUMMYFUNCTION("""COMPUTED_VALUE"""),18.5)</f>
        <v>18.5</v>
      </c>
      <c r="D1278" s="1">
        <f>IFERROR(__xludf.DUMMYFUNCTION("""COMPUTED_VALUE"""),18.21)</f>
        <v>18.21</v>
      </c>
      <c r="E1278" s="1">
        <f>IFERROR(__xludf.DUMMYFUNCTION("""COMPUTED_VALUE"""),18.4)</f>
        <v>18.4</v>
      </c>
      <c r="F1278" s="1">
        <f>IFERROR(__xludf.DUMMYFUNCTION("""COMPUTED_VALUE"""),831605.0)</f>
        <v>831605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IFERROR(__xludf.DUMMYFUNCTION("""COMPUTED_VALUE"""),18.23)</f>
        <v>18.23</v>
      </c>
      <c r="C1279" s="1">
        <f>IFERROR(__xludf.DUMMYFUNCTION("""COMPUTED_VALUE"""),18.49)</f>
        <v>18.49</v>
      </c>
      <c r="D1279" s="1">
        <f>IFERROR(__xludf.DUMMYFUNCTION("""COMPUTED_VALUE"""),18.12)</f>
        <v>18.12</v>
      </c>
      <c r="E1279" s="1">
        <f>IFERROR(__xludf.DUMMYFUNCTION("""COMPUTED_VALUE"""),18.29)</f>
        <v>18.29</v>
      </c>
      <c r="F1279" s="1">
        <f>IFERROR(__xludf.DUMMYFUNCTION("""COMPUTED_VALUE"""),687152.0)</f>
        <v>687152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IFERROR(__xludf.DUMMYFUNCTION("""COMPUTED_VALUE"""),18.23)</f>
        <v>18.23</v>
      </c>
      <c r="C1280" s="1">
        <f>IFERROR(__xludf.DUMMYFUNCTION("""COMPUTED_VALUE"""),18.44)</f>
        <v>18.44</v>
      </c>
      <c r="D1280" s="1">
        <f>IFERROR(__xludf.DUMMYFUNCTION("""COMPUTED_VALUE"""),18.1)</f>
        <v>18.1</v>
      </c>
      <c r="E1280" s="1">
        <f>IFERROR(__xludf.DUMMYFUNCTION("""COMPUTED_VALUE"""),18.37)</f>
        <v>18.37</v>
      </c>
      <c r="F1280" s="1">
        <f>IFERROR(__xludf.DUMMYFUNCTION("""COMPUTED_VALUE"""),1245350.0)</f>
        <v>1245350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IFERROR(__xludf.DUMMYFUNCTION("""COMPUTED_VALUE"""),18.51)</f>
        <v>18.51</v>
      </c>
      <c r="C1281" s="1">
        <f>IFERROR(__xludf.DUMMYFUNCTION("""COMPUTED_VALUE"""),18.93)</f>
        <v>18.93</v>
      </c>
      <c r="D1281" s="1">
        <f>IFERROR(__xludf.DUMMYFUNCTION("""COMPUTED_VALUE"""),18.31)</f>
        <v>18.31</v>
      </c>
      <c r="E1281" s="1">
        <f>IFERROR(__xludf.DUMMYFUNCTION("""COMPUTED_VALUE"""),18.66)</f>
        <v>18.66</v>
      </c>
      <c r="F1281" s="1">
        <f>IFERROR(__xludf.DUMMYFUNCTION("""COMPUTED_VALUE"""),904154.0)</f>
        <v>904154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IFERROR(__xludf.DUMMYFUNCTION("""COMPUTED_VALUE"""),18.86)</f>
        <v>18.86</v>
      </c>
      <c r="C1282" s="1">
        <f>IFERROR(__xludf.DUMMYFUNCTION("""COMPUTED_VALUE"""),18.9)</f>
        <v>18.9</v>
      </c>
      <c r="D1282" s="1">
        <f>IFERROR(__xludf.DUMMYFUNCTION("""COMPUTED_VALUE"""),18.51)</f>
        <v>18.51</v>
      </c>
      <c r="E1282" s="1">
        <f>IFERROR(__xludf.DUMMYFUNCTION("""COMPUTED_VALUE"""),18.58)</f>
        <v>18.58</v>
      </c>
      <c r="F1282" s="1">
        <f>IFERROR(__xludf.DUMMYFUNCTION("""COMPUTED_VALUE"""),455025.0)</f>
        <v>455025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IFERROR(__xludf.DUMMYFUNCTION("""COMPUTED_VALUE"""),18.59)</f>
        <v>18.59</v>
      </c>
      <c r="C1283" s="1">
        <f>IFERROR(__xludf.DUMMYFUNCTION("""COMPUTED_VALUE"""),18.73)</f>
        <v>18.73</v>
      </c>
      <c r="D1283" s="1">
        <f>IFERROR(__xludf.DUMMYFUNCTION("""COMPUTED_VALUE"""),18.39)</f>
        <v>18.39</v>
      </c>
      <c r="E1283" s="1">
        <f>IFERROR(__xludf.DUMMYFUNCTION("""COMPUTED_VALUE"""),18.52)</f>
        <v>18.52</v>
      </c>
      <c r="F1283" s="1">
        <f>IFERROR(__xludf.DUMMYFUNCTION("""COMPUTED_VALUE"""),1041003.0)</f>
        <v>1041003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IFERROR(__xludf.DUMMYFUNCTION("""COMPUTED_VALUE"""),18.47)</f>
        <v>18.47</v>
      </c>
      <c r="C1284" s="1">
        <f>IFERROR(__xludf.DUMMYFUNCTION("""COMPUTED_VALUE"""),18.68)</f>
        <v>18.68</v>
      </c>
      <c r="D1284" s="1">
        <f>IFERROR(__xludf.DUMMYFUNCTION("""COMPUTED_VALUE"""),18.4)</f>
        <v>18.4</v>
      </c>
      <c r="E1284" s="1">
        <f>IFERROR(__xludf.DUMMYFUNCTION("""COMPUTED_VALUE"""),18.64)</f>
        <v>18.64</v>
      </c>
      <c r="F1284" s="1">
        <f>IFERROR(__xludf.DUMMYFUNCTION("""COMPUTED_VALUE"""),1071669.0)</f>
        <v>1071669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IFERROR(__xludf.DUMMYFUNCTION("""COMPUTED_VALUE"""),18.71)</f>
        <v>18.71</v>
      </c>
      <c r="C1285" s="1">
        <f>IFERROR(__xludf.DUMMYFUNCTION("""COMPUTED_VALUE"""),18.83)</f>
        <v>18.83</v>
      </c>
      <c r="D1285" s="1">
        <f>IFERROR(__xludf.DUMMYFUNCTION("""COMPUTED_VALUE"""),18.44)</f>
        <v>18.44</v>
      </c>
      <c r="E1285" s="1">
        <f>IFERROR(__xludf.DUMMYFUNCTION("""COMPUTED_VALUE"""),18.66)</f>
        <v>18.66</v>
      </c>
      <c r="F1285" s="1">
        <f>IFERROR(__xludf.DUMMYFUNCTION("""COMPUTED_VALUE"""),1011064.0)</f>
        <v>1011064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IFERROR(__xludf.DUMMYFUNCTION("""COMPUTED_VALUE"""),18.77)</f>
        <v>18.77</v>
      </c>
      <c r="C1286" s="1">
        <f>IFERROR(__xludf.DUMMYFUNCTION("""COMPUTED_VALUE"""),18.77)</f>
        <v>18.77</v>
      </c>
      <c r="D1286" s="1">
        <f>IFERROR(__xludf.DUMMYFUNCTION("""COMPUTED_VALUE"""),18.48)</f>
        <v>18.48</v>
      </c>
      <c r="E1286" s="1">
        <f>IFERROR(__xludf.DUMMYFUNCTION("""COMPUTED_VALUE"""),18.63)</f>
        <v>18.63</v>
      </c>
      <c r="F1286" s="1">
        <f>IFERROR(__xludf.DUMMYFUNCTION("""COMPUTED_VALUE"""),933203.0)</f>
        <v>933203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IFERROR(__xludf.DUMMYFUNCTION("""COMPUTED_VALUE"""),18.67)</f>
        <v>18.67</v>
      </c>
      <c r="C1287" s="1">
        <f>IFERROR(__xludf.DUMMYFUNCTION("""COMPUTED_VALUE"""),18.69)</f>
        <v>18.69</v>
      </c>
      <c r="D1287" s="1">
        <f>IFERROR(__xludf.DUMMYFUNCTION("""COMPUTED_VALUE"""),18.51)</f>
        <v>18.51</v>
      </c>
      <c r="E1287" s="1">
        <f>IFERROR(__xludf.DUMMYFUNCTION("""COMPUTED_VALUE"""),18.6)</f>
        <v>18.6</v>
      </c>
      <c r="F1287" s="1">
        <f>IFERROR(__xludf.DUMMYFUNCTION("""COMPUTED_VALUE"""),400577.0)</f>
        <v>400577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IFERROR(__xludf.DUMMYFUNCTION("""COMPUTED_VALUE"""),18.61)</f>
        <v>18.61</v>
      </c>
      <c r="C1288" s="1">
        <f>IFERROR(__xludf.DUMMYFUNCTION("""COMPUTED_VALUE"""),19.01)</f>
        <v>19.01</v>
      </c>
      <c r="D1288" s="1">
        <f>IFERROR(__xludf.DUMMYFUNCTION("""COMPUTED_VALUE"""),18.61)</f>
        <v>18.61</v>
      </c>
      <c r="E1288" s="1">
        <f>IFERROR(__xludf.DUMMYFUNCTION("""COMPUTED_VALUE"""),18.78)</f>
        <v>18.78</v>
      </c>
      <c r="F1288" s="1">
        <f>IFERROR(__xludf.DUMMYFUNCTION("""COMPUTED_VALUE"""),621826.0)</f>
        <v>621826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IFERROR(__xludf.DUMMYFUNCTION("""COMPUTED_VALUE"""),18.86)</f>
        <v>18.86</v>
      </c>
      <c r="C1289" s="1">
        <f>IFERROR(__xludf.DUMMYFUNCTION("""COMPUTED_VALUE"""),19.06)</f>
        <v>19.06</v>
      </c>
      <c r="D1289" s="1">
        <f>IFERROR(__xludf.DUMMYFUNCTION("""COMPUTED_VALUE"""),18.72)</f>
        <v>18.72</v>
      </c>
      <c r="E1289" s="1">
        <f>IFERROR(__xludf.DUMMYFUNCTION("""COMPUTED_VALUE"""),18.79)</f>
        <v>18.79</v>
      </c>
      <c r="F1289" s="1">
        <f>IFERROR(__xludf.DUMMYFUNCTION("""COMPUTED_VALUE"""),738930.0)</f>
        <v>738930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IFERROR(__xludf.DUMMYFUNCTION("""COMPUTED_VALUE"""),18.78)</f>
        <v>18.78</v>
      </c>
      <c r="C1290" s="1">
        <f>IFERROR(__xludf.DUMMYFUNCTION("""COMPUTED_VALUE"""),19.05)</f>
        <v>19.05</v>
      </c>
      <c r="D1290" s="1">
        <f>IFERROR(__xludf.DUMMYFUNCTION("""COMPUTED_VALUE"""),18.78)</f>
        <v>18.78</v>
      </c>
      <c r="E1290" s="1">
        <f>IFERROR(__xludf.DUMMYFUNCTION("""COMPUTED_VALUE"""),19.05)</f>
        <v>19.05</v>
      </c>
      <c r="F1290" s="1">
        <f>IFERROR(__xludf.DUMMYFUNCTION("""COMPUTED_VALUE"""),519014.0)</f>
        <v>519014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IFERROR(__xludf.DUMMYFUNCTION("""COMPUTED_VALUE"""),18.99)</f>
        <v>18.99</v>
      </c>
      <c r="C1291" s="1">
        <f>IFERROR(__xludf.DUMMYFUNCTION("""COMPUTED_VALUE"""),19.27)</f>
        <v>19.27</v>
      </c>
      <c r="D1291" s="1">
        <f>IFERROR(__xludf.DUMMYFUNCTION("""COMPUTED_VALUE"""),18.93)</f>
        <v>18.93</v>
      </c>
      <c r="E1291" s="1">
        <f>IFERROR(__xludf.DUMMYFUNCTION("""COMPUTED_VALUE"""),19.17)</f>
        <v>19.17</v>
      </c>
      <c r="F1291" s="1">
        <f>IFERROR(__xludf.DUMMYFUNCTION("""COMPUTED_VALUE"""),630969.0)</f>
        <v>630969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IFERROR(__xludf.DUMMYFUNCTION("""COMPUTED_VALUE"""),19.23)</f>
        <v>19.23</v>
      </c>
      <c r="C1292" s="1">
        <f>IFERROR(__xludf.DUMMYFUNCTION("""COMPUTED_VALUE"""),19.9)</f>
        <v>19.9</v>
      </c>
      <c r="D1292" s="1">
        <f>IFERROR(__xludf.DUMMYFUNCTION("""COMPUTED_VALUE"""),19.23)</f>
        <v>19.23</v>
      </c>
      <c r="E1292" s="1">
        <f>IFERROR(__xludf.DUMMYFUNCTION("""COMPUTED_VALUE"""),19.8)</f>
        <v>19.8</v>
      </c>
      <c r="F1292" s="1">
        <f>IFERROR(__xludf.DUMMYFUNCTION("""COMPUTED_VALUE"""),870060.0)</f>
        <v>870060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IFERROR(__xludf.DUMMYFUNCTION("""COMPUTED_VALUE"""),19.72)</f>
        <v>19.72</v>
      </c>
      <c r="C1293" s="1">
        <f>IFERROR(__xludf.DUMMYFUNCTION("""COMPUTED_VALUE"""),20.04)</f>
        <v>20.04</v>
      </c>
      <c r="D1293" s="1">
        <f>IFERROR(__xludf.DUMMYFUNCTION("""COMPUTED_VALUE"""),19.66)</f>
        <v>19.66</v>
      </c>
      <c r="E1293" s="1">
        <f>IFERROR(__xludf.DUMMYFUNCTION("""COMPUTED_VALUE"""),20.01)</f>
        <v>20.01</v>
      </c>
      <c r="F1293" s="1">
        <f>IFERROR(__xludf.DUMMYFUNCTION("""COMPUTED_VALUE"""),642232.0)</f>
        <v>642232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IFERROR(__xludf.DUMMYFUNCTION("""COMPUTED_VALUE"""),20.06)</f>
        <v>20.06</v>
      </c>
      <c r="C1294" s="1">
        <f>IFERROR(__xludf.DUMMYFUNCTION("""COMPUTED_VALUE"""),20.66)</f>
        <v>20.66</v>
      </c>
      <c r="D1294" s="1">
        <f>IFERROR(__xludf.DUMMYFUNCTION("""COMPUTED_VALUE"""),19.99)</f>
        <v>19.99</v>
      </c>
      <c r="E1294" s="1">
        <f>IFERROR(__xludf.DUMMYFUNCTION("""COMPUTED_VALUE"""),20.58)</f>
        <v>20.58</v>
      </c>
      <c r="F1294" s="1">
        <f>IFERROR(__xludf.DUMMYFUNCTION("""COMPUTED_VALUE"""),1390577.0)</f>
        <v>1390577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IFERROR(__xludf.DUMMYFUNCTION("""COMPUTED_VALUE"""),20.55)</f>
        <v>20.55</v>
      </c>
      <c r="C1295" s="1">
        <f>IFERROR(__xludf.DUMMYFUNCTION("""COMPUTED_VALUE"""),20.55)</f>
        <v>20.55</v>
      </c>
      <c r="D1295" s="1">
        <f>IFERROR(__xludf.DUMMYFUNCTION("""COMPUTED_VALUE"""),20.12)</f>
        <v>20.12</v>
      </c>
      <c r="E1295" s="1">
        <f>IFERROR(__xludf.DUMMYFUNCTION("""COMPUTED_VALUE"""),20.4)</f>
        <v>20.4</v>
      </c>
      <c r="F1295" s="1">
        <f>IFERROR(__xludf.DUMMYFUNCTION("""COMPUTED_VALUE"""),1091923.0)</f>
        <v>1091923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IFERROR(__xludf.DUMMYFUNCTION("""COMPUTED_VALUE"""),20.42)</f>
        <v>20.42</v>
      </c>
      <c r="C1296" s="1">
        <f>IFERROR(__xludf.DUMMYFUNCTION("""COMPUTED_VALUE"""),20.48)</f>
        <v>20.48</v>
      </c>
      <c r="D1296" s="1">
        <f>IFERROR(__xludf.DUMMYFUNCTION("""COMPUTED_VALUE"""),19.73)</f>
        <v>19.73</v>
      </c>
      <c r="E1296" s="1">
        <f>IFERROR(__xludf.DUMMYFUNCTION("""COMPUTED_VALUE"""),19.84)</f>
        <v>19.84</v>
      </c>
      <c r="F1296" s="1">
        <f>IFERROR(__xludf.DUMMYFUNCTION("""COMPUTED_VALUE"""),633029.0)</f>
        <v>633029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IFERROR(__xludf.DUMMYFUNCTION("""COMPUTED_VALUE"""),19.8)</f>
        <v>19.8</v>
      </c>
      <c r="C1297" s="1">
        <f>IFERROR(__xludf.DUMMYFUNCTION("""COMPUTED_VALUE"""),19.84)</f>
        <v>19.84</v>
      </c>
      <c r="D1297" s="1">
        <f>IFERROR(__xludf.DUMMYFUNCTION("""COMPUTED_VALUE"""),19.36)</f>
        <v>19.36</v>
      </c>
      <c r="E1297" s="1">
        <f>IFERROR(__xludf.DUMMYFUNCTION("""COMPUTED_VALUE"""),19.53)</f>
        <v>19.53</v>
      </c>
      <c r="F1297" s="1">
        <f>IFERROR(__xludf.DUMMYFUNCTION("""COMPUTED_VALUE"""),2398543.0)</f>
        <v>2398543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IFERROR(__xludf.DUMMYFUNCTION("""COMPUTED_VALUE"""),19.69)</f>
        <v>19.69</v>
      </c>
      <c r="C1298" s="1">
        <f>IFERROR(__xludf.DUMMYFUNCTION("""COMPUTED_VALUE"""),19.69)</f>
        <v>19.69</v>
      </c>
      <c r="D1298" s="1">
        <f>IFERROR(__xludf.DUMMYFUNCTION("""COMPUTED_VALUE"""),18.88)</f>
        <v>18.88</v>
      </c>
      <c r="E1298" s="1">
        <f>IFERROR(__xludf.DUMMYFUNCTION("""COMPUTED_VALUE"""),19.16)</f>
        <v>19.16</v>
      </c>
      <c r="F1298" s="1">
        <f>IFERROR(__xludf.DUMMYFUNCTION("""COMPUTED_VALUE"""),585014.0)</f>
        <v>585014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IFERROR(__xludf.DUMMYFUNCTION("""COMPUTED_VALUE"""),19.11)</f>
        <v>19.11</v>
      </c>
      <c r="C1299" s="1">
        <f>IFERROR(__xludf.DUMMYFUNCTION("""COMPUTED_VALUE"""),19.64)</f>
        <v>19.64</v>
      </c>
      <c r="D1299" s="1">
        <f>IFERROR(__xludf.DUMMYFUNCTION("""COMPUTED_VALUE"""),19.11)</f>
        <v>19.11</v>
      </c>
      <c r="E1299" s="1">
        <f>IFERROR(__xludf.DUMMYFUNCTION("""COMPUTED_VALUE"""),19.61)</f>
        <v>19.61</v>
      </c>
      <c r="F1299" s="1">
        <f>IFERROR(__xludf.DUMMYFUNCTION("""COMPUTED_VALUE"""),607269.0)</f>
        <v>607269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IFERROR(__xludf.DUMMYFUNCTION("""COMPUTED_VALUE"""),19.36)</f>
        <v>19.36</v>
      </c>
      <c r="C1300" s="1">
        <f>IFERROR(__xludf.DUMMYFUNCTION("""COMPUTED_VALUE"""),19.7)</f>
        <v>19.7</v>
      </c>
      <c r="D1300" s="1">
        <f>IFERROR(__xludf.DUMMYFUNCTION("""COMPUTED_VALUE"""),19.1)</f>
        <v>19.1</v>
      </c>
      <c r="E1300" s="1">
        <f>IFERROR(__xludf.DUMMYFUNCTION("""COMPUTED_VALUE"""),19.68)</f>
        <v>19.68</v>
      </c>
      <c r="F1300" s="1">
        <f>IFERROR(__xludf.DUMMYFUNCTION("""COMPUTED_VALUE"""),653270.0)</f>
        <v>653270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IFERROR(__xludf.DUMMYFUNCTION("""COMPUTED_VALUE"""),19.68)</f>
        <v>19.68</v>
      </c>
      <c r="C1301" s="1">
        <f>IFERROR(__xludf.DUMMYFUNCTION("""COMPUTED_VALUE"""),20.15)</f>
        <v>20.15</v>
      </c>
      <c r="D1301" s="1">
        <f>IFERROR(__xludf.DUMMYFUNCTION("""COMPUTED_VALUE"""),19.54)</f>
        <v>19.54</v>
      </c>
      <c r="E1301" s="1">
        <f>IFERROR(__xludf.DUMMYFUNCTION("""COMPUTED_VALUE"""),20.0)</f>
        <v>20</v>
      </c>
      <c r="F1301" s="1">
        <f>IFERROR(__xludf.DUMMYFUNCTION("""COMPUTED_VALUE"""),715537.0)</f>
        <v>715537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IFERROR(__xludf.DUMMYFUNCTION("""COMPUTED_VALUE"""),20.03)</f>
        <v>20.03</v>
      </c>
      <c r="C1302" s="1">
        <f>IFERROR(__xludf.DUMMYFUNCTION("""COMPUTED_VALUE"""),20.78)</f>
        <v>20.78</v>
      </c>
      <c r="D1302" s="1">
        <f>IFERROR(__xludf.DUMMYFUNCTION("""COMPUTED_VALUE"""),20.02)</f>
        <v>20.02</v>
      </c>
      <c r="E1302" s="1">
        <f>IFERROR(__xludf.DUMMYFUNCTION("""COMPUTED_VALUE"""),20.66)</f>
        <v>20.66</v>
      </c>
      <c r="F1302" s="1">
        <f>IFERROR(__xludf.DUMMYFUNCTION("""COMPUTED_VALUE"""),874269.0)</f>
        <v>874269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IFERROR(__xludf.DUMMYFUNCTION("""COMPUTED_VALUE"""),20.7)</f>
        <v>20.7</v>
      </c>
      <c r="C1303" s="1">
        <f>IFERROR(__xludf.DUMMYFUNCTION("""COMPUTED_VALUE"""),20.7)</f>
        <v>20.7</v>
      </c>
      <c r="D1303" s="1">
        <f>IFERROR(__xludf.DUMMYFUNCTION("""COMPUTED_VALUE"""),20.19)</f>
        <v>20.19</v>
      </c>
      <c r="E1303" s="1">
        <f>IFERROR(__xludf.DUMMYFUNCTION("""COMPUTED_VALUE"""),20.29)</f>
        <v>20.29</v>
      </c>
      <c r="F1303" s="1">
        <f>IFERROR(__xludf.DUMMYFUNCTION("""COMPUTED_VALUE"""),700986.0)</f>
        <v>700986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IFERROR(__xludf.DUMMYFUNCTION("""COMPUTED_VALUE"""),20.33)</f>
        <v>20.33</v>
      </c>
      <c r="C1304" s="1">
        <f>IFERROR(__xludf.DUMMYFUNCTION("""COMPUTED_VALUE"""),20.56)</f>
        <v>20.56</v>
      </c>
      <c r="D1304" s="1">
        <f>IFERROR(__xludf.DUMMYFUNCTION("""COMPUTED_VALUE"""),20.25)</f>
        <v>20.25</v>
      </c>
      <c r="E1304" s="1">
        <f>IFERROR(__xludf.DUMMYFUNCTION("""COMPUTED_VALUE"""),20.53)</f>
        <v>20.53</v>
      </c>
      <c r="F1304" s="1">
        <f>IFERROR(__xludf.DUMMYFUNCTION("""COMPUTED_VALUE"""),658864.0)</f>
        <v>658864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IFERROR(__xludf.DUMMYFUNCTION("""COMPUTED_VALUE"""),20.36)</f>
        <v>20.36</v>
      </c>
      <c r="C1305" s="1">
        <f>IFERROR(__xludf.DUMMYFUNCTION("""COMPUTED_VALUE"""),20.55)</f>
        <v>20.55</v>
      </c>
      <c r="D1305" s="1">
        <f>IFERROR(__xludf.DUMMYFUNCTION("""COMPUTED_VALUE"""),20.11)</f>
        <v>20.11</v>
      </c>
      <c r="E1305" s="1">
        <f>IFERROR(__xludf.DUMMYFUNCTION("""COMPUTED_VALUE"""),20.51)</f>
        <v>20.51</v>
      </c>
      <c r="F1305" s="1">
        <f>IFERROR(__xludf.DUMMYFUNCTION("""COMPUTED_VALUE"""),898038.0)</f>
        <v>898038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IFERROR(__xludf.DUMMYFUNCTION("""COMPUTED_VALUE"""),20.46)</f>
        <v>20.46</v>
      </c>
      <c r="C1306" s="1">
        <f>IFERROR(__xludf.DUMMYFUNCTION("""COMPUTED_VALUE"""),20.56)</f>
        <v>20.56</v>
      </c>
      <c r="D1306" s="1">
        <f>IFERROR(__xludf.DUMMYFUNCTION("""COMPUTED_VALUE"""),20.38)</f>
        <v>20.38</v>
      </c>
      <c r="E1306" s="1">
        <f>IFERROR(__xludf.DUMMYFUNCTION("""COMPUTED_VALUE"""),20.51)</f>
        <v>20.51</v>
      </c>
      <c r="F1306" s="1">
        <f>IFERROR(__xludf.DUMMYFUNCTION("""COMPUTED_VALUE"""),514324.0)</f>
        <v>514324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IFERROR(__xludf.DUMMYFUNCTION("""COMPUTED_VALUE"""),20.55)</f>
        <v>20.55</v>
      </c>
      <c r="C1307" s="1">
        <f>IFERROR(__xludf.DUMMYFUNCTION("""COMPUTED_VALUE"""),20.77)</f>
        <v>20.77</v>
      </c>
      <c r="D1307" s="1">
        <f>IFERROR(__xludf.DUMMYFUNCTION("""COMPUTED_VALUE"""),20.44)</f>
        <v>20.44</v>
      </c>
      <c r="E1307" s="1">
        <f>IFERROR(__xludf.DUMMYFUNCTION("""COMPUTED_VALUE"""),20.57)</f>
        <v>20.57</v>
      </c>
      <c r="F1307" s="1">
        <f>IFERROR(__xludf.DUMMYFUNCTION("""COMPUTED_VALUE"""),851549.0)</f>
        <v>851549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IFERROR(__xludf.DUMMYFUNCTION("""COMPUTED_VALUE"""),20.62)</f>
        <v>20.62</v>
      </c>
      <c r="C1308" s="1">
        <f>IFERROR(__xludf.DUMMYFUNCTION("""COMPUTED_VALUE"""),20.67)</f>
        <v>20.67</v>
      </c>
      <c r="D1308" s="1">
        <f>IFERROR(__xludf.DUMMYFUNCTION("""COMPUTED_VALUE"""),20.47)</f>
        <v>20.47</v>
      </c>
      <c r="E1308" s="1">
        <f>IFERROR(__xludf.DUMMYFUNCTION("""COMPUTED_VALUE"""),20.56)</f>
        <v>20.56</v>
      </c>
      <c r="F1308" s="1">
        <f>IFERROR(__xludf.DUMMYFUNCTION("""COMPUTED_VALUE"""),349198.0)</f>
        <v>349198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IFERROR(__xludf.DUMMYFUNCTION("""COMPUTED_VALUE"""),20.61)</f>
        <v>20.61</v>
      </c>
      <c r="C1309" s="1">
        <f>IFERROR(__xludf.DUMMYFUNCTION("""COMPUTED_VALUE"""),21.1)</f>
        <v>21.1</v>
      </c>
      <c r="D1309" s="1">
        <f>IFERROR(__xludf.DUMMYFUNCTION("""COMPUTED_VALUE"""),20.5)</f>
        <v>20.5</v>
      </c>
      <c r="E1309" s="1">
        <f>IFERROR(__xludf.DUMMYFUNCTION("""COMPUTED_VALUE"""),20.98)</f>
        <v>20.98</v>
      </c>
      <c r="F1309" s="1">
        <f>IFERROR(__xludf.DUMMYFUNCTION("""COMPUTED_VALUE"""),654747.0)</f>
        <v>654747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IFERROR(__xludf.DUMMYFUNCTION("""COMPUTED_VALUE"""),21.01)</f>
        <v>21.01</v>
      </c>
      <c r="C1310" s="1">
        <f>IFERROR(__xludf.DUMMYFUNCTION("""COMPUTED_VALUE"""),21.39)</f>
        <v>21.39</v>
      </c>
      <c r="D1310" s="1">
        <f>IFERROR(__xludf.DUMMYFUNCTION("""COMPUTED_VALUE"""),20.79)</f>
        <v>20.79</v>
      </c>
      <c r="E1310" s="1">
        <f>IFERROR(__xludf.DUMMYFUNCTION("""COMPUTED_VALUE"""),21.39)</f>
        <v>21.39</v>
      </c>
      <c r="F1310" s="1">
        <f>IFERROR(__xludf.DUMMYFUNCTION("""COMPUTED_VALUE"""),1110650.0)</f>
        <v>1110650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IFERROR(__xludf.DUMMYFUNCTION("""COMPUTED_VALUE"""),21.37)</f>
        <v>21.37</v>
      </c>
      <c r="C1311" s="1">
        <f>IFERROR(__xludf.DUMMYFUNCTION("""COMPUTED_VALUE"""),21.44)</f>
        <v>21.44</v>
      </c>
      <c r="D1311" s="1">
        <f>IFERROR(__xludf.DUMMYFUNCTION("""COMPUTED_VALUE"""),20.89)</f>
        <v>20.89</v>
      </c>
      <c r="E1311" s="1">
        <f>IFERROR(__xludf.DUMMYFUNCTION("""COMPUTED_VALUE"""),21.04)</f>
        <v>21.04</v>
      </c>
      <c r="F1311" s="1">
        <f>IFERROR(__xludf.DUMMYFUNCTION("""COMPUTED_VALUE"""),618992.0)</f>
        <v>618992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IFERROR(__xludf.DUMMYFUNCTION("""COMPUTED_VALUE"""),20.92)</f>
        <v>20.92</v>
      </c>
      <c r="C1312" s="1">
        <f>IFERROR(__xludf.DUMMYFUNCTION("""COMPUTED_VALUE"""),20.92)</f>
        <v>20.92</v>
      </c>
      <c r="D1312" s="1">
        <f>IFERROR(__xludf.DUMMYFUNCTION("""COMPUTED_VALUE"""),20.5)</f>
        <v>20.5</v>
      </c>
      <c r="E1312" s="1">
        <f>IFERROR(__xludf.DUMMYFUNCTION("""COMPUTED_VALUE"""),20.78)</f>
        <v>20.78</v>
      </c>
      <c r="F1312" s="1">
        <f>IFERROR(__xludf.DUMMYFUNCTION("""COMPUTED_VALUE"""),476497.0)</f>
        <v>476497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IFERROR(__xludf.DUMMYFUNCTION("""COMPUTED_VALUE"""),20.77)</f>
        <v>20.77</v>
      </c>
      <c r="C1313" s="1">
        <f>IFERROR(__xludf.DUMMYFUNCTION("""COMPUTED_VALUE"""),21.56)</f>
        <v>21.56</v>
      </c>
      <c r="D1313" s="1">
        <f>IFERROR(__xludf.DUMMYFUNCTION("""COMPUTED_VALUE"""),20.72)</f>
        <v>20.72</v>
      </c>
      <c r="E1313" s="1">
        <f>IFERROR(__xludf.DUMMYFUNCTION("""COMPUTED_VALUE"""),21.46)</f>
        <v>21.46</v>
      </c>
      <c r="F1313" s="1">
        <f>IFERROR(__xludf.DUMMYFUNCTION("""COMPUTED_VALUE"""),786997.0)</f>
        <v>786997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IFERROR(__xludf.DUMMYFUNCTION("""COMPUTED_VALUE"""),21.36)</f>
        <v>21.36</v>
      </c>
      <c r="C1314" s="1">
        <f>IFERROR(__xludf.DUMMYFUNCTION("""COMPUTED_VALUE"""),22.29)</f>
        <v>22.29</v>
      </c>
      <c r="D1314" s="1">
        <f>IFERROR(__xludf.DUMMYFUNCTION("""COMPUTED_VALUE"""),21.35)</f>
        <v>21.35</v>
      </c>
      <c r="E1314" s="1">
        <f>IFERROR(__xludf.DUMMYFUNCTION("""COMPUTED_VALUE"""),22.0)</f>
        <v>22</v>
      </c>
      <c r="F1314" s="1">
        <f>IFERROR(__xludf.DUMMYFUNCTION("""COMPUTED_VALUE"""),1116265.0)</f>
        <v>1116265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IFERROR(__xludf.DUMMYFUNCTION("""COMPUTED_VALUE"""),22.0)</f>
        <v>22</v>
      </c>
      <c r="C1315" s="1">
        <f>IFERROR(__xludf.DUMMYFUNCTION("""COMPUTED_VALUE"""),22.14)</f>
        <v>22.14</v>
      </c>
      <c r="D1315" s="1">
        <f>IFERROR(__xludf.DUMMYFUNCTION("""COMPUTED_VALUE"""),21.91)</f>
        <v>21.91</v>
      </c>
      <c r="E1315" s="1">
        <f>IFERROR(__xludf.DUMMYFUNCTION("""COMPUTED_VALUE"""),21.98)</f>
        <v>21.98</v>
      </c>
      <c r="F1315" s="1">
        <f>IFERROR(__xludf.DUMMYFUNCTION("""COMPUTED_VALUE"""),945487.0)</f>
        <v>945487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IFERROR(__xludf.DUMMYFUNCTION("""COMPUTED_VALUE"""),21.8)</f>
        <v>21.8</v>
      </c>
      <c r="C1316" s="1">
        <f>IFERROR(__xludf.DUMMYFUNCTION("""COMPUTED_VALUE"""),22.29)</f>
        <v>22.29</v>
      </c>
      <c r="D1316" s="1">
        <f>IFERROR(__xludf.DUMMYFUNCTION("""COMPUTED_VALUE"""),21.62)</f>
        <v>21.62</v>
      </c>
      <c r="E1316" s="1">
        <f>IFERROR(__xludf.DUMMYFUNCTION("""COMPUTED_VALUE"""),21.93)</f>
        <v>21.93</v>
      </c>
      <c r="F1316" s="1">
        <f>IFERROR(__xludf.DUMMYFUNCTION("""COMPUTED_VALUE"""),861687.0)</f>
        <v>861687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IFERROR(__xludf.DUMMYFUNCTION("""COMPUTED_VALUE"""),21.95)</f>
        <v>21.95</v>
      </c>
      <c r="C1317" s="1">
        <f>IFERROR(__xludf.DUMMYFUNCTION("""COMPUTED_VALUE"""),22.78)</f>
        <v>22.78</v>
      </c>
      <c r="D1317" s="1">
        <f>IFERROR(__xludf.DUMMYFUNCTION("""COMPUTED_VALUE"""),21.61)</f>
        <v>21.61</v>
      </c>
      <c r="E1317" s="1">
        <f>IFERROR(__xludf.DUMMYFUNCTION("""COMPUTED_VALUE"""),22.2)</f>
        <v>22.2</v>
      </c>
      <c r="F1317" s="1">
        <f>IFERROR(__xludf.DUMMYFUNCTION("""COMPUTED_VALUE"""),1025971.0)</f>
        <v>1025971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IFERROR(__xludf.DUMMYFUNCTION("""COMPUTED_VALUE"""),22.1)</f>
        <v>22.1</v>
      </c>
      <c r="C1318" s="1">
        <f>IFERROR(__xludf.DUMMYFUNCTION("""COMPUTED_VALUE"""),22.26)</f>
        <v>22.26</v>
      </c>
      <c r="D1318" s="1">
        <f>IFERROR(__xludf.DUMMYFUNCTION("""COMPUTED_VALUE"""),21.91)</f>
        <v>21.91</v>
      </c>
      <c r="E1318" s="1">
        <f>IFERROR(__xludf.DUMMYFUNCTION("""COMPUTED_VALUE"""),22.17)</f>
        <v>22.17</v>
      </c>
      <c r="F1318" s="1">
        <f>IFERROR(__xludf.DUMMYFUNCTION("""COMPUTED_VALUE"""),520955.0)</f>
        <v>520955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IFERROR(__xludf.DUMMYFUNCTION("""COMPUTED_VALUE"""),22.1)</f>
        <v>22.1</v>
      </c>
      <c r="C1319" s="1">
        <f>IFERROR(__xludf.DUMMYFUNCTION("""COMPUTED_VALUE"""),23.1)</f>
        <v>23.1</v>
      </c>
      <c r="D1319" s="1">
        <f>IFERROR(__xludf.DUMMYFUNCTION("""COMPUTED_VALUE"""),22.02)</f>
        <v>22.02</v>
      </c>
      <c r="E1319" s="1">
        <f>IFERROR(__xludf.DUMMYFUNCTION("""COMPUTED_VALUE"""),22.78)</f>
        <v>22.78</v>
      </c>
      <c r="F1319" s="1">
        <f>IFERROR(__xludf.DUMMYFUNCTION("""COMPUTED_VALUE"""),801970.0)</f>
        <v>801970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IFERROR(__xludf.DUMMYFUNCTION("""COMPUTED_VALUE"""),22.81)</f>
        <v>22.81</v>
      </c>
      <c r="C1320" s="1">
        <f>IFERROR(__xludf.DUMMYFUNCTION("""COMPUTED_VALUE"""),22.87)</f>
        <v>22.87</v>
      </c>
      <c r="D1320" s="1">
        <f>IFERROR(__xludf.DUMMYFUNCTION("""COMPUTED_VALUE"""),22.15)</f>
        <v>22.15</v>
      </c>
      <c r="E1320" s="1">
        <f>IFERROR(__xludf.DUMMYFUNCTION("""COMPUTED_VALUE"""),22.17)</f>
        <v>22.17</v>
      </c>
      <c r="F1320" s="1">
        <f>IFERROR(__xludf.DUMMYFUNCTION("""COMPUTED_VALUE"""),811387.0)</f>
        <v>811387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IFERROR(__xludf.DUMMYFUNCTION("""COMPUTED_VALUE"""),22.19)</f>
        <v>22.19</v>
      </c>
      <c r="C1321" s="1">
        <f>IFERROR(__xludf.DUMMYFUNCTION("""COMPUTED_VALUE"""),23.28)</f>
        <v>23.28</v>
      </c>
      <c r="D1321" s="1">
        <f>IFERROR(__xludf.DUMMYFUNCTION("""COMPUTED_VALUE"""),22.17)</f>
        <v>22.17</v>
      </c>
      <c r="E1321" s="1">
        <f>IFERROR(__xludf.DUMMYFUNCTION("""COMPUTED_VALUE"""),23.16)</f>
        <v>23.16</v>
      </c>
      <c r="F1321" s="1">
        <f>IFERROR(__xludf.DUMMYFUNCTION("""COMPUTED_VALUE"""),1004952.0)</f>
        <v>1004952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IFERROR(__xludf.DUMMYFUNCTION("""COMPUTED_VALUE"""),23.29)</f>
        <v>23.29</v>
      </c>
      <c r="C1322" s="1">
        <f>IFERROR(__xludf.DUMMYFUNCTION("""COMPUTED_VALUE"""),24.2)</f>
        <v>24.2</v>
      </c>
      <c r="D1322" s="1">
        <f>IFERROR(__xludf.DUMMYFUNCTION("""COMPUTED_VALUE"""),23.2)</f>
        <v>23.2</v>
      </c>
      <c r="E1322" s="1">
        <f>IFERROR(__xludf.DUMMYFUNCTION("""COMPUTED_VALUE"""),24.04)</f>
        <v>24.04</v>
      </c>
      <c r="F1322" s="1">
        <f>IFERROR(__xludf.DUMMYFUNCTION("""COMPUTED_VALUE"""),1799772.0)</f>
        <v>1799772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IFERROR(__xludf.DUMMYFUNCTION("""COMPUTED_VALUE"""),24.16)</f>
        <v>24.16</v>
      </c>
      <c r="C1323" s="1">
        <f>IFERROR(__xludf.DUMMYFUNCTION("""COMPUTED_VALUE"""),24.41)</f>
        <v>24.41</v>
      </c>
      <c r="D1323" s="1">
        <f>IFERROR(__xludf.DUMMYFUNCTION("""COMPUTED_VALUE"""),24.01)</f>
        <v>24.01</v>
      </c>
      <c r="E1323" s="1">
        <f>IFERROR(__xludf.DUMMYFUNCTION("""COMPUTED_VALUE"""),24.3)</f>
        <v>24.3</v>
      </c>
      <c r="F1323" s="1">
        <f>IFERROR(__xludf.DUMMYFUNCTION("""COMPUTED_VALUE"""),783926.0)</f>
        <v>783926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IFERROR(__xludf.DUMMYFUNCTION("""COMPUTED_VALUE"""),24.36)</f>
        <v>24.36</v>
      </c>
      <c r="C1324" s="1">
        <f>IFERROR(__xludf.DUMMYFUNCTION("""COMPUTED_VALUE"""),24.87)</f>
        <v>24.87</v>
      </c>
      <c r="D1324" s="1">
        <f>IFERROR(__xludf.DUMMYFUNCTION("""COMPUTED_VALUE"""),24.19)</f>
        <v>24.19</v>
      </c>
      <c r="E1324" s="1">
        <f>IFERROR(__xludf.DUMMYFUNCTION("""COMPUTED_VALUE"""),24.61)</f>
        <v>24.61</v>
      </c>
      <c r="F1324" s="1">
        <f>IFERROR(__xludf.DUMMYFUNCTION("""COMPUTED_VALUE"""),811496.0)</f>
        <v>811496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IFERROR(__xludf.DUMMYFUNCTION("""COMPUTED_VALUE"""),24.75)</f>
        <v>24.75</v>
      </c>
      <c r="C1325" s="1">
        <f>IFERROR(__xludf.DUMMYFUNCTION("""COMPUTED_VALUE"""),25.73)</f>
        <v>25.73</v>
      </c>
      <c r="D1325" s="1">
        <f>IFERROR(__xludf.DUMMYFUNCTION("""COMPUTED_VALUE"""),24.63)</f>
        <v>24.63</v>
      </c>
      <c r="E1325" s="1">
        <f>IFERROR(__xludf.DUMMYFUNCTION("""COMPUTED_VALUE"""),25.71)</f>
        <v>25.71</v>
      </c>
      <c r="F1325" s="1">
        <f>IFERROR(__xludf.DUMMYFUNCTION("""COMPUTED_VALUE"""),1297261.0)</f>
        <v>1297261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IFERROR(__xludf.DUMMYFUNCTION("""COMPUTED_VALUE"""),25.65)</f>
        <v>25.65</v>
      </c>
      <c r="C1326" s="1">
        <f>IFERROR(__xludf.DUMMYFUNCTION("""COMPUTED_VALUE"""),25.99)</f>
        <v>25.99</v>
      </c>
      <c r="D1326" s="1">
        <f>IFERROR(__xludf.DUMMYFUNCTION("""COMPUTED_VALUE"""),25.22)</f>
        <v>25.22</v>
      </c>
      <c r="E1326" s="1">
        <f>IFERROR(__xludf.DUMMYFUNCTION("""COMPUTED_VALUE"""),25.79)</f>
        <v>25.79</v>
      </c>
      <c r="F1326" s="1">
        <f>IFERROR(__xludf.DUMMYFUNCTION("""COMPUTED_VALUE"""),1267128.0)</f>
        <v>1267128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IFERROR(__xludf.DUMMYFUNCTION("""COMPUTED_VALUE"""),25.65)</f>
        <v>25.65</v>
      </c>
      <c r="C1327" s="1">
        <f>IFERROR(__xludf.DUMMYFUNCTION("""COMPUTED_VALUE"""),25.78)</f>
        <v>25.78</v>
      </c>
      <c r="D1327" s="1">
        <f>IFERROR(__xludf.DUMMYFUNCTION("""COMPUTED_VALUE"""),24.37)</f>
        <v>24.37</v>
      </c>
      <c r="E1327" s="1">
        <f>IFERROR(__xludf.DUMMYFUNCTION("""COMPUTED_VALUE"""),24.52)</f>
        <v>24.52</v>
      </c>
      <c r="F1327" s="1">
        <f>IFERROR(__xludf.DUMMYFUNCTION("""COMPUTED_VALUE"""),994178.0)</f>
        <v>994178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IFERROR(__xludf.DUMMYFUNCTION("""COMPUTED_VALUE"""),24.06)</f>
        <v>24.06</v>
      </c>
      <c r="C1328" s="1">
        <f>IFERROR(__xludf.DUMMYFUNCTION("""COMPUTED_VALUE"""),24.84)</f>
        <v>24.84</v>
      </c>
      <c r="D1328" s="1">
        <f>IFERROR(__xludf.DUMMYFUNCTION("""COMPUTED_VALUE"""),23.6)</f>
        <v>23.6</v>
      </c>
      <c r="E1328" s="1">
        <f>IFERROR(__xludf.DUMMYFUNCTION("""COMPUTED_VALUE"""),24.42)</f>
        <v>24.42</v>
      </c>
      <c r="F1328" s="1">
        <f>IFERROR(__xludf.DUMMYFUNCTION("""COMPUTED_VALUE"""),886996.0)</f>
        <v>886996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IFERROR(__xludf.DUMMYFUNCTION("""COMPUTED_VALUE"""),24.52)</f>
        <v>24.52</v>
      </c>
      <c r="C1329" s="1">
        <f>IFERROR(__xludf.DUMMYFUNCTION("""COMPUTED_VALUE"""),24.74)</f>
        <v>24.74</v>
      </c>
      <c r="D1329" s="1">
        <f>IFERROR(__xludf.DUMMYFUNCTION("""COMPUTED_VALUE"""),23.63)</f>
        <v>23.63</v>
      </c>
      <c r="E1329" s="1">
        <f>IFERROR(__xludf.DUMMYFUNCTION("""COMPUTED_VALUE"""),23.93)</f>
        <v>23.93</v>
      </c>
      <c r="F1329" s="1">
        <f>IFERROR(__xludf.DUMMYFUNCTION("""COMPUTED_VALUE"""),1533349.0)</f>
        <v>1533349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IFERROR(__xludf.DUMMYFUNCTION("""COMPUTED_VALUE"""),23.93)</f>
        <v>23.93</v>
      </c>
      <c r="C1330" s="1">
        <f>IFERROR(__xludf.DUMMYFUNCTION("""COMPUTED_VALUE"""),24.18)</f>
        <v>24.18</v>
      </c>
      <c r="D1330" s="1">
        <f>IFERROR(__xludf.DUMMYFUNCTION("""COMPUTED_VALUE"""),23.72)</f>
        <v>23.72</v>
      </c>
      <c r="E1330" s="1">
        <f>IFERROR(__xludf.DUMMYFUNCTION("""COMPUTED_VALUE"""),23.72)</f>
        <v>23.72</v>
      </c>
      <c r="F1330" s="1">
        <f>IFERROR(__xludf.DUMMYFUNCTION("""COMPUTED_VALUE"""),1209014.0)</f>
        <v>1209014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IFERROR(__xludf.DUMMYFUNCTION("""COMPUTED_VALUE"""),23.92)</f>
        <v>23.92</v>
      </c>
      <c r="C1331" s="1">
        <f>IFERROR(__xludf.DUMMYFUNCTION("""COMPUTED_VALUE"""),24.1)</f>
        <v>24.1</v>
      </c>
      <c r="D1331" s="1">
        <f>IFERROR(__xludf.DUMMYFUNCTION("""COMPUTED_VALUE"""),23.72)</f>
        <v>23.72</v>
      </c>
      <c r="E1331" s="1">
        <f>IFERROR(__xludf.DUMMYFUNCTION("""COMPUTED_VALUE"""),23.84)</f>
        <v>23.84</v>
      </c>
      <c r="F1331" s="1">
        <f>IFERROR(__xludf.DUMMYFUNCTION("""COMPUTED_VALUE"""),805605.0)</f>
        <v>805605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IFERROR(__xludf.DUMMYFUNCTION("""COMPUTED_VALUE"""),23.5)</f>
        <v>23.5</v>
      </c>
      <c r="C1332" s="1">
        <f>IFERROR(__xludf.DUMMYFUNCTION("""COMPUTED_VALUE"""),23.99)</f>
        <v>23.99</v>
      </c>
      <c r="D1332" s="1">
        <f>IFERROR(__xludf.DUMMYFUNCTION("""COMPUTED_VALUE"""),23.3)</f>
        <v>23.3</v>
      </c>
      <c r="E1332" s="1">
        <f>IFERROR(__xludf.DUMMYFUNCTION("""COMPUTED_VALUE"""),23.88)</f>
        <v>23.88</v>
      </c>
      <c r="F1332" s="1">
        <f>IFERROR(__xludf.DUMMYFUNCTION("""COMPUTED_VALUE"""),1024467.0)</f>
        <v>1024467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IFERROR(__xludf.DUMMYFUNCTION("""COMPUTED_VALUE"""),23.95)</f>
        <v>23.95</v>
      </c>
      <c r="C1333" s="1">
        <f>IFERROR(__xludf.DUMMYFUNCTION("""COMPUTED_VALUE"""),25.03)</f>
        <v>25.03</v>
      </c>
      <c r="D1333" s="1">
        <f>IFERROR(__xludf.DUMMYFUNCTION("""COMPUTED_VALUE"""),23.84)</f>
        <v>23.84</v>
      </c>
      <c r="E1333" s="1">
        <f>IFERROR(__xludf.DUMMYFUNCTION("""COMPUTED_VALUE"""),24.68)</f>
        <v>24.68</v>
      </c>
      <c r="F1333" s="1">
        <f>IFERROR(__xludf.DUMMYFUNCTION("""COMPUTED_VALUE"""),1531927.0)</f>
        <v>1531927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IFERROR(__xludf.DUMMYFUNCTION("""COMPUTED_VALUE"""),26.02)</f>
        <v>26.02</v>
      </c>
      <c r="C1334" s="1">
        <f>IFERROR(__xludf.DUMMYFUNCTION("""COMPUTED_VALUE"""),26.02)</f>
        <v>26.02</v>
      </c>
      <c r="D1334" s="1">
        <f>IFERROR(__xludf.DUMMYFUNCTION("""COMPUTED_VALUE"""),24.78)</f>
        <v>24.78</v>
      </c>
      <c r="E1334" s="1">
        <f>IFERROR(__xludf.DUMMYFUNCTION("""COMPUTED_VALUE"""),25.33)</f>
        <v>25.33</v>
      </c>
      <c r="F1334" s="1">
        <f>IFERROR(__xludf.DUMMYFUNCTION("""COMPUTED_VALUE"""),1387480.0)</f>
        <v>1387480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IFERROR(__xludf.DUMMYFUNCTION("""COMPUTED_VALUE"""),25.54)</f>
        <v>25.54</v>
      </c>
      <c r="C1335" s="1">
        <f>IFERROR(__xludf.DUMMYFUNCTION("""COMPUTED_VALUE"""),26.14)</f>
        <v>26.14</v>
      </c>
      <c r="D1335" s="1">
        <f>IFERROR(__xludf.DUMMYFUNCTION("""COMPUTED_VALUE"""),25.24)</f>
        <v>25.24</v>
      </c>
      <c r="E1335" s="1">
        <f>IFERROR(__xludf.DUMMYFUNCTION("""COMPUTED_VALUE"""),26.09)</f>
        <v>26.09</v>
      </c>
      <c r="F1335" s="1">
        <f>IFERROR(__xludf.DUMMYFUNCTION("""COMPUTED_VALUE"""),1326230.0)</f>
        <v>1326230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IFERROR(__xludf.DUMMYFUNCTION("""COMPUTED_VALUE"""),26.1)</f>
        <v>26.1</v>
      </c>
      <c r="C1336" s="1">
        <f>IFERROR(__xludf.DUMMYFUNCTION("""COMPUTED_VALUE"""),26.8)</f>
        <v>26.8</v>
      </c>
      <c r="D1336" s="1">
        <f>IFERROR(__xludf.DUMMYFUNCTION("""COMPUTED_VALUE"""),25.89)</f>
        <v>25.89</v>
      </c>
      <c r="E1336" s="1">
        <f>IFERROR(__xludf.DUMMYFUNCTION("""COMPUTED_VALUE"""),26.69)</f>
        <v>26.69</v>
      </c>
      <c r="F1336" s="1">
        <f>IFERROR(__xludf.DUMMYFUNCTION("""COMPUTED_VALUE"""),1153349.0)</f>
        <v>1153349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IFERROR(__xludf.DUMMYFUNCTION("""COMPUTED_VALUE"""),26.66)</f>
        <v>26.66</v>
      </c>
      <c r="C1337" s="1">
        <f>IFERROR(__xludf.DUMMYFUNCTION("""COMPUTED_VALUE"""),27.09)</f>
        <v>27.09</v>
      </c>
      <c r="D1337" s="1">
        <f>IFERROR(__xludf.DUMMYFUNCTION("""COMPUTED_VALUE"""),26.49)</f>
        <v>26.49</v>
      </c>
      <c r="E1337" s="1">
        <f>IFERROR(__xludf.DUMMYFUNCTION("""COMPUTED_VALUE"""),26.52)</f>
        <v>26.52</v>
      </c>
      <c r="F1337" s="1">
        <f>IFERROR(__xludf.DUMMYFUNCTION("""COMPUTED_VALUE"""),1378100.0)</f>
        <v>1378100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IFERROR(__xludf.DUMMYFUNCTION("""COMPUTED_VALUE"""),26.62)</f>
        <v>26.62</v>
      </c>
      <c r="C1338" s="1">
        <f>IFERROR(__xludf.DUMMYFUNCTION("""COMPUTED_VALUE"""),27.18)</f>
        <v>27.18</v>
      </c>
      <c r="D1338" s="1">
        <f>IFERROR(__xludf.DUMMYFUNCTION("""COMPUTED_VALUE"""),26.62)</f>
        <v>26.62</v>
      </c>
      <c r="E1338" s="1">
        <f>IFERROR(__xludf.DUMMYFUNCTION("""COMPUTED_VALUE"""),26.87)</f>
        <v>26.87</v>
      </c>
      <c r="F1338" s="1">
        <f>IFERROR(__xludf.DUMMYFUNCTION("""COMPUTED_VALUE"""),1174544.0)</f>
        <v>1174544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IFERROR(__xludf.DUMMYFUNCTION("""COMPUTED_VALUE"""),26.74)</f>
        <v>26.74</v>
      </c>
      <c r="C1339" s="1">
        <f>IFERROR(__xludf.DUMMYFUNCTION("""COMPUTED_VALUE"""),27.07)</f>
        <v>27.07</v>
      </c>
      <c r="D1339" s="1">
        <f>IFERROR(__xludf.DUMMYFUNCTION("""COMPUTED_VALUE"""),26.56)</f>
        <v>26.56</v>
      </c>
      <c r="E1339" s="1">
        <f>IFERROR(__xludf.DUMMYFUNCTION("""COMPUTED_VALUE"""),26.85)</f>
        <v>26.85</v>
      </c>
      <c r="F1339" s="1">
        <f>IFERROR(__xludf.DUMMYFUNCTION("""COMPUTED_VALUE"""),1100498.0)</f>
        <v>1100498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IFERROR(__xludf.DUMMYFUNCTION("""COMPUTED_VALUE"""),26.7)</f>
        <v>26.7</v>
      </c>
      <c r="C1340" s="1">
        <f>IFERROR(__xludf.DUMMYFUNCTION("""COMPUTED_VALUE"""),26.7)</f>
        <v>26.7</v>
      </c>
      <c r="D1340" s="1">
        <f>IFERROR(__xludf.DUMMYFUNCTION("""COMPUTED_VALUE"""),26.05)</f>
        <v>26.05</v>
      </c>
      <c r="E1340" s="1">
        <f>IFERROR(__xludf.DUMMYFUNCTION("""COMPUTED_VALUE"""),26.1)</f>
        <v>26.1</v>
      </c>
      <c r="F1340" s="1">
        <f>IFERROR(__xludf.DUMMYFUNCTION("""COMPUTED_VALUE"""),893766.0)</f>
        <v>893766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IFERROR(__xludf.DUMMYFUNCTION("""COMPUTED_VALUE"""),26.04)</f>
        <v>26.04</v>
      </c>
      <c r="C1341" s="1">
        <f>IFERROR(__xludf.DUMMYFUNCTION("""COMPUTED_VALUE"""),26.08)</f>
        <v>26.08</v>
      </c>
      <c r="D1341" s="1">
        <f>IFERROR(__xludf.DUMMYFUNCTION("""COMPUTED_VALUE"""),25.45)</f>
        <v>25.45</v>
      </c>
      <c r="E1341" s="1">
        <f>IFERROR(__xludf.DUMMYFUNCTION("""COMPUTED_VALUE"""),25.59)</f>
        <v>25.59</v>
      </c>
      <c r="F1341" s="1">
        <f>IFERROR(__xludf.DUMMYFUNCTION("""COMPUTED_VALUE"""),1103709.0)</f>
        <v>1103709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IFERROR(__xludf.DUMMYFUNCTION("""COMPUTED_VALUE"""),25.75)</f>
        <v>25.75</v>
      </c>
      <c r="C1342" s="1">
        <f>IFERROR(__xludf.DUMMYFUNCTION("""COMPUTED_VALUE"""),25.95)</f>
        <v>25.95</v>
      </c>
      <c r="D1342" s="1">
        <f>IFERROR(__xludf.DUMMYFUNCTION("""COMPUTED_VALUE"""),25.47)</f>
        <v>25.47</v>
      </c>
      <c r="E1342" s="1">
        <f>IFERROR(__xludf.DUMMYFUNCTION("""COMPUTED_VALUE"""),25.6)</f>
        <v>25.6</v>
      </c>
      <c r="F1342" s="1">
        <f>IFERROR(__xludf.DUMMYFUNCTION("""COMPUTED_VALUE"""),1131497.0)</f>
        <v>1131497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IFERROR(__xludf.DUMMYFUNCTION("""COMPUTED_VALUE"""),25.72)</f>
        <v>25.72</v>
      </c>
      <c r="C1343" s="1">
        <f>IFERROR(__xludf.DUMMYFUNCTION("""COMPUTED_VALUE"""),25.78)</f>
        <v>25.78</v>
      </c>
      <c r="D1343" s="1">
        <f>IFERROR(__xludf.DUMMYFUNCTION("""COMPUTED_VALUE"""),25.16)</f>
        <v>25.16</v>
      </c>
      <c r="E1343" s="1">
        <f>IFERROR(__xludf.DUMMYFUNCTION("""COMPUTED_VALUE"""),25.33)</f>
        <v>25.33</v>
      </c>
      <c r="F1343" s="1">
        <f>IFERROR(__xludf.DUMMYFUNCTION("""COMPUTED_VALUE"""),1545007.0)</f>
        <v>1545007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IFERROR(__xludf.DUMMYFUNCTION("""COMPUTED_VALUE"""),24.95)</f>
        <v>24.95</v>
      </c>
      <c r="C1344" s="1">
        <f>IFERROR(__xludf.DUMMYFUNCTION("""COMPUTED_VALUE"""),25.26)</f>
        <v>25.26</v>
      </c>
      <c r="D1344" s="1">
        <f>IFERROR(__xludf.DUMMYFUNCTION("""COMPUTED_VALUE"""),24.73)</f>
        <v>24.73</v>
      </c>
      <c r="E1344" s="1">
        <f>IFERROR(__xludf.DUMMYFUNCTION("""COMPUTED_VALUE"""),25.03)</f>
        <v>25.03</v>
      </c>
      <c r="F1344" s="1">
        <f>IFERROR(__xludf.DUMMYFUNCTION("""COMPUTED_VALUE"""),893843.0)</f>
        <v>893843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IFERROR(__xludf.DUMMYFUNCTION("""COMPUTED_VALUE"""),25.0)</f>
        <v>25</v>
      </c>
      <c r="C1345" s="1">
        <f>IFERROR(__xludf.DUMMYFUNCTION("""COMPUTED_VALUE"""),25.25)</f>
        <v>25.25</v>
      </c>
      <c r="D1345" s="1">
        <f>IFERROR(__xludf.DUMMYFUNCTION("""COMPUTED_VALUE"""),24.59)</f>
        <v>24.59</v>
      </c>
      <c r="E1345" s="1">
        <f>IFERROR(__xludf.DUMMYFUNCTION("""COMPUTED_VALUE"""),24.93)</f>
        <v>24.93</v>
      </c>
      <c r="F1345" s="1">
        <f>IFERROR(__xludf.DUMMYFUNCTION("""COMPUTED_VALUE"""),3535276.0)</f>
        <v>3535276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IFERROR(__xludf.DUMMYFUNCTION("""COMPUTED_VALUE"""),25.06)</f>
        <v>25.06</v>
      </c>
      <c r="C1346" s="1">
        <f>IFERROR(__xludf.DUMMYFUNCTION("""COMPUTED_VALUE"""),25.09)</f>
        <v>25.09</v>
      </c>
      <c r="D1346" s="1">
        <f>IFERROR(__xludf.DUMMYFUNCTION("""COMPUTED_VALUE"""),24.6)</f>
        <v>24.6</v>
      </c>
      <c r="E1346" s="1">
        <f>IFERROR(__xludf.DUMMYFUNCTION("""COMPUTED_VALUE"""),24.66)</f>
        <v>24.66</v>
      </c>
      <c r="F1346" s="1">
        <f>IFERROR(__xludf.DUMMYFUNCTION("""COMPUTED_VALUE"""),1169144.0)</f>
        <v>1169144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IFERROR(__xludf.DUMMYFUNCTION("""COMPUTED_VALUE"""),24.9)</f>
        <v>24.9</v>
      </c>
      <c r="C1347" s="1">
        <f>IFERROR(__xludf.DUMMYFUNCTION("""COMPUTED_VALUE"""),25.2)</f>
        <v>25.2</v>
      </c>
      <c r="D1347" s="1">
        <f>IFERROR(__xludf.DUMMYFUNCTION("""COMPUTED_VALUE"""),24.64)</f>
        <v>24.64</v>
      </c>
      <c r="E1347" s="1">
        <f>IFERROR(__xludf.DUMMYFUNCTION("""COMPUTED_VALUE"""),24.77)</f>
        <v>24.77</v>
      </c>
      <c r="F1347" s="1">
        <f>IFERROR(__xludf.DUMMYFUNCTION("""COMPUTED_VALUE"""),791914.0)</f>
        <v>791914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IFERROR(__xludf.DUMMYFUNCTION("""COMPUTED_VALUE"""),24.76)</f>
        <v>24.76</v>
      </c>
      <c r="C1348" s="1">
        <f>IFERROR(__xludf.DUMMYFUNCTION("""COMPUTED_VALUE"""),24.85)</f>
        <v>24.85</v>
      </c>
      <c r="D1348" s="1">
        <f>IFERROR(__xludf.DUMMYFUNCTION("""COMPUTED_VALUE"""),24.17)</f>
        <v>24.17</v>
      </c>
      <c r="E1348" s="1">
        <f>IFERROR(__xludf.DUMMYFUNCTION("""COMPUTED_VALUE"""),24.29)</f>
        <v>24.29</v>
      </c>
      <c r="F1348" s="1">
        <f>IFERROR(__xludf.DUMMYFUNCTION("""COMPUTED_VALUE"""),1350975.0)</f>
        <v>1350975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IFERROR(__xludf.DUMMYFUNCTION("""COMPUTED_VALUE"""),24.2)</f>
        <v>24.2</v>
      </c>
      <c r="C1349" s="1">
        <f>IFERROR(__xludf.DUMMYFUNCTION("""COMPUTED_VALUE"""),24.59)</f>
        <v>24.59</v>
      </c>
      <c r="D1349" s="1">
        <f>IFERROR(__xludf.DUMMYFUNCTION("""COMPUTED_VALUE"""),24.08)</f>
        <v>24.08</v>
      </c>
      <c r="E1349" s="1">
        <f>IFERROR(__xludf.DUMMYFUNCTION("""COMPUTED_VALUE"""),24.13)</f>
        <v>24.13</v>
      </c>
      <c r="F1349" s="1">
        <f>IFERROR(__xludf.DUMMYFUNCTION("""COMPUTED_VALUE"""),968731.0)</f>
        <v>968731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IFERROR(__xludf.DUMMYFUNCTION("""COMPUTED_VALUE"""),24.19)</f>
        <v>24.19</v>
      </c>
      <c r="C1350" s="1">
        <f>IFERROR(__xludf.DUMMYFUNCTION("""COMPUTED_VALUE"""),24.68)</f>
        <v>24.68</v>
      </c>
      <c r="D1350" s="1">
        <f>IFERROR(__xludf.DUMMYFUNCTION("""COMPUTED_VALUE"""),24.19)</f>
        <v>24.19</v>
      </c>
      <c r="E1350" s="1">
        <f>IFERROR(__xludf.DUMMYFUNCTION("""COMPUTED_VALUE"""),24.39)</f>
        <v>24.39</v>
      </c>
      <c r="F1350" s="1">
        <f>IFERROR(__xludf.DUMMYFUNCTION("""COMPUTED_VALUE"""),705637.0)</f>
        <v>705637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IFERROR(__xludf.DUMMYFUNCTION("""COMPUTED_VALUE"""),24.37)</f>
        <v>24.37</v>
      </c>
      <c r="C1351" s="1">
        <f>IFERROR(__xludf.DUMMYFUNCTION("""COMPUTED_VALUE"""),24.57)</f>
        <v>24.57</v>
      </c>
      <c r="D1351" s="1">
        <f>IFERROR(__xludf.DUMMYFUNCTION("""COMPUTED_VALUE"""),24.1)</f>
        <v>24.1</v>
      </c>
      <c r="E1351" s="1">
        <f>IFERROR(__xludf.DUMMYFUNCTION("""COMPUTED_VALUE"""),24.49)</f>
        <v>24.49</v>
      </c>
      <c r="F1351" s="1">
        <f>IFERROR(__xludf.DUMMYFUNCTION("""COMPUTED_VALUE"""),925596.0)</f>
        <v>925596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IFERROR(__xludf.DUMMYFUNCTION("""COMPUTED_VALUE"""),24.61)</f>
        <v>24.61</v>
      </c>
      <c r="C1352" s="1">
        <f>IFERROR(__xludf.DUMMYFUNCTION("""COMPUTED_VALUE"""),24.8)</f>
        <v>24.8</v>
      </c>
      <c r="D1352" s="1">
        <f>IFERROR(__xludf.DUMMYFUNCTION("""COMPUTED_VALUE"""),24.29)</f>
        <v>24.29</v>
      </c>
      <c r="E1352" s="1">
        <f>IFERROR(__xludf.DUMMYFUNCTION("""COMPUTED_VALUE"""),24.48)</f>
        <v>24.48</v>
      </c>
      <c r="F1352" s="1">
        <f>IFERROR(__xludf.DUMMYFUNCTION("""COMPUTED_VALUE"""),447278.0)</f>
        <v>447278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IFERROR(__xludf.DUMMYFUNCTION("""COMPUTED_VALUE"""),24.45)</f>
        <v>24.45</v>
      </c>
      <c r="C1353" s="1">
        <f>IFERROR(__xludf.DUMMYFUNCTION("""COMPUTED_VALUE"""),24.56)</f>
        <v>24.56</v>
      </c>
      <c r="D1353" s="1">
        <f>IFERROR(__xludf.DUMMYFUNCTION("""COMPUTED_VALUE"""),24.05)</f>
        <v>24.05</v>
      </c>
      <c r="E1353" s="1">
        <f>IFERROR(__xludf.DUMMYFUNCTION("""COMPUTED_VALUE"""),24.41)</f>
        <v>24.41</v>
      </c>
      <c r="F1353" s="1">
        <f>IFERROR(__xludf.DUMMYFUNCTION("""COMPUTED_VALUE"""),2085021.0)</f>
        <v>2085021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IFERROR(__xludf.DUMMYFUNCTION("""COMPUTED_VALUE"""),24.5)</f>
        <v>24.5</v>
      </c>
      <c r="C1354" s="1">
        <f>IFERROR(__xludf.DUMMYFUNCTION("""COMPUTED_VALUE"""),24.72)</f>
        <v>24.72</v>
      </c>
      <c r="D1354" s="1">
        <f>IFERROR(__xludf.DUMMYFUNCTION("""COMPUTED_VALUE"""),24.07)</f>
        <v>24.07</v>
      </c>
      <c r="E1354" s="1">
        <f>IFERROR(__xludf.DUMMYFUNCTION("""COMPUTED_VALUE"""),24.14)</f>
        <v>24.14</v>
      </c>
      <c r="F1354" s="1">
        <f>IFERROR(__xludf.DUMMYFUNCTION("""COMPUTED_VALUE"""),611034.0)</f>
        <v>611034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IFERROR(__xludf.DUMMYFUNCTION("""COMPUTED_VALUE"""),24.08)</f>
        <v>24.08</v>
      </c>
      <c r="C1355" s="1">
        <f>IFERROR(__xludf.DUMMYFUNCTION("""COMPUTED_VALUE"""),24.26)</f>
        <v>24.26</v>
      </c>
      <c r="D1355" s="1">
        <f>IFERROR(__xludf.DUMMYFUNCTION("""COMPUTED_VALUE"""),23.78)</f>
        <v>23.78</v>
      </c>
      <c r="E1355" s="1">
        <f>IFERROR(__xludf.DUMMYFUNCTION("""COMPUTED_VALUE"""),23.97)</f>
        <v>23.97</v>
      </c>
      <c r="F1355" s="1">
        <f>IFERROR(__xludf.DUMMYFUNCTION("""COMPUTED_VALUE"""),562070.0)</f>
        <v>562070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IFERROR(__xludf.DUMMYFUNCTION("""COMPUTED_VALUE"""),24.01)</f>
        <v>24.01</v>
      </c>
      <c r="C1356" s="1">
        <f>IFERROR(__xludf.DUMMYFUNCTION("""COMPUTED_VALUE"""),24.58)</f>
        <v>24.58</v>
      </c>
      <c r="D1356" s="1">
        <f>IFERROR(__xludf.DUMMYFUNCTION("""COMPUTED_VALUE"""),23.89)</f>
        <v>23.89</v>
      </c>
      <c r="E1356" s="1">
        <f>IFERROR(__xludf.DUMMYFUNCTION("""COMPUTED_VALUE"""),24.28)</f>
        <v>24.28</v>
      </c>
      <c r="F1356" s="1">
        <f>IFERROR(__xludf.DUMMYFUNCTION("""COMPUTED_VALUE"""),1096156.0)</f>
        <v>1096156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IFERROR(__xludf.DUMMYFUNCTION("""COMPUTED_VALUE"""),24.35)</f>
        <v>24.35</v>
      </c>
      <c r="C1357" s="1">
        <f>IFERROR(__xludf.DUMMYFUNCTION("""COMPUTED_VALUE"""),24.94)</f>
        <v>24.94</v>
      </c>
      <c r="D1357" s="1">
        <f>IFERROR(__xludf.DUMMYFUNCTION("""COMPUTED_VALUE"""),24.25)</f>
        <v>24.25</v>
      </c>
      <c r="E1357" s="1">
        <f>IFERROR(__xludf.DUMMYFUNCTION("""COMPUTED_VALUE"""),24.5)</f>
        <v>24.5</v>
      </c>
      <c r="F1357" s="1">
        <f>IFERROR(__xludf.DUMMYFUNCTION("""COMPUTED_VALUE"""),935633.0)</f>
        <v>935633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IFERROR(__xludf.DUMMYFUNCTION("""COMPUTED_VALUE"""),24.62)</f>
        <v>24.62</v>
      </c>
      <c r="C1358" s="1">
        <f>IFERROR(__xludf.DUMMYFUNCTION("""COMPUTED_VALUE"""),24.74)</f>
        <v>24.74</v>
      </c>
      <c r="D1358" s="1">
        <f>IFERROR(__xludf.DUMMYFUNCTION("""COMPUTED_VALUE"""),23.44)</f>
        <v>23.44</v>
      </c>
      <c r="E1358" s="1">
        <f>IFERROR(__xludf.DUMMYFUNCTION("""COMPUTED_VALUE"""),23.85)</f>
        <v>23.85</v>
      </c>
      <c r="F1358" s="1">
        <f>IFERROR(__xludf.DUMMYFUNCTION("""COMPUTED_VALUE"""),984336.0)</f>
        <v>984336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IFERROR(__xludf.DUMMYFUNCTION("""COMPUTED_VALUE"""),23.98)</f>
        <v>23.98</v>
      </c>
      <c r="C1359" s="1">
        <f>IFERROR(__xludf.DUMMYFUNCTION("""COMPUTED_VALUE"""),24.36)</f>
        <v>24.36</v>
      </c>
      <c r="D1359" s="1">
        <f>IFERROR(__xludf.DUMMYFUNCTION("""COMPUTED_VALUE"""),23.86)</f>
        <v>23.86</v>
      </c>
      <c r="E1359" s="1">
        <f>IFERROR(__xludf.DUMMYFUNCTION("""COMPUTED_VALUE"""),24.1)</f>
        <v>24.1</v>
      </c>
      <c r="F1359" s="1">
        <f>IFERROR(__xludf.DUMMYFUNCTION("""COMPUTED_VALUE"""),1067081.0)</f>
        <v>1067081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IFERROR(__xludf.DUMMYFUNCTION("""COMPUTED_VALUE"""),23.75)</f>
        <v>23.75</v>
      </c>
      <c r="C1360" s="1">
        <f>IFERROR(__xludf.DUMMYFUNCTION("""COMPUTED_VALUE"""),24.1)</f>
        <v>24.1</v>
      </c>
      <c r="D1360" s="1">
        <f>IFERROR(__xludf.DUMMYFUNCTION("""COMPUTED_VALUE"""),23.61)</f>
        <v>23.61</v>
      </c>
      <c r="E1360" s="1">
        <f>IFERROR(__xludf.DUMMYFUNCTION("""COMPUTED_VALUE"""),24.05)</f>
        <v>24.05</v>
      </c>
      <c r="F1360" s="1">
        <f>IFERROR(__xludf.DUMMYFUNCTION("""COMPUTED_VALUE"""),1302621.0)</f>
        <v>1302621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IFERROR(__xludf.DUMMYFUNCTION("""COMPUTED_VALUE"""),24.03)</f>
        <v>24.03</v>
      </c>
      <c r="C1361" s="1">
        <f>IFERROR(__xludf.DUMMYFUNCTION("""COMPUTED_VALUE"""),24.14)</f>
        <v>24.14</v>
      </c>
      <c r="D1361" s="1">
        <f>IFERROR(__xludf.DUMMYFUNCTION("""COMPUTED_VALUE"""),23.53)</f>
        <v>23.53</v>
      </c>
      <c r="E1361" s="1">
        <f>IFERROR(__xludf.DUMMYFUNCTION("""COMPUTED_VALUE"""),23.83)</f>
        <v>23.83</v>
      </c>
      <c r="F1361" s="1">
        <f>IFERROR(__xludf.DUMMYFUNCTION("""COMPUTED_VALUE"""),1243334.0)</f>
        <v>1243334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IFERROR(__xludf.DUMMYFUNCTION("""COMPUTED_VALUE"""),23.99)</f>
        <v>23.99</v>
      </c>
      <c r="C1362" s="1">
        <f>IFERROR(__xludf.DUMMYFUNCTION("""COMPUTED_VALUE"""),24.19)</f>
        <v>24.19</v>
      </c>
      <c r="D1362" s="1">
        <f>IFERROR(__xludf.DUMMYFUNCTION("""COMPUTED_VALUE"""),23.47)</f>
        <v>23.47</v>
      </c>
      <c r="E1362" s="1">
        <f>IFERROR(__xludf.DUMMYFUNCTION("""COMPUTED_VALUE"""),23.96)</f>
        <v>23.96</v>
      </c>
      <c r="F1362" s="1">
        <f>IFERROR(__xludf.DUMMYFUNCTION("""COMPUTED_VALUE"""),1336469.0)</f>
        <v>1336469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IFERROR(__xludf.DUMMYFUNCTION("""COMPUTED_VALUE"""),24.03)</f>
        <v>24.03</v>
      </c>
      <c r="C1363" s="1">
        <f>IFERROR(__xludf.DUMMYFUNCTION("""COMPUTED_VALUE"""),24.51)</f>
        <v>24.51</v>
      </c>
      <c r="D1363" s="1">
        <f>IFERROR(__xludf.DUMMYFUNCTION("""COMPUTED_VALUE"""),23.96)</f>
        <v>23.96</v>
      </c>
      <c r="E1363" s="1">
        <f>IFERROR(__xludf.DUMMYFUNCTION("""COMPUTED_VALUE"""),24.19)</f>
        <v>24.19</v>
      </c>
      <c r="F1363" s="1">
        <f>IFERROR(__xludf.DUMMYFUNCTION("""COMPUTED_VALUE"""),1254721.0)</f>
        <v>1254721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IFERROR(__xludf.DUMMYFUNCTION("""COMPUTED_VALUE"""),24.44)</f>
        <v>24.44</v>
      </c>
      <c r="C1364" s="1">
        <f>IFERROR(__xludf.DUMMYFUNCTION("""COMPUTED_VALUE"""),24.63)</f>
        <v>24.63</v>
      </c>
      <c r="D1364" s="1">
        <f>IFERROR(__xludf.DUMMYFUNCTION("""COMPUTED_VALUE"""),23.97)</f>
        <v>23.97</v>
      </c>
      <c r="E1364" s="1">
        <f>IFERROR(__xludf.DUMMYFUNCTION("""COMPUTED_VALUE"""),23.98)</f>
        <v>23.98</v>
      </c>
      <c r="F1364" s="1">
        <f>IFERROR(__xludf.DUMMYFUNCTION("""COMPUTED_VALUE"""),1638097.0)</f>
        <v>1638097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IFERROR(__xludf.DUMMYFUNCTION("""COMPUTED_VALUE"""),23.66)</f>
        <v>23.66</v>
      </c>
      <c r="C1365" s="1">
        <f>IFERROR(__xludf.DUMMYFUNCTION("""COMPUTED_VALUE"""),24.26)</f>
        <v>24.26</v>
      </c>
      <c r="D1365" s="1">
        <f>IFERROR(__xludf.DUMMYFUNCTION("""COMPUTED_VALUE"""),23.61)</f>
        <v>23.61</v>
      </c>
      <c r="E1365" s="1">
        <f>IFERROR(__xludf.DUMMYFUNCTION("""COMPUTED_VALUE"""),24.1)</f>
        <v>24.1</v>
      </c>
      <c r="F1365" s="1">
        <f>IFERROR(__xludf.DUMMYFUNCTION("""COMPUTED_VALUE"""),987042.0)</f>
        <v>987042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IFERROR(__xludf.DUMMYFUNCTION("""COMPUTED_VALUE"""),24.09)</f>
        <v>24.09</v>
      </c>
      <c r="C1366" s="1">
        <f>IFERROR(__xludf.DUMMYFUNCTION("""COMPUTED_VALUE"""),24.78)</f>
        <v>24.78</v>
      </c>
      <c r="D1366" s="1">
        <f>IFERROR(__xludf.DUMMYFUNCTION("""COMPUTED_VALUE"""),24.07)</f>
        <v>24.07</v>
      </c>
      <c r="E1366" s="1">
        <f>IFERROR(__xludf.DUMMYFUNCTION("""COMPUTED_VALUE"""),24.52)</f>
        <v>24.52</v>
      </c>
      <c r="F1366" s="1">
        <f>IFERROR(__xludf.DUMMYFUNCTION("""COMPUTED_VALUE"""),1431301.0)</f>
        <v>1431301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IFERROR(__xludf.DUMMYFUNCTION("""COMPUTED_VALUE"""),24.64)</f>
        <v>24.64</v>
      </c>
      <c r="C1367" s="1">
        <f>IFERROR(__xludf.DUMMYFUNCTION("""COMPUTED_VALUE"""),24.74)</f>
        <v>24.74</v>
      </c>
      <c r="D1367" s="1">
        <f>IFERROR(__xludf.DUMMYFUNCTION("""COMPUTED_VALUE"""),24.0)</f>
        <v>24</v>
      </c>
      <c r="E1367" s="1">
        <f>IFERROR(__xludf.DUMMYFUNCTION("""COMPUTED_VALUE"""),24.03)</f>
        <v>24.03</v>
      </c>
      <c r="F1367" s="1">
        <f>IFERROR(__xludf.DUMMYFUNCTION("""COMPUTED_VALUE"""),512080.0)</f>
        <v>512080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IFERROR(__xludf.DUMMYFUNCTION("""COMPUTED_VALUE"""),23.94)</f>
        <v>23.94</v>
      </c>
      <c r="C1368" s="1">
        <f>IFERROR(__xludf.DUMMYFUNCTION("""COMPUTED_VALUE"""),24.14)</f>
        <v>24.14</v>
      </c>
      <c r="D1368" s="1">
        <f>IFERROR(__xludf.DUMMYFUNCTION("""COMPUTED_VALUE"""),23.88)</f>
        <v>23.88</v>
      </c>
      <c r="E1368" s="1">
        <f>IFERROR(__xludf.DUMMYFUNCTION("""COMPUTED_VALUE"""),23.96)</f>
        <v>23.96</v>
      </c>
      <c r="F1368" s="1">
        <f>IFERROR(__xludf.DUMMYFUNCTION("""COMPUTED_VALUE"""),1323000.0)</f>
        <v>1323000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IFERROR(__xludf.DUMMYFUNCTION("""COMPUTED_VALUE"""),23.89)</f>
        <v>23.89</v>
      </c>
      <c r="C1369" s="1">
        <f>IFERROR(__xludf.DUMMYFUNCTION("""COMPUTED_VALUE"""),26.46)</f>
        <v>26.46</v>
      </c>
      <c r="D1369" s="1">
        <f>IFERROR(__xludf.DUMMYFUNCTION("""COMPUTED_VALUE"""),23.76)</f>
        <v>23.76</v>
      </c>
      <c r="E1369" s="1">
        <f>IFERROR(__xludf.DUMMYFUNCTION("""COMPUTED_VALUE"""),25.37)</f>
        <v>25.37</v>
      </c>
      <c r="F1369" s="1">
        <f>IFERROR(__xludf.DUMMYFUNCTION("""COMPUTED_VALUE"""),8798479.0)</f>
        <v>8798479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IFERROR(__xludf.DUMMYFUNCTION("""COMPUTED_VALUE"""),25.44)</f>
        <v>25.44</v>
      </c>
      <c r="C1370" s="1">
        <f>IFERROR(__xludf.DUMMYFUNCTION("""COMPUTED_VALUE"""),26.46)</f>
        <v>26.46</v>
      </c>
      <c r="D1370" s="1">
        <f>IFERROR(__xludf.DUMMYFUNCTION("""COMPUTED_VALUE"""),25.14)</f>
        <v>25.14</v>
      </c>
      <c r="E1370" s="1">
        <f>IFERROR(__xludf.DUMMYFUNCTION("""COMPUTED_VALUE"""),26.02)</f>
        <v>26.02</v>
      </c>
      <c r="F1370" s="1">
        <f>IFERROR(__xludf.DUMMYFUNCTION("""COMPUTED_VALUE"""),4152385.0)</f>
        <v>4152385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IFERROR(__xludf.DUMMYFUNCTION("""COMPUTED_VALUE"""),25.95)</f>
        <v>25.95</v>
      </c>
      <c r="C1371" s="1">
        <f>IFERROR(__xludf.DUMMYFUNCTION("""COMPUTED_VALUE"""),26.13)</f>
        <v>26.13</v>
      </c>
      <c r="D1371" s="1">
        <f>IFERROR(__xludf.DUMMYFUNCTION("""COMPUTED_VALUE"""),25.5)</f>
        <v>25.5</v>
      </c>
      <c r="E1371" s="1">
        <f>IFERROR(__xludf.DUMMYFUNCTION("""COMPUTED_VALUE"""),25.52)</f>
        <v>25.52</v>
      </c>
      <c r="F1371" s="1">
        <f>IFERROR(__xludf.DUMMYFUNCTION("""COMPUTED_VALUE"""),2334378.0)</f>
        <v>2334378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IFERROR(__xludf.DUMMYFUNCTION("""COMPUTED_VALUE"""),25.43)</f>
        <v>25.43</v>
      </c>
      <c r="C1372" s="1">
        <f>IFERROR(__xludf.DUMMYFUNCTION("""COMPUTED_VALUE"""),25.66)</f>
        <v>25.66</v>
      </c>
      <c r="D1372" s="1">
        <f>IFERROR(__xludf.DUMMYFUNCTION("""COMPUTED_VALUE"""),25.12)</f>
        <v>25.12</v>
      </c>
      <c r="E1372" s="1">
        <f>IFERROR(__xludf.DUMMYFUNCTION("""COMPUTED_VALUE"""),25.49)</f>
        <v>25.49</v>
      </c>
      <c r="F1372" s="1">
        <f>IFERROR(__xludf.DUMMYFUNCTION("""COMPUTED_VALUE"""),2934603.0)</f>
        <v>2934603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IFERROR(__xludf.DUMMYFUNCTION("""COMPUTED_VALUE"""),25.35)</f>
        <v>25.35</v>
      </c>
      <c r="C1373" s="1">
        <f>IFERROR(__xludf.DUMMYFUNCTION("""COMPUTED_VALUE"""),25.57)</f>
        <v>25.57</v>
      </c>
      <c r="D1373" s="1">
        <f>IFERROR(__xludf.DUMMYFUNCTION("""COMPUTED_VALUE"""),25.0)</f>
        <v>25</v>
      </c>
      <c r="E1373" s="1">
        <f>IFERROR(__xludf.DUMMYFUNCTION("""COMPUTED_VALUE"""),25.18)</f>
        <v>25.18</v>
      </c>
      <c r="F1373" s="1">
        <f>IFERROR(__xludf.DUMMYFUNCTION("""COMPUTED_VALUE"""),1033622.0)</f>
        <v>1033622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IFERROR(__xludf.DUMMYFUNCTION("""COMPUTED_VALUE"""),25.64)</f>
        <v>25.64</v>
      </c>
      <c r="C1374" s="1">
        <f>IFERROR(__xludf.DUMMYFUNCTION("""COMPUTED_VALUE"""),26.3)</f>
        <v>26.3</v>
      </c>
      <c r="D1374" s="1">
        <f>IFERROR(__xludf.DUMMYFUNCTION("""COMPUTED_VALUE"""),25.54)</f>
        <v>25.54</v>
      </c>
      <c r="E1374" s="1">
        <f>IFERROR(__xludf.DUMMYFUNCTION("""COMPUTED_VALUE"""),26.08)</f>
        <v>26.08</v>
      </c>
      <c r="F1374" s="1">
        <f>IFERROR(__xludf.DUMMYFUNCTION("""COMPUTED_VALUE"""),1756365.0)</f>
        <v>1756365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IFERROR(__xludf.DUMMYFUNCTION("""COMPUTED_VALUE"""),26.16)</f>
        <v>26.16</v>
      </c>
      <c r="C1375" s="1">
        <f>IFERROR(__xludf.DUMMYFUNCTION("""COMPUTED_VALUE"""),26.43)</f>
        <v>26.43</v>
      </c>
      <c r="D1375" s="1">
        <f>IFERROR(__xludf.DUMMYFUNCTION("""COMPUTED_VALUE"""),25.86)</f>
        <v>25.86</v>
      </c>
      <c r="E1375" s="1">
        <f>IFERROR(__xludf.DUMMYFUNCTION("""COMPUTED_VALUE"""),26.0)</f>
        <v>26</v>
      </c>
      <c r="F1375" s="1">
        <f>IFERROR(__xludf.DUMMYFUNCTION("""COMPUTED_VALUE"""),1089178.0)</f>
        <v>1089178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IFERROR(__xludf.DUMMYFUNCTION("""COMPUTED_VALUE"""),25.94)</f>
        <v>25.94</v>
      </c>
      <c r="C1376" s="1">
        <f>IFERROR(__xludf.DUMMYFUNCTION("""COMPUTED_VALUE"""),25.94)</f>
        <v>25.94</v>
      </c>
      <c r="D1376" s="1">
        <f>IFERROR(__xludf.DUMMYFUNCTION("""COMPUTED_VALUE"""),25.03)</f>
        <v>25.03</v>
      </c>
      <c r="E1376" s="1">
        <f>IFERROR(__xludf.DUMMYFUNCTION("""COMPUTED_VALUE"""),25.07)</f>
        <v>25.07</v>
      </c>
      <c r="F1376" s="1">
        <f>IFERROR(__xludf.DUMMYFUNCTION("""COMPUTED_VALUE"""),1030235.0)</f>
        <v>1030235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IFERROR(__xludf.DUMMYFUNCTION("""COMPUTED_VALUE"""),25.07)</f>
        <v>25.07</v>
      </c>
      <c r="C1377" s="1">
        <f>IFERROR(__xludf.DUMMYFUNCTION("""COMPUTED_VALUE"""),25.38)</f>
        <v>25.38</v>
      </c>
      <c r="D1377" s="1">
        <f>IFERROR(__xludf.DUMMYFUNCTION("""COMPUTED_VALUE"""),24.63)</f>
        <v>24.63</v>
      </c>
      <c r="E1377" s="1">
        <f>IFERROR(__xludf.DUMMYFUNCTION("""COMPUTED_VALUE"""),24.7)</f>
        <v>24.7</v>
      </c>
      <c r="F1377" s="1">
        <f>IFERROR(__xludf.DUMMYFUNCTION("""COMPUTED_VALUE"""),1264262.0)</f>
        <v>1264262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IFERROR(__xludf.DUMMYFUNCTION("""COMPUTED_VALUE"""),24.94)</f>
        <v>24.94</v>
      </c>
      <c r="C1378" s="1">
        <f>IFERROR(__xludf.DUMMYFUNCTION("""COMPUTED_VALUE"""),24.94)</f>
        <v>24.94</v>
      </c>
      <c r="D1378" s="1">
        <f>IFERROR(__xludf.DUMMYFUNCTION("""COMPUTED_VALUE"""),24.56)</f>
        <v>24.56</v>
      </c>
      <c r="E1378" s="1">
        <f>IFERROR(__xludf.DUMMYFUNCTION("""COMPUTED_VALUE"""),24.74)</f>
        <v>24.74</v>
      </c>
      <c r="F1378" s="1">
        <f>IFERROR(__xludf.DUMMYFUNCTION("""COMPUTED_VALUE"""),436381.0)</f>
        <v>436381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IFERROR(__xludf.DUMMYFUNCTION("""COMPUTED_VALUE"""),24.74)</f>
        <v>24.74</v>
      </c>
      <c r="C1379" s="1">
        <f>IFERROR(__xludf.DUMMYFUNCTION("""COMPUTED_VALUE"""),24.91)</f>
        <v>24.91</v>
      </c>
      <c r="D1379" s="1">
        <f>IFERROR(__xludf.DUMMYFUNCTION("""COMPUTED_VALUE"""),24.61)</f>
        <v>24.61</v>
      </c>
      <c r="E1379" s="1">
        <f>IFERROR(__xludf.DUMMYFUNCTION("""COMPUTED_VALUE"""),24.87)</f>
        <v>24.87</v>
      </c>
      <c r="F1379" s="1">
        <f>IFERROR(__xludf.DUMMYFUNCTION("""COMPUTED_VALUE"""),1000387.0)</f>
        <v>1000387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IFERROR(__xludf.DUMMYFUNCTION("""COMPUTED_VALUE"""),24.79)</f>
        <v>24.79</v>
      </c>
      <c r="C1380" s="1">
        <f>IFERROR(__xludf.DUMMYFUNCTION("""COMPUTED_VALUE"""),24.81)</f>
        <v>24.81</v>
      </c>
      <c r="D1380" s="1">
        <f>IFERROR(__xludf.DUMMYFUNCTION("""COMPUTED_VALUE"""),24.45)</f>
        <v>24.45</v>
      </c>
      <c r="E1380" s="1">
        <f>IFERROR(__xludf.DUMMYFUNCTION("""COMPUTED_VALUE"""),24.64)</f>
        <v>24.64</v>
      </c>
      <c r="F1380" s="1">
        <f>IFERROR(__xludf.DUMMYFUNCTION("""COMPUTED_VALUE"""),1177691.0)</f>
        <v>1177691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IFERROR(__xludf.DUMMYFUNCTION("""COMPUTED_VALUE"""),24.44)</f>
        <v>24.44</v>
      </c>
      <c r="C1381" s="1">
        <f>IFERROR(__xludf.DUMMYFUNCTION("""COMPUTED_VALUE"""),24.78)</f>
        <v>24.78</v>
      </c>
      <c r="D1381" s="1">
        <f>IFERROR(__xludf.DUMMYFUNCTION("""COMPUTED_VALUE"""),24.28)</f>
        <v>24.28</v>
      </c>
      <c r="E1381" s="1">
        <f>IFERROR(__xludf.DUMMYFUNCTION("""COMPUTED_VALUE"""),24.63)</f>
        <v>24.63</v>
      </c>
      <c r="F1381" s="1">
        <f>IFERROR(__xludf.DUMMYFUNCTION("""COMPUTED_VALUE"""),1202443.0)</f>
        <v>1202443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IFERROR(__xludf.DUMMYFUNCTION("""COMPUTED_VALUE"""),24.25)</f>
        <v>24.25</v>
      </c>
      <c r="C1382" s="1">
        <f>IFERROR(__xludf.DUMMYFUNCTION("""COMPUTED_VALUE"""),24.25)</f>
        <v>24.25</v>
      </c>
      <c r="D1382" s="1">
        <f>IFERROR(__xludf.DUMMYFUNCTION("""COMPUTED_VALUE"""),23.24)</f>
        <v>23.24</v>
      </c>
      <c r="E1382" s="1">
        <f>IFERROR(__xludf.DUMMYFUNCTION("""COMPUTED_VALUE"""),23.76)</f>
        <v>23.76</v>
      </c>
      <c r="F1382" s="1">
        <f>IFERROR(__xludf.DUMMYFUNCTION("""COMPUTED_VALUE"""),2229979.0)</f>
        <v>2229979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IFERROR(__xludf.DUMMYFUNCTION("""COMPUTED_VALUE"""),24.0)</f>
        <v>24</v>
      </c>
      <c r="C1383" s="1">
        <f>IFERROR(__xludf.DUMMYFUNCTION("""COMPUTED_VALUE"""),24.55)</f>
        <v>24.55</v>
      </c>
      <c r="D1383" s="1">
        <f>IFERROR(__xludf.DUMMYFUNCTION("""COMPUTED_VALUE"""),23.96)</f>
        <v>23.96</v>
      </c>
      <c r="E1383" s="1">
        <f>IFERROR(__xludf.DUMMYFUNCTION("""COMPUTED_VALUE"""),24.52)</f>
        <v>24.52</v>
      </c>
      <c r="F1383" s="1">
        <f>IFERROR(__xludf.DUMMYFUNCTION("""COMPUTED_VALUE"""),1598952.0)</f>
        <v>1598952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IFERROR(__xludf.DUMMYFUNCTION("""COMPUTED_VALUE"""),24.61)</f>
        <v>24.61</v>
      </c>
      <c r="C1384" s="1">
        <f>IFERROR(__xludf.DUMMYFUNCTION("""COMPUTED_VALUE"""),24.61)</f>
        <v>24.61</v>
      </c>
      <c r="D1384" s="1">
        <f>IFERROR(__xludf.DUMMYFUNCTION("""COMPUTED_VALUE"""),23.73)</f>
        <v>23.73</v>
      </c>
      <c r="E1384" s="1">
        <f>IFERROR(__xludf.DUMMYFUNCTION("""COMPUTED_VALUE"""),23.86)</f>
        <v>23.86</v>
      </c>
      <c r="F1384" s="1">
        <f>IFERROR(__xludf.DUMMYFUNCTION("""COMPUTED_VALUE"""),1306853.0)</f>
        <v>1306853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IFERROR(__xludf.DUMMYFUNCTION("""COMPUTED_VALUE"""),23.73)</f>
        <v>23.73</v>
      </c>
      <c r="C1385" s="1">
        <f>IFERROR(__xludf.DUMMYFUNCTION("""COMPUTED_VALUE"""),23.97)</f>
        <v>23.97</v>
      </c>
      <c r="D1385" s="1">
        <f>IFERROR(__xludf.DUMMYFUNCTION("""COMPUTED_VALUE"""),23.71)</f>
        <v>23.71</v>
      </c>
      <c r="E1385" s="1">
        <f>IFERROR(__xludf.DUMMYFUNCTION("""COMPUTED_VALUE"""),23.8)</f>
        <v>23.8</v>
      </c>
      <c r="F1385" s="1">
        <f>IFERROR(__xludf.DUMMYFUNCTION("""COMPUTED_VALUE"""),1572937.0)</f>
        <v>1572937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IFERROR(__xludf.DUMMYFUNCTION("""COMPUTED_VALUE"""),23.34)</f>
        <v>23.34</v>
      </c>
      <c r="C1386" s="1">
        <f>IFERROR(__xludf.DUMMYFUNCTION("""COMPUTED_VALUE"""),23.66)</f>
        <v>23.66</v>
      </c>
      <c r="D1386" s="1">
        <f>IFERROR(__xludf.DUMMYFUNCTION("""COMPUTED_VALUE"""),22.01)</f>
        <v>22.01</v>
      </c>
      <c r="E1386" s="1">
        <f>IFERROR(__xludf.DUMMYFUNCTION("""COMPUTED_VALUE"""),22.9)</f>
        <v>22.9</v>
      </c>
      <c r="F1386" s="1">
        <f>IFERROR(__xludf.DUMMYFUNCTION("""COMPUTED_VALUE"""),4800946.0)</f>
        <v>4800946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IFERROR(__xludf.DUMMYFUNCTION("""COMPUTED_VALUE"""),22.38)</f>
        <v>22.38</v>
      </c>
      <c r="C1387" s="1">
        <f>IFERROR(__xludf.DUMMYFUNCTION("""COMPUTED_VALUE"""),23.27)</f>
        <v>23.27</v>
      </c>
      <c r="D1387" s="1">
        <f>IFERROR(__xludf.DUMMYFUNCTION("""COMPUTED_VALUE"""),22.1)</f>
        <v>22.1</v>
      </c>
      <c r="E1387" s="1">
        <f>IFERROR(__xludf.DUMMYFUNCTION("""COMPUTED_VALUE"""),23.11)</f>
        <v>23.11</v>
      </c>
      <c r="F1387" s="1">
        <f>IFERROR(__xludf.DUMMYFUNCTION("""COMPUTED_VALUE"""),4219685.0)</f>
        <v>4219685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IFERROR(__xludf.DUMMYFUNCTION("""COMPUTED_VALUE"""),22.48)</f>
        <v>22.48</v>
      </c>
      <c r="C1388" s="1">
        <f>IFERROR(__xludf.DUMMYFUNCTION("""COMPUTED_VALUE"""),23.07)</f>
        <v>23.07</v>
      </c>
      <c r="D1388" s="1">
        <f>IFERROR(__xludf.DUMMYFUNCTION("""COMPUTED_VALUE"""),22.14)</f>
        <v>22.14</v>
      </c>
      <c r="E1388" s="1">
        <f>IFERROR(__xludf.DUMMYFUNCTION("""COMPUTED_VALUE"""),22.69)</f>
        <v>22.69</v>
      </c>
      <c r="F1388" s="1">
        <f>IFERROR(__xludf.DUMMYFUNCTION("""COMPUTED_VALUE"""),3750957.0)</f>
        <v>3750957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IFERROR(__xludf.DUMMYFUNCTION("""COMPUTED_VALUE"""),23.44)</f>
        <v>23.44</v>
      </c>
      <c r="C1389" s="1">
        <f>IFERROR(__xludf.DUMMYFUNCTION("""COMPUTED_VALUE"""),23.85)</f>
        <v>23.85</v>
      </c>
      <c r="D1389" s="1">
        <f>IFERROR(__xludf.DUMMYFUNCTION("""COMPUTED_VALUE"""),23.25)</f>
        <v>23.25</v>
      </c>
      <c r="E1389" s="1">
        <f>IFERROR(__xludf.DUMMYFUNCTION("""COMPUTED_VALUE"""),23.71)</f>
        <v>23.71</v>
      </c>
      <c r="F1389" s="1">
        <f>IFERROR(__xludf.DUMMYFUNCTION("""COMPUTED_VALUE"""),2053043.0)</f>
        <v>2053043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IFERROR(__xludf.DUMMYFUNCTION("""COMPUTED_VALUE"""),23.34)</f>
        <v>23.34</v>
      </c>
      <c r="C1390" s="1">
        <f>IFERROR(__xludf.DUMMYFUNCTION("""COMPUTED_VALUE"""),23.73)</f>
        <v>23.73</v>
      </c>
      <c r="D1390" s="1">
        <f>IFERROR(__xludf.DUMMYFUNCTION("""COMPUTED_VALUE"""),23.19)</f>
        <v>23.19</v>
      </c>
      <c r="E1390" s="1">
        <f>IFERROR(__xludf.DUMMYFUNCTION("""COMPUTED_VALUE"""),23.46)</f>
        <v>23.46</v>
      </c>
      <c r="F1390" s="1">
        <f>IFERROR(__xludf.DUMMYFUNCTION("""COMPUTED_VALUE"""),1868873.0)</f>
        <v>1868873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IFERROR(__xludf.DUMMYFUNCTION("""COMPUTED_VALUE"""),23.66)</f>
        <v>23.66</v>
      </c>
      <c r="C1391" s="1">
        <f>IFERROR(__xludf.DUMMYFUNCTION("""COMPUTED_VALUE"""),23.83)</f>
        <v>23.83</v>
      </c>
      <c r="D1391" s="1">
        <f>IFERROR(__xludf.DUMMYFUNCTION("""COMPUTED_VALUE"""),23.47)</f>
        <v>23.47</v>
      </c>
      <c r="E1391" s="1">
        <f>IFERROR(__xludf.DUMMYFUNCTION("""COMPUTED_VALUE"""),23.74)</f>
        <v>23.74</v>
      </c>
      <c r="F1391" s="1">
        <f>IFERROR(__xludf.DUMMYFUNCTION("""COMPUTED_VALUE"""),1643984.0)</f>
        <v>1643984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IFERROR(__xludf.DUMMYFUNCTION("""COMPUTED_VALUE"""),23.63)</f>
        <v>23.63</v>
      </c>
      <c r="C1392" s="1">
        <f>IFERROR(__xludf.DUMMYFUNCTION("""COMPUTED_VALUE"""),24.06)</f>
        <v>24.06</v>
      </c>
      <c r="D1392" s="1">
        <f>IFERROR(__xludf.DUMMYFUNCTION("""COMPUTED_VALUE"""),23.63)</f>
        <v>23.63</v>
      </c>
      <c r="E1392" s="1">
        <f>IFERROR(__xludf.DUMMYFUNCTION("""COMPUTED_VALUE"""),23.79)</f>
        <v>23.79</v>
      </c>
      <c r="F1392" s="1">
        <f>IFERROR(__xludf.DUMMYFUNCTION("""COMPUTED_VALUE"""),523799.0)</f>
        <v>523799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IFERROR(__xludf.DUMMYFUNCTION("""COMPUTED_VALUE"""),23.77)</f>
        <v>23.77</v>
      </c>
      <c r="C1393" s="1">
        <f>IFERROR(__xludf.DUMMYFUNCTION("""COMPUTED_VALUE"""),23.82)</f>
        <v>23.82</v>
      </c>
      <c r="D1393" s="1">
        <f>IFERROR(__xludf.DUMMYFUNCTION("""COMPUTED_VALUE"""),23.49)</f>
        <v>23.49</v>
      </c>
      <c r="E1393" s="1">
        <f>IFERROR(__xludf.DUMMYFUNCTION("""COMPUTED_VALUE"""),23.77)</f>
        <v>23.77</v>
      </c>
      <c r="F1393" s="1">
        <f>IFERROR(__xludf.DUMMYFUNCTION("""COMPUTED_VALUE"""),1357063.0)</f>
        <v>1357063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IFERROR(__xludf.DUMMYFUNCTION("""COMPUTED_VALUE"""),24.0)</f>
        <v>24</v>
      </c>
      <c r="C1394" s="1">
        <f>IFERROR(__xludf.DUMMYFUNCTION("""COMPUTED_VALUE"""),24.07)</f>
        <v>24.07</v>
      </c>
      <c r="D1394" s="1">
        <f>IFERROR(__xludf.DUMMYFUNCTION("""COMPUTED_VALUE"""),23.72)</f>
        <v>23.72</v>
      </c>
      <c r="E1394" s="1">
        <f>IFERROR(__xludf.DUMMYFUNCTION("""COMPUTED_VALUE"""),23.83)</f>
        <v>23.83</v>
      </c>
      <c r="F1394" s="1">
        <f>IFERROR(__xludf.DUMMYFUNCTION("""COMPUTED_VALUE"""),1084549.0)</f>
        <v>1084549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IFERROR(__xludf.DUMMYFUNCTION("""COMPUTED_VALUE"""),23.81)</f>
        <v>23.81</v>
      </c>
      <c r="C1395" s="1">
        <f>IFERROR(__xludf.DUMMYFUNCTION("""COMPUTED_VALUE"""),24.0)</f>
        <v>24</v>
      </c>
      <c r="D1395" s="1">
        <f>IFERROR(__xludf.DUMMYFUNCTION("""COMPUTED_VALUE"""),23.65)</f>
        <v>23.65</v>
      </c>
      <c r="E1395" s="1">
        <f>IFERROR(__xludf.DUMMYFUNCTION("""COMPUTED_VALUE"""),23.83)</f>
        <v>23.83</v>
      </c>
      <c r="F1395" s="1">
        <f>IFERROR(__xludf.DUMMYFUNCTION("""COMPUTED_VALUE"""),773947.0)</f>
        <v>773947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IFERROR(__xludf.DUMMYFUNCTION("""COMPUTED_VALUE"""),23.77)</f>
        <v>23.77</v>
      </c>
      <c r="C1396" s="1">
        <f>IFERROR(__xludf.DUMMYFUNCTION("""COMPUTED_VALUE"""),23.94)</f>
        <v>23.94</v>
      </c>
      <c r="D1396" s="1">
        <f>IFERROR(__xludf.DUMMYFUNCTION("""COMPUTED_VALUE"""),23.6)</f>
        <v>23.6</v>
      </c>
      <c r="E1396" s="1">
        <f>IFERROR(__xludf.DUMMYFUNCTION("""COMPUTED_VALUE"""),23.62)</f>
        <v>23.62</v>
      </c>
      <c r="F1396" s="1">
        <f>IFERROR(__xludf.DUMMYFUNCTION("""COMPUTED_VALUE"""),1272589.0)</f>
        <v>1272589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IFERROR(__xludf.DUMMYFUNCTION("""COMPUTED_VALUE"""),24.0)</f>
        <v>24</v>
      </c>
      <c r="C1397" s="1">
        <f>IFERROR(__xludf.DUMMYFUNCTION("""COMPUTED_VALUE"""),24.9)</f>
        <v>24.9</v>
      </c>
      <c r="D1397" s="1">
        <f>IFERROR(__xludf.DUMMYFUNCTION("""COMPUTED_VALUE"""),23.72)</f>
        <v>23.72</v>
      </c>
      <c r="E1397" s="1">
        <f>IFERROR(__xludf.DUMMYFUNCTION("""COMPUTED_VALUE"""),23.75)</f>
        <v>23.75</v>
      </c>
      <c r="F1397" s="1">
        <f>IFERROR(__xludf.DUMMYFUNCTION("""COMPUTED_VALUE"""),1290802.0)</f>
        <v>1290802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IFERROR(__xludf.DUMMYFUNCTION("""COMPUTED_VALUE"""),23.62)</f>
        <v>23.62</v>
      </c>
      <c r="C1398" s="1">
        <f>IFERROR(__xludf.DUMMYFUNCTION("""COMPUTED_VALUE"""),23.63)</f>
        <v>23.63</v>
      </c>
      <c r="D1398" s="1">
        <f>IFERROR(__xludf.DUMMYFUNCTION("""COMPUTED_VALUE"""),22.38)</f>
        <v>22.38</v>
      </c>
      <c r="E1398" s="1">
        <f>IFERROR(__xludf.DUMMYFUNCTION("""COMPUTED_VALUE"""),22.85)</f>
        <v>22.85</v>
      </c>
      <c r="F1398" s="1">
        <f>IFERROR(__xludf.DUMMYFUNCTION("""COMPUTED_VALUE"""),1606828.0)</f>
        <v>1606828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IFERROR(__xludf.DUMMYFUNCTION("""COMPUTED_VALUE"""),23.01)</f>
        <v>23.01</v>
      </c>
      <c r="C1399" s="1">
        <f>IFERROR(__xludf.DUMMYFUNCTION("""COMPUTED_VALUE"""),23.81)</f>
        <v>23.81</v>
      </c>
      <c r="D1399" s="1">
        <f>IFERROR(__xludf.DUMMYFUNCTION("""COMPUTED_VALUE"""),23.01)</f>
        <v>23.01</v>
      </c>
      <c r="E1399" s="1">
        <f>IFERROR(__xludf.DUMMYFUNCTION("""COMPUTED_VALUE"""),23.2)</f>
        <v>23.2</v>
      </c>
      <c r="F1399" s="1">
        <f>IFERROR(__xludf.DUMMYFUNCTION("""COMPUTED_VALUE"""),1257318.0)</f>
        <v>1257318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IFERROR(__xludf.DUMMYFUNCTION("""COMPUTED_VALUE"""),23.16)</f>
        <v>23.16</v>
      </c>
      <c r="C1400" s="1">
        <f>IFERROR(__xludf.DUMMYFUNCTION("""COMPUTED_VALUE"""),23.19)</f>
        <v>23.19</v>
      </c>
      <c r="D1400" s="1">
        <f>IFERROR(__xludf.DUMMYFUNCTION("""COMPUTED_VALUE"""),22.71)</f>
        <v>22.71</v>
      </c>
      <c r="E1400" s="1">
        <f>IFERROR(__xludf.DUMMYFUNCTION("""COMPUTED_VALUE"""),22.86)</f>
        <v>22.86</v>
      </c>
      <c r="F1400" s="1">
        <f>IFERROR(__xludf.DUMMYFUNCTION("""COMPUTED_VALUE"""),1106230.0)</f>
        <v>1106230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IFERROR(__xludf.DUMMYFUNCTION("""COMPUTED_VALUE"""),22.0)</f>
        <v>22</v>
      </c>
      <c r="C1401" s="1">
        <f>IFERROR(__xludf.DUMMYFUNCTION("""COMPUTED_VALUE"""),22.49)</f>
        <v>22.49</v>
      </c>
      <c r="D1401" s="1">
        <f>IFERROR(__xludf.DUMMYFUNCTION("""COMPUTED_VALUE"""),21.78)</f>
        <v>21.78</v>
      </c>
      <c r="E1401" s="1">
        <f>IFERROR(__xludf.DUMMYFUNCTION("""COMPUTED_VALUE"""),22.28)</f>
        <v>22.28</v>
      </c>
      <c r="F1401" s="1">
        <f>IFERROR(__xludf.DUMMYFUNCTION("""COMPUTED_VALUE"""),776198.0)</f>
        <v>776198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IFERROR(__xludf.DUMMYFUNCTION("""COMPUTED_VALUE"""),22.57)</f>
        <v>22.57</v>
      </c>
      <c r="C1402" s="1">
        <f>IFERROR(__xludf.DUMMYFUNCTION("""COMPUTED_VALUE"""),22.57)</f>
        <v>22.57</v>
      </c>
      <c r="D1402" s="1">
        <f>IFERROR(__xludf.DUMMYFUNCTION("""COMPUTED_VALUE"""),22.26)</f>
        <v>22.26</v>
      </c>
      <c r="E1402" s="1">
        <f>IFERROR(__xludf.DUMMYFUNCTION("""COMPUTED_VALUE"""),22.4)</f>
        <v>22.4</v>
      </c>
      <c r="F1402" s="1">
        <f>IFERROR(__xludf.DUMMYFUNCTION("""COMPUTED_VALUE"""),296156.0)</f>
        <v>296156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IFERROR(__xludf.DUMMYFUNCTION("""COMPUTED_VALUE"""),22.4)</f>
        <v>22.4</v>
      </c>
      <c r="C1403" s="1">
        <f>IFERROR(__xludf.DUMMYFUNCTION("""COMPUTED_VALUE"""),22.9)</f>
        <v>22.9</v>
      </c>
      <c r="D1403" s="1">
        <f>IFERROR(__xludf.DUMMYFUNCTION("""COMPUTED_VALUE"""),22.37)</f>
        <v>22.37</v>
      </c>
      <c r="E1403" s="1">
        <f>IFERROR(__xludf.DUMMYFUNCTION("""COMPUTED_VALUE"""),22.75)</f>
        <v>22.75</v>
      </c>
      <c r="F1403" s="1">
        <f>IFERROR(__xludf.DUMMYFUNCTION("""COMPUTED_VALUE"""),292503.0)</f>
        <v>292503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IFERROR(__xludf.DUMMYFUNCTION("""COMPUTED_VALUE"""),22.7)</f>
        <v>22.7</v>
      </c>
      <c r="C1404" s="1">
        <f>IFERROR(__xludf.DUMMYFUNCTION("""COMPUTED_VALUE"""),22.78)</f>
        <v>22.78</v>
      </c>
      <c r="D1404" s="1">
        <f>IFERROR(__xludf.DUMMYFUNCTION("""COMPUTED_VALUE"""),22.46)</f>
        <v>22.46</v>
      </c>
      <c r="E1404" s="1">
        <f>IFERROR(__xludf.DUMMYFUNCTION("""COMPUTED_VALUE"""),22.72)</f>
        <v>22.72</v>
      </c>
      <c r="F1404" s="1">
        <f>IFERROR(__xludf.DUMMYFUNCTION("""COMPUTED_VALUE"""),260767.0)</f>
        <v>260767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IFERROR(__xludf.DUMMYFUNCTION("""COMPUTED_VALUE"""),22.85)</f>
        <v>22.85</v>
      </c>
      <c r="C1405" s="1">
        <f>IFERROR(__xludf.DUMMYFUNCTION("""COMPUTED_VALUE"""),22.88)</f>
        <v>22.88</v>
      </c>
      <c r="D1405" s="1">
        <f>IFERROR(__xludf.DUMMYFUNCTION("""COMPUTED_VALUE"""),22.18)</f>
        <v>22.18</v>
      </c>
      <c r="E1405" s="1">
        <f>IFERROR(__xludf.DUMMYFUNCTION("""COMPUTED_VALUE"""),22.4)</f>
        <v>22.4</v>
      </c>
      <c r="F1405" s="1">
        <f>IFERROR(__xludf.DUMMYFUNCTION("""COMPUTED_VALUE"""),494442.0)</f>
        <v>494442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IFERROR(__xludf.DUMMYFUNCTION("""COMPUTED_VALUE"""),22.41)</f>
        <v>22.41</v>
      </c>
      <c r="C1406" s="1">
        <f>IFERROR(__xludf.DUMMYFUNCTION("""COMPUTED_VALUE"""),22.67)</f>
        <v>22.67</v>
      </c>
      <c r="D1406" s="1">
        <f>IFERROR(__xludf.DUMMYFUNCTION("""COMPUTED_VALUE"""),22.13)</f>
        <v>22.13</v>
      </c>
      <c r="E1406" s="1">
        <f>IFERROR(__xludf.DUMMYFUNCTION("""COMPUTED_VALUE"""),22.22)</f>
        <v>22.22</v>
      </c>
      <c r="F1406" s="1">
        <f>IFERROR(__xludf.DUMMYFUNCTION("""COMPUTED_VALUE"""),257153.0)</f>
        <v>257153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IFERROR(__xludf.DUMMYFUNCTION("""COMPUTED_VALUE"""),22.3)</f>
        <v>22.3</v>
      </c>
      <c r="C1407" s="1">
        <f>IFERROR(__xludf.DUMMYFUNCTION("""COMPUTED_VALUE"""),22.94)</f>
        <v>22.94</v>
      </c>
      <c r="D1407" s="1">
        <f>IFERROR(__xludf.DUMMYFUNCTION("""COMPUTED_VALUE"""),22.13)</f>
        <v>22.13</v>
      </c>
      <c r="E1407" s="1">
        <f>IFERROR(__xludf.DUMMYFUNCTION("""COMPUTED_VALUE"""),22.78)</f>
        <v>22.78</v>
      </c>
      <c r="F1407" s="1">
        <f>IFERROR(__xludf.DUMMYFUNCTION("""COMPUTED_VALUE"""),433190.0)</f>
        <v>433190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IFERROR(__xludf.DUMMYFUNCTION("""COMPUTED_VALUE"""),22.98)</f>
        <v>22.98</v>
      </c>
      <c r="C1408" s="1">
        <f>IFERROR(__xludf.DUMMYFUNCTION("""COMPUTED_VALUE"""),23.23)</f>
        <v>23.23</v>
      </c>
      <c r="D1408" s="1">
        <f>IFERROR(__xludf.DUMMYFUNCTION("""COMPUTED_VALUE"""),22.52)</f>
        <v>22.52</v>
      </c>
      <c r="E1408" s="1">
        <f>IFERROR(__xludf.DUMMYFUNCTION("""COMPUTED_VALUE"""),22.78)</f>
        <v>22.78</v>
      </c>
      <c r="F1408" s="1">
        <f>IFERROR(__xludf.DUMMYFUNCTION("""COMPUTED_VALUE"""),887359.0)</f>
        <v>887359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IFERROR(__xludf.DUMMYFUNCTION("""COMPUTED_VALUE"""),22.73)</f>
        <v>22.73</v>
      </c>
      <c r="C1409" s="1">
        <f>IFERROR(__xludf.DUMMYFUNCTION("""COMPUTED_VALUE"""),23.09)</f>
        <v>23.09</v>
      </c>
      <c r="D1409" s="1">
        <f>IFERROR(__xludf.DUMMYFUNCTION("""COMPUTED_VALUE"""),22.67)</f>
        <v>22.67</v>
      </c>
      <c r="E1409" s="1">
        <f>IFERROR(__xludf.DUMMYFUNCTION("""COMPUTED_VALUE"""),22.9)</f>
        <v>22.9</v>
      </c>
      <c r="F1409" s="1">
        <f>IFERROR(__xludf.DUMMYFUNCTION("""COMPUTED_VALUE"""),530651.0)</f>
        <v>530651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IFERROR(__xludf.DUMMYFUNCTION("""COMPUTED_VALUE"""),22.9)</f>
        <v>22.9</v>
      </c>
      <c r="C1410" s="1">
        <f>IFERROR(__xludf.DUMMYFUNCTION("""COMPUTED_VALUE"""),23.15)</f>
        <v>23.15</v>
      </c>
      <c r="D1410" s="1">
        <f>IFERROR(__xludf.DUMMYFUNCTION("""COMPUTED_VALUE"""),22.74)</f>
        <v>22.74</v>
      </c>
      <c r="E1410" s="1">
        <f>IFERROR(__xludf.DUMMYFUNCTION("""COMPUTED_VALUE"""),22.83)</f>
        <v>22.83</v>
      </c>
      <c r="F1410" s="1">
        <f>IFERROR(__xludf.DUMMYFUNCTION("""COMPUTED_VALUE"""),590934.0)</f>
        <v>590934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IFERROR(__xludf.DUMMYFUNCTION("""COMPUTED_VALUE"""),23.04)</f>
        <v>23.04</v>
      </c>
      <c r="C1411" s="1">
        <f>IFERROR(__xludf.DUMMYFUNCTION("""COMPUTED_VALUE"""),23.31)</f>
        <v>23.31</v>
      </c>
      <c r="D1411" s="1">
        <f>IFERROR(__xludf.DUMMYFUNCTION("""COMPUTED_VALUE"""),22.86)</f>
        <v>22.86</v>
      </c>
      <c r="E1411" s="1">
        <f>IFERROR(__xludf.DUMMYFUNCTION("""COMPUTED_VALUE"""),23.05)</f>
        <v>23.05</v>
      </c>
      <c r="F1411" s="1">
        <f>IFERROR(__xludf.DUMMYFUNCTION("""COMPUTED_VALUE"""),567924.0)</f>
        <v>567924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IFERROR(__xludf.DUMMYFUNCTION("""COMPUTED_VALUE"""),22.8)</f>
        <v>22.8</v>
      </c>
      <c r="C1412" s="1">
        <f>IFERROR(__xludf.DUMMYFUNCTION("""COMPUTED_VALUE"""),22.92)</f>
        <v>22.92</v>
      </c>
      <c r="D1412" s="1">
        <f>IFERROR(__xludf.DUMMYFUNCTION("""COMPUTED_VALUE"""),22.51)</f>
        <v>22.51</v>
      </c>
      <c r="E1412" s="1">
        <f>IFERROR(__xludf.DUMMYFUNCTION("""COMPUTED_VALUE"""),22.62)</f>
        <v>22.62</v>
      </c>
      <c r="F1412" s="1">
        <f>IFERROR(__xludf.DUMMYFUNCTION("""COMPUTED_VALUE"""),456853.0)</f>
        <v>456853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IFERROR(__xludf.DUMMYFUNCTION("""COMPUTED_VALUE"""),22.33)</f>
        <v>22.33</v>
      </c>
      <c r="C1413" s="1">
        <f>IFERROR(__xludf.DUMMYFUNCTION("""COMPUTED_VALUE"""),22.69)</f>
        <v>22.69</v>
      </c>
      <c r="D1413" s="1">
        <f>IFERROR(__xludf.DUMMYFUNCTION("""COMPUTED_VALUE"""),22.01)</f>
        <v>22.01</v>
      </c>
      <c r="E1413" s="1">
        <f>IFERROR(__xludf.DUMMYFUNCTION("""COMPUTED_VALUE"""),22.31)</f>
        <v>22.31</v>
      </c>
      <c r="F1413" s="1">
        <f>IFERROR(__xludf.DUMMYFUNCTION("""COMPUTED_VALUE"""),789964.0)</f>
        <v>789964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IFERROR(__xludf.DUMMYFUNCTION("""COMPUTED_VALUE"""),22.54)</f>
        <v>22.54</v>
      </c>
      <c r="C1414" s="1">
        <f>IFERROR(__xludf.DUMMYFUNCTION("""COMPUTED_VALUE"""),22.62)</f>
        <v>22.62</v>
      </c>
      <c r="D1414" s="1">
        <f>IFERROR(__xludf.DUMMYFUNCTION("""COMPUTED_VALUE"""),21.97)</f>
        <v>21.97</v>
      </c>
      <c r="E1414" s="1">
        <f>IFERROR(__xludf.DUMMYFUNCTION("""COMPUTED_VALUE"""),22.01)</f>
        <v>22.01</v>
      </c>
      <c r="F1414" s="1">
        <f>IFERROR(__xludf.DUMMYFUNCTION("""COMPUTED_VALUE"""),368389.0)</f>
        <v>368389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IFERROR(__xludf.DUMMYFUNCTION("""COMPUTED_VALUE"""),22.08)</f>
        <v>22.08</v>
      </c>
      <c r="C1415" s="1">
        <f>IFERROR(__xludf.DUMMYFUNCTION("""COMPUTED_VALUE"""),22.6)</f>
        <v>22.6</v>
      </c>
      <c r="D1415" s="1">
        <f>IFERROR(__xludf.DUMMYFUNCTION("""COMPUTED_VALUE"""),21.8)</f>
        <v>21.8</v>
      </c>
      <c r="E1415" s="1">
        <f>IFERROR(__xludf.DUMMYFUNCTION("""COMPUTED_VALUE"""),22.2)</f>
        <v>22.2</v>
      </c>
      <c r="F1415" s="1">
        <f>IFERROR(__xludf.DUMMYFUNCTION("""COMPUTED_VALUE"""),654038.0)</f>
        <v>654038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IFERROR(__xludf.DUMMYFUNCTION("""COMPUTED_VALUE"""),22.07)</f>
        <v>22.07</v>
      </c>
      <c r="C1416" s="1">
        <f>IFERROR(__xludf.DUMMYFUNCTION("""COMPUTED_VALUE"""),22.4)</f>
        <v>22.4</v>
      </c>
      <c r="D1416" s="1">
        <f>IFERROR(__xludf.DUMMYFUNCTION("""COMPUTED_VALUE"""),21.85)</f>
        <v>21.85</v>
      </c>
      <c r="E1416" s="1">
        <f>IFERROR(__xludf.DUMMYFUNCTION("""COMPUTED_VALUE"""),22.24)</f>
        <v>22.24</v>
      </c>
      <c r="F1416" s="1">
        <f>IFERROR(__xludf.DUMMYFUNCTION("""COMPUTED_VALUE"""),285663.0)</f>
        <v>285663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IFERROR(__xludf.DUMMYFUNCTION("""COMPUTED_VALUE"""),22.0)</f>
        <v>22</v>
      </c>
      <c r="C1417" s="1">
        <f>IFERROR(__xludf.DUMMYFUNCTION("""COMPUTED_VALUE"""),22.41)</f>
        <v>22.41</v>
      </c>
      <c r="D1417" s="1">
        <f>IFERROR(__xludf.DUMMYFUNCTION("""COMPUTED_VALUE"""),21.89)</f>
        <v>21.89</v>
      </c>
      <c r="E1417" s="1">
        <f>IFERROR(__xludf.DUMMYFUNCTION("""COMPUTED_VALUE"""),21.96)</f>
        <v>21.96</v>
      </c>
      <c r="F1417" s="1">
        <f>IFERROR(__xludf.DUMMYFUNCTION("""COMPUTED_VALUE"""),453565.0)</f>
        <v>453565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IFERROR(__xludf.DUMMYFUNCTION("""COMPUTED_VALUE"""),21.77)</f>
        <v>21.77</v>
      </c>
      <c r="C1418" s="1">
        <f>IFERROR(__xludf.DUMMYFUNCTION("""COMPUTED_VALUE"""),22.19)</f>
        <v>22.19</v>
      </c>
      <c r="D1418" s="1">
        <f>IFERROR(__xludf.DUMMYFUNCTION("""COMPUTED_VALUE"""),21.09)</f>
        <v>21.09</v>
      </c>
      <c r="E1418" s="1">
        <f>IFERROR(__xludf.DUMMYFUNCTION("""COMPUTED_VALUE"""),21.13)</f>
        <v>21.13</v>
      </c>
      <c r="F1418" s="1">
        <f>IFERROR(__xludf.DUMMYFUNCTION("""COMPUTED_VALUE"""),860849.0)</f>
        <v>860849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IFERROR(__xludf.DUMMYFUNCTION("""COMPUTED_VALUE"""),20.96)</f>
        <v>20.96</v>
      </c>
      <c r="C1419" s="1">
        <f>IFERROR(__xludf.DUMMYFUNCTION("""COMPUTED_VALUE"""),20.96)</f>
        <v>20.96</v>
      </c>
      <c r="D1419" s="1">
        <f>IFERROR(__xludf.DUMMYFUNCTION("""COMPUTED_VALUE"""),19.4)</f>
        <v>19.4</v>
      </c>
      <c r="E1419" s="1">
        <f>IFERROR(__xludf.DUMMYFUNCTION("""COMPUTED_VALUE"""),19.8)</f>
        <v>19.8</v>
      </c>
      <c r="F1419" s="1">
        <f>IFERROR(__xludf.DUMMYFUNCTION("""COMPUTED_VALUE"""),1063616.0)</f>
        <v>1063616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IFERROR(__xludf.DUMMYFUNCTION("""COMPUTED_VALUE"""),19.99)</f>
        <v>19.99</v>
      </c>
      <c r="C1420" s="1">
        <f>IFERROR(__xludf.DUMMYFUNCTION("""COMPUTED_VALUE"""),20.19)</f>
        <v>20.19</v>
      </c>
      <c r="D1420" s="1">
        <f>IFERROR(__xludf.DUMMYFUNCTION("""COMPUTED_VALUE"""),19.24)</f>
        <v>19.24</v>
      </c>
      <c r="E1420" s="1">
        <f>IFERROR(__xludf.DUMMYFUNCTION("""COMPUTED_VALUE"""),19.58)</f>
        <v>19.58</v>
      </c>
      <c r="F1420" s="1">
        <f>IFERROR(__xludf.DUMMYFUNCTION("""COMPUTED_VALUE"""),1254052.0)</f>
        <v>1254052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IFERROR(__xludf.DUMMYFUNCTION("""COMPUTED_VALUE"""),18.39)</f>
        <v>18.39</v>
      </c>
      <c r="C1421" s="1">
        <f>IFERROR(__xludf.DUMMYFUNCTION("""COMPUTED_VALUE"""),19.85)</f>
        <v>19.85</v>
      </c>
      <c r="D1421" s="1">
        <f>IFERROR(__xludf.DUMMYFUNCTION("""COMPUTED_VALUE"""),18.09)</f>
        <v>18.09</v>
      </c>
      <c r="E1421" s="1">
        <f>IFERROR(__xludf.DUMMYFUNCTION("""COMPUTED_VALUE"""),19.61)</f>
        <v>19.61</v>
      </c>
      <c r="F1421" s="1">
        <f>IFERROR(__xludf.DUMMYFUNCTION("""COMPUTED_VALUE"""),1268936.0)</f>
        <v>1268936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IFERROR(__xludf.DUMMYFUNCTION("""COMPUTED_VALUE"""),20.33)</f>
        <v>20.33</v>
      </c>
      <c r="C1422" s="1">
        <f>IFERROR(__xludf.DUMMYFUNCTION("""COMPUTED_VALUE"""),20.6)</f>
        <v>20.6</v>
      </c>
      <c r="D1422" s="1">
        <f>IFERROR(__xludf.DUMMYFUNCTION("""COMPUTED_VALUE"""),19.88)</f>
        <v>19.88</v>
      </c>
      <c r="E1422" s="1">
        <f>IFERROR(__xludf.DUMMYFUNCTION("""COMPUTED_VALUE"""),20.36)</f>
        <v>20.36</v>
      </c>
      <c r="F1422" s="1">
        <f>IFERROR(__xludf.DUMMYFUNCTION("""COMPUTED_VALUE"""),2316078.0)</f>
        <v>2316078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IFERROR(__xludf.DUMMYFUNCTION("""COMPUTED_VALUE"""),20.58)</f>
        <v>20.58</v>
      </c>
      <c r="C1423" s="1">
        <f>IFERROR(__xludf.DUMMYFUNCTION("""COMPUTED_VALUE"""),20.64)</f>
        <v>20.64</v>
      </c>
      <c r="D1423" s="1">
        <f>IFERROR(__xludf.DUMMYFUNCTION("""COMPUTED_VALUE"""),19.9)</f>
        <v>19.9</v>
      </c>
      <c r="E1423" s="1">
        <f>IFERROR(__xludf.DUMMYFUNCTION("""COMPUTED_VALUE"""),20.36)</f>
        <v>20.36</v>
      </c>
      <c r="F1423" s="1">
        <f>IFERROR(__xludf.DUMMYFUNCTION("""COMPUTED_VALUE"""),755566.0)</f>
        <v>755566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IFERROR(__xludf.DUMMYFUNCTION("""COMPUTED_VALUE"""),20.5)</f>
        <v>20.5</v>
      </c>
      <c r="C1424" s="1">
        <f>IFERROR(__xludf.DUMMYFUNCTION("""COMPUTED_VALUE"""),21.27)</f>
        <v>21.27</v>
      </c>
      <c r="D1424" s="1">
        <f>IFERROR(__xludf.DUMMYFUNCTION("""COMPUTED_VALUE"""),20.5)</f>
        <v>20.5</v>
      </c>
      <c r="E1424" s="1">
        <f>IFERROR(__xludf.DUMMYFUNCTION("""COMPUTED_VALUE"""),21.16)</f>
        <v>21.16</v>
      </c>
      <c r="F1424" s="1">
        <f>IFERROR(__xludf.DUMMYFUNCTION("""COMPUTED_VALUE"""),756484.0)</f>
        <v>756484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IFERROR(__xludf.DUMMYFUNCTION("""COMPUTED_VALUE"""),20.94)</f>
        <v>20.94</v>
      </c>
      <c r="C1425" s="1">
        <f>IFERROR(__xludf.DUMMYFUNCTION("""COMPUTED_VALUE"""),21.2)</f>
        <v>21.2</v>
      </c>
      <c r="D1425" s="1">
        <f>IFERROR(__xludf.DUMMYFUNCTION("""COMPUTED_VALUE"""),20.49)</f>
        <v>20.49</v>
      </c>
      <c r="E1425" s="1">
        <f>IFERROR(__xludf.DUMMYFUNCTION("""COMPUTED_VALUE"""),20.75)</f>
        <v>20.75</v>
      </c>
      <c r="F1425" s="1">
        <f>IFERROR(__xludf.DUMMYFUNCTION("""COMPUTED_VALUE"""),609258.0)</f>
        <v>609258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IFERROR(__xludf.DUMMYFUNCTION("""COMPUTED_VALUE"""),20.73)</f>
        <v>20.73</v>
      </c>
      <c r="C1426" s="1">
        <f>IFERROR(__xludf.DUMMYFUNCTION("""COMPUTED_VALUE"""),20.73)</f>
        <v>20.73</v>
      </c>
      <c r="D1426" s="1">
        <f>IFERROR(__xludf.DUMMYFUNCTION("""COMPUTED_VALUE"""),20.25)</f>
        <v>20.25</v>
      </c>
      <c r="E1426" s="1">
        <f>IFERROR(__xludf.DUMMYFUNCTION("""COMPUTED_VALUE"""),20.49)</f>
        <v>20.49</v>
      </c>
      <c r="F1426" s="1">
        <f>IFERROR(__xludf.DUMMYFUNCTION("""COMPUTED_VALUE"""),334855.0)</f>
        <v>334855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IFERROR(__xludf.DUMMYFUNCTION("""COMPUTED_VALUE"""),19.94)</f>
        <v>19.94</v>
      </c>
      <c r="C1427" s="1">
        <f>IFERROR(__xludf.DUMMYFUNCTION("""COMPUTED_VALUE"""),20.2)</f>
        <v>20.2</v>
      </c>
      <c r="D1427" s="1">
        <f>IFERROR(__xludf.DUMMYFUNCTION("""COMPUTED_VALUE"""),19.69)</f>
        <v>19.69</v>
      </c>
      <c r="E1427" s="1">
        <f>IFERROR(__xludf.DUMMYFUNCTION("""COMPUTED_VALUE"""),19.92)</f>
        <v>19.92</v>
      </c>
      <c r="F1427" s="1">
        <f>IFERROR(__xludf.DUMMYFUNCTION("""COMPUTED_VALUE"""),411040.0)</f>
        <v>411040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IFERROR(__xludf.DUMMYFUNCTION("""COMPUTED_VALUE"""),19.79)</f>
        <v>19.79</v>
      </c>
      <c r="C1428" s="1">
        <f>IFERROR(__xludf.DUMMYFUNCTION("""COMPUTED_VALUE"""),20.23)</f>
        <v>20.23</v>
      </c>
      <c r="D1428" s="1">
        <f>IFERROR(__xludf.DUMMYFUNCTION("""COMPUTED_VALUE"""),19.44)</f>
        <v>19.44</v>
      </c>
      <c r="E1428" s="1">
        <f>IFERROR(__xludf.DUMMYFUNCTION("""COMPUTED_VALUE"""),20.11)</f>
        <v>20.11</v>
      </c>
      <c r="F1428" s="1">
        <f>IFERROR(__xludf.DUMMYFUNCTION("""COMPUTED_VALUE"""),511903.0)</f>
        <v>511903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IFERROR(__xludf.DUMMYFUNCTION("""COMPUTED_VALUE"""),20.08)</f>
        <v>20.08</v>
      </c>
      <c r="C1429" s="1">
        <f>IFERROR(__xludf.DUMMYFUNCTION("""COMPUTED_VALUE"""),20.28)</f>
        <v>20.28</v>
      </c>
      <c r="D1429" s="1">
        <f>IFERROR(__xludf.DUMMYFUNCTION("""COMPUTED_VALUE"""),19.92)</f>
        <v>19.92</v>
      </c>
      <c r="E1429" s="1">
        <f>IFERROR(__xludf.DUMMYFUNCTION("""COMPUTED_VALUE"""),20.23)</f>
        <v>20.23</v>
      </c>
      <c r="F1429" s="1">
        <f>IFERROR(__xludf.DUMMYFUNCTION("""COMPUTED_VALUE"""),333344.0)</f>
        <v>333344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IFERROR(__xludf.DUMMYFUNCTION("""COMPUTED_VALUE"""),19.89)</f>
        <v>19.89</v>
      </c>
      <c r="C1430" s="1">
        <f>IFERROR(__xludf.DUMMYFUNCTION("""COMPUTED_VALUE"""),20.14)</f>
        <v>20.14</v>
      </c>
      <c r="D1430" s="1">
        <f>IFERROR(__xludf.DUMMYFUNCTION("""COMPUTED_VALUE"""),19.5)</f>
        <v>19.5</v>
      </c>
      <c r="E1430" s="1">
        <f>IFERROR(__xludf.DUMMYFUNCTION("""COMPUTED_VALUE"""),19.66)</f>
        <v>19.66</v>
      </c>
      <c r="F1430" s="1">
        <f>IFERROR(__xludf.DUMMYFUNCTION("""COMPUTED_VALUE"""),582626.0)</f>
        <v>582626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IFERROR(__xludf.DUMMYFUNCTION("""COMPUTED_VALUE"""),20.18)</f>
        <v>20.18</v>
      </c>
      <c r="C1431" s="1">
        <f>IFERROR(__xludf.DUMMYFUNCTION("""COMPUTED_VALUE"""),20.26)</f>
        <v>20.26</v>
      </c>
      <c r="D1431" s="1">
        <f>IFERROR(__xludf.DUMMYFUNCTION("""COMPUTED_VALUE"""),19.92)</f>
        <v>19.92</v>
      </c>
      <c r="E1431" s="1">
        <f>IFERROR(__xludf.DUMMYFUNCTION("""COMPUTED_VALUE"""),20.2)</f>
        <v>20.2</v>
      </c>
      <c r="F1431" s="1">
        <f>IFERROR(__xludf.DUMMYFUNCTION("""COMPUTED_VALUE"""),306863.0)</f>
        <v>306863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IFERROR(__xludf.DUMMYFUNCTION("""COMPUTED_VALUE"""),20.39)</f>
        <v>20.39</v>
      </c>
      <c r="C1432" s="1">
        <f>IFERROR(__xludf.DUMMYFUNCTION("""COMPUTED_VALUE"""),20.58)</f>
        <v>20.58</v>
      </c>
      <c r="D1432" s="1">
        <f>IFERROR(__xludf.DUMMYFUNCTION("""COMPUTED_VALUE"""),19.47)</f>
        <v>19.47</v>
      </c>
      <c r="E1432" s="1">
        <f>IFERROR(__xludf.DUMMYFUNCTION("""COMPUTED_VALUE"""),19.6)</f>
        <v>19.6</v>
      </c>
      <c r="F1432" s="1">
        <f>IFERROR(__xludf.DUMMYFUNCTION("""COMPUTED_VALUE"""),765604.0)</f>
        <v>765604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IFERROR(__xludf.DUMMYFUNCTION("""COMPUTED_VALUE"""),19.62)</f>
        <v>19.62</v>
      </c>
      <c r="C1433" s="1">
        <f>IFERROR(__xludf.DUMMYFUNCTION("""COMPUTED_VALUE"""),19.7)</f>
        <v>19.7</v>
      </c>
      <c r="D1433" s="1">
        <f>IFERROR(__xludf.DUMMYFUNCTION("""COMPUTED_VALUE"""),19.16)</f>
        <v>19.16</v>
      </c>
      <c r="E1433" s="1">
        <f>IFERROR(__xludf.DUMMYFUNCTION("""COMPUTED_VALUE"""),19.26)</f>
        <v>19.26</v>
      </c>
      <c r="F1433" s="1">
        <f>IFERROR(__xludf.DUMMYFUNCTION("""COMPUTED_VALUE"""),506372.0)</f>
        <v>506372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IFERROR(__xludf.DUMMYFUNCTION("""COMPUTED_VALUE"""),19.19)</f>
        <v>19.19</v>
      </c>
      <c r="C1434" s="1">
        <f>IFERROR(__xludf.DUMMYFUNCTION("""COMPUTED_VALUE"""),19.54)</f>
        <v>19.54</v>
      </c>
      <c r="D1434" s="1">
        <f>IFERROR(__xludf.DUMMYFUNCTION("""COMPUTED_VALUE"""),19.02)</f>
        <v>19.02</v>
      </c>
      <c r="E1434" s="1">
        <f>IFERROR(__xludf.DUMMYFUNCTION("""COMPUTED_VALUE"""),19.26)</f>
        <v>19.26</v>
      </c>
      <c r="F1434" s="1">
        <f>IFERROR(__xludf.DUMMYFUNCTION("""COMPUTED_VALUE"""),567861.0)</f>
        <v>567861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IFERROR(__xludf.DUMMYFUNCTION("""COMPUTED_VALUE"""),19.25)</f>
        <v>19.25</v>
      </c>
      <c r="C1435" s="1">
        <f>IFERROR(__xludf.DUMMYFUNCTION("""COMPUTED_VALUE"""),19.34)</f>
        <v>19.34</v>
      </c>
      <c r="D1435" s="1">
        <f>IFERROR(__xludf.DUMMYFUNCTION("""COMPUTED_VALUE"""),18.66)</f>
        <v>18.66</v>
      </c>
      <c r="E1435" s="1">
        <f>IFERROR(__xludf.DUMMYFUNCTION("""COMPUTED_VALUE"""),18.68)</f>
        <v>18.68</v>
      </c>
      <c r="F1435" s="1">
        <f>IFERROR(__xludf.DUMMYFUNCTION("""COMPUTED_VALUE"""),302916.0)</f>
        <v>302916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IFERROR(__xludf.DUMMYFUNCTION("""COMPUTED_VALUE"""),18.71)</f>
        <v>18.71</v>
      </c>
      <c r="C1436" s="1">
        <f>IFERROR(__xludf.DUMMYFUNCTION("""COMPUTED_VALUE"""),18.94)</f>
        <v>18.94</v>
      </c>
      <c r="D1436" s="1">
        <f>IFERROR(__xludf.DUMMYFUNCTION("""COMPUTED_VALUE"""),18.51)</f>
        <v>18.51</v>
      </c>
      <c r="E1436" s="1">
        <f>IFERROR(__xludf.DUMMYFUNCTION("""COMPUTED_VALUE"""),18.67)</f>
        <v>18.67</v>
      </c>
      <c r="F1436" s="1">
        <f>IFERROR(__xludf.DUMMYFUNCTION("""COMPUTED_VALUE"""),568591.0)</f>
        <v>568591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IFERROR(__xludf.DUMMYFUNCTION("""COMPUTED_VALUE"""),18.77)</f>
        <v>18.77</v>
      </c>
      <c r="C1437" s="1">
        <f>IFERROR(__xludf.DUMMYFUNCTION("""COMPUTED_VALUE"""),19.37)</f>
        <v>19.37</v>
      </c>
      <c r="D1437" s="1">
        <f>IFERROR(__xludf.DUMMYFUNCTION("""COMPUTED_VALUE"""),18.75)</f>
        <v>18.75</v>
      </c>
      <c r="E1437" s="1">
        <f>IFERROR(__xludf.DUMMYFUNCTION("""COMPUTED_VALUE"""),19.17)</f>
        <v>19.17</v>
      </c>
      <c r="F1437" s="1">
        <f>IFERROR(__xludf.DUMMYFUNCTION("""COMPUTED_VALUE"""),682956.0)</f>
        <v>682956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IFERROR(__xludf.DUMMYFUNCTION("""COMPUTED_VALUE"""),19.16)</f>
        <v>19.16</v>
      </c>
      <c r="C1438" s="1">
        <f>IFERROR(__xludf.DUMMYFUNCTION("""COMPUTED_VALUE"""),19.33)</f>
        <v>19.33</v>
      </c>
      <c r="D1438" s="1">
        <f>IFERROR(__xludf.DUMMYFUNCTION("""COMPUTED_VALUE"""),19.03)</f>
        <v>19.03</v>
      </c>
      <c r="E1438" s="1">
        <f>IFERROR(__xludf.DUMMYFUNCTION("""COMPUTED_VALUE"""),19.09)</f>
        <v>19.09</v>
      </c>
      <c r="F1438" s="1">
        <f>IFERROR(__xludf.DUMMYFUNCTION("""COMPUTED_VALUE"""),274473.0)</f>
        <v>274473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IFERROR(__xludf.DUMMYFUNCTION("""COMPUTED_VALUE"""),19.0)</f>
        <v>19</v>
      </c>
      <c r="C1439" s="1">
        <f>IFERROR(__xludf.DUMMYFUNCTION("""COMPUTED_VALUE"""),19.15)</f>
        <v>19.15</v>
      </c>
      <c r="D1439" s="1">
        <f>IFERROR(__xludf.DUMMYFUNCTION("""COMPUTED_VALUE"""),18.82)</f>
        <v>18.82</v>
      </c>
      <c r="E1439" s="1">
        <f>IFERROR(__xludf.DUMMYFUNCTION("""COMPUTED_VALUE"""),18.87)</f>
        <v>18.87</v>
      </c>
      <c r="F1439" s="1">
        <f>IFERROR(__xludf.DUMMYFUNCTION("""COMPUTED_VALUE"""),1268470.0)</f>
        <v>1268470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IFERROR(__xludf.DUMMYFUNCTION("""COMPUTED_VALUE"""),18.93)</f>
        <v>18.93</v>
      </c>
      <c r="C1440" s="1">
        <f>IFERROR(__xludf.DUMMYFUNCTION("""COMPUTED_VALUE"""),19.16)</f>
        <v>19.16</v>
      </c>
      <c r="D1440" s="1">
        <f>IFERROR(__xludf.DUMMYFUNCTION("""COMPUTED_VALUE"""),18.93)</f>
        <v>18.93</v>
      </c>
      <c r="E1440" s="1">
        <f>IFERROR(__xludf.DUMMYFUNCTION("""COMPUTED_VALUE"""),19.01)</f>
        <v>19.01</v>
      </c>
      <c r="F1440" s="1">
        <f>IFERROR(__xludf.DUMMYFUNCTION("""COMPUTED_VALUE"""),727843.0)</f>
        <v>727843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IFERROR(__xludf.DUMMYFUNCTION("""COMPUTED_VALUE"""),18.82)</f>
        <v>18.82</v>
      </c>
      <c r="C1441" s="1">
        <f>IFERROR(__xludf.DUMMYFUNCTION("""COMPUTED_VALUE"""),19.23)</f>
        <v>19.23</v>
      </c>
      <c r="D1441" s="1">
        <f>IFERROR(__xludf.DUMMYFUNCTION("""COMPUTED_VALUE"""),18.82)</f>
        <v>18.82</v>
      </c>
      <c r="E1441" s="1">
        <f>IFERROR(__xludf.DUMMYFUNCTION("""COMPUTED_VALUE"""),19.02)</f>
        <v>19.02</v>
      </c>
      <c r="F1441" s="1">
        <f>IFERROR(__xludf.DUMMYFUNCTION("""COMPUTED_VALUE"""),1092445.0)</f>
        <v>1092445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IFERROR(__xludf.DUMMYFUNCTION("""COMPUTED_VALUE"""),18.95)</f>
        <v>18.95</v>
      </c>
      <c r="C1442" s="1">
        <f>IFERROR(__xludf.DUMMYFUNCTION("""COMPUTED_VALUE"""),19.06)</f>
        <v>19.06</v>
      </c>
      <c r="D1442" s="1">
        <f>IFERROR(__xludf.DUMMYFUNCTION("""COMPUTED_VALUE"""),18.48)</f>
        <v>18.48</v>
      </c>
      <c r="E1442" s="1">
        <f>IFERROR(__xludf.DUMMYFUNCTION("""COMPUTED_VALUE"""),18.53)</f>
        <v>18.53</v>
      </c>
      <c r="F1442" s="1">
        <f>IFERROR(__xludf.DUMMYFUNCTION("""COMPUTED_VALUE"""),464864.0)</f>
        <v>464864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IFERROR(__xludf.DUMMYFUNCTION("""COMPUTED_VALUE"""),18.4)</f>
        <v>18.4</v>
      </c>
      <c r="C1443" s="1">
        <f>IFERROR(__xludf.DUMMYFUNCTION("""COMPUTED_VALUE"""),18.92)</f>
        <v>18.92</v>
      </c>
      <c r="D1443" s="1">
        <f>IFERROR(__xludf.DUMMYFUNCTION("""COMPUTED_VALUE"""),18.22)</f>
        <v>18.22</v>
      </c>
      <c r="E1443" s="1">
        <f>IFERROR(__xludf.DUMMYFUNCTION("""COMPUTED_VALUE"""),18.84)</f>
        <v>18.84</v>
      </c>
      <c r="F1443" s="1">
        <f>IFERROR(__xludf.DUMMYFUNCTION("""COMPUTED_VALUE"""),851502.0)</f>
        <v>851502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IFERROR(__xludf.DUMMYFUNCTION("""COMPUTED_VALUE"""),19.05)</f>
        <v>19.05</v>
      </c>
      <c r="C1444" s="1">
        <f>IFERROR(__xludf.DUMMYFUNCTION("""COMPUTED_VALUE"""),19.13)</f>
        <v>19.13</v>
      </c>
      <c r="D1444" s="1">
        <f>IFERROR(__xludf.DUMMYFUNCTION("""COMPUTED_VALUE"""),18.46)</f>
        <v>18.46</v>
      </c>
      <c r="E1444" s="1">
        <f>IFERROR(__xludf.DUMMYFUNCTION("""COMPUTED_VALUE"""),18.7)</f>
        <v>18.7</v>
      </c>
      <c r="F1444" s="1">
        <f>IFERROR(__xludf.DUMMYFUNCTION("""COMPUTED_VALUE"""),799229.0)</f>
        <v>799229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IFERROR(__xludf.DUMMYFUNCTION("""COMPUTED_VALUE"""),18.58)</f>
        <v>18.58</v>
      </c>
      <c r="C1445" s="1">
        <f>IFERROR(__xludf.DUMMYFUNCTION("""COMPUTED_VALUE"""),19.28)</f>
        <v>19.28</v>
      </c>
      <c r="D1445" s="1">
        <f>IFERROR(__xludf.DUMMYFUNCTION("""COMPUTED_VALUE"""),18.58)</f>
        <v>18.58</v>
      </c>
      <c r="E1445" s="1">
        <f>IFERROR(__xludf.DUMMYFUNCTION("""COMPUTED_VALUE"""),19.03)</f>
        <v>19.03</v>
      </c>
      <c r="F1445" s="1">
        <f>IFERROR(__xludf.DUMMYFUNCTION("""COMPUTED_VALUE"""),1175558.0)</f>
        <v>1175558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IFERROR(__xludf.DUMMYFUNCTION("""COMPUTED_VALUE"""),19.07)</f>
        <v>19.07</v>
      </c>
      <c r="C1446" s="1">
        <f>IFERROR(__xludf.DUMMYFUNCTION("""COMPUTED_VALUE"""),19.81)</f>
        <v>19.81</v>
      </c>
      <c r="D1446" s="1">
        <f>IFERROR(__xludf.DUMMYFUNCTION("""COMPUTED_VALUE"""),19.0)</f>
        <v>19</v>
      </c>
      <c r="E1446" s="1">
        <f>IFERROR(__xludf.DUMMYFUNCTION("""COMPUTED_VALUE"""),19.8)</f>
        <v>19.8</v>
      </c>
      <c r="F1446" s="1">
        <f>IFERROR(__xludf.DUMMYFUNCTION("""COMPUTED_VALUE"""),874578.0)</f>
        <v>874578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IFERROR(__xludf.DUMMYFUNCTION("""COMPUTED_VALUE"""),19.98)</f>
        <v>19.98</v>
      </c>
      <c r="C1447" s="1">
        <f>IFERROR(__xludf.DUMMYFUNCTION("""COMPUTED_VALUE"""),20.33)</f>
        <v>20.33</v>
      </c>
      <c r="D1447" s="1">
        <f>IFERROR(__xludf.DUMMYFUNCTION("""COMPUTED_VALUE"""),19.78)</f>
        <v>19.78</v>
      </c>
      <c r="E1447" s="1">
        <f>IFERROR(__xludf.DUMMYFUNCTION("""COMPUTED_VALUE"""),20.21)</f>
        <v>20.21</v>
      </c>
      <c r="F1447" s="1">
        <f>IFERROR(__xludf.DUMMYFUNCTION("""COMPUTED_VALUE"""),769602.0)</f>
        <v>769602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IFERROR(__xludf.DUMMYFUNCTION("""COMPUTED_VALUE"""),20.29)</f>
        <v>20.29</v>
      </c>
      <c r="C1448" s="1">
        <f>IFERROR(__xludf.DUMMYFUNCTION("""COMPUTED_VALUE"""),20.68)</f>
        <v>20.68</v>
      </c>
      <c r="D1448" s="1">
        <f>IFERROR(__xludf.DUMMYFUNCTION("""COMPUTED_VALUE"""),19.73)</f>
        <v>19.73</v>
      </c>
      <c r="E1448" s="1">
        <f>IFERROR(__xludf.DUMMYFUNCTION("""COMPUTED_VALUE"""),19.97)</f>
        <v>19.97</v>
      </c>
      <c r="F1448" s="1">
        <f>IFERROR(__xludf.DUMMYFUNCTION("""COMPUTED_VALUE"""),435135.0)</f>
        <v>435135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IFERROR(__xludf.DUMMYFUNCTION("""COMPUTED_VALUE"""),19.79)</f>
        <v>19.79</v>
      </c>
      <c r="C1449" s="1">
        <f>IFERROR(__xludf.DUMMYFUNCTION("""COMPUTED_VALUE"""),20.97)</f>
        <v>20.97</v>
      </c>
      <c r="D1449" s="1">
        <f>IFERROR(__xludf.DUMMYFUNCTION("""COMPUTED_VALUE"""),19.79)</f>
        <v>19.79</v>
      </c>
      <c r="E1449" s="1">
        <f>IFERROR(__xludf.DUMMYFUNCTION("""COMPUTED_VALUE"""),20.93)</f>
        <v>20.93</v>
      </c>
      <c r="F1449" s="1">
        <f>IFERROR(__xludf.DUMMYFUNCTION("""COMPUTED_VALUE"""),600342.0)</f>
        <v>600342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IFERROR(__xludf.DUMMYFUNCTION("""COMPUTED_VALUE"""),21.13)</f>
        <v>21.13</v>
      </c>
      <c r="C1450" s="1">
        <f>IFERROR(__xludf.DUMMYFUNCTION("""COMPUTED_VALUE"""),21.16)</f>
        <v>21.16</v>
      </c>
      <c r="D1450" s="1">
        <f>IFERROR(__xludf.DUMMYFUNCTION("""COMPUTED_VALUE"""),20.82)</f>
        <v>20.82</v>
      </c>
      <c r="E1450" s="1">
        <f>IFERROR(__xludf.DUMMYFUNCTION("""COMPUTED_VALUE"""),21.04)</f>
        <v>21.04</v>
      </c>
      <c r="F1450" s="1">
        <f>IFERROR(__xludf.DUMMYFUNCTION("""COMPUTED_VALUE"""),643985.0)</f>
        <v>643985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IFERROR(__xludf.DUMMYFUNCTION("""COMPUTED_VALUE"""),20.9)</f>
        <v>20.9</v>
      </c>
      <c r="C1451" s="1">
        <f>IFERROR(__xludf.DUMMYFUNCTION("""COMPUTED_VALUE"""),21.36)</f>
        <v>21.36</v>
      </c>
      <c r="D1451" s="1">
        <f>IFERROR(__xludf.DUMMYFUNCTION("""COMPUTED_VALUE"""),20.9)</f>
        <v>20.9</v>
      </c>
      <c r="E1451" s="1">
        <f>IFERROR(__xludf.DUMMYFUNCTION("""COMPUTED_VALUE"""),21.04)</f>
        <v>21.04</v>
      </c>
      <c r="F1451" s="1">
        <f>IFERROR(__xludf.DUMMYFUNCTION("""COMPUTED_VALUE"""),641163.0)</f>
        <v>641163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IFERROR(__xludf.DUMMYFUNCTION("""COMPUTED_VALUE"""),21.24)</f>
        <v>21.24</v>
      </c>
      <c r="C1452" s="1">
        <f>IFERROR(__xludf.DUMMYFUNCTION("""COMPUTED_VALUE"""),21.66)</f>
        <v>21.66</v>
      </c>
      <c r="D1452" s="1">
        <f>IFERROR(__xludf.DUMMYFUNCTION("""COMPUTED_VALUE"""),21.18)</f>
        <v>21.18</v>
      </c>
      <c r="E1452" s="1">
        <f>IFERROR(__xludf.DUMMYFUNCTION("""COMPUTED_VALUE"""),21.61)</f>
        <v>21.61</v>
      </c>
      <c r="F1452" s="1">
        <f>IFERROR(__xludf.DUMMYFUNCTION("""COMPUTED_VALUE"""),580111.0)</f>
        <v>580111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IFERROR(__xludf.DUMMYFUNCTION("""COMPUTED_VALUE"""),21.47)</f>
        <v>21.47</v>
      </c>
      <c r="C1453" s="1">
        <f>IFERROR(__xludf.DUMMYFUNCTION("""COMPUTED_VALUE"""),21.47)</f>
        <v>21.47</v>
      </c>
      <c r="D1453" s="1">
        <f>IFERROR(__xludf.DUMMYFUNCTION("""COMPUTED_VALUE"""),20.95)</f>
        <v>20.95</v>
      </c>
      <c r="E1453" s="1">
        <f>IFERROR(__xludf.DUMMYFUNCTION("""COMPUTED_VALUE"""),21.08)</f>
        <v>21.08</v>
      </c>
      <c r="F1453" s="1">
        <f>IFERROR(__xludf.DUMMYFUNCTION("""COMPUTED_VALUE"""),1179732.0)</f>
        <v>1179732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IFERROR(__xludf.DUMMYFUNCTION("""COMPUTED_VALUE"""),21.1)</f>
        <v>21.1</v>
      </c>
      <c r="C1454" s="1">
        <f>IFERROR(__xludf.DUMMYFUNCTION("""COMPUTED_VALUE"""),21.42)</f>
        <v>21.42</v>
      </c>
      <c r="D1454" s="1">
        <f>IFERROR(__xludf.DUMMYFUNCTION("""COMPUTED_VALUE"""),21.01)</f>
        <v>21.01</v>
      </c>
      <c r="E1454" s="1">
        <f>IFERROR(__xludf.DUMMYFUNCTION("""COMPUTED_VALUE"""),21.36)</f>
        <v>21.36</v>
      </c>
      <c r="F1454" s="1">
        <f>IFERROR(__xludf.DUMMYFUNCTION("""COMPUTED_VALUE"""),1172777.0)</f>
        <v>1172777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IFERROR(__xludf.DUMMYFUNCTION("""COMPUTED_VALUE"""),21.45)</f>
        <v>21.45</v>
      </c>
      <c r="C1455" s="1">
        <f>IFERROR(__xludf.DUMMYFUNCTION("""COMPUTED_VALUE"""),22.32)</f>
        <v>22.32</v>
      </c>
      <c r="D1455" s="1">
        <f>IFERROR(__xludf.DUMMYFUNCTION("""COMPUTED_VALUE"""),21.37)</f>
        <v>21.37</v>
      </c>
      <c r="E1455" s="1">
        <f>IFERROR(__xludf.DUMMYFUNCTION("""COMPUTED_VALUE"""),22.1)</f>
        <v>22.1</v>
      </c>
      <c r="F1455" s="1">
        <f>IFERROR(__xludf.DUMMYFUNCTION("""COMPUTED_VALUE"""),867321.0)</f>
        <v>867321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IFERROR(__xludf.DUMMYFUNCTION("""COMPUTED_VALUE"""),21.97)</f>
        <v>21.97</v>
      </c>
      <c r="C1456" s="1">
        <f>IFERROR(__xludf.DUMMYFUNCTION("""COMPUTED_VALUE"""),22.14)</f>
        <v>22.14</v>
      </c>
      <c r="D1456" s="1">
        <f>IFERROR(__xludf.DUMMYFUNCTION("""COMPUTED_VALUE"""),21.71)</f>
        <v>21.71</v>
      </c>
      <c r="E1456" s="1">
        <f>IFERROR(__xludf.DUMMYFUNCTION("""COMPUTED_VALUE"""),21.96)</f>
        <v>21.96</v>
      </c>
      <c r="F1456" s="1">
        <f>IFERROR(__xludf.DUMMYFUNCTION("""COMPUTED_VALUE"""),335616.0)</f>
        <v>335616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IFERROR(__xludf.DUMMYFUNCTION("""COMPUTED_VALUE"""),21.89)</f>
        <v>21.89</v>
      </c>
      <c r="C1457" s="1">
        <f>IFERROR(__xludf.DUMMYFUNCTION("""COMPUTED_VALUE"""),22.8)</f>
        <v>22.8</v>
      </c>
      <c r="D1457" s="1">
        <f>IFERROR(__xludf.DUMMYFUNCTION("""COMPUTED_VALUE"""),21.73)</f>
        <v>21.73</v>
      </c>
      <c r="E1457" s="1">
        <f>IFERROR(__xludf.DUMMYFUNCTION("""COMPUTED_VALUE"""),22.13)</f>
        <v>22.13</v>
      </c>
      <c r="F1457" s="1">
        <f>IFERROR(__xludf.DUMMYFUNCTION("""COMPUTED_VALUE"""),639646.0)</f>
        <v>639646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IFERROR(__xludf.DUMMYFUNCTION("""COMPUTED_VALUE"""),22.46)</f>
        <v>22.46</v>
      </c>
      <c r="C1458" s="1">
        <f>IFERROR(__xludf.DUMMYFUNCTION("""COMPUTED_VALUE"""),22.47)</f>
        <v>22.47</v>
      </c>
      <c r="D1458" s="1">
        <f>IFERROR(__xludf.DUMMYFUNCTION("""COMPUTED_VALUE"""),22.08)</f>
        <v>22.08</v>
      </c>
      <c r="E1458" s="1">
        <f>IFERROR(__xludf.DUMMYFUNCTION("""COMPUTED_VALUE"""),22.42)</f>
        <v>22.42</v>
      </c>
      <c r="F1458" s="1">
        <f>IFERROR(__xludf.DUMMYFUNCTION("""COMPUTED_VALUE"""),463987.0)</f>
        <v>463987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IFERROR(__xludf.DUMMYFUNCTION("""COMPUTED_VALUE"""),22.36)</f>
        <v>22.36</v>
      </c>
      <c r="C1459" s="1">
        <f>IFERROR(__xludf.DUMMYFUNCTION("""COMPUTED_VALUE"""),22.58)</f>
        <v>22.58</v>
      </c>
      <c r="D1459" s="1">
        <f>IFERROR(__xludf.DUMMYFUNCTION("""COMPUTED_VALUE"""),22.17)</f>
        <v>22.17</v>
      </c>
      <c r="E1459" s="1">
        <f>IFERROR(__xludf.DUMMYFUNCTION("""COMPUTED_VALUE"""),22.45)</f>
        <v>22.45</v>
      </c>
      <c r="F1459" s="1">
        <f>IFERROR(__xludf.DUMMYFUNCTION("""COMPUTED_VALUE"""),796139.0)</f>
        <v>796139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IFERROR(__xludf.DUMMYFUNCTION("""COMPUTED_VALUE"""),22.45)</f>
        <v>22.45</v>
      </c>
      <c r="C1460" s="1">
        <f>IFERROR(__xludf.DUMMYFUNCTION("""COMPUTED_VALUE"""),23.41)</f>
        <v>23.41</v>
      </c>
      <c r="D1460" s="1">
        <f>IFERROR(__xludf.DUMMYFUNCTION("""COMPUTED_VALUE"""),22.27)</f>
        <v>22.27</v>
      </c>
      <c r="E1460" s="1">
        <f>IFERROR(__xludf.DUMMYFUNCTION("""COMPUTED_VALUE"""),22.99)</f>
        <v>22.99</v>
      </c>
      <c r="F1460" s="1">
        <f>IFERROR(__xludf.DUMMYFUNCTION("""COMPUTED_VALUE"""),1234523.0)</f>
        <v>1234523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IFERROR(__xludf.DUMMYFUNCTION("""COMPUTED_VALUE"""),23.27)</f>
        <v>23.27</v>
      </c>
      <c r="C1461" s="1">
        <f>IFERROR(__xludf.DUMMYFUNCTION("""COMPUTED_VALUE"""),24.98)</f>
        <v>24.98</v>
      </c>
      <c r="D1461" s="1">
        <f>IFERROR(__xludf.DUMMYFUNCTION("""COMPUTED_VALUE"""),23.05)</f>
        <v>23.05</v>
      </c>
      <c r="E1461" s="1">
        <f>IFERROR(__xludf.DUMMYFUNCTION("""COMPUTED_VALUE"""),24.98)</f>
        <v>24.98</v>
      </c>
      <c r="F1461" s="1">
        <f>IFERROR(__xludf.DUMMYFUNCTION("""COMPUTED_VALUE"""),1969014.0)</f>
        <v>1969014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IFERROR(__xludf.DUMMYFUNCTION("""COMPUTED_VALUE"""),25.25)</f>
        <v>25.25</v>
      </c>
      <c r="C1462" s="1">
        <f>IFERROR(__xludf.DUMMYFUNCTION("""COMPUTED_VALUE"""),26.75)</f>
        <v>26.75</v>
      </c>
      <c r="D1462" s="1">
        <f>IFERROR(__xludf.DUMMYFUNCTION("""COMPUTED_VALUE"""),25.07)</f>
        <v>25.07</v>
      </c>
      <c r="E1462" s="1">
        <f>IFERROR(__xludf.DUMMYFUNCTION("""COMPUTED_VALUE"""),25.21)</f>
        <v>25.21</v>
      </c>
      <c r="F1462" s="1">
        <f>IFERROR(__xludf.DUMMYFUNCTION("""COMPUTED_VALUE"""),2054390.0)</f>
        <v>2054390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IFERROR(__xludf.DUMMYFUNCTION("""COMPUTED_VALUE"""),25.22)</f>
        <v>25.22</v>
      </c>
      <c r="C1463" s="1">
        <f>IFERROR(__xludf.DUMMYFUNCTION("""COMPUTED_VALUE"""),25.42)</f>
        <v>25.42</v>
      </c>
      <c r="D1463" s="1">
        <f>IFERROR(__xludf.DUMMYFUNCTION("""COMPUTED_VALUE"""),24.75)</f>
        <v>24.75</v>
      </c>
      <c r="E1463" s="1">
        <f>IFERROR(__xludf.DUMMYFUNCTION("""COMPUTED_VALUE"""),24.98)</f>
        <v>24.98</v>
      </c>
      <c r="F1463" s="1">
        <f>IFERROR(__xludf.DUMMYFUNCTION("""COMPUTED_VALUE"""),1236785.0)</f>
        <v>1236785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IFERROR(__xludf.DUMMYFUNCTION("""COMPUTED_VALUE"""),25.27)</f>
        <v>25.27</v>
      </c>
      <c r="C1464" s="1">
        <f>IFERROR(__xludf.DUMMYFUNCTION("""COMPUTED_VALUE"""),26.1)</f>
        <v>26.1</v>
      </c>
      <c r="D1464" s="1">
        <f>IFERROR(__xludf.DUMMYFUNCTION("""COMPUTED_VALUE"""),24.75)</f>
        <v>24.75</v>
      </c>
      <c r="E1464" s="1">
        <f>IFERROR(__xludf.DUMMYFUNCTION("""COMPUTED_VALUE"""),25.9)</f>
        <v>25.9</v>
      </c>
      <c r="F1464" s="1">
        <f>IFERROR(__xludf.DUMMYFUNCTION("""COMPUTED_VALUE"""),1556349.0)</f>
        <v>1556349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IFERROR(__xludf.DUMMYFUNCTION("""COMPUTED_VALUE"""),26.0)</f>
        <v>26</v>
      </c>
      <c r="C1465" s="1">
        <f>IFERROR(__xludf.DUMMYFUNCTION("""COMPUTED_VALUE"""),26.26)</f>
        <v>26.26</v>
      </c>
      <c r="D1465" s="1">
        <f>IFERROR(__xludf.DUMMYFUNCTION("""COMPUTED_VALUE"""),25.75)</f>
        <v>25.75</v>
      </c>
      <c r="E1465" s="1">
        <f>IFERROR(__xludf.DUMMYFUNCTION("""COMPUTED_VALUE"""),26.06)</f>
        <v>26.06</v>
      </c>
      <c r="F1465" s="1">
        <f>IFERROR(__xludf.DUMMYFUNCTION("""COMPUTED_VALUE"""),1362367.0)</f>
        <v>1362367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IFERROR(__xludf.DUMMYFUNCTION("""COMPUTED_VALUE"""),26.0)</f>
        <v>26</v>
      </c>
      <c r="C1466" s="1">
        <f>IFERROR(__xludf.DUMMYFUNCTION("""COMPUTED_VALUE"""),26.61)</f>
        <v>26.61</v>
      </c>
      <c r="D1466" s="1">
        <f>IFERROR(__xludf.DUMMYFUNCTION("""COMPUTED_VALUE"""),25.74)</f>
        <v>25.74</v>
      </c>
      <c r="E1466" s="1">
        <f>IFERROR(__xludf.DUMMYFUNCTION("""COMPUTED_VALUE"""),26.59)</f>
        <v>26.59</v>
      </c>
      <c r="F1466" s="1">
        <f>IFERROR(__xludf.DUMMYFUNCTION("""COMPUTED_VALUE"""),913855.0)</f>
        <v>913855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IFERROR(__xludf.DUMMYFUNCTION("""COMPUTED_VALUE"""),26.58)</f>
        <v>26.58</v>
      </c>
      <c r="C1467" s="1">
        <f>IFERROR(__xludf.DUMMYFUNCTION("""COMPUTED_VALUE"""),27.16)</f>
        <v>27.16</v>
      </c>
      <c r="D1467" s="1">
        <f>IFERROR(__xludf.DUMMYFUNCTION("""COMPUTED_VALUE"""),26.5)</f>
        <v>26.5</v>
      </c>
      <c r="E1467" s="1">
        <f>IFERROR(__xludf.DUMMYFUNCTION("""COMPUTED_VALUE"""),26.87)</f>
        <v>26.87</v>
      </c>
      <c r="F1467" s="1">
        <f>IFERROR(__xludf.DUMMYFUNCTION("""COMPUTED_VALUE"""),1264740.0)</f>
        <v>1264740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IFERROR(__xludf.DUMMYFUNCTION("""COMPUTED_VALUE"""),27.0)</f>
        <v>27</v>
      </c>
      <c r="C1468" s="1">
        <f>IFERROR(__xludf.DUMMYFUNCTION("""COMPUTED_VALUE"""),28.69)</f>
        <v>28.69</v>
      </c>
      <c r="D1468" s="1">
        <f>IFERROR(__xludf.DUMMYFUNCTION("""COMPUTED_VALUE"""),26.77)</f>
        <v>26.77</v>
      </c>
      <c r="E1468" s="1">
        <f>IFERROR(__xludf.DUMMYFUNCTION("""COMPUTED_VALUE"""),27.73)</f>
        <v>27.73</v>
      </c>
      <c r="F1468" s="1">
        <f>IFERROR(__xludf.DUMMYFUNCTION("""COMPUTED_VALUE"""),2567298.0)</f>
        <v>2567298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IFERROR(__xludf.DUMMYFUNCTION("""COMPUTED_VALUE"""),27.72)</f>
        <v>27.72</v>
      </c>
      <c r="C1469" s="1">
        <f>IFERROR(__xludf.DUMMYFUNCTION("""COMPUTED_VALUE"""),27.99)</f>
        <v>27.99</v>
      </c>
      <c r="D1469" s="1">
        <f>IFERROR(__xludf.DUMMYFUNCTION("""COMPUTED_VALUE"""),27.1)</f>
        <v>27.1</v>
      </c>
      <c r="E1469" s="1">
        <f>IFERROR(__xludf.DUMMYFUNCTION("""COMPUTED_VALUE"""),27.51)</f>
        <v>27.51</v>
      </c>
      <c r="F1469" s="1">
        <f>IFERROR(__xludf.DUMMYFUNCTION("""COMPUTED_VALUE"""),1136289.0)</f>
        <v>1136289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IFERROR(__xludf.DUMMYFUNCTION("""COMPUTED_VALUE"""),27.49)</f>
        <v>27.49</v>
      </c>
      <c r="C1470" s="1">
        <f>IFERROR(__xludf.DUMMYFUNCTION("""COMPUTED_VALUE"""),27.82)</f>
        <v>27.82</v>
      </c>
      <c r="D1470" s="1">
        <f>IFERROR(__xludf.DUMMYFUNCTION("""COMPUTED_VALUE"""),27.13)</f>
        <v>27.13</v>
      </c>
      <c r="E1470" s="1">
        <f>IFERROR(__xludf.DUMMYFUNCTION("""COMPUTED_VALUE"""),27.67)</f>
        <v>27.67</v>
      </c>
      <c r="F1470" s="1">
        <f>IFERROR(__xludf.DUMMYFUNCTION("""COMPUTED_VALUE"""),1267896.0)</f>
        <v>1267896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IFERROR(__xludf.DUMMYFUNCTION("""COMPUTED_VALUE"""),27.69)</f>
        <v>27.69</v>
      </c>
      <c r="C1471" s="1">
        <f>IFERROR(__xludf.DUMMYFUNCTION("""COMPUTED_VALUE"""),27.98)</f>
        <v>27.98</v>
      </c>
      <c r="D1471" s="1">
        <f>IFERROR(__xludf.DUMMYFUNCTION("""COMPUTED_VALUE"""),27.56)</f>
        <v>27.56</v>
      </c>
      <c r="E1471" s="1">
        <f>IFERROR(__xludf.DUMMYFUNCTION("""COMPUTED_VALUE"""),27.86)</f>
        <v>27.86</v>
      </c>
      <c r="F1471" s="1">
        <f>IFERROR(__xludf.DUMMYFUNCTION("""COMPUTED_VALUE"""),1170670.0)</f>
        <v>1170670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IFERROR(__xludf.DUMMYFUNCTION("""COMPUTED_VALUE"""),27.88)</f>
        <v>27.88</v>
      </c>
      <c r="C1472" s="1">
        <f>IFERROR(__xludf.DUMMYFUNCTION("""COMPUTED_VALUE"""),28.28)</f>
        <v>28.28</v>
      </c>
      <c r="D1472" s="1">
        <f>IFERROR(__xludf.DUMMYFUNCTION("""COMPUTED_VALUE"""),27.76)</f>
        <v>27.76</v>
      </c>
      <c r="E1472" s="1">
        <f>IFERROR(__xludf.DUMMYFUNCTION("""COMPUTED_VALUE"""),28.0)</f>
        <v>28</v>
      </c>
      <c r="F1472" s="1">
        <f>IFERROR(__xludf.DUMMYFUNCTION("""COMPUTED_VALUE"""),894998.0)</f>
        <v>894998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IFERROR(__xludf.DUMMYFUNCTION("""COMPUTED_VALUE"""),28.0)</f>
        <v>28</v>
      </c>
      <c r="C1473" s="1">
        <f>IFERROR(__xludf.DUMMYFUNCTION("""COMPUTED_VALUE"""),28.42)</f>
        <v>28.42</v>
      </c>
      <c r="D1473" s="1">
        <f>IFERROR(__xludf.DUMMYFUNCTION("""COMPUTED_VALUE"""),27.9)</f>
        <v>27.9</v>
      </c>
      <c r="E1473" s="1">
        <f>IFERROR(__xludf.DUMMYFUNCTION("""COMPUTED_VALUE"""),28.16)</f>
        <v>28.16</v>
      </c>
      <c r="F1473" s="1">
        <f>IFERROR(__xludf.DUMMYFUNCTION("""COMPUTED_VALUE"""),574822.0)</f>
        <v>574822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IFERROR(__xludf.DUMMYFUNCTION("""COMPUTED_VALUE"""),28.05)</f>
        <v>28.05</v>
      </c>
      <c r="C1474" s="1">
        <f>IFERROR(__xludf.DUMMYFUNCTION("""COMPUTED_VALUE"""),28.81)</f>
        <v>28.81</v>
      </c>
      <c r="D1474" s="1">
        <f>IFERROR(__xludf.DUMMYFUNCTION("""COMPUTED_VALUE"""),27.81)</f>
        <v>27.81</v>
      </c>
      <c r="E1474" s="1">
        <f>IFERROR(__xludf.DUMMYFUNCTION("""COMPUTED_VALUE"""),28.76)</f>
        <v>28.76</v>
      </c>
      <c r="F1474" s="1">
        <f>IFERROR(__xludf.DUMMYFUNCTION("""COMPUTED_VALUE"""),853220.0)</f>
        <v>853220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IFERROR(__xludf.DUMMYFUNCTION("""COMPUTED_VALUE"""),28.6)</f>
        <v>28.6</v>
      </c>
      <c r="C1475" s="1">
        <f>IFERROR(__xludf.DUMMYFUNCTION("""COMPUTED_VALUE"""),28.73)</f>
        <v>28.73</v>
      </c>
      <c r="D1475" s="1">
        <f>IFERROR(__xludf.DUMMYFUNCTION("""COMPUTED_VALUE"""),28.15)</f>
        <v>28.15</v>
      </c>
      <c r="E1475" s="1">
        <f>IFERROR(__xludf.DUMMYFUNCTION("""COMPUTED_VALUE"""),28.31)</f>
        <v>28.31</v>
      </c>
      <c r="F1475" s="1">
        <f>IFERROR(__xludf.DUMMYFUNCTION("""COMPUTED_VALUE"""),1019424.0)</f>
        <v>1019424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IFERROR(__xludf.DUMMYFUNCTION("""COMPUTED_VALUE"""),28.04)</f>
        <v>28.04</v>
      </c>
      <c r="C1476" s="1">
        <f>IFERROR(__xludf.DUMMYFUNCTION("""COMPUTED_VALUE"""),28.3)</f>
        <v>28.3</v>
      </c>
      <c r="D1476" s="1">
        <f>IFERROR(__xludf.DUMMYFUNCTION("""COMPUTED_VALUE"""),27.46)</f>
        <v>27.46</v>
      </c>
      <c r="E1476" s="1">
        <f>IFERROR(__xludf.DUMMYFUNCTION("""COMPUTED_VALUE"""),28.25)</f>
        <v>28.25</v>
      </c>
      <c r="F1476" s="1">
        <f>IFERROR(__xludf.DUMMYFUNCTION("""COMPUTED_VALUE"""),1006533.0)</f>
        <v>1006533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IFERROR(__xludf.DUMMYFUNCTION("""COMPUTED_VALUE"""),28.25)</f>
        <v>28.25</v>
      </c>
      <c r="C1477" s="1">
        <f>IFERROR(__xludf.DUMMYFUNCTION("""COMPUTED_VALUE"""),28.85)</f>
        <v>28.85</v>
      </c>
      <c r="D1477" s="1">
        <f>IFERROR(__xludf.DUMMYFUNCTION("""COMPUTED_VALUE"""),27.94)</f>
        <v>27.94</v>
      </c>
      <c r="E1477" s="1">
        <f>IFERROR(__xludf.DUMMYFUNCTION("""COMPUTED_VALUE"""),28.64)</f>
        <v>28.64</v>
      </c>
      <c r="F1477" s="1">
        <f>IFERROR(__xludf.DUMMYFUNCTION("""COMPUTED_VALUE"""),901513.0)</f>
        <v>901513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IFERROR(__xludf.DUMMYFUNCTION("""COMPUTED_VALUE"""),28.6)</f>
        <v>28.6</v>
      </c>
      <c r="C1478" s="1">
        <f>IFERROR(__xludf.DUMMYFUNCTION("""COMPUTED_VALUE"""),29.65)</f>
        <v>29.65</v>
      </c>
      <c r="D1478" s="1">
        <f>IFERROR(__xludf.DUMMYFUNCTION("""COMPUTED_VALUE"""),28.52)</f>
        <v>28.52</v>
      </c>
      <c r="E1478" s="1">
        <f>IFERROR(__xludf.DUMMYFUNCTION("""COMPUTED_VALUE"""),28.83)</f>
        <v>28.83</v>
      </c>
      <c r="F1478" s="1">
        <f>IFERROR(__xludf.DUMMYFUNCTION("""COMPUTED_VALUE"""),1549124.0)</f>
        <v>1549124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IFERROR(__xludf.DUMMYFUNCTION("""COMPUTED_VALUE"""),28.93)</f>
        <v>28.93</v>
      </c>
      <c r="C1479" s="1">
        <f>IFERROR(__xludf.DUMMYFUNCTION("""COMPUTED_VALUE"""),29.56)</f>
        <v>29.56</v>
      </c>
      <c r="D1479" s="1">
        <f>IFERROR(__xludf.DUMMYFUNCTION("""COMPUTED_VALUE"""),28.66)</f>
        <v>28.66</v>
      </c>
      <c r="E1479" s="1">
        <f>IFERROR(__xludf.DUMMYFUNCTION("""COMPUTED_VALUE"""),28.88)</f>
        <v>28.88</v>
      </c>
      <c r="F1479" s="1">
        <f>IFERROR(__xludf.DUMMYFUNCTION("""COMPUTED_VALUE"""),1121660.0)</f>
        <v>1121660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IFERROR(__xludf.DUMMYFUNCTION("""COMPUTED_VALUE"""),28.66)</f>
        <v>28.66</v>
      </c>
      <c r="C1480" s="1">
        <f>IFERROR(__xludf.DUMMYFUNCTION("""COMPUTED_VALUE"""),29.06)</f>
        <v>29.06</v>
      </c>
      <c r="D1480" s="1">
        <f>IFERROR(__xludf.DUMMYFUNCTION("""COMPUTED_VALUE"""),28.15)</f>
        <v>28.15</v>
      </c>
      <c r="E1480" s="1">
        <f>IFERROR(__xludf.DUMMYFUNCTION("""COMPUTED_VALUE"""),28.36)</f>
        <v>28.36</v>
      </c>
      <c r="F1480" s="1">
        <f>IFERROR(__xludf.DUMMYFUNCTION("""COMPUTED_VALUE"""),1552366.0)</f>
        <v>1552366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IFERROR(__xludf.DUMMYFUNCTION("""COMPUTED_VALUE"""),28.53)</f>
        <v>28.53</v>
      </c>
      <c r="C1481" s="1">
        <f>IFERROR(__xludf.DUMMYFUNCTION("""COMPUTED_VALUE"""),28.66)</f>
        <v>28.66</v>
      </c>
      <c r="D1481" s="1">
        <f>IFERROR(__xludf.DUMMYFUNCTION("""COMPUTED_VALUE"""),27.8)</f>
        <v>27.8</v>
      </c>
      <c r="E1481" s="1">
        <f>IFERROR(__xludf.DUMMYFUNCTION("""COMPUTED_VALUE"""),28.23)</f>
        <v>28.23</v>
      </c>
      <c r="F1481" s="1">
        <f>IFERROR(__xludf.DUMMYFUNCTION("""COMPUTED_VALUE"""),1034518.0)</f>
        <v>1034518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IFERROR(__xludf.DUMMYFUNCTION("""COMPUTED_VALUE"""),28.38)</f>
        <v>28.38</v>
      </c>
      <c r="C1482" s="1">
        <f>IFERROR(__xludf.DUMMYFUNCTION("""COMPUTED_VALUE"""),28.79)</f>
        <v>28.79</v>
      </c>
      <c r="D1482" s="1">
        <f>IFERROR(__xludf.DUMMYFUNCTION("""COMPUTED_VALUE"""),28.15)</f>
        <v>28.15</v>
      </c>
      <c r="E1482" s="1">
        <f>IFERROR(__xludf.DUMMYFUNCTION("""COMPUTED_VALUE"""),28.71)</f>
        <v>28.71</v>
      </c>
      <c r="F1482" s="1">
        <f>IFERROR(__xludf.DUMMYFUNCTION("""COMPUTED_VALUE"""),1644634.0)</f>
        <v>1644634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IFERROR(__xludf.DUMMYFUNCTION("""COMPUTED_VALUE"""),28.77)</f>
        <v>28.77</v>
      </c>
      <c r="C1483" s="1">
        <f>IFERROR(__xludf.DUMMYFUNCTION("""COMPUTED_VALUE"""),30.35)</f>
        <v>30.35</v>
      </c>
      <c r="D1483" s="1">
        <f>IFERROR(__xludf.DUMMYFUNCTION("""COMPUTED_VALUE"""),28.61)</f>
        <v>28.61</v>
      </c>
      <c r="E1483" s="1">
        <f>IFERROR(__xludf.DUMMYFUNCTION("""COMPUTED_VALUE"""),30.25)</f>
        <v>30.25</v>
      </c>
      <c r="F1483" s="1">
        <f>IFERROR(__xludf.DUMMYFUNCTION("""COMPUTED_VALUE"""),1631352.0)</f>
        <v>1631352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IFERROR(__xludf.DUMMYFUNCTION("""COMPUTED_VALUE"""),30.53)</f>
        <v>30.53</v>
      </c>
      <c r="C1484" s="1">
        <f>IFERROR(__xludf.DUMMYFUNCTION("""COMPUTED_VALUE"""),30.98)</f>
        <v>30.98</v>
      </c>
      <c r="D1484" s="1">
        <f>IFERROR(__xludf.DUMMYFUNCTION("""COMPUTED_VALUE"""),30.05)</f>
        <v>30.05</v>
      </c>
      <c r="E1484" s="1">
        <f>IFERROR(__xludf.DUMMYFUNCTION("""COMPUTED_VALUE"""),30.14)</f>
        <v>30.14</v>
      </c>
      <c r="F1484" s="1">
        <f>IFERROR(__xludf.DUMMYFUNCTION("""COMPUTED_VALUE"""),1390344.0)</f>
        <v>1390344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IFERROR(__xludf.DUMMYFUNCTION("""COMPUTED_VALUE"""),30.18)</f>
        <v>30.18</v>
      </c>
      <c r="C1485" s="1">
        <f>IFERROR(__xludf.DUMMYFUNCTION("""COMPUTED_VALUE"""),30.43)</f>
        <v>30.43</v>
      </c>
      <c r="D1485" s="1">
        <f>IFERROR(__xludf.DUMMYFUNCTION("""COMPUTED_VALUE"""),29.88)</f>
        <v>29.88</v>
      </c>
      <c r="E1485" s="1">
        <f>IFERROR(__xludf.DUMMYFUNCTION("""COMPUTED_VALUE"""),30.16)</f>
        <v>30.16</v>
      </c>
      <c r="F1485" s="1">
        <f>IFERROR(__xludf.DUMMYFUNCTION("""COMPUTED_VALUE"""),1425719.0)</f>
        <v>1425719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IFERROR(__xludf.DUMMYFUNCTION("""COMPUTED_VALUE"""),29.88)</f>
        <v>29.88</v>
      </c>
      <c r="C1486" s="1">
        <f>IFERROR(__xludf.DUMMYFUNCTION("""COMPUTED_VALUE"""),30.19)</f>
        <v>30.19</v>
      </c>
      <c r="D1486" s="1">
        <f>IFERROR(__xludf.DUMMYFUNCTION("""COMPUTED_VALUE"""),29.76)</f>
        <v>29.76</v>
      </c>
      <c r="E1486" s="1">
        <f>IFERROR(__xludf.DUMMYFUNCTION("""COMPUTED_VALUE"""),30.05)</f>
        <v>30.05</v>
      </c>
      <c r="F1486" s="1">
        <f>IFERROR(__xludf.DUMMYFUNCTION("""COMPUTED_VALUE"""),1130983.0)</f>
        <v>1130983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IFERROR(__xludf.DUMMYFUNCTION("""COMPUTED_VALUE"""),30.07)</f>
        <v>30.07</v>
      </c>
      <c r="C1487" s="1">
        <f>IFERROR(__xludf.DUMMYFUNCTION("""COMPUTED_VALUE"""),30.95)</f>
        <v>30.95</v>
      </c>
      <c r="D1487" s="1">
        <f>IFERROR(__xludf.DUMMYFUNCTION("""COMPUTED_VALUE"""),30.05)</f>
        <v>30.05</v>
      </c>
      <c r="E1487" s="1">
        <f>IFERROR(__xludf.DUMMYFUNCTION("""COMPUTED_VALUE"""),30.37)</f>
        <v>30.37</v>
      </c>
      <c r="F1487" s="1">
        <f>IFERROR(__xludf.DUMMYFUNCTION("""COMPUTED_VALUE"""),2398180.0)</f>
        <v>2398180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IFERROR(__xludf.DUMMYFUNCTION("""COMPUTED_VALUE"""),30.16)</f>
        <v>30.16</v>
      </c>
      <c r="C1488" s="1">
        <f>IFERROR(__xludf.DUMMYFUNCTION("""COMPUTED_VALUE"""),30.2)</f>
        <v>30.2</v>
      </c>
      <c r="D1488" s="1">
        <f>IFERROR(__xludf.DUMMYFUNCTION("""COMPUTED_VALUE"""),28.62)</f>
        <v>28.62</v>
      </c>
      <c r="E1488" s="1">
        <f>IFERROR(__xludf.DUMMYFUNCTION("""COMPUTED_VALUE"""),29.66)</f>
        <v>29.66</v>
      </c>
      <c r="F1488" s="1">
        <f>IFERROR(__xludf.DUMMYFUNCTION("""COMPUTED_VALUE"""),1059810.0)</f>
        <v>1059810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IFERROR(__xludf.DUMMYFUNCTION("""COMPUTED_VALUE"""),29.91)</f>
        <v>29.91</v>
      </c>
      <c r="C1489" s="1">
        <f>IFERROR(__xludf.DUMMYFUNCTION("""COMPUTED_VALUE"""),29.96)</f>
        <v>29.96</v>
      </c>
      <c r="D1489" s="1">
        <f>IFERROR(__xludf.DUMMYFUNCTION("""COMPUTED_VALUE"""),28.85)</f>
        <v>28.85</v>
      </c>
      <c r="E1489" s="1">
        <f>IFERROR(__xludf.DUMMYFUNCTION("""COMPUTED_VALUE"""),29.02)</f>
        <v>29.02</v>
      </c>
      <c r="F1489" s="1">
        <f>IFERROR(__xludf.DUMMYFUNCTION("""COMPUTED_VALUE"""),1.0326056E7)</f>
        <v>10326056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IFERROR(__xludf.DUMMYFUNCTION("""COMPUTED_VALUE"""),29.02)</f>
        <v>29.02</v>
      </c>
      <c r="C1490" s="1">
        <f>IFERROR(__xludf.DUMMYFUNCTION("""COMPUTED_VALUE"""),30.63)</f>
        <v>30.63</v>
      </c>
      <c r="D1490" s="1">
        <f>IFERROR(__xludf.DUMMYFUNCTION("""COMPUTED_VALUE"""),28.99)</f>
        <v>28.99</v>
      </c>
      <c r="E1490" s="1">
        <f>IFERROR(__xludf.DUMMYFUNCTION("""COMPUTED_VALUE"""),30.63)</f>
        <v>30.63</v>
      </c>
      <c r="F1490" s="1">
        <f>IFERROR(__xludf.DUMMYFUNCTION("""COMPUTED_VALUE"""),2658926.0)</f>
        <v>2658926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IFERROR(__xludf.DUMMYFUNCTION("""COMPUTED_VALUE"""),30.72)</f>
        <v>30.72</v>
      </c>
      <c r="C1491" s="1">
        <f>IFERROR(__xludf.DUMMYFUNCTION("""COMPUTED_VALUE"""),31.31)</f>
        <v>31.31</v>
      </c>
      <c r="D1491" s="1">
        <f>IFERROR(__xludf.DUMMYFUNCTION("""COMPUTED_VALUE"""),30.62)</f>
        <v>30.62</v>
      </c>
      <c r="E1491" s="1">
        <f>IFERROR(__xludf.DUMMYFUNCTION("""COMPUTED_VALUE"""),31.17)</f>
        <v>31.17</v>
      </c>
      <c r="F1491" s="1">
        <f>IFERROR(__xludf.DUMMYFUNCTION("""COMPUTED_VALUE"""),1445832.0)</f>
        <v>1445832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IFERROR(__xludf.DUMMYFUNCTION("""COMPUTED_VALUE"""),31.14)</f>
        <v>31.14</v>
      </c>
      <c r="C1492" s="1">
        <f>IFERROR(__xludf.DUMMYFUNCTION("""COMPUTED_VALUE"""),31.42)</f>
        <v>31.42</v>
      </c>
      <c r="D1492" s="1">
        <f>IFERROR(__xludf.DUMMYFUNCTION("""COMPUTED_VALUE"""),30.86)</f>
        <v>30.86</v>
      </c>
      <c r="E1492" s="1">
        <f>IFERROR(__xludf.DUMMYFUNCTION("""COMPUTED_VALUE"""),31.18)</f>
        <v>31.18</v>
      </c>
      <c r="F1492" s="1">
        <f>IFERROR(__xludf.DUMMYFUNCTION("""COMPUTED_VALUE"""),1705805.0)</f>
        <v>1705805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IFERROR(__xludf.DUMMYFUNCTION("""COMPUTED_VALUE"""),31.25)</f>
        <v>31.25</v>
      </c>
      <c r="C1493" s="1">
        <f>IFERROR(__xludf.DUMMYFUNCTION("""COMPUTED_VALUE"""),31.43)</f>
        <v>31.43</v>
      </c>
      <c r="D1493" s="1">
        <f>IFERROR(__xludf.DUMMYFUNCTION("""COMPUTED_VALUE"""),31.0)</f>
        <v>31</v>
      </c>
      <c r="E1493" s="1">
        <f>IFERROR(__xludf.DUMMYFUNCTION("""COMPUTED_VALUE"""),31.38)</f>
        <v>31.38</v>
      </c>
      <c r="F1493" s="1">
        <f>IFERROR(__xludf.DUMMYFUNCTION("""COMPUTED_VALUE"""),1382062.0)</f>
        <v>1382062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IFERROR(__xludf.DUMMYFUNCTION("""COMPUTED_VALUE"""),31.28)</f>
        <v>31.28</v>
      </c>
      <c r="C1494" s="1">
        <f>IFERROR(__xludf.DUMMYFUNCTION("""COMPUTED_VALUE"""),32.03)</f>
        <v>32.03</v>
      </c>
      <c r="D1494" s="1">
        <f>IFERROR(__xludf.DUMMYFUNCTION("""COMPUTED_VALUE"""),31.24)</f>
        <v>31.24</v>
      </c>
      <c r="E1494" s="1">
        <f>IFERROR(__xludf.DUMMYFUNCTION("""COMPUTED_VALUE"""),31.6)</f>
        <v>31.6</v>
      </c>
      <c r="F1494" s="1">
        <f>IFERROR(__xludf.DUMMYFUNCTION("""COMPUTED_VALUE"""),1930909.0)</f>
        <v>1930909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IFERROR(__xludf.DUMMYFUNCTION("""COMPUTED_VALUE"""),31.77)</f>
        <v>31.77</v>
      </c>
      <c r="C1495" s="1">
        <f>IFERROR(__xludf.DUMMYFUNCTION("""COMPUTED_VALUE"""),32.43)</f>
        <v>32.43</v>
      </c>
      <c r="D1495" s="1">
        <f>IFERROR(__xludf.DUMMYFUNCTION("""COMPUTED_VALUE"""),31.51)</f>
        <v>31.51</v>
      </c>
      <c r="E1495" s="1">
        <f>IFERROR(__xludf.DUMMYFUNCTION("""COMPUTED_VALUE"""),32.32)</f>
        <v>32.32</v>
      </c>
      <c r="F1495" s="1">
        <f>IFERROR(__xludf.DUMMYFUNCTION("""COMPUTED_VALUE"""),1652912.0)</f>
        <v>1652912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IFERROR(__xludf.DUMMYFUNCTION("""COMPUTED_VALUE"""),32.27)</f>
        <v>32.27</v>
      </c>
      <c r="C1496" s="1">
        <f>IFERROR(__xludf.DUMMYFUNCTION("""COMPUTED_VALUE"""),32.56)</f>
        <v>32.56</v>
      </c>
      <c r="D1496" s="1">
        <f>IFERROR(__xludf.DUMMYFUNCTION("""COMPUTED_VALUE"""),31.7)</f>
        <v>31.7</v>
      </c>
      <c r="E1496" s="1">
        <f>IFERROR(__xludf.DUMMYFUNCTION("""COMPUTED_VALUE"""),31.92)</f>
        <v>31.92</v>
      </c>
      <c r="F1496" s="1">
        <f>IFERROR(__xludf.DUMMYFUNCTION("""COMPUTED_VALUE"""),1498541.0)</f>
        <v>1498541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IFERROR(__xludf.DUMMYFUNCTION("""COMPUTED_VALUE"""),32.09)</f>
        <v>32.09</v>
      </c>
      <c r="C1497" s="1">
        <f>IFERROR(__xludf.DUMMYFUNCTION("""COMPUTED_VALUE"""),32.38)</f>
        <v>32.38</v>
      </c>
      <c r="D1497" s="1">
        <f>IFERROR(__xludf.DUMMYFUNCTION("""COMPUTED_VALUE"""),31.65)</f>
        <v>31.65</v>
      </c>
      <c r="E1497" s="1">
        <f>IFERROR(__xludf.DUMMYFUNCTION("""COMPUTED_VALUE"""),32.15)</f>
        <v>32.15</v>
      </c>
      <c r="F1497" s="1">
        <f>IFERROR(__xludf.DUMMYFUNCTION("""COMPUTED_VALUE"""),1419794.0)</f>
        <v>1419794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IFERROR(__xludf.DUMMYFUNCTION("""COMPUTED_VALUE"""),31.89)</f>
        <v>31.89</v>
      </c>
      <c r="C1498" s="1">
        <f>IFERROR(__xludf.DUMMYFUNCTION("""COMPUTED_VALUE"""),32.13)</f>
        <v>32.13</v>
      </c>
      <c r="D1498" s="1">
        <f>IFERROR(__xludf.DUMMYFUNCTION("""COMPUTED_VALUE"""),31.58)</f>
        <v>31.58</v>
      </c>
      <c r="E1498" s="1">
        <f>IFERROR(__xludf.DUMMYFUNCTION("""COMPUTED_VALUE"""),31.93)</f>
        <v>31.93</v>
      </c>
      <c r="F1498" s="1">
        <f>IFERROR(__xludf.DUMMYFUNCTION("""COMPUTED_VALUE"""),1468636.0)</f>
        <v>1468636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IFERROR(__xludf.DUMMYFUNCTION("""COMPUTED_VALUE"""),31.77)</f>
        <v>31.77</v>
      </c>
      <c r="C1499" s="1">
        <f>IFERROR(__xludf.DUMMYFUNCTION("""COMPUTED_VALUE"""),32.04)</f>
        <v>32.04</v>
      </c>
      <c r="D1499" s="1">
        <f>IFERROR(__xludf.DUMMYFUNCTION("""COMPUTED_VALUE"""),31.76)</f>
        <v>31.76</v>
      </c>
      <c r="E1499" s="1">
        <f>IFERROR(__xludf.DUMMYFUNCTION("""COMPUTED_VALUE"""),32.0)</f>
        <v>32</v>
      </c>
      <c r="F1499" s="1">
        <f>IFERROR(__xludf.DUMMYFUNCTION("""COMPUTED_VALUE"""),1377752.0)</f>
        <v>1377752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IFERROR(__xludf.DUMMYFUNCTION("""COMPUTED_VALUE"""),32.32)</f>
        <v>32.32</v>
      </c>
      <c r="C1500" s="1">
        <f>IFERROR(__xludf.DUMMYFUNCTION("""COMPUTED_VALUE"""),33.56)</f>
        <v>33.56</v>
      </c>
      <c r="D1500" s="1">
        <f>IFERROR(__xludf.DUMMYFUNCTION("""COMPUTED_VALUE"""),32.11)</f>
        <v>32.11</v>
      </c>
      <c r="E1500" s="1">
        <f>IFERROR(__xludf.DUMMYFUNCTION("""COMPUTED_VALUE"""),32.9)</f>
        <v>32.9</v>
      </c>
      <c r="F1500" s="1">
        <f>IFERROR(__xludf.DUMMYFUNCTION("""COMPUTED_VALUE"""),2563759.0)</f>
        <v>2563759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IFERROR(__xludf.DUMMYFUNCTION("""COMPUTED_VALUE"""),33.0)</f>
        <v>33</v>
      </c>
      <c r="C1501" s="1">
        <f>IFERROR(__xludf.DUMMYFUNCTION("""COMPUTED_VALUE"""),33.3)</f>
        <v>33.3</v>
      </c>
      <c r="D1501" s="1">
        <f>IFERROR(__xludf.DUMMYFUNCTION("""COMPUTED_VALUE"""),32.62)</f>
        <v>32.62</v>
      </c>
      <c r="E1501" s="1">
        <f>IFERROR(__xludf.DUMMYFUNCTION("""COMPUTED_VALUE"""),32.92)</f>
        <v>32.92</v>
      </c>
      <c r="F1501" s="1">
        <f>IFERROR(__xludf.DUMMYFUNCTION("""COMPUTED_VALUE"""),1956610.0)</f>
        <v>1956610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IFERROR(__xludf.DUMMYFUNCTION("""COMPUTED_VALUE"""),33.12)</f>
        <v>33.12</v>
      </c>
      <c r="C1502" s="1">
        <f>IFERROR(__xludf.DUMMYFUNCTION("""COMPUTED_VALUE"""),33.42)</f>
        <v>33.42</v>
      </c>
      <c r="D1502" s="1">
        <f>IFERROR(__xludf.DUMMYFUNCTION("""COMPUTED_VALUE"""),32.82)</f>
        <v>32.82</v>
      </c>
      <c r="E1502" s="1">
        <f>IFERROR(__xludf.DUMMYFUNCTION("""COMPUTED_VALUE"""),32.92)</f>
        <v>32.92</v>
      </c>
      <c r="F1502" s="1">
        <f>IFERROR(__xludf.DUMMYFUNCTION("""COMPUTED_VALUE"""),3034798.0)</f>
        <v>3034798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IFERROR(__xludf.DUMMYFUNCTION("""COMPUTED_VALUE"""),32.53)</f>
        <v>32.53</v>
      </c>
      <c r="C1503" s="1">
        <f>IFERROR(__xludf.DUMMYFUNCTION("""COMPUTED_VALUE"""),33.08)</f>
        <v>33.08</v>
      </c>
      <c r="D1503" s="1">
        <f>IFERROR(__xludf.DUMMYFUNCTION("""COMPUTED_VALUE"""),32.47)</f>
        <v>32.47</v>
      </c>
      <c r="E1503" s="1">
        <f>IFERROR(__xludf.DUMMYFUNCTION("""COMPUTED_VALUE"""),32.95)</f>
        <v>32.95</v>
      </c>
      <c r="F1503" s="1">
        <f>IFERROR(__xludf.DUMMYFUNCTION("""COMPUTED_VALUE"""),1484670.0)</f>
        <v>1484670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IFERROR(__xludf.DUMMYFUNCTION("""COMPUTED_VALUE"""),33.09)</f>
        <v>33.09</v>
      </c>
      <c r="C1504" s="1">
        <f>IFERROR(__xludf.DUMMYFUNCTION("""COMPUTED_VALUE"""),33.48)</f>
        <v>33.48</v>
      </c>
      <c r="D1504" s="1">
        <f>IFERROR(__xludf.DUMMYFUNCTION("""COMPUTED_VALUE"""),32.69)</f>
        <v>32.69</v>
      </c>
      <c r="E1504" s="1">
        <f>IFERROR(__xludf.DUMMYFUNCTION("""COMPUTED_VALUE"""),32.94)</f>
        <v>32.94</v>
      </c>
      <c r="F1504" s="1">
        <f>IFERROR(__xludf.DUMMYFUNCTION("""COMPUTED_VALUE"""),1050973.0)</f>
        <v>1050973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IFERROR(__xludf.DUMMYFUNCTION("""COMPUTED_VALUE"""),32.94)</f>
        <v>32.94</v>
      </c>
      <c r="C1505" s="1">
        <f>IFERROR(__xludf.DUMMYFUNCTION("""COMPUTED_VALUE"""),32.94)</f>
        <v>32.94</v>
      </c>
      <c r="D1505" s="1">
        <f>IFERROR(__xludf.DUMMYFUNCTION("""COMPUTED_VALUE"""),32.09)</f>
        <v>32.09</v>
      </c>
      <c r="E1505" s="1">
        <f>IFERROR(__xludf.DUMMYFUNCTION("""COMPUTED_VALUE"""),32.45)</f>
        <v>32.45</v>
      </c>
      <c r="F1505" s="1">
        <f>IFERROR(__xludf.DUMMYFUNCTION("""COMPUTED_VALUE"""),855011.0)</f>
        <v>855011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IFERROR(__xludf.DUMMYFUNCTION("""COMPUTED_VALUE"""),32.66)</f>
        <v>32.66</v>
      </c>
      <c r="C1506" s="1">
        <f>IFERROR(__xludf.DUMMYFUNCTION("""COMPUTED_VALUE"""),32.88)</f>
        <v>32.88</v>
      </c>
      <c r="D1506" s="1">
        <f>IFERROR(__xludf.DUMMYFUNCTION("""COMPUTED_VALUE"""),32.5)</f>
        <v>32.5</v>
      </c>
      <c r="E1506" s="1">
        <f>IFERROR(__xludf.DUMMYFUNCTION("""COMPUTED_VALUE"""),32.67)</f>
        <v>32.67</v>
      </c>
      <c r="F1506" s="1">
        <f>IFERROR(__xludf.DUMMYFUNCTION("""COMPUTED_VALUE"""),603225.0)</f>
        <v>603225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IFERROR(__xludf.DUMMYFUNCTION("""COMPUTED_VALUE"""),32.56)</f>
        <v>32.56</v>
      </c>
      <c r="C1507" s="1">
        <f>IFERROR(__xludf.DUMMYFUNCTION("""COMPUTED_VALUE"""),32.9)</f>
        <v>32.9</v>
      </c>
      <c r="D1507" s="1">
        <f>IFERROR(__xludf.DUMMYFUNCTION("""COMPUTED_VALUE"""),32.56)</f>
        <v>32.56</v>
      </c>
      <c r="E1507" s="1">
        <f>IFERROR(__xludf.DUMMYFUNCTION("""COMPUTED_VALUE"""),32.76)</f>
        <v>32.76</v>
      </c>
      <c r="F1507" s="1">
        <f>IFERROR(__xludf.DUMMYFUNCTION("""COMPUTED_VALUE"""),243013.0)</f>
        <v>243013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IFERROR(__xludf.DUMMYFUNCTION("""COMPUTED_VALUE"""),32.57)</f>
        <v>32.57</v>
      </c>
      <c r="C1508" s="1">
        <f>IFERROR(__xludf.DUMMYFUNCTION("""COMPUTED_VALUE"""),32.76)</f>
        <v>32.76</v>
      </c>
      <c r="D1508" s="1">
        <f>IFERROR(__xludf.DUMMYFUNCTION("""COMPUTED_VALUE"""),32.2)</f>
        <v>32.2</v>
      </c>
      <c r="E1508" s="1">
        <f>IFERROR(__xludf.DUMMYFUNCTION("""COMPUTED_VALUE"""),32.59)</f>
        <v>32.59</v>
      </c>
      <c r="F1508" s="1">
        <f>IFERROR(__xludf.DUMMYFUNCTION("""COMPUTED_VALUE"""),1244159.0)</f>
        <v>1244159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IFERROR(__xludf.DUMMYFUNCTION("""COMPUTED_VALUE"""),32.84)</f>
        <v>32.84</v>
      </c>
      <c r="C1509" s="1">
        <f>IFERROR(__xludf.DUMMYFUNCTION("""COMPUTED_VALUE"""),32.88)</f>
        <v>32.88</v>
      </c>
      <c r="D1509" s="1">
        <f>IFERROR(__xludf.DUMMYFUNCTION("""COMPUTED_VALUE"""),32.1)</f>
        <v>32.1</v>
      </c>
      <c r="E1509" s="1">
        <f>IFERROR(__xludf.DUMMYFUNCTION("""COMPUTED_VALUE"""),32.24)</f>
        <v>32.24</v>
      </c>
      <c r="F1509" s="1">
        <f>IFERROR(__xludf.DUMMYFUNCTION("""COMPUTED_VALUE"""),1016800.0)</f>
        <v>1016800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IFERROR(__xludf.DUMMYFUNCTION("""COMPUTED_VALUE"""),32.25)</f>
        <v>32.25</v>
      </c>
      <c r="C1510" s="1">
        <f>IFERROR(__xludf.DUMMYFUNCTION("""COMPUTED_VALUE"""),32.48)</f>
        <v>32.48</v>
      </c>
      <c r="D1510" s="1">
        <f>IFERROR(__xludf.DUMMYFUNCTION("""COMPUTED_VALUE"""),31.54)</f>
        <v>31.54</v>
      </c>
      <c r="E1510" s="1">
        <f>IFERROR(__xludf.DUMMYFUNCTION("""COMPUTED_VALUE"""),31.6)</f>
        <v>31.6</v>
      </c>
      <c r="F1510" s="1">
        <f>IFERROR(__xludf.DUMMYFUNCTION("""COMPUTED_VALUE"""),623853.0)</f>
        <v>623853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IFERROR(__xludf.DUMMYFUNCTION("""COMPUTED_VALUE"""),31.58)</f>
        <v>31.58</v>
      </c>
      <c r="C1511" s="1">
        <f>IFERROR(__xludf.DUMMYFUNCTION("""COMPUTED_VALUE"""),31.62)</f>
        <v>31.62</v>
      </c>
      <c r="D1511" s="1">
        <f>IFERROR(__xludf.DUMMYFUNCTION("""COMPUTED_VALUE"""),31.07)</f>
        <v>31.07</v>
      </c>
      <c r="E1511" s="1">
        <f>IFERROR(__xludf.DUMMYFUNCTION("""COMPUTED_VALUE"""),31.37)</f>
        <v>31.37</v>
      </c>
      <c r="F1511" s="1">
        <f>IFERROR(__xludf.DUMMYFUNCTION("""COMPUTED_VALUE"""),456691.0)</f>
        <v>456691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IFERROR(__xludf.DUMMYFUNCTION("""COMPUTED_VALUE"""),30.79)</f>
        <v>30.79</v>
      </c>
      <c r="C1512" s="1">
        <f>IFERROR(__xludf.DUMMYFUNCTION("""COMPUTED_VALUE"""),30.79)</f>
        <v>30.79</v>
      </c>
      <c r="D1512" s="1">
        <f>IFERROR(__xludf.DUMMYFUNCTION("""COMPUTED_VALUE"""),29.41)</f>
        <v>29.41</v>
      </c>
      <c r="E1512" s="1">
        <f>IFERROR(__xludf.DUMMYFUNCTION("""COMPUTED_VALUE"""),29.45)</f>
        <v>29.45</v>
      </c>
      <c r="F1512" s="1">
        <f>IFERROR(__xludf.DUMMYFUNCTION("""COMPUTED_VALUE"""),1804966.0)</f>
        <v>1804966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IFERROR(__xludf.DUMMYFUNCTION("""COMPUTED_VALUE"""),29.75)</f>
        <v>29.75</v>
      </c>
      <c r="C1513" s="1">
        <f>IFERROR(__xludf.DUMMYFUNCTION("""COMPUTED_VALUE"""),30.06)</f>
        <v>30.06</v>
      </c>
      <c r="D1513" s="1">
        <f>IFERROR(__xludf.DUMMYFUNCTION("""COMPUTED_VALUE"""),29.24)</f>
        <v>29.24</v>
      </c>
      <c r="E1513" s="1">
        <f>IFERROR(__xludf.DUMMYFUNCTION("""COMPUTED_VALUE"""),29.27)</f>
        <v>29.27</v>
      </c>
      <c r="F1513" s="1">
        <f>IFERROR(__xludf.DUMMYFUNCTION("""COMPUTED_VALUE"""),1906567.0)</f>
        <v>1906567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IFERROR(__xludf.DUMMYFUNCTION("""COMPUTED_VALUE"""),28.86)</f>
        <v>28.86</v>
      </c>
      <c r="C1514" s="1">
        <f>IFERROR(__xludf.DUMMYFUNCTION("""COMPUTED_VALUE"""),29.36)</f>
        <v>29.36</v>
      </c>
      <c r="D1514" s="1">
        <f>IFERROR(__xludf.DUMMYFUNCTION("""COMPUTED_VALUE"""),28.82)</f>
        <v>28.82</v>
      </c>
      <c r="E1514" s="1">
        <f>IFERROR(__xludf.DUMMYFUNCTION("""COMPUTED_VALUE"""),28.97)</f>
        <v>28.97</v>
      </c>
      <c r="F1514" s="1">
        <f>IFERROR(__xludf.DUMMYFUNCTION("""COMPUTED_VALUE"""),2903563.0)</f>
        <v>2903563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IFERROR(__xludf.DUMMYFUNCTION("""COMPUTED_VALUE"""),28.64)</f>
        <v>28.64</v>
      </c>
      <c r="C1515" s="1">
        <f>IFERROR(__xludf.DUMMYFUNCTION("""COMPUTED_VALUE"""),28.64)</f>
        <v>28.64</v>
      </c>
      <c r="D1515" s="1">
        <f>IFERROR(__xludf.DUMMYFUNCTION("""COMPUTED_VALUE"""),27.4)</f>
        <v>27.4</v>
      </c>
      <c r="E1515" s="1">
        <f>IFERROR(__xludf.DUMMYFUNCTION("""COMPUTED_VALUE"""),27.48)</f>
        <v>27.48</v>
      </c>
      <c r="F1515" s="1">
        <f>IFERROR(__xludf.DUMMYFUNCTION("""COMPUTED_VALUE"""),2784024.0)</f>
        <v>2784024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IFERROR(__xludf.DUMMYFUNCTION("""COMPUTED_VALUE"""),27.72)</f>
        <v>27.72</v>
      </c>
      <c r="C1516" s="1">
        <f>IFERROR(__xludf.DUMMYFUNCTION("""COMPUTED_VALUE"""),28.28)</f>
        <v>28.28</v>
      </c>
      <c r="D1516" s="1">
        <f>IFERROR(__xludf.DUMMYFUNCTION("""COMPUTED_VALUE"""),27.55)</f>
        <v>27.55</v>
      </c>
      <c r="E1516" s="1">
        <f>IFERROR(__xludf.DUMMYFUNCTION("""COMPUTED_VALUE"""),27.96)</f>
        <v>27.96</v>
      </c>
      <c r="F1516" s="1">
        <f>IFERROR(__xludf.DUMMYFUNCTION("""COMPUTED_VALUE"""),2644862.0)</f>
        <v>2644862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IFERROR(__xludf.DUMMYFUNCTION("""COMPUTED_VALUE"""),27.68)</f>
        <v>27.68</v>
      </c>
      <c r="C1517" s="1">
        <f>IFERROR(__xludf.DUMMYFUNCTION("""COMPUTED_VALUE"""),28.19)</f>
        <v>28.19</v>
      </c>
      <c r="D1517" s="1">
        <f>IFERROR(__xludf.DUMMYFUNCTION("""COMPUTED_VALUE"""),27.5)</f>
        <v>27.5</v>
      </c>
      <c r="E1517" s="1">
        <f>IFERROR(__xludf.DUMMYFUNCTION("""COMPUTED_VALUE"""),27.88)</f>
        <v>27.88</v>
      </c>
      <c r="F1517" s="1">
        <f>IFERROR(__xludf.DUMMYFUNCTION("""COMPUTED_VALUE"""),2166754.0)</f>
        <v>2166754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IFERROR(__xludf.DUMMYFUNCTION("""COMPUTED_VALUE"""),28.15)</f>
        <v>28.15</v>
      </c>
      <c r="C1518" s="1">
        <f>IFERROR(__xludf.DUMMYFUNCTION("""COMPUTED_VALUE"""),28.74)</f>
        <v>28.74</v>
      </c>
      <c r="D1518" s="1">
        <f>IFERROR(__xludf.DUMMYFUNCTION("""COMPUTED_VALUE"""),28.15)</f>
        <v>28.15</v>
      </c>
      <c r="E1518" s="1">
        <f>IFERROR(__xludf.DUMMYFUNCTION("""COMPUTED_VALUE"""),28.57)</f>
        <v>28.57</v>
      </c>
      <c r="F1518" s="1">
        <f>IFERROR(__xludf.DUMMYFUNCTION("""COMPUTED_VALUE"""),2109953.0)</f>
        <v>2109953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IFERROR(__xludf.DUMMYFUNCTION("""COMPUTED_VALUE"""),28.65)</f>
        <v>28.65</v>
      </c>
      <c r="C1519" s="1">
        <f>IFERROR(__xludf.DUMMYFUNCTION("""COMPUTED_VALUE"""),28.77)</f>
        <v>28.77</v>
      </c>
      <c r="D1519" s="1">
        <f>IFERROR(__xludf.DUMMYFUNCTION("""COMPUTED_VALUE"""),27.77)</f>
        <v>27.77</v>
      </c>
      <c r="E1519" s="1">
        <f>IFERROR(__xludf.DUMMYFUNCTION("""COMPUTED_VALUE"""),28.11)</f>
        <v>28.11</v>
      </c>
      <c r="F1519" s="1">
        <f>IFERROR(__xludf.DUMMYFUNCTION("""COMPUTED_VALUE"""),1281572.0)</f>
        <v>1281572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IFERROR(__xludf.DUMMYFUNCTION("""COMPUTED_VALUE"""),28.26)</f>
        <v>28.26</v>
      </c>
      <c r="C1520" s="1">
        <f>IFERROR(__xludf.DUMMYFUNCTION("""COMPUTED_VALUE"""),28.81)</f>
        <v>28.81</v>
      </c>
      <c r="D1520" s="1">
        <f>IFERROR(__xludf.DUMMYFUNCTION("""COMPUTED_VALUE"""),28.04)</f>
        <v>28.04</v>
      </c>
      <c r="E1520" s="1">
        <f>IFERROR(__xludf.DUMMYFUNCTION("""COMPUTED_VALUE"""),28.37)</f>
        <v>28.37</v>
      </c>
      <c r="F1520" s="1">
        <f>IFERROR(__xludf.DUMMYFUNCTION("""COMPUTED_VALUE"""),1906200.0)</f>
        <v>1906200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IFERROR(__xludf.DUMMYFUNCTION("""COMPUTED_VALUE"""),28.07)</f>
        <v>28.07</v>
      </c>
      <c r="C1521" s="1">
        <f>IFERROR(__xludf.DUMMYFUNCTION("""COMPUTED_VALUE"""),28.3)</f>
        <v>28.3</v>
      </c>
      <c r="D1521" s="1">
        <f>IFERROR(__xludf.DUMMYFUNCTION("""COMPUTED_VALUE"""),27.62)</f>
        <v>27.62</v>
      </c>
      <c r="E1521" s="1">
        <f>IFERROR(__xludf.DUMMYFUNCTION("""COMPUTED_VALUE"""),27.89)</f>
        <v>27.89</v>
      </c>
      <c r="F1521" s="1">
        <f>IFERROR(__xludf.DUMMYFUNCTION("""COMPUTED_VALUE"""),1660725.0)</f>
        <v>1660725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IFERROR(__xludf.DUMMYFUNCTION("""COMPUTED_VALUE"""),30.0)</f>
        <v>30</v>
      </c>
      <c r="C1522" s="1">
        <f>IFERROR(__xludf.DUMMYFUNCTION("""COMPUTED_VALUE"""),30.71)</f>
        <v>30.71</v>
      </c>
      <c r="D1522" s="1">
        <f>IFERROR(__xludf.DUMMYFUNCTION("""COMPUTED_VALUE"""),28.66)</f>
        <v>28.66</v>
      </c>
      <c r="E1522" s="1">
        <f>IFERROR(__xludf.DUMMYFUNCTION("""COMPUTED_VALUE"""),28.89)</f>
        <v>28.89</v>
      </c>
      <c r="F1522" s="1">
        <f>IFERROR(__xludf.DUMMYFUNCTION("""COMPUTED_VALUE"""),3083718.0)</f>
        <v>3083718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IFERROR(__xludf.DUMMYFUNCTION("""COMPUTED_VALUE"""),28.61)</f>
        <v>28.61</v>
      </c>
      <c r="C1523" s="1">
        <f>IFERROR(__xludf.DUMMYFUNCTION("""COMPUTED_VALUE"""),29.25)</f>
        <v>29.25</v>
      </c>
      <c r="D1523" s="1">
        <f>IFERROR(__xludf.DUMMYFUNCTION("""COMPUTED_VALUE"""),28.17)</f>
        <v>28.17</v>
      </c>
      <c r="E1523" s="1">
        <f>IFERROR(__xludf.DUMMYFUNCTION("""COMPUTED_VALUE"""),28.65)</f>
        <v>28.65</v>
      </c>
      <c r="F1523" s="1">
        <f>IFERROR(__xludf.DUMMYFUNCTION("""COMPUTED_VALUE"""),1985132.0)</f>
        <v>1985132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IFERROR(__xludf.DUMMYFUNCTION("""COMPUTED_VALUE"""),28.81)</f>
        <v>28.81</v>
      </c>
      <c r="C1524" s="1">
        <f>IFERROR(__xludf.DUMMYFUNCTION("""COMPUTED_VALUE"""),29.16)</f>
        <v>29.16</v>
      </c>
      <c r="D1524" s="1">
        <f>IFERROR(__xludf.DUMMYFUNCTION("""COMPUTED_VALUE"""),28.44)</f>
        <v>28.44</v>
      </c>
      <c r="E1524" s="1">
        <f>IFERROR(__xludf.DUMMYFUNCTION("""COMPUTED_VALUE"""),28.87)</f>
        <v>28.87</v>
      </c>
      <c r="F1524" s="1">
        <f>IFERROR(__xludf.DUMMYFUNCTION("""COMPUTED_VALUE"""),1887656.0)</f>
        <v>1887656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IFERROR(__xludf.DUMMYFUNCTION("""COMPUTED_VALUE"""),29.18)</f>
        <v>29.18</v>
      </c>
      <c r="C1525" s="1">
        <f>IFERROR(__xludf.DUMMYFUNCTION("""COMPUTED_VALUE"""),29.61)</f>
        <v>29.61</v>
      </c>
      <c r="D1525" s="1">
        <f>IFERROR(__xludf.DUMMYFUNCTION("""COMPUTED_VALUE"""),28.97)</f>
        <v>28.97</v>
      </c>
      <c r="E1525" s="1">
        <f>IFERROR(__xludf.DUMMYFUNCTION("""COMPUTED_VALUE"""),29.59)</f>
        <v>29.59</v>
      </c>
      <c r="F1525" s="1">
        <f>IFERROR(__xludf.DUMMYFUNCTION("""COMPUTED_VALUE"""),1401901.0)</f>
        <v>1401901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IFERROR(__xludf.DUMMYFUNCTION("""COMPUTED_VALUE"""),29.67)</f>
        <v>29.67</v>
      </c>
      <c r="C1526" s="1">
        <f>IFERROR(__xludf.DUMMYFUNCTION("""COMPUTED_VALUE"""),29.93)</f>
        <v>29.93</v>
      </c>
      <c r="D1526" s="1">
        <f>IFERROR(__xludf.DUMMYFUNCTION("""COMPUTED_VALUE"""),29.36)</f>
        <v>29.36</v>
      </c>
      <c r="E1526" s="1">
        <f>IFERROR(__xludf.DUMMYFUNCTION("""COMPUTED_VALUE"""),29.4)</f>
        <v>29.4</v>
      </c>
      <c r="F1526" s="1">
        <f>IFERROR(__xludf.DUMMYFUNCTION("""COMPUTED_VALUE"""),1367697.0)</f>
        <v>1367697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IFERROR(__xludf.DUMMYFUNCTION("""COMPUTED_VALUE"""),29.43)</f>
        <v>29.43</v>
      </c>
      <c r="C1527" s="1">
        <f>IFERROR(__xludf.DUMMYFUNCTION("""COMPUTED_VALUE"""),29.89)</f>
        <v>29.89</v>
      </c>
      <c r="D1527" s="1">
        <f>IFERROR(__xludf.DUMMYFUNCTION("""COMPUTED_VALUE"""),29.34)</f>
        <v>29.34</v>
      </c>
      <c r="E1527" s="1">
        <f>IFERROR(__xludf.DUMMYFUNCTION("""COMPUTED_VALUE"""),29.67)</f>
        <v>29.67</v>
      </c>
      <c r="F1527" s="1">
        <f>IFERROR(__xludf.DUMMYFUNCTION("""COMPUTED_VALUE"""),2388401.0)</f>
        <v>2388401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IFERROR(__xludf.DUMMYFUNCTION("""COMPUTED_VALUE"""),29.82)</f>
        <v>29.82</v>
      </c>
      <c r="C1528" s="1">
        <f>IFERROR(__xludf.DUMMYFUNCTION("""COMPUTED_VALUE"""),30.4)</f>
        <v>30.4</v>
      </c>
      <c r="D1528" s="1">
        <f>IFERROR(__xludf.DUMMYFUNCTION("""COMPUTED_VALUE"""),29.65)</f>
        <v>29.65</v>
      </c>
      <c r="E1528" s="1">
        <f>IFERROR(__xludf.DUMMYFUNCTION("""COMPUTED_VALUE"""),30.24)</f>
        <v>30.24</v>
      </c>
      <c r="F1528" s="1">
        <f>IFERROR(__xludf.DUMMYFUNCTION("""COMPUTED_VALUE"""),2456378.0)</f>
        <v>2456378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IFERROR(__xludf.DUMMYFUNCTION("""COMPUTED_VALUE"""),30.58)</f>
        <v>30.58</v>
      </c>
      <c r="C1529" s="1">
        <f>IFERROR(__xludf.DUMMYFUNCTION("""COMPUTED_VALUE"""),30.93)</f>
        <v>30.93</v>
      </c>
      <c r="D1529" s="1">
        <f>IFERROR(__xludf.DUMMYFUNCTION("""COMPUTED_VALUE"""),30.32)</f>
        <v>30.32</v>
      </c>
      <c r="E1529" s="1">
        <f>IFERROR(__xludf.DUMMYFUNCTION("""COMPUTED_VALUE"""),30.45)</f>
        <v>30.45</v>
      </c>
      <c r="F1529" s="1">
        <f>IFERROR(__xludf.DUMMYFUNCTION("""COMPUTED_VALUE"""),1762960.0)</f>
        <v>1762960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IFERROR(__xludf.DUMMYFUNCTION("""COMPUTED_VALUE"""),30.5)</f>
        <v>30.5</v>
      </c>
      <c r="C1530" s="1">
        <f>IFERROR(__xludf.DUMMYFUNCTION("""COMPUTED_VALUE"""),31.64)</f>
        <v>31.64</v>
      </c>
      <c r="D1530" s="1">
        <f>IFERROR(__xludf.DUMMYFUNCTION("""COMPUTED_VALUE"""),30.47)</f>
        <v>30.47</v>
      </c>
      <c r="E1530" s="1">
        <f>IFERROR(__xludf.DUMMYFUNCTION("""COMPUTED_VALUE"""),31.41)</f>
        <v>31.41</v>
      </c>
      <c r="F1530" s="1">
        <f>IFERROR(__xludf.DUMMYFUNCTION("""COMPUTED_VALUE"""),1626260.0)</f>
        <v>1626260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IFERROR(__xludf.DUMMYFUNCTION("""COMPUTED_VALUE"""),31.4)</f>
        <v>31.4</v>
      </c>
      <c r="C1531" s="1">
        <f>IFERROR(__xludf.DUMMYFUNCTION("""COMPUTED_VALUE"""),32.32)</f>
        <v>32.32</v>
      </c>
      <c r="D1531" s="1">
        <f>IFERROR(__xludf.DUMMYFUNCTION("""COMPUTED_VALUE"""),31.39)</f>
        <v>31.39</v>
      </c>
      <c r="E1531" s="1">
        <f>IFERROR(__xludf.DUMMYFUNCTION("""COMPUTED_VALUE"""),32.01)</f>
        <v>32.01</v>
      </c>
      <c r="F1531" s="1">
        <f>IFERROR(__xludf.DUMMYFUNCTION("""COMPUTED_VALUE"""),1727659.0)</f>
        <v>1727659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IFERROR(__xludf.DUMMYFUNCTION("""COMPUTED_VALUE"""),31.92)</f>
        <v>31.92</v>
      </c>
      <c r="C1532" s="1">
        <f>IFERROR(__xludf.DUMMYFUNCTION("""COMPUTED_VALUE"""),32.32)</f>
        <v>32.32</v>
      </c>
      <c r="D1532" s="1">
        <f>IFERROR(__xludf.DUMMYFUNCTION("""COMPUTED_VALUE"""),31.62)</f>
        <v>31.62</v>
      </c>
      <c r="E1532" s="1">
        <f>IFERROR(__xludf.DUMMYFUNCTION("""COMPUTED_VALUE"""),32.05)</f>
        <v>32.05</v>
      </c>
      <c r="F1532" s="1">
        <f>IFERROR(__xludf.DUMMYFUNCTION("""COMPUTED_VALUE"""),1420547.0)</f>
        <v>1420547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IFERROR(__xludf.DUMMYFUNCTION("""COMPUTED_VALUE"""),32.38)</f>
        <v>32.38</v>
      </c>
      <c r="C1533" s="1">
        <f>IFERROR(__xludf.DUMMYFUNCTION("""COMPUTED_VALUE"""),32.53)</f>
        <v>32.53</v>
      </c>
      <c r="D1533" s="1">
        <f>IFERROR(__xludf.DUMMYFUNCTION("""COMPUTED_VALUE"""),31.8)</f>
        <v>31.8</v>
      </c>
      <c r="E1533" s="1">
        <f>IFERROR(__xludf.DUMMYFUNCTION("""COMPUTED_VALUE"""),32.34)</f>
        <v>32.34</v>
      </c>
      <c r="F1533" s="1">
        <f>IFERROR(__xludf.DUMMYFUNCTION("""COMPUTED_VALUE"""),2809240.0)</f>
        <v>2809240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IFERROR(__xludf.DUMMYFUNCTION("""COMPUTED_VALUE"""),32.75)</f>
        <v>32.75</v>
      </c>
      <c r="C1534" s="1">
        <f>IFERROR(__xludf.DUMMYFUNCTION("""COMPUTED_VALUE"""),32.91)</f>
        <v>32.91</v>
      </c>
      <c r="D1534" s="1">
        <f>IFERROR(__xludf.DUMMYFUNCTION("""COMPUTED_VALUE"""),31.16)</f>
        <v>31.16</v>
      </c>
      <c r="E1534" s="1">
        <f>IFERROR(__xludf.DUMMYFUNCTION("""COMPUTED_VALUE"""),31.46)</f>
        <v>31.46</v>
      </c>
      <c r="F1534" s="1">
        <f>IFERROR(__xludf.DUMMYFUNCTION("""COMPUTED_VALUE"""),1667165.0)</f>
        <v>1667165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IFERROR(__xludf.DUMMYFUNCTION("""COMPUTED_VALUE"""),31.41)</f>
        <v>31.41</v>
      </c>
      <c r="C1535" s="1">
        <f>IFERROR(__xludf.DUMMYFUNCTION("""COMPUTED_VALUE"""),31.41)</f>
        <v>31.41</v>
      </c>
      <c r="D1535" s="1">
        <f>IFERROR(__xludf.DUMMYFUNCTION("""COMPUTED_VALUE"""),30.03)</f>
        <v>30.03</v>
      </c>
      <c r="E1535" s="1">
        <f>IFERROR(__xludf.DUMMYFUNCTION("""COMPUTED_VALUE"""),30.19)</f>
        <v>30.19</v>
      </c>
      <c r="F1535" s="1">
        <f>IFERROR(__xludf.DUMMYFUNCTION("""COMPUTED_VALUE"""),792244.0)</f>
        <v>792244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IFERROR(__xludf.DUMMYFUNCTION("""COMPUTED_VALUE"""),29.92)</f>
        <v>29.92</v>
      </c>
      <c r="C1536" s="1">
        <f>IFERROR(__xludf.DUMMYFUNCTION("""COMPUTED_VALUE"""),29.95)</f>
        <v>29.95</v>
      </c>
      <c r="D1536" s="1">
        <f>IFERROR(__xludf.DUMMYFUNCTION("""COMPUTED_VALUE"""),28.76)</f>
        <v>28.76</v>
      </c>
      <c r="E1536" s="1">
        <f>IFERROR(__xludf.DUMMYFUNCTION("""COMPUTED_VALUE"""),29.19)</f>
        <v>29.19</v>
      </c>
      <c r="F1536" s="1">
        <f>IFERROR(__xludf.DUMMYFUNCTION("""COMPUTED_VALUE"""),1179667.0)</f>
        <v>1179667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IFERROR(__xludf.DUMMYFUNCTION("""COMPUTED_VALUE"""),29.05)</f>
        <v>29.05</v>
      </c>
      <c r="C1537" s="1">
        <f>IFERROR(__xludf.DUMMYFUNCTION("""COMPUTED_VALUE"""),29.43)</f>
        <v>29.43</v>
      </c>
      <c r="D1537" s="1">
        <f>IFERROR(__xludf.DUMMYFUNCTION("""COMPUTED_VALUE"""),28.43)</f>
        <v>28.43</v>
      </c>
      <c r="E1537" s="1">
        <f>IFERROR(__xludf.DUMMYFUNCTION("""COMPUTED_VALUE"""),28.86)</f>
        <v>28.86</v>
      </c>
      <c r="F1537" s="1">
        <f>IFERROR(__xludf.DUMMYFUNCTION("""COMPUTED_VALUE"""),1547889.0)</f>
        <v>1547889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IFERROR(__xludf.DUMMYFUNCTION("""COMPUTED_VALUE"""),28.98)</f>
        <v>28.98</v>
      </c>
      <c r="C1538" s="1">
        <f>IFERROR(__xludf.DUMMYFUNCTION("""COMPUTED_VALUE"""),29.8)</f>
        <v>29.8</v>
      </c>
      <c r="D1538" s="1">
        <f>IFERROR(__xludf.DUMMYFUNCTION("""COMPUTED_VALUE"""),28.57)</f>
        <v>28.57</v>
      </c>
      <c r="E1538" s="1">
        <f>IFERROR(__xludf.DUMMYFUNCTION("""COMPUTED_VALUE"""),29.29)</f>
        <v>29.29</v>
      </c>
      <c r="F1538" s="1">
        <f>IFERROR(__xludf.DUMMYFUNCTION("""COMPUTED_VALUE"""),1417388.0)</f>
        <v>1417388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IFERROR(__xludf.DUMMYFUNCTION("""COMPUTED_VALUE"""),28.87)</f>
        <v>28.87</v>
      </c>
      <c r="C1539" s="1">
        <f>IFERROR(__xludf.DUMMYFUNCTION("""COMPUTED_VALUE"""),29.19)</f>
        <v>29.19</v>
      </c>
      <c r="D1539" s="1">
        <f>IFERROR(__xludf.DUMMYFUNCTION("""COMPUTED_VALUE"""),28.62)</f>
        <v>28.62</v>
      </c>
      <c r="E1539" s="1">
        <f>IFERROR(__xludf.DUMMYFUNCTION("""COMPUTED_VALUE"""),28.85)</f>
        <v>28.85</v>
      </c>
      <c r="F1539" s="1">
        <f>IFERROR(__xludf.DUMMYFUNCTION("""COMPUTED_VALUE"""),1253445.0)</f>
        <v>1253445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IFERROR(__xludf.DUMMYFUNCTION("""COMPUTED_VALUE"""),29.19)</f>
        <v>29.19</v>
      </c>
      <c r="C1540" s="1">
        <f>IFERROR(__xludf.DUMMYFUNCTION("""COMPUTED_VALUE"""),29.7)</f>
        <v>29.7</v>
      </c>
      <c r="D1540" s="1">
        <f>IFERROR(__xludf.DUMMYFUNCTION("""COMPUTED_VALUE"""),28.83)</f>
        <v>28.83</v>
      </c>
      <c r="E1540" s="1">
        <f>IFERROR(__xludf.DUMMYFUNCTION("""COMPUTED_VALUE"""),29.51)</f>
        <v>29.51</v>
      </c>
      <c r="F1540" s="1">
        <f>IFERROR(__xludf.DUMMYFUNCTION("""COMPUTED_VALUE"""),1325347.0)</f>
        <v>1325347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IFERROR(__xludf.DUMMYFUNCTION("""COMPUTED_VALUE"""),30.3)</f>
        <v>30.3</v>
      </c>
      <c r="C1541" s="1">
        <f>IFERROR(__xludf.DUMMYFUNCTION("""COMPUTED_VALUE"""),31.74)</f>
        <v>31.74</v>
      </c>
      <c r="D1541" s="1">
        <f>IFERROR(__xludf.DUMMYFUNCTION("""COMPUTED_VALUE"""),30.11)</f>
        <v>30.11</v>
      </c>
      <c r="E1541" s="1">
        <f>IFERROR(__xludf.DUMMYFUNCTION("""COMPUTED_VALUE"""),31.08)</f>
        <v>31.08</v>
      </c>
      <c r="F1541" s="1">
        <f>IFERROR(__xludf.DUMMYFUNCTION("""COMPUTED_VALUE"""),2053589.0)</f>
        <v>2053589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IFERROR(__xludf.DUMMYFUNCTION("""COMPUTED_VALUE"""),31.35)</f>
        <v>31.35</v>
      </c>
      <c r="C1542" s="1">
        <f>IFERROR(__xludf.DUMMYFUNCTION("""COMPUTED_VALUE"""),31.51)</f>
        <v>31.51</v>
      </c>
      <c r="D1542" s="1">
        <f>IFERROR(__xludf.DUMMYFUNCTION("""COMPUTED_VALUE"""),30.63)</f>
        <v>30.63</v>
      </c>
      <c r="E1542" s="1">
        <f>IFERROR(__xludf.DUMMYFUNCTION("""COMPUTED_VALUE"""),30.84)</f>
        <v>30.84</v>
      </c>
      <c r="F1542" s="1">
        <f>IFERROR(__xludf.DUMMYFUNCTION("""COMPUTED_VALUE"""),1089929.0)</f>
        <v>1089929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IFERROR(__xludf.DUMMYFUNCTION("""COMPUTED_VALUE"""),31.13)</f>
        <v>31.13</v>
      </c>
      <c r="C1543" s="1">
        <f>IFERROR(__xludf.DUMMYFUNCTION("""COMPUTED_VALUE"""),31.27)</f>
        <v>31.27</v>
      </c>
      <c r="D1543" s="1">
        <f>IFERROR(__xludf.DUMMYFUNCTION("""COMPUTED_VALUE"""),30.73)</f>
        <v>30.73</v>
      </c>
      <c r="E1543" s="1">
        <f>IFERROR(__xludf.DUMMYFUNCTION("""COMPUTED_VALUE"""),30.98)</f>
        <v>30.98</v>
      </c>
      <c r="F1543" s="1">
        <f>IFERROR(__xludf.DUMMYFUNCTION("""COMPUTED_VALUE"""),1853518.0)</f>
        <v>1853518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IFERROR(__xludf.DUMMYFUNCTION("""COMPUTED_VALUE"""),30.86)</f>
        <v>30.86</v>
      </c>
      <c r="C1544" s="1">
        <f>IFERROR(__xludf.DUMMYFUNCTION("""COMPUTED_VALUE"""),31.66)</f>
        <v>31.66</v>
      </c>
      <c r="D1544" s="1">
        <f>IFERROR(__xludf.DUMMYFUNCTION("""COMPUTED_VALUE"""),30.61)</f>
        <v>30.61</v>
      </c>
      <c r="E1544" s="1">
        <f>IFERROR(__xludf.DUMMYFUNCTION("""COMPUTED_VALUE"""),31.54)</f>
        <v>31.54</v>
      </c>
      <c r="F1544" s="1">
        <f>IFERROR(__xludf.DUMMYFUNCTION("""COMPUTED_VALUE"""),737174.0)</f>
        <v>737174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IFERROR(__xludf.DUMMYFUNCTION("""COMPUTED_VALUE"""),31.81)</f>
        <v>31.81</v>
      </c>
      <c r="C1545" s="1">
        <f>IFERROR(__xludf.DUMMYFUNCTION("""COMPUTED_VALUE"""),32.03)</f>
        <v>32.03</v>
      </c>
      <c r="D1545" s="1">
        <f>IFERROR(__xludf.DUMMYFUNCTION("""COMPUTED_VALUE"""),31.51)</f>
        <v>31.51</v>
      </c>
      <c r="E1545" s="1">
        <f>IFERROR(__xludf.DUMMYFUNCTION("""COMPUTED_VALUE"""),31.77)</f>
        <v>31.77</v>
      </c>
      <c r="F1545" s="1">
        <f>IFERROR(__xludf.DUMMYFUNCTION("""COMPUTED_VALUE"""),864867.0)</f>
        <v>864867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IFERROR(__xludf.DUMMYFUNCTION("""COMPUTED_VALUE"""),31.51)</f>
        <v>31.51</v>
      </c>
      <c r="C1546" s="1">
        <f>IFERROR(__xludf.DUMMYFUNCTION("""COMPUTED_VALUE"""),31.86)</f>
        <v>31.86</v>
      </c>
      <c r="D1546" s="1">
        <f>IFERROR(__xludf.DUMMYFUNCTION("""COMPUTED_VALUE"""),31.27)</f>
        <v>31.27</v>
      </c>
      <c r="E1546" s="1">
        <f>IFERROR(__xludf.DUMMYFUNCTION("""COMPUTED_VALUE"""),31.68)</f>
        <v>31.68</v>
      </c>
      <c r="F1546" s="1">
        <f>IFERROR(__xludf.DUMMYFUNCTION("""COMPUTED_VALUE"""),900265.0)</f>
        <v>900265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IFERROR(__xludf.DUMMYFUNCTION("""COMPUTED_VALUE"""),31.35)</f>
        <v>31.35</v>
      </c>
      <c r="C1547" s="1">
        <f>IFERROR(__xludf.DUMMYFUNCTION("""COMPUTED_VALUE"""),32.0)</f>
        <v>32</v>
      </c>
      <c r="D1547" s="1">
        <f>IFERROR(__xludf.DUMMYFUNCTION("""COMPUTED_VALUE"""),30.89)</f>
        <v>30.89</v>
      </c>
      <c r="E1547" s="1">
        <f>IFERROR(__xludf.DUMMYFUNCTION("""COMPUTED_VALUE"""),31.89)</f>
        <v>31.89</v>
      </c>
      <c r="F1547" s="1">
        <f>IFERROR(__xludf.DUMMYFUNCTION("""COMPUTED_VALUE"""),1527681.0)</f>
        <v>1527681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IFERROR(__xludf.DUMMYFUNCTION("""COMPUTED_VALUE"""),31.83)</f>
        <v>31.83</v>
      </c>
      <c r="C1548" s="1">
        <f>IFERROR(__xludf.DUMMYFUNCTION("""COMPUTED_VALUE"""),31.98)</f>
        <v>31.98</v>
      </c>
      <c r="D1548" s="1">
        <f>IFERROR(__xludf.DUMMYFUNCTION("""COMPUTED_VALUE"""),31.49)</f>
        <v>31.49</v>
      </c>
      <c r="E1548" s="1">
        <f>IFERROR(__xludf.DUMMYFUNCTION("""COMPUTED_VALUE"""),31.89)</f>
        <v>31.89</v>
      </c>
      <c r="F1548" s="1">
        <f>IFERROR(__xludf.DUMMYFUNCTION("""COMPUTED_VALUE"""),726679.0)</f>
        <v>726679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IFERROR(__xludf.DUMMYFUNCTION("""COMPUTED_VALUE"""),31.92)</f>
        <v>31.92</v>
      </c>
      <c r="C1549" s="1">
        <f>IFERROR(__xludf.DUMMYFUNCTION("""COMPUTED_VALUE"""),32.3)</f>
        <v>32.3</v>
      </c>
      <c r="D1549" s="1">
        <f>IFERROR(__xludf.DUMMYFUNCTION("""COMPUTED_VALUE"""),30.97)</f>
        <v>30.97</v>
      </c>
      <c r="E1549" s="1">
        <f>IFERROR(__xludf.DUMMYFUNCTION("""COMPUTED_VALUE"""),31.26)</f>
        <v>31.26</v>
      </c>
      <c r="F1549" s="1">
        <f>IFERROR(__xludf.DUMMYFUNCTION("""COMPUTED_VALUE"""),865637.0)</f>
        <v>865637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IFERROR(__xludf.DUMMYFUNCTION("""COMPUTED_VALUE"""),31.15)</f>
        <v>31.15</v>
      </c>
      <c r="C1550" s="1">
        <f>IFERROR(__xludf.DUMMYFUNCTION("""COMPUTED_VALUE"""),31.26)</f>
        <v>31.26</v>
      </c>
      <c r="D1550" s="1">
        <f>IFERROR(__xludf.DUMMYFUNCTION("""COMPUTED_VALUE"""),30.66)</f>
        <v>30.66</v>
      </c>
      <c r="E1550" s="1">
        <f>IFERROR(__xludf.DUMMYFUNCTION("""COMPUTED_VALUE"""),31.13)</f>
        <v>31.13</v>
      </c>
      <c r="F1550" s="1">
        <f>IFERROR(__xludf.DUMMYFUNCTION("""COMPUTED_VALUE"""),1047915.0)</f>
        <v>1047915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IFERROR(__xludf.DUMMYFUNCTION("""COMPUTED_VALUE"""),31.39)</f>
        <v>31.39</v>
      </c>
      <c r="C1551" s="1">
        <f>IFERROR(__xludf.DUMMYFUNCTION("""COMPUTED_VALUE"""),32.42)</f>
        <v>32.42</v>
      </c>
      <c r="D1551" s="1">
        <f>IFERROR(__xludf.DUMMYFUNCTION("""COMPUTED_VALUE"""),31.17)</f>
        <v>31.17</v>
      </c>
      <c r="E1551" s="1">
        <f>IFERROR(__xludf.DUMMYFUNCTION("""COMPUTED_VALUE"""),32.32)</f>
        <v>32.32</v>
      </c>
      <c r="F1551" s="1">
        <f>IFERROR(__xludf.DUMMYFUNCTION("""COMPUTED_VALUE"""),981063.0)</f>
        <v>981063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IFERROR(__xludf.DUMMYFUNCTION("""COMPUTED_VALUE"""),32.26)</f>
        <v>32.26</v>
      </c>
      <c r="C1552" s="1">
        <f>IFERROR(__xludf.DUMMYFUNCTION("""COMPUTED_VALUE"""),32.44)</f>
        <v>32.44</v>
      </c>
      <c r="D1552" s="1">
        <f>IFERROR(__xludf.DUMMYFUNCTION("""COMPUTED_VALUE"""),31.51)</f>
        <v>31.51</v>
      </c>
      <c r="E1552" s="1">
        <f>IFERROR(__xludf.DUMMYFUNCTION("""COMPUTED_VALUE"""),31.69)</f>
        <v>31.69</v>
      </c>
      <c r="F1552" s="1">
        <f>IFERROR(__xludf.DUMMYFUNCTION("""COMPUTED_VALUE"""),648884.0)</f>
        <v>648884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IFERROR(__xludf.DUMMYFUNCTION("""COMPUTED_VALUE"""),31.65)</f>
        <v>31.65</v>
      </c>
      <c r="C1553" s="1">
        <f>IFERROR(__xludf.DUMMYFUNCTION("""COMPUTED_VALUE"""),31.87)</f>
        <v>31.87</v>
      </c>
      <c r="D1553" s="1">
        <f>IFERROR(__xludf.DUMMYFUNCTION("""COMPUTED_VALUE"""),31.65)</f>
        <v>31.65</v>
      </c>
      <c r="E1553" s="1">
        <f>IFERROR(__xludf.DUMMYFUNCTION("""COMPUTED_VALUE"""),31.8)</f>
        <v>31.8</v>
      </c>
      <c r="F1553" s="1">
        <f>IFERROR(__xludf.DUMMYFUNCTION("""COMPUTED_VALUE"""),654149.0)</f>
        <v>654149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IFERROR(__xludf.DUMMYFUNCTION("""COMPUTED_VALUE"""),31.85)</f>
        <v>31.85</v>
      </c>
      <c r="C1554" s="1">
        <f>IFERROR(__xludf.DUMMYFUNCTION("""COMPUTED_VALUE"""),31.87)</f>
        <v>31.87</v>
      </c>
      <c r="D1554" s="1">
        <f>IFERROR(__xludf.DUMMYFUNCTION("""COMPUTED_VALUE"""),30.82)</f>
        <v>30.82</v>
      </c>
      <c r="E1554" s="1">
        <f>IFERROR(__xludf.DUMMYFUNCTION("""COMPUTED_VALUE"""),31.07)</f>
        <v>31.07</v>
      </c>
      <c r="F1554" s="1">
        <f>IFERROR(__xludf.DUMMYFUNCTION("""COMPUTED_VALUE"""),624182.0)</f>
        <v>624182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IFERROR(__xludf.DUMMYFUNCTION("""COMPUTED_VALUE"""),31.03)</f>
        <v>31.03</v>
      </c>
      <c r="C1555" s="1">
        <f>IFERROR(__xludf.DUMMYFUNCTION("""COMPUTED_VALUE"""),31.11)</f>
        <v>31.11</v>
      </c>
      <c r="D1555" s="1">
        <f>IFERROR(__xludf.DUMMYFUNCTION("""COMPUTED_VALUE"""),30.28)</f>
        <v>30.28</v>
      </c>
      <c r="E1555" s="1">
        <f>IFERROR(__xludf.DUMMYFUNCTION("""COMPUTED_VALUE"""),30.43)</f>
        <v>30.43</v>
      </c>
      <c r="F1555" s="1">
        <f>IFERROR(__xludf.DUMMYFUNCTION("""COMPUTED_VALUE"""),733750.0)</f>
        <v>733750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IFERROR(__xludf.DUMMYFUNCTION("""COMPUTED_VALUE"""),30.36)</f>
        <v>30.36</v>
      </c>
      <c r="C1556" s="1">
        <f>IFERROR(__xludf.DUMMYFUNCTION("""COMPUTED_VALUE"""),31.85)</f>
        <v>31.85</v>
      </c>
      <c r="D1556" s="1">
        <f>IFERROR(__xludf.DUMMYFUNCTION("""COMPUTED_VALUE"""),30.01)</f>
        <v>30.01</v>
      </c>
      <c r="E1556" s="1">
        <f>IFERROR(__xludf.DUMMYFUNCTION("""COMPUTED_VALUE"""),31.65)</f>
        <v>31.65</v>
      </c>
      <c r="F1556" s="1">
        <f>IFERROR(__xludf.DUMMYFUNCTION("""COMPUTED_VALUE"""),1083802.0)</f>
        <v>1083802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IFERROR(__xludf.DUMMYFUNCTION("""COMPUTED_VALUE"""),31.79)</f>
        <v>31.79</v>
      </c>
      <c r="C1557" s="1">
        <f>IFERROR(__xludf.DUMMYFUNCTION("""COMPUTED_VALUE"""),32.25)</f>
        <v>32.25</v>
      </c>
      <c r="D1557" s="1">
        <f>IFERROR(__xludf.DUMMYFUNCTION("""COMPUTED_VALUE"""),31.7)</f>
        <v>31.7</v>
      </c>
      <c r="E1557" s="1">
        <f>IFERROR(__xludf.DUMMYFUNCTION("""COMPUTED_VALUE"""),32.09)</f>
        <v>32.09</v>
      </c>
      <c r="F1557" s="1">
        <f>IFERROR(__xludf.DUMMYFUNCTION("""COMPUTED_VALUE"""),952678.0)</f>
        <v>952678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IFERROR(__xludf.DUMMYFUNCTION("""COMPUTED_VALUE"""),32.15)</f>
        <v>32.15</v>
      </c>
      <c r="C1558" s="1">
        <f>IFERROR(__xludf.DUMMYFUNCTION("""COMPUTED_VALUE"""),32.67)</f>
        <v>32.67</v>
      </c>
      <c r="D1558" s="1">
        <f>IFERROR(__xludf.DUMMYFUNCTION("""COMPUTED_VALUE"""),32.1)</f>
        <v>32.1</v>
      </c>
      <c r="E1558" s="1">
        <f>IFERROR(__xludf.DUMMYFUNCTION("""COMPUTED_VALUE"""),32.51)</f>
        <v>32.51</v>
      </c>
      <c r="F1558" s="1">
        <f>IFERROR(__xludf.DUMMYFUNCTION("""COMPUTED_VALUE"""),1316296.0)</f>
        <v>1316296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IFERROR(__xludf.DUMMYFUNCTION("""COMPUTED_VALUE"""),32.76)</f>
        <v>32.76</v>
      </c>
      <c r="C1559" s="1">
        <f>IFERROR(__xludf.DUMMYFUNCTION("""COMPUTED_VALUE"""),33.21)</f>
        <v>33.21</v>
      </c>
      <c r="D1559" s="1">
        <f>IFERROR(__xludf.DUMMYFUNCTION("""COMPUTED_VALUE"""),32.51)</f>
        <v>32.51</v>
      </c>
      <c r="E1559" s="1">
        <f>IFERROR(__xludf.DUMMYFUNCTION("""COMPUTED_VALUE"""),32.85)</f>
        <v>32.85</v>
      </c>
      <c r="F1559" s="1">
        <f>IFERROR(__xludf.DUMMYFUNCTION("""COMPUTED_VALUE"""),804475.0)</f>
        <v>804475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IFERROR(__xludf.DUMMYFUNCTION("""COMPUTED_VALUE"""),33.0)</f>
        <v>33</v>
      </c>
      <c r="C1560" s="1">
        <f>IFERROR(__xludf.DUMMYFUNCTION("""COMPUTED_VALUE"""),34.1)</f>
        <v>34.1</v>
      </c>
      <c r="D1560" s="1">
        <f>IFERROR(__xludf.DUMMYFUNCTION("""COMPUTED_VALUE"""),32.85)</f>
        <v>32.85</v>
      </c>
      <c r="E1560" s="1">
        <f>IFERROR(__xludf.DUMMYFUNCTION("""COMPUTED_VALUE"""),33.96)</f>
        <v>33.96</v>
      </c>
      <c r="F1560" s="1">
        <f>IFERROR(__xludf.DUMMYFUNCTION("""COMPUTED_VALUE"""),1500423.0)</f>
        <v>1500423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IFERROR(__xludf.DUMMYFUNCTION("""COMPUTED_VALUE"""),33.96)</f>
        <v>33.96</v>
      </c>
      <c r="C1561" s="1">
        <f>IFERROR(__xludf.DUMMYFUNCTION("""COMPUTED_VALUE"""),34.19)</f>
        <v>34.19</v>
      </c>
      <c r="D1561" s="1">
        <f>IFERROR(__xludf.DUMMYFUNCTION("""COMPUTED_VALUE"""),33.46)</f>
        <v>33.46</v>
      </c>
      <c r="E1561" s="1">
        <f>IFERROR(__xludf.DUMMYFUNCTION("""COMPUTED_VALUE"""),33.54)</f>
        <v>33.54</v>
      </c>
      <c r="F1561" s="1">
        <f>IFERROR(__xludf.DUMMYFUNCTION("""COMPUTED_VALUE"""),928022.0)</f>
        <v>928022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IFERROR(__xludf.DUMMYFUNCTION("""COMPUTED_VALUE"""),33.52)</f>
        <v>33.52</v>
      </c>
      <c r="C1562" s="1">
        <f>IFERROR(__xludf.DUMMYFUNCTION("""COMPUTED_VALUE"""),33.68)</f>
        <v>33.68</v>
      </c>
      <c r="D1562" s="1">
        <f>IFERROR(__xludf.DUMMYFUNCTION("""COMPUTED_VALUE"""),33.14)</f>
        <v>33.14</v>
      </c>
      <c r="E1562" s="1">
        <f>IFERROR(__xludf.DUMMYFUNCTION("""COMPUTED_VALUE"""),33.39)</f>
        <v>33.39</v>
      </c>
      <c r="F1562" s="1">
        <f>IFERROR(__xludf.DUMMYFUNCTION("""COMPUTED_VALUE"""),924511.0)</f>
        <v>924511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IFERROR(__xludf.DUMMYFUNCTION("""COMPUTED_VALUE"""),33.39)</f>
        <v>33.39</v>
      </c>
      <c r="C1563" s="1">
        <f>IFERROR(__xludf.DUMMYFUNCTION("""COMPUTED_VALUE"""),36.02)</f>
        <v>36.02</v>
      </c>
      <c r="D1563" s="1">
        <f>IFERROR(__xludf.DUMMYFUNCTION("""COMPUTED_VALUE"""),33.39)</f>
        <v>33.39</v>
      </c>
      <c r="E1563" s="1">
        <f>IFERROR(__xludf.DUMMYFUNCTION("""COMPUTED_VALUE"""),35.99)</f>
        <v>35.99</v>
      </c>
      <c r="F1563" s="1">
        <f>IFERROR(__xludf.DUMMYFUNCTION("""COMPUTED_VALUE"""),462665.0)</f>
        <v>462665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IFERROR(__xludf.DUMMYFUNCTION("""COMPUTED_VALUE"""),35.41)</f>
        <v>35.41</v>
      </c>
      <c r="C1564" s="1">
        <f>IFERROR(__xludf.DUMMYFUNCTION("""COMPUTED_VALUE"""),36.75)</f>
        <v>36.75</v>
      </c>
      <c r="D1564" s="1">
        <f>IFERROR(__xludf.DUMMYFUNCTION("""COMPUTED_VALUE"""),35.39)</f>
        <v>35.39</v>
      </c>
      <c r="E1564" s="1">
        <f>IFERROR(__xludf.DUMMYFUNCTION("""COMPUTED_VALUE"""),35.9)</f>
        <v>35.9</v>
      </c>
      <c r="F1564" s="1">
        <f>IFERROR(__xludf.DUMMYFUNCTION("""COMPUTED_VALUE"""),2148202.0)</f>
        <v>2148202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IFERROR(__xludf.DUMMYFUNCTION("""COMPUTED_VALUE"""),35.91)</f>
        <v>35.91</v>
      </c>
      <c r="C1565" s="1">
        <f>IFERROR(__xludf.DUMMYFUNCTION("""COMPUTED_VALUE"""),36.09)</f>
        <v>36.09</v>
      </c>
      <c r="D1565" s="1">
        <f>IFERROR(__xludf.DUMMYFUNCTION("""COMPUTED_VALUE"""),34.27)</f>
        <v>34.27</v>
      </c>
      <c r="E1565" s="1">
        <f>IFERROR(__xludf.DUMMYFUNCTION("""COMPUTED_VALUE"""),34.31)</f>
        <v>34.31</v>
      </c>
      <c r="F1565" s="1">
        <f>IFERROR(__xludf.DUMMYFUNCTION("""COMPUTED_VALUE"""),1919471.0)</f>
        <v>1919471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IFERROR(__xludf.DUMMYFUNCTION("""COMPUTED_VALUE"""),34.15)</f>
        <v>34.15</v>
      </c>
      <c r="C1566" s="1">
        <f>IFERROR(__xludf.DUMMYFUNCTION("""COMPUTED_VALUE"""),34.72)</f>
        <v>34.72</v>
      </c>
      <c r="D1566" s="1">
        <f>IFERROR(__xludf.DUMMYFUNCTION("""COMPUTED_VALUE"""),33.89)</f>
        <v>33.89</v>
      </c>
      <c r="E1566" s="1">
        <f>IFERROR(__xludf.DUMMYFUNCTION("""COMPUTED_VALUE"""),34.46)</f>
        <v>34.46</v>
      </c>
      <c r="F1566" s="1">
        <f>IFERROR(__xludf.DUMMYFUNCTION("""COMPUTED_VALUE"""),1856008.0)</f>
        <v>1856008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IFERROR(__xludf.DUMMYFUNCTION("""COMPUTED_VALUE"""),34.35)</f>
        <v>34.35</v>
      </c>
      <c r="C1567" s="1">
        <f>IFERROR(__xludf.DUMMYFUNCTION("""COMPUTED_VALUE"""),34.83)</f>
        <v>34.83</v>
      </c>
      <c r="D1567" s="1">
        <f>IFERROR(__xludf.DUMMYFUNCTION("""COMPUTED_VALUE"""),34.15)</f>
        <v>34.15</v>
      </c>
      <c r="E1567" s="1">
        <f>IFERROR(__xludf.DUMMYFUNCTION("""COMPUTED_VALUE"""),34.23)</f>
        <v>34.23</v>
      </c>
      <c r="F1567" s="1">
        <f>IFERROR(__xludf.DUMMYFUNCTION("""COMPUTED_VALUE"""),1059476.0)</f>
        <v>1059476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IFERROR(__xludf.DUMMYFUNCTION("""COMPUTED_VALUE"""),34.14)</f>
        <v>34.14</v>
      </c>
      <c r="C1568" s="1">
        <f>IFERROR(__xludf.DUMMYFUNCTION("""COMPUTED_VALUE"""),35.19)</f>
        <v>35.19</v>
      </c>
      <c r="D1568" s="1">
        <f>IFERROR(__xludf.DUMMYFUNCTION("""COMPUTED_VALUE"""),33.84)</f>
        <v>33.84</v>
      </c>
      <c r="E1568" s="1">
        <f>IFERROR(__xludf.DUMMYFUNCTION("""COMPUTED_VALUE"""),34.88)</f>
        <v>34.88</v>
      </c>
      <c r="F1568" s="1">
        <f>IFERROR(__xludf.DUMMYFUNCTION("""COMPUTED_VALUE"""),566205.0)</f>
        <v>566205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IFERROR(__xludf.DUMMYFUNCTION("""COMPUTED_VALUE"""),34.85)</f>
        <v>34.85</v>
      </c>
      <c r="C1569" s="1">
        <f>IFERROR(__xludf.DUMMYFUNCTION("""COMPUTED_VALUE"""),34.85)</f>
        <v>34.85</v>
      </c>
      <c r="D1569" s="1">
        <f>IFERROR(__xludf.DUMMYFUNCTION("""COMPUTED_VALUE"""),33.97)</f>
        <v>33.97</v>
      </c>
      <c r="E1569" s="1">
        <f>IFERROR(__xludf.DUMMYFUNCTION("""COMPUTED_VALUE"""),34.27)</f>
        <v>34.27</v>
      </c>
      <c r="F1569" s="1">
        <f>IFERROR(__xludf.DUMMYFUNCTION("""COMPUTED_VALUE"""),534560.0)</f>
        <v>534560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IFERROR(__xludf.DUMMYFUNCTION("""COMPUTED_VALUE"""),34.11)</f>
        <v>34.11</v>
      </c>
      <c r="C1570" s="1">
        <f>IFERROR(__xludf.DUMMYFUNCTION("""COMPUTED_VALUE"""),35.11)</f>
        <v>35.11</v>
      </c>
      <c r="D1570" s="1">
        <f>IFERROR(__xludf.DUMMYFUNCTION("""COMPUTED_VALUE"""),33.92)</f>
        <v>33.92</v>
      </c>
      <c r="E1570" s="1">
        <f>IFERROR(__xludf.DUMMYFUNCTION("""COMPUTED_VALUE"""),34.87)</f>
        <v>34.87</v>
      </c>
      <c r="F1570" s="1">
        <f>IFERROR(__xludf.DUMMYFUNCTION("""COMPUTED_VALUE"""),1274405.0)</f>
        <v>1274405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IFERROR(__xludf.DUMMYFUNCTION("""COMPUTED_VALUE"""),34.96)</f>
        <v>34.96</v>
      </c>
      <c r="C1571" s="1">
        <f>IFERROR(__xludf.DUMMYFUNCTION("""COMPUTED_VALUE"""),36.26)</f>
        <v>36.26</v>
      </c>
      <c r="D1571" s="1">
        <f>IFERROR(__xludf.DUMMYFUNCTION("""COMPUTED_VALUE"""),34.59)</f>
        <v>34.59</v>
      </c>
      <c r="E1571" s="1">
        <f>IFERROR(__xludf.DUMMYFUNCTION("""COMPUTED_VALUE"""),35.89)</f>
        <v>35.89</v>
      </c>
      <c r="F1571" s="1">
        <f>IFERROR(__xludf.DUMMYFUNCTION("""COMPUTED_VALUE"""),1893489.0)</f>
        <v>1893489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IFERROR(__xludf.DUMMYFUNCTION("""COMPUTED_VALUE"""),35.6)</f>
        <v>35.6</v>
      </c>
      <c r="C1572" s="1">
        <f>IFERROR(__xludf.DUMMYFUNCTION("""COMPUTED_VALUE"""),35.91)</f>
        <v>35.91</v>
      </c>
      <c r="D1572" s="1">
        <f>IFERROR(__xludf.DUMMYFUNCTION("""COMPUTED_VALUE"""),34.4)</f>
        <v>34.4</v>
      </c>
      <c r="E1572" s="1">
        <f>IFERROR(__xludf.DUMMYFUNCTION("""COMPUTED_VALUE"""),34.59)</f>
        <v>34.59</v>
      </c>
      <c r="F1572" s="1">
        <f>IFERROR(__xludf.DUMMYFUNCTION("""COMPUTED_VALUE"""),1740819.0)</f>
        <v>1740819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IFERROR(__xludf.DUMMYFUNCTION("""COMPUTED_VALUE"""),34.46)</f>
        <v>34.46</v>
      </c>
      <c r="C1573" s="1">
        <f>IFERROR(__xludf.DUMMYFUNCTION("""COMPUTED_VALUE"""),34.99)</f>
        <v>34.99</v>
      </c>
      <c r="D1573" s="1">
        <f>IFERROR(__xludf.DUMMYFUNCTION("""COMPUTED_VALUE"""),33.84)</f>
        <v>33.84</v>
      </c>
      <c r="E1573" s="1">
        <f>IFERROR(__xludf.DUMMYFUNCTION("""COMPUTED_VALUE"""),34.81)</f>
        <v>34.81</v>
      </c>
      <c r="F1573" s="1">
        <f>IFERROR(__xludf.DUMMYFUNCTION("""COMPUTED_VALUE"""),855801.0)</f>
        <v>855801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IFERROR(__xludf.DUMMYFUNCTION("""COMPUTED_VALUE"""),34.92)</f>
        <v>34.92</v>
      </c>
      <c r="C1574" s="1">
        <f>IFERROR(__xludf.DUMMYFUNCTION("""COMPUTED_VALUE"""),35.17)</f>
        <v>35.17</v>
      </c>
      <c r="D1574" s="1">
        <f>IFERROR(__xludf.DUMMYFUNCTION("""COMPUTED_VALUE"""),34.5)</f>
        <v>34.5</v>
      </c>
      <c r="E1574" s="1">
        <f>IFERROR(__xludf.DUMMYFUNCTION("""COMPUTED_VALUE"""),34.78)</f>
        <v>34.78</v>
      </c>
      <c r="F1574" s="1">
        <f>IFERROR(__xludf.DUMMYFUNCTION("""COMPUTED_VALUE"""),377683.0)</f>
        <v>377683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IFERROR(__xludf.DUMMYFUNCTION("""COMPUTED_VALUE"""),34.58)</f>
        <v>34.58</v>
      </c>
      <c r="C1575" s="1">
        <f>IFERROR(__xludf.DUMMYFUNCTION("""COMPUTED_VALUE"""),34.58)</f>
        <v>34.58</v>
      </c>
      <c r="D1575" s="1">
        <f>IFERROR(__xludf.DUMMYFUNCTION("""COMPUTED_VALUE"""),33.47)</f>
        <v>33.47</v>
      </c>
      <c r="E1575" s="1">
        <f>IFERROR(__xludf.DUMMYFUNCTION("""COMPUTED_VALUE"""),33.55)</f>
        <v>33.55</v>
      </c>
      <c r="F1575" s="1">
        <f>IFERROR(__xludf.DUMMYFUNCTION("""COMPUTED_VALUE"""),1318966.0)</f>
        <v>1318966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IFERROR(__xludf.DUMMYFUNCTION("""COMPUTED_VALUE"""),33.62)</f>
        <v>33.62</v>
      </c>
      <c r="C1576" s="1">
        <f>IFERROR(__xludf.DUMMYFUNCTION("""COMPUTED_VALUE"""),35.48)</f>
        <v>35.48</v>
      </c>
      <c r="D1576" s="1">
        <f>IFERROR(__xludf.DUMMYFUNCTION("""COMPUTED_VALUE"""),33.48)</f>
        <v>33.48</v>
      </c>
      <c r="E1576" s="1">
        <f>IFERROR(__xludf.DUMMYFUNCTION("""COMPUTED_VALUE"""),34.7)</f>
        <v>34.7</v>
      </c>
      <c r="F1576" s="1">
        <f>IFERROR(__xludf.DUMMYFUNCTION("""COMPUTED_VALUE"""),1660754.0)</f>
        <v>1660754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IFERROR(__xludf.DUMMYFUNCTION("""COMPUTED_VALUE"""),34.61)</f>
        <v>34.61</v>
      </c>
      <c r="C1577" s="1">
        <f>IFERROR(__xludf.DUMMYFUNCTION("""COMPUTED_VALUE"""),35.54)</f>
        <v>35.54</v>
      </c>
      <c r="D1577" s="1">
        <f>IFERROR(__xludf.DUMMYFUNCTION("""COMPUTED_VALUE"""),34.51)</f>
        <v>34.51</v>
      </c>
      <c r="E1577" s="1">
        <f>IFERROR(__xludf.DUMMYFUNCTION("""COMPUTED_VALUE"""),34.95)</f>
        <v>34.95</v>
      </c>
      <c r="F1577" s="1">
        <f>IFERROR(__xludf.DUMMYFUNCTION("""COMPUTED_VALUE"""),987444.0)</f>
        <v>987444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IFERROR(__xludf.DUMMYFUNCTION("""COMPUTED_VALUE"""),35.14)</f>
        <v>35.14</v>
      </c>
      <c r="C1578" s="1">
        <f>IFERROR(__xludf.DUMMYFUNCTION("""COMPUTED_VALUE"""),36.48)</f>
        <v>36.48</v>
      </c>
      <c r="D1578" s="1">
        <f>IFERROR(__xludf.DUMMYFUNCTION("""COMPUTED_VALUE"""),34.97)</f>
        <v>34.97</v>
      </c>
      <c r="E1578" s="1">
        <f>IFERROR(__xludf.DUMMYFUNCTION("""COMPUTED_VALUE"""),35.89)</f>
        <v>35.89</v>
      </c>
      <c r="F1578" s="1">
        <f>IFERROR(__xludf.DUMMYFUNCTION("""COMPUTED_VALUE"""),902338.0)</f>
        <v>902338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IFERROR(__xludf.DUMMYFUNCTION("""COMPUTED_VALUE"""),36.31)</f>
        <v>36.31</v>
      </c>
      <c r="C1579" s="1">
        <f>IFERROR(__xludf.DUMMYFUNCTION("""COMPUTED_VALUE"""),36.57)</f>
        <v>36.57</v>
      </c>
      <c r="D1579" s="1">
        <f>IFERROR(__xludf.DUMMYFUNCTION("""COMPUTED_VALUE"""),35.86)</f>
        <v>35.86</v>
      </c>
      <c r="E1579" s="1">
        <f>IFERROR(__xludf.DUMMYFUNCTION("""COMPUTED_VALUE"""),36.26)</f>
        <v>36.26</v>
      </c>
      <c r="F1579" s="1">
        <f>IFERROR(__xludf.DUMMYFUNCTION("""COMPUTED_VALUE"""),1210263.0)</f>
        <v>1210263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IFERROR(__xludf.DUMMYFUNCTION("""COMPUTED_VALUE"""),36.36)</f>
        <v>36.36</v>
      </c>
      <c r="C1580" s="1">
        <f>IFERROR(__xludf.DUMMYFUNCTION("""COMPUTED_VALUE"""),36.55)</f>
        <v>36.55</v>
      </c>
      <c r="D1580" s="1">
        <f>IFERROR(__xludf.DUMMYFUNCTION("""COMPUTED_VALUE"""),34.2)</f>
        <v>34.2</v>
      </c>
      <c r="E1580" s="1">
        <f>IFERROR(__xludf.DUMMYFUNCTION("""COMPUTED_VALUE"""),34.48)</f>
        <v>34.48</v>
      </c>
      <c r="F1580" s="1">
        <f>IFERROR(__xludf.DUMMYFUNCTION("""COMPUTED_VALUE"""),1780725.0)</f>
        <v>1780725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IFERROR(__xludf.DUMMYFUNCTION("""COMPUTED_VALUE"""),34.83)</f>
        <v>34.83</v>
      </c>
      <c r="C1581" s="1">
        <f>IFERROR(__xludf.DUMMYFUNCTION("""COMPUTED_VALUE"""),35.92)</f>
        <v>35.92</v>
      </c>
      <c r="D1581" s="1">
        <f>IFERROR(__xludf.DUMMYFUNCTION("""COMPUTED_VALUE"""),34.56)</f>
        <v>34.56</v>
      </c>
      <c r="E1581" s="1">
        <f>IFERROR(__xludf.DUMMYFUNCTION("""COMPUTED_VALUE"""),35.49)</f>
        <v>35.49</v>
      </c>
      <c r="F1581" s="1">
        <f>IFERROR(__xludf.DUMMYFUNCTION("""COMPUTED_VALUE"""),2003981.0)</f>
        <v>2003981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IFERROR(__xludf.DUMMYFUNCTION("""COMPUTED_VALUE"""),35.58)</f>
        <v>35.58</v>
      </c>
      <c r="C1582" s="1">
        <f>IFERROR(__xludf.DUMMYFUNCTION("""COMPUTED_VALUE"""),35.83)</f>
        <v>35.83</v>
      </c>
      <c r="D1582" s="1">
        <f>IFERROR(__xludf.DUMMYFUNCTION("""COMPUTED_VALUE"""),34.92)</f>
        <v>34.92</v>
      </c>
      <c r="E1582" s="1">
        <f>IFERROR(__xludf.DUMMYFUNCTION("""COMPUTED_VALUE"""),35.29)</f>
        <v>35.29</v>
      </c>
      <c r="F1582" s="1">
        <f>IFERROR(__xludf.DUMMYFUNCTION("""COMPUTED_VALUE"""),1164250.0)</f>
        <v>1164250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IFERROR(__xludf.DUMMYFUNCTION("""COMPUTED_VALUE"""),35.15)</f>
        <v>35.15</v>
      </c>
      <c r="C1583" s="1">
        <f>IFERROR(__xludf.DUMMYFUNCTION("""COMPUTED_VALUE"""),35.67)</f>
        <v>35.67</v>
      </c>
      <c r="D1583" s="1">
        <f>IFERROR(__xludf.DUMMYFUNCTION("""COMPUTED_VALUE"""),35.0)</f>
        <v>35</v>
      </c>
      <c r="E1583" s="1">
        <f>IFERROR(__xludf.DUMMYFUNCTION("""COMPUTED_VALUE"""),35.54)</f>
        <v>35.54</v>
      </c>
      <c r="F1583" s="1">
        <f>IFERROR(__xludf.DUMMYFUNCTION("""COMPUTED_VALUE"""),1026960.0)</f>
        <v>1026960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IFERROR(__xludf.DUMMYFUNCTION("""COMPUTED_VALUE"""),35.55)</f>
        <v>35.55</v>
      </c>
      <c r="C1584" s="1">
        <f>IFERROR(__xludf.DUMMYFUNCTION("""COMPUTED_VALUE"""),36.67)</f>
        <v>36.67</v>
      </c>
      <c r="D1584" s="1">
        <f>IFERROR(__xludf.DUMMYFUNCTION("""COMPUTED_VALUE"""),35.39)</f>
        <v>35.39</v>
      </c>
      <c r="E1584" s="1">
        <f>IFERROR(__xludf.DUMMYFUNCTION("""COMPUTED_VALUE"""),36.26)</f>
        <v>36.26</v>
      </c>
      <c r="F1584" s="1">
        <f>IFERROR(__xludf.DUMMYFUNCTION("""COMPUTED_VALUE"""),1351900.0)</f>
        <v>1351900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IFERROR(__xludf.DUMMYFUNCTION("""COMPUTED_VALUE"""),37.35)</f>
        <v>37.35</v>
      </c>
      <c r="C1585" s="1">
        <f>IFERROR(__xludf.DUMMYFUNCTION("""COMPUTED_VALUE"""),39.93)</f>
        <v>39.93</v>
      </c>
      <c r="D1585" s="1">
        <f>IFERROR(__xludf.DUMMYFUNCTION("""COMPUTED_VALUE"""),37.26)</f>
        <v>37.26</v>
      </c>
      <c r="E1585" s="1">
        <f>IFERROR(__xludf.DUMMYFUNCTION("""COMPUTED_VALUE"""),39.54)</f>
        <v>39.54</v>
      </c>
      <c r="F1585" s="1">
        <f>IFERROR(__xludf.DUMMYFUNCTION("""COMPUTED_VALUE"""),3669769.0)</f>
        <v>3669769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IFERROR(__xludf.DUMMYFUNCTION("""COMPUTED_VALUE"""),39.5)</f>
        <v>39.5</v>
      </c>
      <c r="C1586" s="1">
        <f>IFERROR(__xludf.DUMMYFUNCTION("""COMPUTED_VALUE"""),39.96)</f>
        <v>39.96</v>
      </c>
      <c r="D1586" s="1">
        <f>IFERROR(__xludf.DUMMYFUNCTION("""COMPUTED_VALUE"""),38.9)</f>
        <v>38.9</v>
      </c>
      <c r="E1586" s="1">
        <f>IFERROR(__xludf.DUMMYFUNCTION("""COMPUTED_VALUE"""),39.3)</f>
        <v>39.3</v>
      </c>
      <c r="F1586" s="1">
        <f>IFERROR(__xludf.DUMMYFUNCTION("""COMPUTED_VALUE"""),2257556.0)</f>
        <v>2257556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IFERROR(__xludf.DUMMYFUNCTION("""COMPUTED_VALUE"""),39.3)</f>
        <v>39.3</v>
      </c>
      <c r="C1587" s="1">
        <f>IFERROR(__xludf.DUMMYFUNCTION("""COMPUTED_VALUE"""),40.71)</f>
        <v>40.71</v>
      </c>
      <c r="D1587" s="1">
        <f>IFERROR(__xludf.DUMMYFUNCTION("""COMPUTED_VALUE"""),39.08)</f>
        <v>39.08</v>
      </c>
      <c r="E1587" s="1">
        <f>IFERROR(__xludf.DUMMYFUNCTION("""COMPUTED_VALUE"""),40.53)</f>
        <v>40.53</v>
      </c>
      <c r="F1587" s="1">
        <f>IFERROR(__xludf.DUMMYFUNCTION("""COMPUTED_VALUE"""),2655427.0)</f>
        <v>2655427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IFERROR(__xludf.DUMMYFUNCTION("""COMPUTED_VALUE"""),40.35)</f>
        <v>40.35</v>
      </c>
      <c r="C1588" s="1">
        <f>IFERROR(__xludf.DUMMYFUNCTION("""COMPUTED_VALUE"""),40.67)</f>
        <v>40.67</v>
      </c>
      <c r="D1588" s="1">
        <f>IFERROR(__xludf.DUMMYFUNCTION("""COMPUTED_VALUE"""),39.16)</f>
        <v>39.16</v>
      </c>
      <c r="E1588" s="1">
        <f>IFERROR(__xludf.DUMMYFUNCTION("""COMPUTED_VALUE"""),39.76)</f>
        <v>39.76</v>
      </c>
      <c r="F1588" s="1">
        <f>IFERROR(__xludf.DUMMYFUNCTION("""COMPUTED_VALUE"""),1024655.0)</f>
        <v>1024655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IFERROR(__xludf.DUMMYFUNCTION("""COMPUTED_VALUE"""),39.82)</f>
        <v>39.82</v>
      </c>
      <c r="C1589" s="1">
        <f>IFERROR(__xludf.DUMMYFUNCTION("""COMPUTED_VALUE"""),40.0)</f>
        <v>40</v>
      </c>
      <c r="D1589" s="1">
        <f>IFERROR(__xludf.DUMMYFUNCTION("""COMPUTED_VALUE"""),39.53)</f>
        <v>39.53</v>
      </c>
      <c r="E1589" s="1">
        <f>IFERROR(__xludf.DUMMYFUNCTION("""COMPUTED_VALUE"""),39.97)</f>
        <v>39.97</v>
      </c>
      <c r="F1589" s="1">
        <f>IFERROR(__xludf.DUMMYFUNCTION("""COMPUTED_VALUE"""),906673.0)</f>
        <v>906673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IFERROR(__xludf.DUMMYFUNCTION("""COMPUTED_VALUE"""),40.0)</f>
        <v>40</v>
      </c>
      <c r="C1590" s="1">
        <f>IFERROR(__xludf.DUMMYFUNCTION("""COMPUTED_VALUE"""),40.05)</f>
        <v>40.05</v>
      </c>
      <c r="D1590" s="1">
        <f>IFERROR(__xludf.DUMMYFUNCTION("""COMPUTED_VALUE"""),39.46)</f>
        <v>39.46</v>
      </c>
      <c r="E1590" s="1">
        <f>IFERROR(__xludf.DUMMYFUNCTION("""COMPUTED_VALUE"""),39.95)</f>
        <v>39.95</v>
      </c>
      <c r="F1590" s="1">
        <f>IFERROR(__xludf.DUMMYFUNCTION("""COMPUTED_VALUE"""),1547837.0)</f>
        <v>1547837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IFERROR(__xludf.DUMMYFUNCTION("""COMPUTED_VALUE"""),40.0)</f>
        <v>40</v>
      </c>
      <c r="C1591" s="1">
        <f>IFERROR(__xludf.DUMMYFUNCTION("""COMPUTED_VALUE"""),40.05)</f>
        <v>40.05</v>
      </c>
      <c r="D1591" s="1">
        <f>IFERROR(__xludf.DUMMYFUNCTION("""COMPUTED_VALUE"""),39.56)</f>
        <v>39.56</v>
      </c>
      <c r="E1591" s="1">
        <f>IFERROR(__xludf.DUMMYFUNCTION("""COMPUTED_VALUE"""),39.67)</f>
        <v>39.67</v>
      </c>
      <c r="F1591" s="1">
        <f>IFERROR(__xludf.DUMMYFUNCTION("""COMPUTED_VALUE"""),2164543.0)</f>
        <v>2164543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IFERROR(__xludf.DUMMYFUNCTION("""COMPUTED_VALUE"""),39.35)</f>
        <v>39.35</v>
      </c>
      <c r="C1592" s="1">
        <f>IFERROR(__xludf.DUMMYFUNCTION("""COMPUTED_VALUE"""),39.87)</f>
        <v>39.87</v>
      </c>
      <c r="D1592" s="1">
        <f>IFERROR(__xludf.DUMMYFUNCTION("""COMPUTED_VALUE"""),39.06)</f>
        <v>39.06</v>
      </c>
      <c r="E1592" s="1">
        <f>IFERROR(__xludf.DUMMYFUNCTION("""COMPUTED_VALUE"""),39.35)</f>
        <v>39.35</v>
      </c>
      <c r="F1592" s="1">
        <f>IFERROR(__xludf.DUMMYFUNCTION("""COMPUTED_VALUE"""),1144039.0)</f>
        <v>1144039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IFERROR(__xludf.DUMMYFUNCTION("""COMPUTED_VALUE"""),39.07)</f>
        <v>39.07</v>
      </c>
      <c r="C1593" s="1">
        <f>IFERROR(__xludf.DUMMYFUNCTION("""COMPUTED_VALUE"""),39.6)</f>
        <v>39.6</v>
      </c>
      <c r="D1593" s="1">
        <f>IFERROR(__xludf.DUMMYFUNCTION("""COMPUTED_VALUE"""),38.59)</f>
        <v>38.59</v>
      </c>
      <c r="E1593" s="1">
        <f>IFERROR(__xludf.DUMMYFUNCTION("""COMPUTED_VALUE"""),39.16)</f>
        <v>39.16</v>
      </c>
      <c r="F1593" s="1">
        <f>IFERROR(__xludf.DUMMYFUNCTION("""COMPUTED_VALUE"""),1083525.0)</f>
        <v>1083525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IFERROR(__xludf.DUMMYFUNCTION("""COMPUTED_VALUE"""),39.65)</f>
        <v>39.65</v>
      </c>
      <c r="C1594" s="1">
        <f>IFERROR(__xludf.DUMMYFUNCTION("""COMPUTED_VALUE"""),39.92)</f>
        <v>39.92</v>
      </c>
      <c r="D1594" s="1">
        <f>IFERROR(__xludf.DUMMYFUNCTION("""COMPUTED_VALUE"""),38.93)</f>
        <v>38.93</v>
      </c>
      <c r="E1594" s="1">
        <f>IFERROR(__xludf.DUMMYFUNCTION("""COMPUTED_VALUE"""),39.2)</f>
        <v>39.2</v>
      </c>
      <c r="F1594" s="1">
        <f>IFERROR(__xludf.DUMMYFUNCTION("""COMPUTED_VALUE"""),735620.0)</f>
        <v>735620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IFERROR(__xludf.DUMMYFUNCTION("""COMPUTED_VALUE"""),39.04)</f>
        <v>39.04</v>
      </c>
      <c r="C1595" s="1">
        <f>IFERROR(__xludf.DUMMYFUNCTION("""COMPUTED_VALUE"""),39.42)</f>
        <v>39.42</v>
      </c>
      <c r="D1595" s="1">
        <f>IFERROR(__xludf.DUMMYFUNCTION("""COMPUTED_VALUE"""),38.78)</f>
        <v>38.78</v>
      </c>
      <c r="E1595" s="1">
        <f>IFERROR(__xludf.DUMMYFUNCTION("""COMPUTED_VALUE"""),39.15)</f>
        <v>39.15</v>
      </c>
      <c r="F1595" s="1">
        <f>IFERROR(__xludf.DUMMYFUNCTION("""COMPUTED_VALUE"""),1393914.0)</f>
        <v>1393914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IFERROR(__xludf.DUMMYFUNCTION("""COMPUTED_VALUE"""),38.97)</f>
        <v>38.97</v>
      </c>
      <c r="C1596" s="1">
        <f>IFERROR(__xludf.DUMMYFUNCTION("""COMPUTED_VALUE"""),39.49)</f>
        <v>39.49</v>
      </c>
      <c r="D1596" s="1">
        <f>IFERROR(__xludf.DUMMYFUNCTION("""COMPUTED_VALUE"""),38.7)</f>
        <v>38.7</v>
      </c>
      <c r="E1596" s="1">
        <f>IFERROR(__xludf.DUMMYFUNCTION("""COMPUTED_VALUE"""),39.42)</f>
        <v>39.42</v>
      </c>
      <c r="F1596" s="1">
        <f>IFERROR(__xludf.DUMMYFUNCTION("""COMPUTED_VALUE"""),1091014.0)</f>
        <v>1091014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IFERROR(__xludf.DUMMYFUNCTION("""COMPUTED_VALUE"""),39.49)</f>
        <v>39.49</v>
      </c>
      <c r="C1597" s="1">
        <f>IFERROR(__xludf.DUMMYFUNCTION("""COMPUTED_VALUE"""),40.24)</f>
        <v>40.24</v>
      </c>
      <c r="D1597" s="1">
        <f>IFERROR(__xludf.DUMMYFUNCTION("""COMPUTED_VALUE"""),39.19)</f>
        <v>39.19</v>
      </c>
      <c r="E1597" s="1">
        <f>IFERROR(__xludf.DUMMYFUNCTION("""COMPUTED_VALUE"""),39.46)</f>
        <v>39.46</v>
      </c>
      <c r="F1597" s="1">
        <f>IFERROR(__xludf.DUMMYFUNCTION("""COMPUTED_VALUE"""),1156403.0)</f>
        <v>1156403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IFERROR(__xludf.DUMMYFUNCTION("""COMPUTED_VALUE"""),39.19)</f>
        <v>39.19</v>
      </c>
      <c r="C1598" s="1">
        <f>IFERROR(__xludf.DUMMYFUNCTION("""COMPUTED_VALUE"""),39.8)</f>
        <v>39.8</v>
      </c>
      <c r="D1598" s="1">
        <f>IFERROR(__xludf.DUMMYFUNCTION("""COMPUTED_VALUE"""),38.68)</f>
        <v>38.68</v>
      </c>
      <c r="E1598" s="1">
        <f>IFERROR(__xludf.DUMMYFUNCTION("""COMPUTED_VALUE"""),39.73)</f>
        <v>39.73</v>
      </c>
      <c r="F1598" s="1">
        <f>IFERROR(__xludf.DUMMYFUNCTION("""COMPUTED_VALUE"""),578936.0)</f>
        <v>578936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IFERROR(__xludf.DUMMYFUNCTION("""COMPUTED_VALUE"""),39.8)</f>
        <v>39.8</v>
      </c>
      <c r="C1599" s="1">
        <f>IFERROR(__xludf.DUMMYFUNCTION("""COMPUTED_VALUE"""),39.91)</f>
        <v>39.91</v>
      </c>
      <c r="D1599" s="1">
        <f>IFERROR(__xludf.DUMMYFUNCTION("""COMPUTED_VALUE"""),39.14)</f>
        <v>39.14</v>
      </c>
      <c r="E1599" s="1">
        <f>IFERROR(__xludf.DUMMYFUNCTION("""COMPUTED_VALUE"""),39.38)</f>
        <v>39.38</v>
      </c>
      <c r="F1599" s="1">
        <f>IFERROR(__xludf.DUMMYFUNCTION("""COMPUTED_VALUE"""),745997.0)</f>
        <v>745997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IFERROR(__xludf.DUMMYFUNCTION("""COMPUTED_VALUE"""),39.57)</f>
        <v>39.57</v>
      </c>
      <c r="C1600" s="1">
        <f>IFERROR(__xludf.DUMMYFUNCTION("""COMPUTED_VALUE"""),40.48)</f>
        <v>40.48</v>
      </c>
      <c r="D1600" s="1">
        <f>IFERROR(__xludf.DUMMYFUNCTION("""COMPUTED_VALUE"""),39.53)</f>
        <v>39.53</v>
      </c>
      <c r="E1600" s="1">
        <f>IFERROR(__xludf.DUMMYFUNCTION("""COMPUTED_VALUE"""),40.38)</f>
        <v>40.38</v>
      </c>
      <c r="F1600" s="1">
        <f>IFERROR(__xludf.DUMMYFUNCTION("""COMPUTED_VALUE"""),967892.0)</f>
        <v>967892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IFERROR(__xludf.DUMMYFUNCTION("""COMPUTED_VALUE"""),40.38)</f>
        <v>40.38</v>
      </c>
      <c r="C1601" s="1">
        <f>IFERROR(__xludf.DUMMYFUNCTION("""COMPUTED_VALUE"""),40.41)</f>
        <v>40.41</v>
      </c>
      <c r="D1601" s="1">
        <f>IFERROR(__xludf.DUMMYFUNCTION("""COMPUTED_VALUE"""),39.27)</f>
        <v>39.27</v>
      </c>
      <c r="E1601" s="1">
        <f>IFERROR(__xludf.DUMMYFUNCTION("""COMPUTED_VALUE"""),39.56)</f>
        <v>39.56</v>
      </c>
      <c r="F1601" s="1">
        <f>IFERROR(__xludf.DUMMYFUNCTION("""COMPUTED_VALUE"""),605489.0)</f>
        <v>605489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IFERROR(__xludf.DUMMYFUNCTION("""COMPUTED_VALUE"""),39.4)</f>
        <v>39.4</v>
      </c>
      <c r="C1602" s="1">
        <f>IFERROR(__xludf.DUMMYFUNCTION("""COMPUTED_VALUE"""),40.43)</f>
        <v>40.43</v>
      </c>
      <c r="D1602" s="1">
        <f>IFERROR(__xludf.DUMMYFUNCTION("""COMPUTED_VALUE"""),39.09)</f>
        <v>39.09</v>
      </c>
      <c r="E1602" s="1">
        <f>IFERROR(__xludf.DUMMYFUNCTION("""COMPUTED_VALUE"""),40.29)</f>
        <v>40.29</v>
      </c>
      <c r="F1602" s="1">
        <f>IFERROR(__xludf.DUMMYFUNCTION("""COMPUTED_VALUE"""),1550214.0)</f>
        <v>1550214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IFERROR(__xludf.DUMMYFUNCTION("""COMPUTED_VALUE"""),39.97)</f>
        <v>39.97</v>
      </c>
      <c r="C1603" s="1">
        <f>IFERROR(__xludf.DUMMYFUNCTION("""COMPUTED_VALUE"""),40.03)</f>
        <v>40.03</v>
      </c>
      <c r="D1603" s="1">
        <f>IFERROR(__xludf.DUMMYFUNCTION("""COMPUTED_VALUE"""),39.24)</f>
        <v>39.24</v>
      </c>
      <c r="E1603" s="1">
        <f>IFERROR(__xludf.DUMMYFUNCTION("""COMPUTED_VALUE"""),39.67)</f>
        <v>39.67</v>
      </c>
      <c r="F1603" s="1">
        <f>IFERROR(__xludf.DUMMYFUNCTION("""COMPUTED_VALUE"""),926906.0)</f>
        <v>926906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IFERROR(__xludf.DUMMYFUNCTION("""COMPUTED_VALUE"""),40.0)</f>
        <v>40</v>
      </c>
      <c r="C1604" s="1">
        <f>IFERROR(__xludf.DUMMYFUNCTION("""COMPUTED_VALUE"""),41.67)</f>
        <v>41.67</v>
      </c>
      <c r="D1604" s="1">
        <f>IFERROR(__xludf.DUMMYFUNCTION("""COMPUTED_VALUE"""),39.92)</f>
        <v>39.92</v>
      </c>
      <c r="E1604" s="1">
        <f>IFERROR(__xludf.DUMMYFUNCTION("""COMPUTED_VALUE"""),41.27)</f>
        <v>41.27</v>
      </c>
      <c r="F1604" s="1">
        <f>IFERROR(__xludf.DUMMYFUNCTION("""COMPUTED_VALUE"""),2425030.0)</f>
        <v>2425030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IFERROR(__xludf.DUMMYFUNCTION("""COMPUTED_VALUE"""),41.41)</f>
        <v>41.41</v>
      </c>
      <c r="C1605" s="1">
        <f>IFERROR(__xludf.DUMMYFUNCTION("""COMPUTED_VALUE"""),41.59)</f>
        <v>41.59</v>
      </c>
      <c r="D1605" s="1">
        <f>IFERROR(__xludf.DUMMYFUNCTION("""COMPUTED_VALUE"""),39.62)</f>
        <v>39.62</v>
      </c>
      <c r="E1605" s="1">
        <f>IFERROR(__xludf.DUMMYFUNCTION("""COMPUTED_VALUE"""),39.71)</f>
        <v>39.71</v>
      </c>
      <c r="F1605" s="1">
        <f>IFERROR(__xludf.DUMMYFUNCTION("""COMPUTED_VALUE"""),1640321.0)</f>
        <v>1640321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IFERROR(__xludf.DUMMYFUNCTION("""COMPUTED_VALUE"""),39.7)</f>
        <v>39.7</v>
      </c>
      <c r="C1606" s="1">
        <f>IFERROR(__xludf.DUMMYFUNCTION("""COMPUTED_VALUE"""),39.99)</f>
        <v>39.99</v>
      </c>
      <c r="D1606" s="1">
        <f>IFERROR(__xludf.DUMMYFUNCTION("""COMPUTED_VALUE"""),39.01)</f>
        <v>39.01</v>
      </c>
      <c r="E1606" s="1">
        <f>IFERROR(__xludf.DUMMYFUNCTION("""COMPUTED_VALUE"""),39.62)</f>
        <v>39.62</v>
      </c>
      <c r="F1606" s="1">
        <f>IFERROR(__xludf.DUMMYFUNCTION("""COMPUTED_VALUE"""),1021006.0)</f>
        <v>1021006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IFERROR(__xludf.DUMMYFUNCTION("""COMPUTED_VALUE"""),39.46)</f>
        <v>39.46</v>
      </c>
      <c r="C1607" s="1">
        <f>IFERROR(__xludf.DUMMYFUNCTION("""COMPUTED_VALUE"""),40.65)</f>
        <v>40.65</v>
      </c>
      <c r="D1607" s="1">
        <f>IFERROR(__xludf.DUMMYFUNCTION("""COMPUTED_VALUE"""),39.02)</f>
        <v>39.02</v>
      </c>
      <c r="E1607" s="1">
        <f>IFERROR(__xludf.DUMMYFUNCTION("""COMPUTED_VALUE"""),40.58)</f>
        <v>40.58</v>
      </c>
      <c r="F1607" s="1">
        <f>IFERROR(__xludf.DUMMYFUNCTION("""COMPUTED_VALUE"""),811403.0)</f>
        <v>811403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IFERROR(__xludf.DUMMYFUNCTION("""COMPUTED_VALUE"""),40.8)</f>
        <v>40.8</v>
      </c>
      <c r="C1608" s="1">
        <f>IFERROR(__xludf.DUMMYFUNCTION("""COMPUTED_VALUE"""),41.07)</f>
        <v>41.07</v>
      </c>
      <c r="D1608" s="1">
        <f>IFERROR(__xludf.DUMMYFUNCTION("""COMPUTED_VALUE"""),40.2)</f>
        <v>40.2</v>
      </c>
      <c r="E1608" s="1">
        <f>IFERROR(__xludf.DUMMYFUNCTION("""COMPUTED_VALUE"""),41.05)</f>
        <v>41.05</v>
      </c>
      <c r="F1608" s="1">
        <f>IFERROR(__xludf.DUMMYFUNCTION("""COMPUTED_VALUE"""),1193648.0)</f>
        <v>1193648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IFERROR(__xludf.DUMMYFUNCTION("""COMPUTED_VALUE"""),40.91)</f>
        <v>40.91</v>
      </c>
      <c r="C1609" s="1">
        <f>IFERROR(__xludf.DUMMYFUNCTION("""COMPUTED_VALUE"""),42.89)</f>
        <v>42.89</v>
      </c>
      <c r="D1609" s="1">
        <f>IFERROR(__xludf.DUMMYFUNCTION("""COMPUTED_VALUE"""),40.86)</f>
        <v>40.86</v>
      </c>
      <c r="E1609" s="1">
        <f>IFERROR(__xludf.DUMMYFUNCTION("""COMPUTED_VALUE"""),41.5)</f>
        <v>41.5</v>
      </c>
      <c r="F1609" s="1">
        <f>IFERROR(__xludf.DUMMYFUNCTION("""COMPUTED_VALUE"""),2401385.0)</f>
        <v>2401385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IFERROR(__xludf.DUMMYFUNCTION("""COMPUTED_VALUE"""),41.91)</f>
        <v>41.91</v>
      </c>
      <c r="C1610" s="1">
        <f>IFERROR(__xludf.DUMMYFUNCTION("""COMPUTED_VALUE"""),42.99)</f>
        <v>42.99</v>
      </c>
      <c r="D1610" s="1">
        <f>IFERROR(__xludf.DUMMYFUNCTION("""COMPUTED_VALUE"""),41.54)</f>
        <v>41.54</v>
      </c>
      <c r="E1610" s="1">
        <f>IFERROR(__xludf.DUMMYFUNCTION("""COMPUTED_VALUE"""),42.87)</f>
        <v>42.87</v>
      </c>
      <c r="F1610" s="1">
        <f>IFERROR(__xludf.DUMMYFUNCTION("""COMPUTED_VALUE"""),1225957.0)</f>
        <v>1225957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IFERROR(__xludf.DUMMYFUNCTION("""COMPUTED_VALUE"""),42.75)</f>
        <v>42.75</v>
      </c>
      <c r="C1611" s="1">
        <f>IFERROR(__xludf.DUMMYFUNCTION("""COMPUTED_VALUE"""),42.98)</f>
        <v>42.98</v>
      </c>
      <c r="D1611" s="1">
        <f>IFERROR(__xludf.DUMMYFUNCTION("""COMPUTED_VALUE"""),40.72)</f>
        <v>40.72</v>
      </c>
      <c r="E1611" s="1">
        <f>IFERROR(__xludf.DUMMYFUNCTION("""COMPUTED_VALUE"""),41.2)</f>
        <v>41.2</v>
      </c>
      <c r="F1611" s="1">
        <f>IFERROR(__xludf.DUMMYFUNCTION("""COMPUTED_VALUE"""),1888718.0)</f>
        <v>1888718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IFERROR(__xludf.DUMMYFUNCTION("""COMPUTED_VALUE"""),41.38)</f>
        <v>41.38</v>
      </c>
      <c r="C1612" s="1">
        <f>IFERROR(__xludf.DUMMYFUNCTION("""COMPUTED_VALUE"""),41.99)</f>
        <v>41.99</v>
      </c>
      <c r="D1612" s="1">
        <f>IFERROR(__xludf.DUMMYFUNCTION("""COMPUTED_VALUE"""),41.11)</f>
        <v>41.11</v>
      </c>
      <c r="E1612" s="1">
        <f>IFERROR(__xludf.DUMMYFUNCTION("""COMPUTED_VALUE"""),41.71)</f>
        <v>41.71</v>
      </c>
      <c r="F1612" s="1">
        <f>IFERROR(__xludf.DUMMYFUNCTION("""COMPUTED_VALUE"""),1151831.0)</f>
        <v>1151831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IFERROR(__xludf.DUMMYFUNCTION("""COMPUTED_VALUE"""),41.7)</f>
        <v>41.7</v>
      </c>
      <c r="C1613" s="1">
        <f>IFERROR(__xludf.DUMMYFUNCTION("""COMPUTED_VALUE"""),43.02)</f>
        <v>43.02</v>
      </c>
      <c r="D1613" s="1">
        <f>IFERROR(__xludf.DUMMYFUNCTION("""COMPUTED_VALUE"""),41.68)</f>
        <v>41.68</v>
      </c>
      <c r="E1613" s="1">
        <f>IFERROR(__xludf.DUMMYFUNCTION("""COMPUTED_VALUE"""),42.53)</f>
        <v>42.53</v>
      </c>
      <c r="F1613" s="1">
        <f>IFERROR(__xludf.DUMMYFUNCTION("""COMPUTED_VALUE"""),1179113.0)</f>
        <v>1179113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IFERROR(__xludf.DUMMYFUNCTION("""COMPUTED_VALUE"""),43.5)</f>
        <v>43.5</v>
      </c>
      <c r="C1614" s="1">
        <f>IFERROR(__xludf.DUMMYFUNCTION("""COMPUTED_VALUE"""),43.58)</f>
        <v>43.58</v>
      </c>
      <c r="D1614" s="1">
        <f>IFERROR(__xludf.DUMMYFUNCTION("""COMPUTED_VALUE"""),41.85)</f>
        <v>41.85</v>
      </c>
      <c r="E1614" s="1">
        <f>IFERROR(__xludf.DUMMYFUNCTION("""COMPUTED_VALUE"""),42.25)</f>
        <v>42.25</v>
      </c>
      <c r="F1614" s="1">
        <f>IFERROR(__xludf.DUMMYFUNCTION("""COMPUTED_VALUE"""),1.3051136E7)</f>
        <v>13051136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IFERROR(__xludf.DUMMYFUNCTION("""COMPUTED_VALUE"""),42.19)</f>
        <v>42.19</v>
      </c>
      <c r="C1615" s="1">
        <f>IFERROR(__xludf.DUMMYFUNCTION("""COMPUTED_VALUE"""),42.25)</f>
        <v>42.25</v>
      </c>
      <c r="D1615" s="1">
        <f>IFERROR(__xludf.DUMMYFUNCTION("""COMPUTED_VALUE"""),41.47)</f>
        <v>41.47</v>
      </c>
      <c r="E1615" s="1">
        <f>IFERROR(__xludf.DUMMYFUNCTION("""COMPUTED_VALUE"""),42.09)</f>
        <v>42.09</v>
      </c>
      <c r="F1615" s="1">
        <f>IFERROR(__xludf.DUMMYFUNCTION("""COMPUTED_VALUE"""),1762876.0)</f>
        <v>1762876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IFERROR(__xludf.DUMMYFUNCTION("""COMPUTED_VALUE"""),42.02)</f>
        <v>42.02</v>
      </c>
      <c r="C1616" s="1">
        <f>IFERROR(__xludf.DUMMYFUNCTION("""COMPUTED_VALUE"""),43.26)</f>
        <v>43.26</v>
      </c>
      <c r="D1616" s="1">
        <f>IFERROR(__xludf.DUMMYFUNCTION("""COMPUTED_VALUE"""),41.93)</f>
        <v>41.93</v>
      </c>
      <c r="E1616" s="1">
        <f>IFERROR(__xludf.DUMMYFUNCTION("""COMPUTED_VALUE"""),43.07)</f>
        <v>43.07</v>
      </c>
      <c r="F1616" s="1">
        <f>IFERROR(__xludf.DUMMYFUNCTION("""COMPUTED_VALUE"""),1290184.0)</f>
        <v>1290184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IFERROR(__xludf.DUMMYFUNCTION("""COMPUTED_VALUE"""),43.12)</f>
        <v>43.12</v>
      </c>
      <c r="C1617" s="1">
        <f>IFERROR(__xludf.DUMMYFUNCTION("""COMPUTED_VALUE"""),43.54)</f>
        <v>43.54</v>
      </c>
      <c r="D1617" s="1">
        <f>IFERROR(__xludf.DUMMYFUNCTION("""COMPUTED_VALUE"""),42.78)</f>
        <v>42.78</v>
      </c>
      <c r="E1617" s="1">
        <f>IFERROR(__xludf.DUMMYFUNCTION("""COMPUTED_VALUE"""),43.02)</f>
        <v>43.02</v>
      </c>
      <c r="F1617" s="1">
        <f>IFERROR(__xludf.DUMMYFUNCTION("""COMPUTED_VALUE"""),1002527.0)</f>
        <v>1002527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IFERROR(__xludf.DUMMYFUNCTION("""COMPUTED_VALUE"""),43.16)</f>
        <v>43.16</v>
      </c>
      <c r="C1618" s="1">
        <f>IFERROR(__xludf.DUMMYFUNCTION("""COMPUTED_VALUE"""),43.49)</f>
        <v>43.49</v>
      </c>
      <c r="D1618" s="1">
        <f>IFERROR(__xludf.DUMMYFUNCTION("""COMPUTED_VALUE"""),42.8)</f>
        <v>42.8</v>
      </c>
      <c r="E1618" s="1">
        <f>IFERROR(__xludf.DUMMYFUNCTION("""COMPUTED_VALUE"""),42.96)</f>
        <v>42.96</v>
      </c>
      <c r="F1618" s="1">
        <f>IFERROR(__xludf.DUMMYFUNCTION("""COMPUTED_VALUE"""),1395804.0)</f>
        <v>1395804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IFERROR(__xludf.DUMMYFUNCTION("""COMPUTED_VALUE"""),42.97)</f>
        <v>42.97</v>
      </c>
      <c r="C1619" s="1">
        <f>IFERROR(__xludf.DUMMYFUNCTION("""COMPUTED_VALUE"""),43.42)</f>
        <v>43.42</v>
      </c>
      <c r="D1619" s="1">
        <f>IFERROR(__xludf.DUMMYFUNCTION("""COMPUTED_VALUE"""),42.67)</f>
        <v>42.67</v>
      </c>
      <c r="E1619" s="1">
        <f>IFERROR(__xludf.DUMMYFUNCTION("""COMPUTED_VALUE"""),42.83)</f>
        <v>42.83</v>
      </c>
      <c r="F1619" s="1">
        <f>IFERROR(__xludf.DUMMYFUNCTION("""COMPUTED_VALUE"""),988439.0)</f>
        <v>988439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IFERROR(__xludf.DUMMYFUNCTION("""COMPUTED_VALUE"""),42.8)</f>
        <v>42.8</v>
      </c>
      <c r="C1620" s="1">
        <f>IFERROR(__xludf.DUMMYFUNCTION("""COMPUTED_VALUE"""),42.83)</f>
        <v>42.83</v>
      </c>
      <c r="D1620" s="1">
        <f>IFERROR(__xludf.DUMMYFUNCTION("""COMPUTED_VALUE"""),38.89)</f>
        <v>38.89</v>
      </c>
      <c r="E1620" s="1">
        <f>IFERROR(__xludf.DUMMYFUNCTION("""COMPUTED_VALUE"""),39.12)</f>
        <v>39.12</v>
      </c>
      <c r="F1620" s="1">
        <f>IFERROR(__xludf.DUMMYFUNCTION("""COMPUTED_VALUE"""),3489718.0)</f>
        <v>3489718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IFERROR(__xludf.DUMMYFUNCTION("""COMPUTED_VALUE"""),39.18)</f>
        <v>39.18</v>
      </c>
      <c r="C1621" s="1">
        <f>IFERROR(__xludf.DUMMYFUNCTION("""COMPUTED_VALUE"""),40.22)</f>
        <v>40.22</v>
      </c>
      <c r="D1621" s="1">
        <f>IFERROR(__xludf.DUMMYFUNCTION("""COMPUTED_VALUE"""),38.59)</f>
        <v>38.59</v>
      </c>
      <c r="E1621" s="1">
        <f>IFERROR(__xludf.DUMMYFUNCTION("""COMPUTED_VALUE"""),38.86)</f>
        <v>38.86</v>
      </c>
      <c r="F1621" s="1">
        <f>IFERROR(__xludf.DUMMYFUNCTION("""COMPUTED_VALUE"""),2545484.0)</f>
        <v>2545484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IFERROR(__xludf.DUMMYFUNCTION("""COMPUTED_VALUE"""),38.37)</f>
        <v>38.37</v>
      </c>
      <c r="C1622" s="1">
        <f>IFERROR(__xludf.DUMMYFUNCTION("""COMPUTED_VALUE"""),39.64)</f>
        <v>39.64</v>
      </c>
      <c r="D1622" s="1">
        <f>IFERROR(__xludf.DUMMYFUNCTION("""COMPUTED_VALUE"""),38.33)</f>
        <v>38.33</v>
      </c>
      <c r="E1622" s="1">
        <f>IFERROR(__xludf.DUMMYFUNCTION("""COMPUTED_VALUE"""),38.98)</f>
        <v>38.98</v>
      </c>
      <c r="F1622" s="1">
        <f>IFERROR(__xludf.DUMMYFUNCTION("""COMPUTED_VALUE"""),1880267.0)</f>
        <v>1880267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IFERROR(__xludf.DUMMYFUNCTION("""COMPUTED_VALUE"""),38.66)</f>
        <v>38.66</v>
      </c>
      <c r="C1623" s="1">
        <f>IFERROR(__xludf.DUMMYFUNCTION("""COMPUTED_VALUE"""),39.3)</f>
        <v>39.3</v>
      </c>
      <c r="D1623" s="1">
        <f>IFERROR(__xludf.DUMMYFUNCTION("""COMPUTED_VALUE"""),38.41)</f>
        <v>38.41</v>
      </c>
      <c r="E1623" s="1">
        <f>IFERROR(__xludf.DUMMYFUNCTION("""COMPUTED_VALUE"""),38.46)</f>
        <v>38.46</v>
      </c>
      <c r="F1623" s="1">
        <f>IFERROR(__xludf.DUMMYFUNCTION("""COMPUTED_VALUE"""),935562.0)</f>
        <v>935562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IFERROR(__xludf.DUMMYFUNCTION("""COMPUTED_VALUE"""),38.56)</f>
        <v>38.56</v>
      </c>
      <c r="C1624" s="1">
        <f>IFERROR(__xludf.DUMMYFUNCTION("""COMPUTED_VALUE"""),39.02)</f>
        <v>39.02</v>
      </c>
      <c r="D1624" s="1">
        <f>IFERROR(__xludf.DUMMYFUNCTION("""COMPUTED_VALUE"""),38.11)</f>
        <v>38.11</v>
      </c>
      <c r="E1624" s="1">
        <f>IFERROR(__xludf.DUMMYFUNCTION("""COMPUTED_VALUE"""),38.84)</f>
        <v>38.84</v>
      </c>
      <c r="F1624" s="1">
        <f>IFERROR(__xludf.DUMMYFUNCTION("""COMPUTED_VALUE"""),779910.0)</f>
        <v>779910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IFERROR(__xludf.DUMMYFUNCTION("""COMPUTED_VALUE"""),39.0)</f>
        <v>39</v>
      </c>
      <c r="C1625" s="1">
        <f>IFERROR(__xludf.DUMMYFUNCTION("""COMPUTED_VALUE"""),39.67)</f>
        <v>39.67</v>
      </c>
      <c r="D1625" s="1">
        <f>IFERROR(__xludf.DUMMYFUNCTION("""COMPUTED_VALUE"""),38.55)</f>
        <v>38.55</v>
      </c>
      <c r="E1625" s="1">
        <f>IFERROR(__xludf.DUMMYFUNCTION("""COMPUTED_VALUE"""),39.42)</f>
        <v>39.42</v>
      </c>
      <c r="F1625" s="1">
        <f>IFERROR(__xludf.DUMMYFUNCTION("""COMPUTED_VALUE"""),1133662.0)</f>
        <v>1133662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IFERROR(__xludf.DUMMYFUNCTION("""COMPUTED_VALUE"""),39.08)</f>
        <v>39.08</v>
      </c>
      <c r="C1626" s="1">
        <f>IFERROR(__xludf.DUMMYFUNCTION("""COMPUTED_VALUE"""),39.87)</f>
        <v>39.87</v>
      </c>
      <c r="D1626" s="1">
        <f>IFERROR(__xludf.DUMMYFUNCTION("""COMPUTED_VALUE"""),38.27)</f>
        <v>38.27</v>
      </c>
      <c r="E1626" s="1">
        <f>IFERROR(__xludf.DUMMYFUNCTION("""COMPUTED_VALUE"""),39.81)</f>
        <v>39.81</v>
      </c>
      <c r="F1626" s="1">
        <f>IFERROR(__xludf.DUMMYFUNCTION("""COMPUTED_VALUE"""),1521809.0)</f>
        <v>1521809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IFERROR(__xludf.DUMMYFUNCTION("""COMPUTED_VALUE"""),39.66)</f>
        <v>39.66</v>
      </c>
      <c r="C1627" s="1">
        <f>IFERROR(__xludf.DUMMYFUNCTION("""COMPUTED_VALUE"""),40.59)</f>
        <v>40.59</v>
      </c>
      <c r="D1627" s="1">
        <f>IFERROR(__xludf.DUMMYFUNCTION("""COMPUTED_VALUE"""),39.54)</f>
        <v>39.54</v>
      </c>
      <c r="E1627" s="1">
        <f>IFERROR(__xludf.DUMMYFUNCTION("""COMPUTED_VALUE"""),40.02)</f>
        <v>40.02</v>
      </c>
      <c r="F1627" s="1">
        <f>IFERROR(__xludf.DUMMYFUNCTION("""COMPUTED_VALUE"""),1639243.0)</f>
        <v>1639243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IFERROR(__xludf.DUMMYFUNCTION("""COMPUTED_VALUE"""),40.42)</f>
        <v>40.42</v>
      </c>
      <c r="C1628" s="1">
        <f>IFERROR(__xludf.DUMMYFUNCTION("""COMPUTED_VALUE"""),40.67)</f>
        <v>40.67</v>
      </c>
      <c r="D1628" s="1">
        <f>IFERROR(__xludf.DUMMYFUNCTION("""COMPUTED_VALUE"""),39.85)</f>
        <v>39.85</v>
      </c>
      <c r="E1628" s="1">
        <f>IFERROR(__xludf.DUMMYFUNCTION("""COMPUTED_VALUE"""),40.15)</f>
        <v>40.15</v>
      </c>
      <c r="F1628" s="1">
        <f>IFERROR(__xludf.DUMMYFUNCTION("""COMPUTED_VALUE"""),686310.0)</f>
        <v>686310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IFERROR(__xludf.DUMMYFUNCTION("""COMPUTED_VALUE"""),40.39)</f>
        <v>40.39</v>
      </c>
      <c r="C1629" s="1">
        <f>IFERROR(__xludf.DUMMYFUNCTION("""COMPUTED_VALUE"""),40.54)</f>
        <v>40.54</v>
      </c>
      <c r="D1629" s="1">
        <f>IFERROR(__xludf.DUMMYFUNCTION("""COMPUTED_VALUE"""),40.04)</f>
        <v>40.04</v>
      </c>
      <c r="E1629" s="1">
        <f>IFERROR(__xludf.DUMMYFUNCTION("""COMPUTED_VALUE"""),40.54)</f>
        <v>40.54</v>
      </c>
      <c r="F1629" s="1">
        <f>IFERROR(__xludf.DUMMYFUNCTION("""COMPUTED_VALUE"""),824613.0)</f>
        <v>824613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IFERROR(__xludf.DUMMYFUNCTION("""COMPUTED_VALUE"""),40.49)</f>
        <v>40.49</v>
      </c>
      <c r="C1630" s="1">
        <f>IFERROR(__xludf.DUMMYFUNCTION("""COMPUTED_VALUE"""),41.2)</f>
        <v>41.2</v>
      </c>
      <c r="D1630" s="1">
        <f>IFERROR(__xludf.DUMMYFUNCTION("""COMPUTED_VALUE"""),40.48)</f>
        <v>40.48</v>
      </c>
      <c r="E1630" s="1">
        <f>IFERROR(__xludf.DUMMYFUNCTION("""COMPUTED_VALUE"""),41.0)</f>
        <v>41</v>
      </c>
      <c r="F1630" s="1">
        <f>IFERROR(__xludf.DUMMYFUNCTION("""COMPUTED_VALUE"""),1902200.0)</f>
        <v>1902200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IFERROR(__xludf.DUMMYFUNCTION("""COMPUTED_VALUE"""),41.24)</f>
        <v>41.24</v>
      </c>
      <c r="C1631" s="1">
        <f>IFERROR(__xludf.DUMMYFUNCTION("""COMPUTED_VALUE"""),41.28)</f>
        <v>41.28</v>
      </c>
      <c r="D1631" s="1">
        <f>IFERROR(__xludf.DUMMYFUNCTION("""COMPUTED_VALUE"""),40.27)</f>
        <v>40.27</v>
      </c>
      <c r="E1631" s="1">
        <f>IFERROR(__xludf.DUMMYFUNCTION("""COMPUTED_VALUE"""),40.79)</f>
        <v>40.79</v>
      </c>
      <c r="F1631" s="1">
        <f>IFERROR(__xludf.DUMMYFUNCTION("""COMPUTED_VALUE"""),942666.0)</f>
        <v>942666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IFERROR(__xludf.DUMMYFUNCTION("""COMPUTED_VALUE"""),38.88)</f>
        <v>38.88</v>
      </c>
      <c r="C1632" s="1">
        <f>IFERROR(__xludf.DUMMYFUNCTION("""COMPUTED_VALUE"""),41.19)</f>
        <v>41.19</v>
      </c>
      <c r="D1632" s="1">
        <f>IFERROR(__xludf.DUMMYFUNCTION("""COMPUTED_VALUE"""),38.83)</f>
        <v>38.83</v>
      </c>
      <c r="E1632" s="1">
        <f>IFERROR(__xludf.DUMMYFUNCTION("""COMPUTED_VALUE"""),41.04)</f>
        <v>41.04</v>
      </c>
      <c r="F1632" s="1">
        <f>IFERROR(__xludf.DUMMYFUNCTION("""COMPUTED_VALUE"""),833909.0)</f>
        <v>833909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IFERROR(__xludf.DUMMYFUNCTION("""COMPUTED_VALUE"""),41.0)</f>
        <v>41</v>
      </c>
      <c r="C1633" s="1">
        <f>IFERROR(__xludf.DUMMYFUNCTION("""COMPUTED_VALUE"""),41.19)</f>
        <v>41.19</v>
      </c>
      <c r="D1633" s="1">
        <f>IFERROR(__xludf.DUMMYFUNCTION("""COMPUTED_VALUE"""),39.98)</f>
        <v>39.98</v>
      </c>
      <c r="E1633" s="1">
        <f>IFERROR(__xludf.DUMMYFUNCTION("""COMPUTED_VALUE"""),40.94)</f>
        <v>40.94</v>
      </c>
      <c r="F1633" s="1">
        <f>IFERROR(__xludf.DUMMYFUNCTION("""COMPUTED_VALUE"""),1275163.0)</f>
        <v>1275163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IFERROR(__xludf.DUMMYFUNCTION("""COMPUTED_VALUE"""),41.37)</f>
        <v>41.37</v>
      </c>
      <c r="C1634" s="1">
        <f>IFERROR(__xludf.DUMMYFUNCTION("""COMPUTED_VALUE"""),41.99)</f>
        <v>41.99</v>
      </c>
      <c r="D1634" s="1">
        <f>IFERROR(__xludf.DUMMYFUNCTION("""COMPUTED_VALUE"""),40.86)</f>
        <v>40.86</v>
      </c>
      <c r="E1634" s="1">
        <f>IFERROR(__xludf.DUMMYFUNCTION("""COMPUTED_VALUE"""),40.95)</f>
        <v>40.95</v>
      </c>
      <c r="F1634" s="1">
        <f>IFERROR(__xludf.DUMMYFUNCTION("""COMPUTED_VALUE"""),2462371.0)</f>
        <v>2462371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IFERROR(__xludf.DUMMYFUNCTION("""COMPUTED_VALUE"""),41.57)</f>
        <v>41.57</v>
      </c>
      <c r="C1635" s="1">
        <f>IFERROR(__xludf.DUMMYFUNCTION("""COMPUTED_VALUE"""),41.94)</f>
        <v>41.94</v>
      </c>
      <c r="D1635" s="1">
        <f>IFERROR(__xludf.DUMMYFUNCTION("""COMPUTED_VALUE"""),41.23)</f>
        <v>41.23</v>
      </c>
      <c r="E1635" s="1">
        <f>IFERROR(__xludf.DUMMYFUNCTION("""COMPUTED_VALUE"""),41.73)</f>
        <v>41.73</v>
      </c>
      <c r="F1635" s="1">
        <f>IFERROR(__xludf.DUMMYFUNCTION("""COMPUTED_VALUE"""),1569456.0)</f>
        <v>1569456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IFERROR(__xludf.DUMMYFUNCTION("""COMPUTED_VALUE"""),41.93)</f>
        <v>41.93</v>
      </c>
      <c r="C1636" s="1">
        <f>IFERROR(__xludf.DUMMYFUNCTION("""COMPUTED_VALUE"""),42.04)</f>
        <v>42.04</v>
      </c>
      <c r="D1636" s="1">
        <f>IFERROR(__xludf.DUMMYFUNCTION("""COMPUTED_VALUE"""),41.65)</f>
        <v>41.65</v>
      </c>
      <c r="E1636" s="1">
        <f>IFERROR(__xludf.DUMMYFUNCTION("""COMPUTED_VALUE"""),41.88)</f>
        <v>41.88</v>
      </c>
      <c r="F1636" s="1">
        <f>IFERROR(__xludf.DUMMYFUNCTION("""COMPUTED_VALUE"""),1814991.0)</f>
        <v>1814991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IFERROR(__xludf.DUMMYFUNCTION("""COMPUTED_VALUE"""),42.0)</f>
        <v>42</v>
      </c>
      <c r="C1637" s="1">
        <f>IFERROR(__xludf.DUMMYFUNCTION("""COMPUTED_VALUE"""),42.32)</f>
        <v>42.32</v>
      </c>
      <c r="D1637" s="1">
        <f>IFERROR(__xludf.DUMMYFUNCTION("""COMPUTED_VALUE"""),41.74)</f>
        <v>41.74</v>
      </c>
      <c r="E1637" s="1">
        <f>IFERROR(__xludf.DUMMYFUNCTION("""COMPUTED_VALUE"""),42.06)</f>
        <v>42.06</v>
      </c>
      <c r="F1637" s="1">
        <f>IFERROR(__xludf.DUMMYFUNCTION("""COMPUTED_VALUE"""),2361582.0)</f>
        <v>2361582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IFERROR(__xludf.DUMMYFUNCTION("""COMPUTED_VALUE"""),42.48)</f>
        <v>42.48</v>
      </c>
      <c r="C1638" s="1">
        <f>IFERROR(__xludf.DUMMYFUNCTION("""COMPUTED_VALUE"""),42.92)</f>
        <v>42.92</v>
      </c>
      <c r="D1638" s="1">
        <f>IFERROR(__xludf.DUMMYFUNCTION("""COMPUTED_VALUE"""),41.86)</f>
        <v>41.86</v>
      </c>
      <c r="E1638" s="1">
        <f>IFERROR(__xludf.DUMMYFUNCTION("""COMPUTED_VALUE"""),42.57)</f>
        <v>42.57</v>
      </c>
      <c r="F1638" s="1">
        <f>IFERROR(__xludf.DUMMYFUNCTION("""COMPUTED_VALUE"""),4680955.0)</f>
        <v>4680955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IFERROR(__xludf.DUMMYFUNCTION("""COMPUTED_VALUE"""),42.15)</f>
        <v>42.15</v>
      </c>
      <c r="C1639" s="1">
        <f>IFERROR(__xludf.DUMMYFUNCTION("""COMPUTED_VALUE"""),42.77)</f>
        <v>42.77</v>
      </c>
      <c r="D1639" s="1">
        <f>IFERROR(__xludf.DUMMYFUNCTION("""COMPUTED_VALUE"""),41.07)</f>
        <v>41.07</v>
      </c>
      <c r="E1639" s="1">
        <f>IFERROR(__xludf.DUMMYFUNCTION("""COMPUTED_VALUE"""),41.45)</f>
        <v>41.45</v>
      </c>
      <c r="F1639" s="1">
        <f>IFERROR(__xludf.DUMMYFUNCTION("""COMPUTED_VALUE"""),834527.0)</f>
        <v>834527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IFERROR(__xludf.DUMMYFUNCTION("""COMPUTED_VALUE"""),41.43)</f>
        <v>41.43</v>
      </c>
      <c r="C1640" s="1">
        <f>IFERROR(__xludf.DUMMYFUNCTION("""COMPUTED_VALUE"""),42.29)</f>
        <v>42.29</v>
      </c>
      <c r="D1640" s="1">
        <f>IFERROR(__xludf.DUMMYFUNCTION("""COMPUTED_VALUE"""),41.2)</f>
        <v>41.2</v>
      </c>
      <c r="E1640" s="1">
        <f>IFERROR(__xludf.DUMMYFUNCTION("""COMPUTED_VALUE"""),41.61)</f>
        <v>41.61</v>
      </c>
      <c r="F1640" s="1">
        <f>IFERROR(__xludf.DUMMYFUNCTION("""COMPUTED_VALUE"""),1206553.0)</f>
        <v>1206553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IFERROR(__xludf.DUMMYFUNCTION("""COMPUTED_VALUE"""),41.7)</f>
        <v>41.7</v>
      </c>
      <c r="C1641" s="1">
        <f>IFERROR(__xludf.DUMMYFUNCTION("""COMPUTED_VALUE"""),42.19)</f>
        <v>42.19</v>
      </c>
      <c r="D1641" s="1">
        <f>IFERROR(__xludf.DUMMYFUNCTION("""COMPUTED_VALUE"""),41.57)</f>
        <v>41.57</v>
      </c>
      <c r="E1641" s="1">
        <f>IFERROR(__xludf.DUMMYFUNCTION("""COMPUTED_VALUE"""),41.7)</f>
        <v>41.7</v>
      </c>
      <c r="F1641" s="1">
        <f>IFERROR(__xludf.DUMMYFUNCTION("""COMPUTED_VALUE"""),585582.0)</f>
        <v>585582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IFERROR(__xludf.DUMMYFUNCTION("""COMPUTED_VALUE"""),41.86)</f>
        <v>41.86</v>
      </c>
      <c r="C1642" s="1">
        <f>IFERROR(__xludf.DUMMYFUNCTION("""COMPUTED_VALUE"""),42.61)</f>
        <v>42.61</v>
      </c>
      <c r="D1642" s="1">
        <f>IFERROR(__xludf.DUMMYFUNCTION("""COMPUTED_VALUE"""),41.55)</f>
        <v>41.55</v>
      </c>
      <c r="E1642" s="1">
        <f>IFERROR(__xludf.DUMMYFUNCTION("""COMPUTED_VALUE"""),41.84)</f>
        <v>41.84</v>
      </c>
      <c r="F1642" s="1">
        <f>IFERROR(__xludf.DUMMYFUNCTION("""COMPUTED_VALUE"""),1087390.0)</f>
        <v>1087390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IFERROR(__xludf.DUMMYFUNCTION("""COMPUTED_VALUE"""),42.27)</f>
        <v>42.27</v>
      </c>
      <c r="C1643" s="1">
        <f>IFERROR(__xludf.DUMMYFUNCTION("""COMPUTED_VALUE"""),42.6)</f>
        <v>42.6</v>
      </c>
      <c r="D1643" s="1">
        <f>IFERROR(__xludf.DUMMYFUNCTION("""COMPUTED_VALUE"""),40.9)</f>
        <v>40.9</v>
      </c>
      <c r="E1643" s="1">
        <f>IFERROR(__xludf.DUMMYFUNCTION("""COMPUTED_VALUE"""),40.93)</f>
        <v>40.93</v>
      </c>
      <c r="F1643" s="1">
        <f>IFERROR(__xludf.DUMMYFUNCTION("""COMPUTED_VALUE"""),1122961.0)</f>
        <v>1122961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IFERROR(__xludf.DUMMYFUNCTION("""COMPUTED_VALUE"""),41.0)</f>
        <v>41</v>
      </c>
      <c r="C1644" s="1">
        <f>IFERROR(__xludf.DUMMYFUNCTION("""COMPUTED_VALUE"""),41.27)</f>
        <v>41.27</v>
      </c>
      <c r="D1644" s="1">
        <f>IFERROR(__xludf.DUMMYFUNCTION("""COMPUTED_VALUE"""),40.9)</f>
        <v>40.9</v>
      </c>
      <c r="E1644" s="1">
        <f>IFERROR(__xludf.DUMMYFUNCTION("""COMPUTED_VALUE"""),41.07)</f>
        <v>41.07</v>
      </c>
      <c r="F1644" s="1">
        <f>IFERROR(__xludf.DUMMYFUNCTION("""COMPUTED_VALUE"""),1025174.0)</f>
        <v>1025174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IFERROR(__xludf.DUMMYFUNCTION("""COMPUTED_VALUE"""),41.12)</f>
        <v>41.12</v>
      </c>
      <c r="C1645" s="1">
        <f>IFERROR(__xludf.DUMMYFUNCTION("""COMPUTED_VALUE"""),41.57)</f>
        <v>41.57</v>
      </c>
      <c r="D1645" s="1">
        <f>IFERROR(__xludf.DUMMYFUNCTION("""COMPUTED_VALUE"""),40.96)</f>
        <v>40.96</v>
      </c>
      <c r="E1645" s="1">
        <f>IFERROR(__xludf.DUMMYFUNCTION("""COMPUTED_VALUE"""),41.47)</f>
        <v>41.47</v>
      </c>
      <c r="F1645" s="1">
        <f>IFERROR(__xludf.DUMMYFUNCTION("""COMPUTED_VALUE"""),1070903.0)</f>
        <v>1070903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IFERROR(__xludf.DUMMYFUNCTION("""COMPUTED_VALUE"""),41.3)</f>
        <v>41.3</v>
      </c>
      <c r="C1646" s="1">
        <f>IFERROR(__xludf.DUMMYFUNCTION("""COMPUTED_VALUE"""),41.93)</f>
        <v>41.93</v>
      </c>
      <c r="D1646" s="1">
        <f>IFERROR(__xludf.DUMMYFUNCTION("""COMPUTED_VALUE"""),40.55)</f>
        <v>40.55</v>
      </c>
      <c r="E1646" s="1">
        <f>IFERROR(__xludf.DUMMYFUNCTION("""COMPUTED_VALUE"""),41.49)</f>
        <v>41.49</v>
      </c>
      <c r="F1646" s="1">
        <f>IFERROR(__xludf.DUMMYFUNCTION("""COMPUTED_VALUE"""),1181437.0)</f>
        <v>1181437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IFERROR(__xludf.DUMMYFUNCTION("""COMPUTED_VALUE"""),41.6)</f>
        <v>41.6</v>
      </c>
      <c r="C1647" s="1">
        <f>IFERROR(__xludf.DUMMYFUNCTION("""COMPUTED_VALUE"""),41.91)</f>
        <v>41.91</v>
      </c>
      <c r="D1647" s="1">
        <f>IFERROR(__xludf.DUMMYFUNCTION("""COMPUTED_VALUE"""),41.03)</f>
        <v>41.03</v>
      </c>
      <c r="E1647" s="1">
        <f>IFERROR(__xludf.DUMMYFUNCTION("""COMPUTED_VALUE"""),41.09)</f>
        <v>41.09</v>
      </c>
      <c r="F1647" s="1">
        <f>IFERROR(__xludf.DUMMYFUNCTION("""COMPUTED_VALUE"""),1098567.0)</f>
        <v>1098567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IFERROR(__xludf.DUMMYFUNCTION("""COMPUTED_VALUE"""),41.06)</f>
        <v>41.06</v>
      </c>
      <c r="C1648" s="1">
        <f>IFERROR(__xludf.DUMMYFUNCTION("""COMPUTED_VALUE"""),42.03)</f>
        <v>42.03</v>
      </c>
      <c r="D1648" s="1">
        <f>IFERROR(__xludf.DUMMYFUNCTION("""COMPUTED_VALUE"""),41.06)</f>
        <v>41.06</v>
      </c>
      <c r="E1648" s="1">
        <f>IFERROR(__xludf.DUMMYFUNCTION("""COMPUTED_VALUE"""),41.78)</f>
        <v>41.78</v>
      </c>
      <c r="F1648" s="1">
        <f>IFERROR(__xludf.DUMMYFUNCTION("""COMPUTED_VALUE"""),2959408.0)</f>
        <v>2959408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IFERROR(__xludf.DUMMYFUNCTION("""COMPUTED_VALUE"""),40.07)</f>
        <v>40.07</v>
      </c>
      <c r="C1649" s="1">
        <f>IFERROR(__xludf.DUMMYFUNCTION("""COMPUTED_VALUE"""),45.15)</f>
        <v>45.15</v>
      </c>
      <c r="D1649" s="1">
        <f>IFERROR(__xludf.DUMMYFUNCTION("""COMPUTED_VALUE"""),40.01)</f>
        <v>40.01</v>
      </c>
      <c r="E1649" s="1">
        <f>IFERROR(__xludf.DUMMYFUNCTION("""COMPUTED_VALUE"""),44.57)</f>
        <v>44.57</v>
      </c>
      <c r="F1649" s="1">
        <f>IFERROR(__xludf.DUMMYFUNCTION("""COMPUTED_VALUE"""),3792925.0)</f>
        <v>3792925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IFERROR(__xludf.DUMMYFUNCTION("""COMPUTED_VALUE"""),44.63)</f>
        <v>44.63</v>
      </c>
      <c r="C1650" s="1">
        <f>IFERROR(__xludf.DUMMYFUNCTION("""COMPUTED_VALUE"""),44.95)</f>
        <v>44.95</v>
      </c>
      <c r="D1650" s="1">
        <f>IFERROR(__xludf.DUMMYFUNCTION("""COMPUTED_VALUE"""),44.03)</f>
        <v>44.03</v>
      </c>
      <c r="E1650" s="1">
        <f>IFERROR(__xludf.DUMMYFUNCTION("""COMPUTED_VALUE"""),44.41)</f>
        <v>44.41</v>
      </c>
      <c r="F1650" s="1">
        <f>IFERROR(__xludf.DUMMYFUNCTION("""COMPUTED_VALUE"""),1296199.0)</f>
        <v>1296199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IFERROR(__xludf.DUMMYFUNCTION("""COMPUTED_VALUE"""),44.21)</f>
        <v>44.21</v>
      </c>
      <c r="C1651" s="1">
        <f>IFERROR(__xludf.DUMMYFUNCTION("""COMPUTED_VALUE"""),44.67)</f>
        <v>44.67</v>
      </c>
      <c r="D1651" s="1">
        <f>IFERROR(__xludf.DUMMYFUNCTION("""COMPUTED_VALUE"""),44.05)</f>
        <v>44.05</v>
      </c>
      <c r="E1651" s="1">
        <f>IFERROR(__xludf.DUMMYFUNCTION("""COMPUTED_VALUE"""),44.38)</f>
        <v>44.38</v>
      </c>
      <c r="F1651" s="1">
        <f>IFERROR(__xludf.DUMMYFUNCTION("""COMPUTED_VALUE"""),1131040.0)</f>
        <v>1131040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IFERROR(__xludf.DUMMYFUNCTION("""COMPUTED_VALUE"""),44.35)</f>
        <v>44.35</v>
      </c>
      <c r="C1652" s="1">
        <f>IFERROR(__xludf.DUMMYFUNCTION("""COMPUTED_VALUE"""),44.44)</f>
        <v>44.44</v>
      </c>
      <c r="D1652" s="1">
        <f>IFERROR(__xludf.DUMMYFUNCTION("""COMPUTED_VALUE"""),43.17)</f>
        <v>43.17</v>
      </c>
      <c r="E1652" s="1">
        <f>IFERROR(__xludf.DUMMYFUNCTION("""COMPUTED_VALUE"""),44.01)</f>
        <v>44.01</v>
      </c>
      <c r="F1652" s="1">
        <f>IFERROR(__xludf.DUMMYFUNCTION("""COMPUTED_VALUE"""),996162.0)</f>
        <v>996162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IFERROR(__xludf.DUMMYFUNCTION("""COMPUTED_VALUE"""),44.06)</f>
        <v>44.06</v>
      </c>
      <c r="C1653" s="1">
        <f>IFERROR(__xludf.DUMMYFUNCTION("""COMPUTED_VALUE"""),44.61)</f>
        <v>44.61</v>
      </c>
      <c r="D1653" s="1">
        <f>IFERROR(__xludf.DUMMYFUNCTION("""COMPUTED_VALUE"""),44.06)</f>
        <v>44.06</v>
      </c>
      <c r="E1653" s="1">
        <f>IFERROR(__xludf.DUMMYFUNCTION("""COMPUTED_VALUE"""),44.35)</f>
        <v>44.35</v>
      </c>
      <c r="F1653" s="1">
        <f>IFERROR(__xludf.DUMMYFUNCTION("""COMPUTED_VALUE"""),1579992.0)</f>
        <v>1579992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IFERROR(__xludf.DUMMYFUNCTION("""COMPUTED_VALUE"""),44.48)</f>
        <v>44.48</v>
      </c>
      <c r="C1654" s="1">
        <f>IFERROR(__xludf.DUMMYFUNCTION("""COMPUTED_VALUE"""),44.55)</f>
        <v>44.55</v>
      </c>
      <c r="D1654" s="1">
        <f>IFERROR(__xludf.DUMMYFUNCTION("""COMPUTED_VALUE"""),44.09)</f>
        <v>44.09</v>
      </c>
      <c r="E1654" s="1">
        <f>IFERROR(__xludf.DUMMYFUNCTION("""COMPUTED_VALUE"""),44.31)</f>
        <v>44.31</v>
      </c>
      <c r="F1654" s="1">
        <f>IFERROR(__xludf.DUMMYFUNCTION("""COMPUTED_VALUE"""),918383.0)</f>
        <v>918383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IFERROR(__xludf.DUMMYFUNCTION("""COMPUTED_VALUE"""),44.35)</f>
        <v>44.35</v>
      </c>
      <c r="C1655" s="1">
        <f>IFERROR(__xludf.DUMMYFUNCTION("""COMPUTED_VALUE"""),45.37)</f>
        <v>45.37</v>
      </c>
      <c r="D1655" s="1">
        <f>IFERROR(__xludf.DUMMYFUNCTION("""COMPUTED_VALUE"""),44.27)</f>
        <v>44.27</v>
      </c>
      <c r="E1655" s="1">
        <f>IFERROR(__xludf.DUMMYFUNCTION("""COMPUTED_VALUE"""),45.12)</f>
        <v>45.12</v>
      </c>
      <c r="F1655" s="1">
        <f>IFERROR(__xludf.DUMMYFUNCTION("""COMPUTED_VALUE"""),1372778.0)</f>
        <v>1372778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IFERROR(__xludf.DUMMYFUNCTION("""COMPUTED_VALUE"""),44.81)</f>
        <v>44.81</v>
      </c>
      <c r="C1656" s="1">
        <f>IFERROR(__xludf.DUMMYFUNCTION("""COMPUTED_VALUE"""),45.07)</f>
        <v>45.07</v>
      </c>
      <c r="D1656" s="1">
        <f>IFERROR(__xludf.DUMMYFUNCTION("""COMPUTED_VALUE"""),43.73)</f>
        <v>43.73</v>
      </c>
      <c r="E1656" s="1">
        <f>IFERROR(__xludf.DUMMYFUNCTION("""COMPUTED_VALUE"""),44.06)</f>
        <v>44.06</v>
      </c>
      <c r="F1656" s="1">
        <f>IFERROR(__xludf.DUMMYFUNCTION("""COMPUTED_VALUE"""),1280261.0)</f>
        <v>1280261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IFERROR(__xludf.DUMMYFUNCTION("""COMPUTED_VALUE"""),44.16)</f>
        <v>44.16</v>
      </c>
      <c r="C1657" s="1">
        <f>IFERROR(__xludf.DUMMYFUNCTION("""COMPUTED_VALUE"""),44.5)</f>
        <v>44.5</v>
      </c>
      <c r="D1657" s="1">
        <f>IFERROR(__xludf.DUMMYFUNCTION("""COMPUTED_VALUE"""),43.05)</f>
        <v>43.05</v>
      </c>
      <c r="E1657" s="1">
        <f>IFERROR(__xludf.DUMMYFUNCTION("""COMPUTED_VALUE"""),43.09)</f>
        <v>43.09</v>
      </c>
      <c r="F1657" s="1">
        <f>IFERROR(__xludf.DUMMYFUNCTION("""COMPUTED_VALUE"""),1301177.0)</f>
        <v>1301177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IFERROR(__xludf.DUMMYFUNCTION("""COMPUTED_VALUE"""),43.04)</f>
        <v>43.04</v>
      </c>
      <c r="C1658" s="1">
        <f>IFERROR(__xludf.DUMMYFUNCTION("""COMPUTED_VALUE"""),43.41)</f>
        <v>43.41</v>
      </c>
      <c r="D1658" s="1">
        <f>IFERROR(__xludf.DUMMYFUNCTION("""COMPUTED_VALUE"""),42.24)</f>
        <v>42.24</v>
      </c>
      <c r="E1658" s="1">
        <f>IFERROR(__xludf.DUMMYFUNCTION("""COMPUTED_VALUE"""),42.37)</f>
        <v>42.37</v>
      </c>
      <c r="F1658" s="1">
        <f>IFERROR(__xludf.DUMMYFUNCTION("""COMPUTED_VALUE"""),963173.0)</f>
        <v>963173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IFERROR(__xludf.DUMMYFUNCTION("""COMPUTED_VALUE"""),42.45)</f>
        <v>42.45</v>
      </c>
      <c r="C1659" s="1">
        <f>IFERROR(__xludf.DUMMYFUNCTION("""COMPUTED_VALUE"""),42.7)</f>
        <v>42.7</v>
      </c>
      <c r="D1659" s="1">
        <f>IFERROR(__xludf.DUMMYFUNCTION("""COMPUTED_VALUE"""),42.05)</f>
        <v>42.05</v>
      </c>
      <c r="E1659" s="1">
        <f>IFERROR(__xludf.DUMMYFUNCTION("""COMPUTED_VALUE"""),42.21)</f>
        <v>42.21</v>
      </c>
      <c r="F1659" s="1">
        <f>IFERROR(__xludf.DUMMYFUNCTION("""COMPUTED_VALUE"""),445614.0)</f>
        <v>445614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IFERROR(__xludf.DUMMYFUNCTION("""COMPUTED_VALUE"""),42.18)</f>
        <v>42.18</v>
      </c>
      <c r="C1660" s="1">
        <f>IFERROR(__xludf.DUMMYFUNCTION("""COMPUTED_VALUE"""),42.63)</f>
        <v>42.63</v>
      </c>
      <c r="D1660" s="1">
        <f>IFERROR(__xludf.DUMMYFUNCTION("""COMPUTED_VALUE"""),42.04)</f>
        <v>42.04</v>
      </c>
      <c r="E1660" s="1">
        <f>IFERROR(__xludf.DUMMYFUNCTION("""COMPUTED_VALUE"""),42.26)</f>
        <v>42.26</v>
      </c>
      <c r="F1660" s="1">
        <f>IFERROR(__xludf.DUMMYFUNCTION("""COMPUTED_VALUE"""),716929.0)</f>
        <v>716929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IFERROR(__xludf.DUMMYFUNCTION("""COMPUTED_VALUE"""),42.38)</f>
        <v>42.38</v>
      </c>
      <c r="C1661" s="1">
        <f>IFERROR(__xludf.DUMMYFUNCTION("""COMPUTED_VALUE"""),43.68)</f>
        <v>43.68</v>
      </c>
      <c r="D1661" s="1">
        <f>IFERROR(__xludf.DUMMYFUNCTION("""COMPUTED_VALUE"""),42.2)</f>
        <v>42.2</v>
      </c>
      <c r="E1661" s="1">
        <f>IFERROR(__xludf.DUMMYFUNCTION("""COMPUTED_VALUE"""),43.41)</f>
        <v>43.41</v>
      </c>
      <c r="F1661" s="1">
        <f>IFERROR(__xludf.DUMMYFUNCTION("""COMPUTED_VALUE"""),944376.0)</f>
        <v>944376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IFERROR(__xludf.DUMMYFUNCTION("""COMPUTED_VALUE"""),43.69)</f>
        <v>43.69</v>
      </c>
      <c r="C1662" s="1">
        <f>IFERROR(__xludf.DUMMYFUNCTION("""COMPUTED_VALUE"""),43.69)</f>
        <v>43.69</v>
      </c>
      <c r="D1662" s="1">
        <f>IFERROR(__xludf.DUMMYFUNCTION("""COMPUTED_VALUE"""),43.14)</f>
        <v>43.14</v>
      </c>
      <c r="E1662" s="1">
        <f>IFERROR(__xludf.DUMMYFUNCTION("""COMPUTED_VALUE"""),43.26)</f>
        <v>43.26</v>
      </c>
      <c r="F1662" s="1">
        <f>IFERROR(__xludf.DUMMYFUNCTION("""COMPUTED_VALUE"""),1041187.0)</f>
        <v>1041187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IFERROR(__xludf.DUMMYFUNCTION("""COMPUTED_VALUE"""),43.29)</f>
        <v>43.29</v>
      </c>
      <c r="C1663" s="1">
        <f>IFERROR(__xludf.DUMMYFUNCTION("""COMPUTED_VALUE"""),43.48)</f>
        <v>43.48</v>
      </c>
      <c r="D1663" s="1">
        <f>IFERROR(__xludf.DUMMYFUNCTION("""COMPUTED_VALUE"""),42.33)</f>
        <v>42.33</v>
      </c>
      <c r="E1663" s="1">
        <f>IFERROR(__xludf.DUMMYFUNCTION("""COMPUTED_VALUE"""),42.62)</f>
        <v>42.62</v>
      </c>
      <c r="F1663" s="1">
        <f>IFERROR(__xludf.DUMMYFUNCTION("""COMPUTED_VALUE"""),1256980.0)</f>
        <v>1256980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IFERROR(__xludf.DUMMYFUNCTION("""COMPUTED_VALUE"""),42.82)</f>
        <v>42.82</v>
      </c>
      <c r="C1664" s="1">
        <f>IFERROR(__xludf.DUMMYFUNCTION("""COMPUTED_VALUE"""),43.15)</f>
        <v>43.15</v>
      </c>
      <c r="D1664" s="1">
        <f>IFERROR(__xludf.DUMMYFUNCTION("""COMPUTED_VALUE"""),42.61)</f>
        <v>42.61</v>
      </c>
      <c r="E1664" s="1">
        <f>IFERROR(__xludf.DUMMYFUNCTION("""COMPUTED_VALUE"""),42.73)</f>
        <v>42.73</v>
      </c>
      <c r="F1664" s="1">
        <f>IFERROR(__xludf.DUMMYFUNCTION("""COMPUTED_VALUE"""),766956.0)</f>
        <v>766956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IFERROR(__xludf.DUMMYFUNCTION("""COMPUTED_VALUE"""),42.73)</f>
        <v>42.73</v>
      </c>
      <c r="C1665" s="1">
        <f>IFERROR(__xludf.DUMMYFUNCTION("""COMPUTED_VALUE"""),43.07)</f>
        <v>43.07</v>
      </c>
      <c r="D1665" s="1">
        <f>IFERROR(__xludf.DUMMYFUNCTION("""COMPUTED_VALUE"""),42.49)</f>
        <v>42.49</v>
      </c>
      <c r="E1665" s="1">
        <f>IFERROR(__xludf.DUMMYFUNCTION("""COMPUTED_VALUE"""),42.78)</f>
        <v>42.78</v>
      </c>
      <c r="F1665" s="1">
        <f>IFERROR(__xludf.DUMMYFUNCTION("""COMPUTED_VALUE"""),1119825.0)</f>
        <v>1119825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IFERROR(__xludf.DUMMYFUNCTION("""COMPUTED_VALUE"""),42.73)</f>
        <v>42.73</v>
      </c>
      <c r="C1666" s="1">
        <f>IFERROR(__xludf.DUMMYFUNCTION("""COMPUTED_VALUE"""),42.82)</f>
        <v>42.82</v>
      </c>
      <c r="D1666" s="1">
        <f>IFERROR(__xludf.DUMMYFUNCTION("""COMPUTED_VALUE"""),42.29)</f>
        <v>42.29</v>
      </c>
      <c r="E1666" s="1">
        <f>IFERROR(__xludf.DUMMYFUNCTION("""COMPUTED_VALUE"""),42.69)</f>
        <v>42.69</v>
      </c>
      <c r="F1666" s="1">
        <f>IFERROR(__xludf.DUMMYFUNCTION("""COMPUTED_VALUE"""),755815.0)</f>
        <v>755815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IFERROR(__xludf.DUMMYFUNCTION("""COMPUTED_VALUE"""),42.82)</f>
        <v>42.82</v>
      </c>
      <c r="C1667" s="1">
        <f>IFERROR(__xludf.DUMMYFUNCTION("""COMPUTED_VALUE"""),43.35)</f>
        <v>43.35</v>
      </c>
      <c r="D1667" s="1">
        <f>IFERROR(__xludf.DUMMYFUNCTION("""COMPUTED_VALUE"""),42.32)</f>
        <v>42.32</v>
      </c>
      <c r="E1667" s="1">
        <f>IFERROR(__xludf.DUMMYFUNCTION("""COMPUTED_VALUE"""),42.47)</f>
        <v>42.47</v>
      </c>
      <c r="F1667" s="1">
        <f>IFERROR(__xludf.DUMMYFUNCTION("""COMPUTED_VALUE"""),1300860.0)</f>
        <v>1300860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IFERROR(__xludf.DUMMYFUNCTION("""COMPUTED_VALUE"""),42.49)</f>
        <v>42.49</v>
      </c>
      <c r="C1668" s="1">
        <f>IFERROR(__xludf.DUMMYFUNCTION("""COMPUTED_VALUE"""),42.86)</f>
        <v>42.86</v>
      </c>
      <c r="D1668" s="1">
        <f>IFERROR(__xludf.DUMMYFUNCTION("""COMPUTED_VALUE"""),41.78)</f>
        <v>41.78</v>
      </c>
      <c r="E1668" s="1">
        <f>IFERROR(__xludf.DUMMYFUNCTION("""COMPUTED_VALUE"""),42.74)</f>
        <v>42.74</v>
      </c>
      <c r="F1668" s="1">
        <f>IFERROR(__xludf.DUMMYFUNCTION("""COMPUTED_VALUE"""),816973.0)</f>
        <v>816973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IFERROR(__xludf.DUMMYFUNCTION("""COMPUTED_VALUE"""),42.82)</f>
        <v>42.82</v>
      </c>
      <c r="C1669" s="1">
        <f>IFERROR(__xludf.DUMMYFUNCTION("""COMPUTED_VALUE"""),42.84)</f>
        <v>42.84</v>
      </c>
      <c r="D1669" s="1">
        <f>IFERROR(__xludf.DUMMYFUNCTION("""COMPUTED_VALUE"""),42.16)</f>
        <v>42.16</v>
      </c>
      <c r="E1669" s="1">
        <f>IFERROR(__xludf.DUMMYFUNCTION("""COMPUTED_VALUE"""),42.34)</f>
        <v>42.34</v>
      </c>
      <c r="F1669" s="1">
        <f>IFERROR(__xludf.DUMMYFUNCTION("""COMPUTED_VALUE"""),554241.0)</f>
        <v>554241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IFERROR(__xludf.DUMMYFUNCTION("""COMPUTED_VALUE"""),42.5)</f>
        <v>42.5</v>
      </c>
      <c r="C1670" s="1">
        <f>IFERROR(__xludf.DUMMYFUNCTION("""COMPUTED_VALUE"""),42.72)</f>
        <v>42.72</v>
      </c>
      <c r="D1670" s="1">
        <f>IFERROR(__xludf.DUMMYFUNCTION("""COMPUTED_VALUE"""),41.97)</f>
        <v>41.97</v>
      </c>
      <c r="E1670" s="1">
        <f>IFERROR(__xludf.DUMMYFUNCTION("""COMPUTED_VALUE"""),42.1)</f>
        <v>42.1</v>
      </c>
      <c r="F1670" s="1">
        <f>IFERROR(__xludf.DUMMYFUNCTION("""COMPUTED_VALUE"""),907439.0)</f>
        <v>907439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IFERROR(__xludf.DUMMYFUNCTION("""COMPUTED_VALUE"""),42.1)</f>
        <v>42.1</v>
      </c>
      <c r="C1671" s="1">
        <f>IFERROR(__xludf.DUMMYFUNCTION("""COMPUTED_VALUE"""),42.98)</f>
        <v>42.98</v>
      </c>
      <c r="D1671" s="1">
        <f>IFERROR(__xludf.DUMMYFUNCTION("""COMPUTED_VALUE"""),41.93)</f>
        <v>41.93</v>
      </c>
      <c r="E1671" s="1">
        <f>IFERROR(__xludf.DUMMYFUNCTION("""COMPUTED_VALUE"""),42.81)</f>
        <v>42.81</v>
      </c>
      <c r="F1671" s="1">
        <f>IFERROR(__xludf.DUMMYFUNCTION("""COMPUTED_VALUE"""),1644531.0)</f>
        <v>1644531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IFERROR(__xludf.DUMMYFUNCTION("""COMPUTED_VALUE"""),42.84)</f>
        <v>42.84</v>
      </c>
      <c r="C1672" s="1">
        <f>IFERROR(__xludf.DUMMYFUNCTION("""COMPUTED_VALUE"""),43.08)</f>
        <v>43.08</v>
      </c>
      <c r="D1672" s="1">
        <f>IFERROR(__xludf.DUMMYFUNCTION("""COMPUTED_VALUE"""),41.56)</f>
        <v>41.56</v>
      </c>
      <c r="E1672" s="1">
        <f>IFERROR(__xludf.DUMMYFUNCTION("""COMPUTED_VALUE"""),41.74)</f>
        <v>41.74</v>
      </c>
      <c r="F1672" s="1">
        <f>IFERROR(__xludf.DUMMYFUNCTION("""COMPUTED_VALUE"""),1132134.0)</f>
        <v>1132134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IFERROR(__xludf.DUMMYFUNCTION("""COMPUTED_VALUE"""),41.79)</f>
        <v>41.79</v>
      </c>
      <c r="C1673" s="1">
        <f>IFERROR(__xludf.DUMMYFUNCTION("""COMPUTED_VALUE"""),42.0)</f>
        <v>42</v>
      </c>
      <c r="D1673" s="1">
        <f>IFERROR(__xludf.DUMMYFUNCTION("""COMPUTED_VALUE"""),41.15)</f>
        <v>41.15</v>
      </c>
      <c r="E1673" s="1">
        <f>IFERROR(__xludf.DUMMYFUNCTION("""COMPUTED_VALUE"""),41.54)</f>
        <v>41.54</v>
      </c>
      <c r="F1673" s="1">
        <f>IFERROR(__xludf.DUMMYFUNCTION("""COMPUTED_VALUE"""),1362107.0)</f>
        <v>1362107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IFERROR(__xludf.DUMMYFUNCTION("""COMPUTED_VALUE"""),41.43)</f>
        <v>41.43</v>
      </c>
      <c r="C1674" s="1">
        <f>IFERROR(__xludf.DUMMYFUNCTION("""COMPUTED_VALUE"""),41.43)</f>
        <v>41.43</v>
      </c>
      <c r="D1674" s="1">
        <f>IFERROR(__xludf.DUMMYFUNCTION("""COMPUTED_VALUE"""),39.38)</f>
        <v>39.38</v>
      </c>
      <c r="E1674" s="1">
        <f>IFERROR(__xludf.DUMMYFUNCTION("""COMPUTED_VALUE"""),39.59)</f>
        <v>39.59</v>
      </c>
      <c r="F1674" s="1">
        <f>IFERROR(__xludf.DUMMYFUNCTION("""COMPUTED_VALUE"""),1478580.0)</f>
        <v>1478580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IFERROR(__xludf.DUMMYFUNCTION("""COMPUTED_VALUE"""),39.5)</f>
        <v>39.5</v>
      </c>
      <c r="C1675" s="1">
        <f>IFERROR(__xludf.DUMMYFUNCTION("""COMPUTED_VALUE"""),40.57)</f>
        <v>40.57</v>
      </c>
      <c r="D1675" s="1">
        <f>IFERROR(__xludf.DUMMYFUNCTION("""COMPUTED_VALUE"""),39.39)</f>
        <v>39.39</v>
      </c>
      <c r="E1675" s="1">
        <f>IFERROR(__xludf.DUMMYFUNCTION("""COMPUTED_VALUE"""),40.07)</f>
        <v>40.07</v>
      </c>
      <c r="F1675" s="1">
        <f>IFERROR(__xludf.DUMMYFUNCTION("""COMPUTED_VALUE"""),1054835.0)</f>
        <v>1054835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IFERROR(__xludf.DUMMYFUNCTION("""COMPUTED_VALUE"""),40.23)</f>
        <v>40.23</v>
      </c>
      <c r="C1676" s="1">
        <f>IFERROR(__xludf.DUMMYFUNCTION("""COMPUTED_VALUE"""),40.62)</f>
        <v>40.62</v>
      </c>
      <c r="D1676" s="1">
        <f>IFERROR(__xludf.DUMMYFUNCTION("""COMPUTED_VALUE"""),40.14)</f>
        <v>40.14</v>
      </c>
      <c r="E1676" s="1">
        <f>IFERROR(__xludf.DUMMYFUNCTION("""COMPUTED_VALUE"""),40.43)</f>
        <v>40.43</v>
      </c>
      <c r="F1676" s="1">
        <f>IFERROR(__xludf.DUMMYFUNCTION("""COMPUTED_VALUE"""),1434948.0)</f>
        <v>1434948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IFERROR(__xludf.DUMMYFUNCTION("""COMPUTED_VALUE"""),40.38)</f>
        <v>40.38</v>
      </c>
      <c r="C1677" s="1">
        <f>IFERROR(__xludf.DUMMYFUNCTION("""COMPUTED_VALUE"""),40.9)</f>
        <v>40.9</v>
      </c>
      <c r="D1677" s="1">
        <f>IFERROR(__xludf.DUMMYFUNCTION("""COMPUTED_VALUE"""),40.1)</f>
        <v>40.1</v>
      </c>
      <c r="E1677" s="1">
        <f>IFERROR(__xludf.DUMMYFUNCTION("""COMPUTED_VALUE"""),40.28)</f>
        <v>40.28</v>
      </c>
      <c r="F1677" s="1">
        <f>IFERROR(__xludf.DUMMYFUNCTION("""COMPUTED_VALUE"""),1126928.0)</f>
        <v>1126928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IFERROR(__xludf.DUMMYFUNCTION("""COMPUTED_VALUE"""),40.28)</f>
        <v>40.28</v>
      </c>
      <c r="C1678" s="1">
        <f>IFERROR(__xludf.DUMMYFUNCTION("""COMPUTED_VALUE"""),40.7)</f>
        <v>40.7</v>
      </c>
      <c r="D1678" s="1">
        <f>IFERROR(__xludf.DUMMYFUNCTION("""COMPUTED_VALUE"""),40.2)</f>
        <v>40.2</v>
      </c>
      <c r="E1678" s="1">
        <f>IFERROR(__xludf.DUMMYFUNCTION("""COMPUTED_VALUE"""),40.66)</f>
        <v>40.66</v>
      </c>
      <c r="F1678" s="1">
        <f>IFERROR(__xludf.DUMMYFUNCTION("""COMPUTED_VALUE"""),630526.0)</f>
        <v>630526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IFERROR(__xludf.DUMMYFUNCTION("""COMPUTED_VALUE"""),40.44)</f>
        <v>40.44</v>
      </c>
      <c r="C1679" s="1">
        <f>IFERROR(__xludf.DUMMYFUNCTION("""COMPUTED_VALUE"""),40.79)</f>
        <v>40.79</v>
      </c>
      <c r="D1679" s="1">
        <f>IFERROR(__xludf.DUMMYFUNCTION("""COMPUTED_VALUE"""),39.41)</f>
        <v>39.41</v>
      </c>
      <c r="E1679" s="1">
        <f>IFERROR(__xludf.DUMMYFUNCTION("""COMPUTED_VALUE"""),39.48)</f>
        <v>39.48</v>
      </c>
      <c r="F1679" s="1">
        <f>IFERROR(__xludf.DUMMYFUNCTION("""COMPUTED_VALUE"""),1264624.0)</f>
        <v>1264624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IFERROR(__xludf.DUMMYFUNCTION("""COMPUTED_VALUE"""),39.5)</f>
        <v>39.5</v>
      </c>
      <c r="C1680" s="1">
        <f>IFERROR(__xludf.DUMMYFUNCTION("""COMPUTED_VALUE"""),40.73)</f>
        <v>40.73</v>
      </c>
      <c r="D1680" s="1">
        <f>IFERROR(__xludf.DUMMYFUNCTION("""COMPUTED_VALUE"""),39.31)</f>
        <v>39.31</v>
      </c>
      <c r="E1680" s="1">
        <f>IFERROR(__xludf.DUMMYFUNCTION("""COMPUTED_VALUE"""),40.71)</f>
        <v>40.71</v>
      </c>
      <c r="F1680" s="1">
        <f>IFERROR(__xludf.DUMMYFUNCTION("""COMPUTED_VALUE"""),1464477.0)</f>
        <v>1464477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IFERROR(__xludf.DUMMYFUNCTION("""COMPUTED_VALUE"""),41.19)</f>
        <v>41.19</v>
      </c>
      <c r="C1681" s="1">
        <f>IFERROR(__xludf.DUMMYFUNCTION("""COMPUTED_VALUE"""),42.38)</f>
        <v>42.38</v>
      </c>
      <c r="D1681" s="1">
        <f>IFERROR(__xludf.DUMMYFUNCTION("""COMPUTED_VALUE"""),41.19)</f>
        <v>41.19</v>
      </c>
      <c r="E1681" s="1">
        <f>IFERROR(__xludf.DUMMYFUNCTION("""COMPUTED_VALUE"""),42.14)</f>
        <v>42.14</v>
      </c>
      <c r="F1681" s="1">
        <f>IFERROR(__xludf.DUMMYFUNCTION("""COMPUTED_VALUE"""),1863989.0)</f>
        <v>1863989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IFERROR(__xludf.DUMMYFUNCTION("""COMPUTED_VALUE"""),42.68)</f>
        <v>42.68</v>
      </c>
      <c r="C1682" s="1">
        <f>IFERROR(__xludf.DUMMYFUNCTION("""COMPUTED_VALUE"""),44.54)</f>
        <v>44.54</v>
      </c>
      <c r="D1682" s="1">
        <f>IFERROR(__xludf.DUMMYFUNCTION("""COMPUTED_VALUE"""),42.68)</f>
        <v>42.68</v>
      </c>
      <c r="E1682" s="1">
        <f>IFERROR(__xludf.DUMMYFUNCTION("""COMPUTED_VALUE"""),44.05)</f>
        <v>44.05</v>
      </c>
      <c r="F1682" s="1">
        <f>IFERROR(__xludf.DUMMYFUNCTION("""COMPUTED_VALUE"""),2213560.0)</f>
        <v>2213560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IFERROR(__xludf.DUMMYFUNCTION("""COMPUTED_VALUE"""),43.96)</f>
        <v>43.96</v>
      </c>
      <c r="C1683" s="1">
        <f>IFERROR(__xludf.DUMMYFUNCTION("""COMPUTED_VALUE"""),45.0)</f>
        <v>45</v>
      </c>
      <c r="D1683" s="1">
        <f>IFERROR(__xludf.DUMMYFUNCTION("""COMPUTED_VALUE"""),43.81)</f>
        <v>43.81</v>
      </c>
      <c r="E1683" s="1">
        <f>IFERROR(__xludf.DUMMYFUNCTION("""COMPUTED_VALUE"""),44.54)</f>
        <v>44.54</v>
      </c>
      <c r="F1683" s="1">
        <f>IFERROR(__xludf.DUMMYFUNCTION("""COMPUTED_VALUE"""),2563794.0)</f>
        <v>2563794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IFERROR(__xludf.DUMMYFUNCTION("""COMPUTED_VALUE"""),43.9)</f>
        <v>43.9</v>
      </c>
      <c r="C1684" s="1">
        <f>IFERROR(__xludf.DUMMYFUNCTION("""COMPUTED_VALUE"""),44.68)</f>
        <v>44.68</v>
      </c>
      <c r="D1684" s="1">
        <f>IFERROR(__xludf.DUMMYFUNCTION("""COMPUTED_VALUE"""),43.62)</f>
        <v>43.62</v>
      </c>
      <c r="E1684" s="1">
        <f>IFERROR(__xludf.DUMMYFUNCTION("""COMPUTED_VALUE"""),43.99)</f>
        <v>43.99</v>
      </c>
      <c r="F1684" s="1">
        <f>IFERROR(__xludf.DUMMYFUNCTION("""COMPUTED_VALUE"""),1681654.0)</f>
        <v>1681654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IFERROR(__xludf.DUMMYFUNCTION("""COMPUTED_VALUE"""),43.86)</f>
        <v>43.86</v>
      </c>
      <c r="C1685" s="1">
        <f>IFERROR(__xludf.DUMMYFUNCTION("""COMPUTED_VALUE"""),44.51)</f>
        <v>44.51</v>
      </c>
      <c r="D1685" s="1">
        <f>IFERROR(__xludf.DUMMYFUNCTION("""COMPUTED_VALUE"""),42.86)</f>
        <v>42.86</v>
      </c>
      <c r="E1685" s="1">
        <f>IFERROR(__xludf.DUMMYFUNCTION("""COMPUTED_VALUE"""),44.19)</f>
        <v>44.19</v>
      </c>
      <c r="F1685" s="1">
        <f>IFERROR(__xludf.DUMMYFUNCTION("""COMPUTED_VALUE"""),1696113.0)</f>
        <v>1696113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IFERROR(__xludf.DUMMYFUNCTION("""COMPUTED_VALUE"""),43.45)</f>
        <v>43.45</v>
      </c>
      <c r="C1686" s="1">
        <f>IFERROR(__xludf.DUMMYFUNCTION("""COMPUTED_VALUE"""),44.95)</f>
        <v>44.95</v>
      </c>
      <c r="D1686" s="1">
        <f>IFERROR(__xludf.DUMMYFUNCTION("""COMPUTED_VALUE"""),43.13)</f>
        <v>43.13</v>
      </c>
      <c r="E1686" s="1">
        <f>IFERROR(__xludf.DUMMYFUNCTION("""COMPUTED_VALUE"""),44.77)</f>
        <v>44.77</v>
      </c>
      <c r="F1686" s="1">
        <f>IFERROR(__xludf.DUMMYFUNCTION("""COMPUTED_VALUE"""),2163321.0)</f>
        <v>2163321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IFERROR(__xludf.DUMMYFUNCTION("""COMPUTED_VALUE"""),44.69)</f>
        <v>44.69</v>
      </c>
      <c r="C1687" s="1">
        <f>IFERROR(__xludf.DUMMYFUNCTION("""COMPUTED_VALUE"""),45.9)</f>
        <v>45.9</v>
      </c>
      <c r="D1687" s="1">
        <f>IFERROR(__xludf.DUMMYFUNCTION("""COMPUTED_VALUE"""),44.15)</f>
        <v>44.15</v>
      </c>
      <c r="E1687" s="1">
        <f>IFERROR(__xludf.DUMMYFUNCTION("""COMPUTED_VALUE"""),45.15)</f>
        <v>45.15</v>
      </c>
      <c r="F1687" s="1">
        <f>IFERROR(__xludf.DUMMYFUNCTION("""COMPUTED_VALUE"""),3147323.0)</f>
        <v>3147323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IFERROR(__xludf.DUMMYFUNCTION("""COMPUTED_VALUE"""),45.31)</f>
        <v>45.31</v>
      </c>
      <c r="C1688" s="1">
        <f>IFERROR(__xludf.DUMMYFUNCTION("""COMPUTED_VALUE"""),45.51)</f>
        <v>45.51</v>
      </c>
      <c r="D1688" s="1">
        <f>IFERROR(__xludf.DUMMYFUNCTION("""COMPUTED_VALUE"""),44.66)</f>
        <v>44.66</v>
      </c>
      <c r="E1688" s="1">
        <f>IFERROR(__xludf.DUMMYFUNCTION("""COMPUTED_VALUE"""),45.26)</f>
        <v>45.26</v>
      </c>
      <c r="F1688" s="1">
        <f>IFERROR(__xludf.DUMMYFUNCTION("""COMPUTED_VALUE"""),1403888.0)</f>
        <v>1403888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IFERROR(__xludf.DUMMYFUNCTION("""COMPUTED_VALUE"""),45.43)</f>
        <v>45.43</v>
      </c>
      <c r="C1689" s="1">
        <f>IFERROR(__xludf.DUMMYFUNCTION("""COMPUTED_VALUE"""),48.41)</f>
        <v>48.41</v>
      </c>
      <c r="D1689" s="1">
        <f>IFERROR(__xludf.DUMMYFUNCTION("""COMPUTED_VALUE"""),45.43)</f>
        <v>45.43</v>
      </c>
      <c r="E1689" s="1">
        <f>IFERROR(__xludf.DUMMYFUNCTION("""COMPUTED_VALUE"""),48.35)</f>
        <v>48.35</v>
      </c>
      <c r="F1689" s="1">
        <f>IFERROR(__xludf.DUMMYFUNCTION("""COMPUTED_VALUE"""),1667308.0)</f>
        <v>1667308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IFERROR(__xludf.DUMMYFUNCTION("""COMPUTED_VALUE"""),48.15)</f>
        <v>48.15</v>
      </c>
      <c r="C1690" s="1">
        <f>IFERROR(__xludf.DUMMYFUNCTION("""COMPUTED_VALUE"""),48.16)</f>
        <v>48.16</v>
      </c>
      <c r="D1690" s="1">
        <f>IFERROR(__xludf.DUMMYFUNCTION("""COMPUTED_VALUE"""),46.56)</f>
        <v>46.56</v>
      </c>
      <c r="E1690" s="1">
        <f>IFERROR(__xludf.DUMMYFUNCTION("""COMPUTED_VALUE"""),46.83)</f>
        <v>46.83</v>
      </c>
      <c r="F1690" s="1">
        <f>IFERROR(__xludf.DUMMYFUNCTION("""COMPUTED_VALUE"""),1601919.0)</f>
        <v>1601919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IFERROR(__xludf.DUMMYFUNCTION("""COMPUTED_VALUE"""),47.0)</f>
        <v>47</v>
      </c>
      <c r="C1691" s="1">
        <f>IFERROR(__xludf.DUMMYFUNCTION("""COMPUTED_VALUE"""),47.4)</f>
        <v>47.4</v>
      </c>
      <c r="D1691" s="1">
        <f>IFERROR(__xludf.DUMMYFUNCTION("""COMPUTED_VALUE"""),46.36)</f>
        <v>46.36</v>
      </c>
      <c r="E1691" s="1">
        <f>IFERROR(__xludf.DUMMYFUNCTION("""COMPUTED_VALUE"""),46.56)</f>
        <v>46.56</v>
      </c>
      <c r="F1691" s="1">
        <f>IFERROR(__xludf.DUMMYFUNCTION("""COMPUTED_VALUE"""),896991.0)</f>
        <v>896991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IFERROR(__xludf.DUMMYFUNCTION("""COMPUTED_VALUE"""),46.56)</f>
        <v>46.56</v>
      </c>
      <c r="C1692" s="1">
        <f>IFERROR(__xludf.DUMMYFUNCTION("""COMPUTED_VALUE"""),47.04)</f>
        <v>47.04</v>
      </c>
      <c r="D1692" s="1">
        <f>IFERROR(__xludf.DUMMYFUNCTION("""COMPUTED_VALUE"""),46.35)</f>
        <v>46.35</v>
      </c>
      <c r="E1692" s="1">
        <f>IFERROR(__xludf.DUMMYFUNCTION("""COMPUTED_VALUE"""),46.36)</f>
        <v>46.36</v>
      </c>
      <c r="F1692" s="1">
        <f>IFERROR(__xludf.DUMMYFUNCTION("""COMPUTED_VALUE"""),928196.0)</f>
        <v>928196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IFERROR(__xludf.DUMMYFUNCTION("""COMPUTED_VALUE"""),46.48)</f>
        <v>46.48</v>
      </c>
      <c r="C1693" s="1">
        <f>IFERROR(__xludf.DUMMYFUNCTION("""COMPUTED_VALUE"""),47.19)</f>
        <v>47.19</v>
      </c>
      <c r="D1693" s="1">
        <f>IFERROR(__xludf.DUMMYFUNCTION("""COMPUTED_VALUE"""),46.12)</f>
        <v>46.12</v>
      </c>
      <c r="E1693" s="1">
        <f>IFERROR(__xludf.DUMMYFUNCTION("""COMPUTED_VALUE"""),47.07)</f>
        <v>47.07</v>
      </c>
      <c r="F1693" s="1">
        <f>IFERROR(__xludf.DUMMYFUNCTION("""COMPUTED_VALUE"""),785781.0)</f>
        <v>785781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IFERROR(__xludf.DUMMYFUNCTION("""COMPUTED_VALUE"""),47.01)</f>
        <v>47.01</v>
      </c>
      <c r="C1694" s="1">
        <f>IFERROR(__xludf.DUMMYFUNCTION("""COMPUTED_VALUE"""),48.37)</f>
        <v>48.37</v>
      </c>
      <c r="D1694" s="1">
        <f>IFERROR(__xludf.DUMMYFUNCTION("""COMPUTED_VALUE"""),47.01)</f>
        <v>47.01</v>
      </c>
      <c r="E1694" s="1">
        <f>IFERROR(__xludf.DUMMYFUNCTION("""COMPUTED_VALUE"""),48.05)</f>
        <v>48.05</v>
      </c>
      <c r="F1694" s="1">
        <f>IFERROR(__xludf.DUMMYFUNCTION("""COMPUTED_VALUE"""),1017609.0)</f>
        <v>1017609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IFERROR(__xludf.DUMMYFUNCTION("""COMPUTED_VALUE"""),47.61)</f>
        <v>47.61</v>
      </c>
      <c r="C1695" s="1">
        <f>IFERROR(__xludf.DUMMYFUNCTION("""COMPUTED_VALUE"""),47.68)</f>
        <v>47.68</v>
      </c>
      <c r="D1695" s="1">
        <f>IFERROR(__xludf.DUMMYFUNCTION("""COMPUTED_VALUE"""),47.09)</f>
        <v>47.09</v>
      </c>
      <c r="E1695" s="1">
        <f>IFERROR(__xludf.DUMMYFUNCTION("""COMPUTED_VALUE"""),47.31)</f>
        <v>47.31</v>
      </c>
      <c r="F1695" s="1">
        <f>IFERROR(__xludf.DUMMYFUNCTION("""COMPUTED_VALUE"""),976928.0)</f>
        <v>976928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IFERROR(__xludf.DUMMYFUNCTION("""COMPUTED_VALUE"""),46.97)</f>
        <v>46.97</v>
      </c>
      <c r="C1696" s="1">
        <f>IFERROR(__xludf.DUMMYFUNCTION("""COMPUTED_VALUE"""),47.06)</f>
        <v>47.06</v>
      </c>
      <c r="D1696" s="1">
        <f>IFERROR(__xludf.DUMMYFUNCTION("""COMPUTED_VALUE"""),45.85)</f>
        <v>45.85</v>
      </c>
      <c r="E1696" s="1">
        <f>IFERROR(__xludf.DUMMYFUNCTION("""COMPUTED_VALUE"""),46.49)</f>
        <v>46.49</v>
      </c>
      <c r="F1696" s="1">
        <f>IFERROR(__xludf.DUMMYFUNCTION("""COMPUTED_VALUE"""),839450.0)</f>
        <v>839450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IFERROR(__xludf.DUMMYFUNCTION("""COMPUTED_VALUE"""),46.91)</f>
        <v>46.91</v>
      </c>
      <c r="C1697" s="1">
        <f>IFERROR(__xludf.DUMMYFUNCTION("""COMPUTED_VALUE"""),47.4)</f>
        <v>47.4</v>
      </c>
      <c r="D1697" s="1">
        <f>IFERROR(__xludf.DUMMYFUNCTION("""COMPUTED_VALUE"""),46.24)</f>
        <v>46.24</v>
      </c>
      <c r="E1697" s="1">
        <f>IFERROR(__xludf.DUMMYFUNCTION("""COMPUTED_VALUE"""),47.17)</f>
        <v>47.17</v>
      </c>
      <c r="F1697" s="1">
        <f>IFERROR(__xludf.DUMMYFUNCTION("""COMPUTED_VALUE"""),1492715.0)</f>
        <v>1492715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IFERROR(__xludf.DUMMYFUNCTION("""COMPUTED_VALUE"""),47.2)</f>
        <v>47.2</v>
      </c>
      <c r="C1698" s="1">
        <f>IFERROR(__xludf.DUMMYFUNCTION("""COMPUTED_VALUE"""),47.26)</f>
        <v>47.26</v>
      </c>
      <c r="D1698" s="1">
        <f>IFERROR(__xludf.DUMMYFUNCTION("""COMPUTED_VALUE"""),45.96)</f>
        <v>45.96</v>
      </c>
      <c r="E1698" s="1">
        <f>IFERROR(__xludf.DUMMYFUNCTION("""COMPUTED_VALUE"""),46.7)</f>
        <v>46.7</v>
      </c>
      <c r="F1698" s="1">
        <f>IFERROR(__xludf.DUMMYFUNCTION("""COMPUTED_VALUE"""),679458.0)</f>
        <v>679458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IFERROR(__xludf.DUMMYFUNCTION("""COMPUTED_VALUE"""),47.02)</f>
        <v>47.02</v>
      </c>
      <c r="C1699" s="1">
        <f>IFERROR(__xludf.DUMMYFUNCTION("""COMPUTED_VALUE"""),47.44)</f>
        <v>47.44</v>
      </c>
      <c r="D1699" s="1">
        <f>IFERROR(__xludf.DUMMYFUNCTION("""COMPUTED_VALUE"""),46.17)</f>
        <v>46.17</v>
      </c>
      <c r="E1699" s="1">
        <f>IFERROR(__xludf.DUMMYFUNCTION("""COMPUTED_VALUE"""),46.9)</f>
        <v>46.9</v>
      </c>
      <c r="F1699" s="1">
        <f>IFERROR(__xludf.DUMMYFUNCTION("""COMPUTED_VALUE"""),663843.0)</f>
        <v>663843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IFERROR(__xludf.DUMMYFUNCTION("""COMPUTED_VALUE"""),46.75)</f>
        <v>46.75</v>
      </c>
      <c r="C1700" s="1">
        <f>IFERROR(__xludf.DUMMYFUNCTION("""COMPUTED_VALUE"""),47.1)</f>
        <v>47.1</v>
      </c>
      <c r="D1700" s="1">
        <f>IFERROR(__xludf.DUMMYFUNCTION("""COMPUTED_VALUE"""),46.01)</f>
        <v>46.01</v>
      </c>
      <c r="E1700" s="1">
        <f>IFERROR(__xludf.DUMMYFUNCTION("""COMPUTED_VALUE"""),46.36)</f>
        <v>46.36</v>
      </c>
      <c r="F1700" s="1">
        <f>IFERROR(__xludf.DUMMYFUNCTION("""COMPUTED_VALUE"""),694642.0)</f>
        <v>694642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IFERROR(__xludf.DUMMYFUNCTION("""COMPUTED_VALUE"""),46.58)</f>
        <v>46.58</v>
      </c>
      <c r="C1701" s="1">
        <f>IFERROR(__xludf.DUMMYFUNCTION("""COMPUTED_VALUE"""),47.38)</f>
        <v>47.38</v>
      </c>
      <c r="D1701" s="1">
        <f>IFERROR(__xludf.DUMMYFUNCTION("""COMPUTED_VALUE"""),46.26)</f>
        <v>46.26</v>
      </c>
      <c r="E1701" s="1">
        <f>IFERROR(__xludf.DUMMYFUNCTION("""COMPUTED_VALUE"""),46.44)</f>
        <v>46.44</v>
      </c>
      <c r="F1701" s="1">
        <f>IFERROR(__xludf.DUMMYFUNCTION("""COMPUTED_VALUE"""),415226.0)</f>
        <v>415226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IFERROR(__xludf.DUMMYFUNCTION("""COMPUTED_VALUE"""),46.19)</f>
        <v>46.19</v>
      </c>
      <c r="C1702" s="1">
        <f>IFERROR(__xludf.DUMMYFUNCTION("""COMPUTED_VALUE"""),46.62)</f>
        <v>46.62</v>
      </c>
      <c r="D1702" s="1">
        <f>IFERROR(__xludf.DUMMYFUNCTION("""COMPUTED_VALUE"""),45.09)</f>
        <v>45.09</v>
      </c>
      <c r="E1702" s="1">
        <f>IFERROR(__xludf.DUMMYFUNCTION("""COMPUTED_VALUE"""),45.34)</f>
        <v>45.34</v>
      </c>
      <c r="F1702" s="1">
        <f>IFERROR(__xludf.DUMMYFUNCTION("""COMPUTED_VALUE"""),1291793.0)</f>
        <v>1291793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IFERROR(__xludf.DUMMYFUNCTION("""COMPUTED_VALUE"""),45.49)</f>
        <v>45.49</v>
      </c>
      <c r="C1703" s="1">
        <f>IFERROR(__xludf.DUMMYFUNCTION("""COMPUTED_VALUE"""),46.49)</f>
        <v>46.49</v>
      </c>
      <c r="D1703" s="1">
        <f>IFERROR(__xludf.DUMMYFUNCTION("""COMPUTED_VALUE"""),45.49)</f>
        <v>45.49</v>
      </c>
      <c r="E1703" s="1">
        <f>IFERROR(__xludf.DUMMYFUNCTION("""COMPUTED_VALUE"""),46.04)</f>
        <v>46.04</v>
      </c>
      <c r="F1703" s="1">
        <f>IFERROR(__xludf.DUMMYFUNCTION("""COMPUTED_VALUE"""),921227.0)</f>
        <v>921227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IFERROR(__xludf.DUMMYFUNCTION("""COMPUTED_VALUE"""),45.66)</f>
        <v>45.66</v>
      </c>
      <c r="C1704" s="1">
        <f>IFERROR(__xludf.DUMMYFUNCTION("""COMPUTED_VALUE"""),46.21)</f>
        <v>46.21</v>
      </c>
      <c r="D1704" s="1">
        <f>IFERROR(__xludf.DUMMYFUNCTION("""COMPUTED_VALUE"""),45.64)</f>
        <v>45.64</v>
      </c>
      <c r="E1704" s="1">
        <f>IFERROR(__xludf.DUMMYFUNCTION("""COMPUTED_VALUE"""),46.03)</f>
        <v>46.03</v>
      </c>
      <c r="F1704" s="1">
        <f>IFERROR(__xludf.DUMMYFUNCTION("""COMPUTED_VALUE"""),646178.0)</f>
        <v>646178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IFERROR(__xludf.DUMMYFUNCTION("""COMPUTED_VALUE"""),46.0)</f>
        <v>46</v>
      </c>
      <c r="C1705" s="1">
        <f>IFERROR(__xludf.DUMMYFUNCTION("""COMPUTED_VALUE"""),46.25)</f>
        <v>46.25</v>
      </c>
      <c r="D1705" s="1">
        <f>IFERROR(__xludf.DUMMYFUNCTION("""COMPUTED_VALUE"""),45.26)</f>
        <v>45.26</v>
      </c>
      <c r="E1705" s="1">
        <f>IFERROR(__xludf.DUMMYFUNCTION("""COMPUTED_VALUE"""),45.71)</f>
        <v>45.71</v>
      </c>
      <c r="F1705" s="1">
        <f>IFERROR(__xludf.DUMMYFUNCTION("""COMPUTED_VALUE"""),602291.0)</f>
        <v>602291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IFERROR(__xludf.DUMMYFUNCTION("""COMPUTED_VALUE"""),45.82)</f>
        <v>45.82</v>
      </c>
      <c r="C1706" s="1">
        <f>IFERROR(__xludf.DUMMYFUNCTION("""COMPUTED_VALUE"""),46.77)</f>
        <v>46.77</v>
      </c>
      <c r="D1706" s="1">
        <f>IFERROR(__xludf.DUMMYFUNCTION("""COMPUTED_VALUE"""),45.82)</f>
        <v>45.82</v>
      </c>
      <c r="E1706" s="1">
        <f>IFERROR(__xludf.DUMMYFUNCTION("""COMPUTED_VALUE"""),46.69)</f>
        <v>46.69</v>
      </c>
      <c r="F1706" s="1">
        <f>IFERROR(__xludf.DUMMYFUNCTION("""COMPUTED_VALUE"""),624797.0)</f>
        <v>624797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IFERROR(__xludf.DUMMYFUNCTION("""COMPUTED_VALUE"""),46.7)</f>
        <v>46.7</v>
      </c>
      <c r="C1707" s="1">
        <f>IFERROR(__xludf.DUMMYFUNCTION("""COMPUTED_VALUE"""),46.72)</f>
        <v>46.72</v>
      </c>
      <c r="D1707" s="1">
        <f>IFERROR(__xludf.DUMMYFUNCTION("""COMPUTED_VALUE"""),45.39)</f>
        <v>45.39</v>
      </c>
      <c r="E1707" s="1">
        <f>IFERROR(__xludf.DUMMYFUNCTION("""COMPUTED_VALUE"""),45.9)</f>
        <v>45.9</v>
      </c>
      <c r="F1707" s="1">
        <f>IFERROR(__xludf.DUMMYFUNCTION("""COMPUTED_VALUE"""),811504.0)</f>
        <v>811504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IFERROR(__xludf.DUMMYFUNCTION("""COMPUTED_VALUE"""),45.91)</f>
        <v>45.91</v>
      </c>
      <c r="C1708" s="1">
        <f>IFERROR(__xludf.DUMMYFUNCTION("""COMPUTED_VALUE"""),46.73)</f>
        <v>46.73</v>
      </c>
      <c r="D1708" s="1">
        <f>IFERROR(__xludf.DUMMYFUNCTION("""COMPUTED_VALUE"""),45.02)</f>
        <v>45.02</v>
      </c>
      <c r="E1708" s="1">
        <f>IFERROR(__xludf.DUMMYFUNCTION("""COMPUTED_VALUE"""),46.63)</f>
        <v>46.63</v>
      </c>
      <c r="F1708" s="1">
        <f>IFERROR(__xludf.DUMMYFUNCTION("""COMPUTED_VALUE"""),728394.0)</f>
        <v>728394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IFERROR(__xludf.DUMMYFUNCTION("""COMPUTED_VALUE"""),46.2)</f>
        <v>46.2</v>
      </c>
      <c r="C1709" s="1">
        <f>IFERROR(__xludf.DUMMYFUNCTION("""COMPUTED_VALUE"""),46.52)</f>
        <v>46.52</v>
      </c>
      <c r="D1709" s="1">
        <f>IFERROR(__xludf.DUMMYFUNCTION("""COMPUTED_VALUE"""),45.75)</f>
        <v>45.75</v>
      </c>
      <c r="E1709" s="1">
        <f>IFERROR(__xludf.DUMMYFUNCTION("""COMPUTED_VALUE"""),45.86)</f>
        <v>45.86</v>
      </c>
      <c r="F1709" s="1">
        <f>IFERROR(__xludf.DUMMYFUNCTION("""COMPUTED_VALUE"""),905741.0)</f>
        <v>905741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IFERROR(__xludf.DUMMYFUNCTION("""COMPUTED_VALUE"""),45.99)</f>
        <v>45.99</v>
      </c>
      <c r="C1710" s="1">
        <f>IFERROR(__xludf.DUMMYFUNCTION("""COMPUTED_VALUE"""),47.54)</f>
        <v>47.54</v>
      </c>
      <c r="D1710" s="1">
        <f>IFERROR(__xludf.DUMMYFUNCTION("""COMPUTED_VALUE"""),45.99)</f>
        <v>45.99</v>
      </c>
      <c r="E1710" s="1">
        <f>IFERROR(__xludf.DUMMYFUNCTION("""COMPUTED_VALUE"""),47.05)</f>
        <v>47.05</v>
      </c>
      <c r="F1710" s="1">
        <f>IFERROR(__xludf.DUMMYFUNCTION("""COMPUTED_VALUE"""),881267.0)</f>
        <v>881267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IFERROR(__xludf.DUMMYFUNCTION("""COMPUTED_VALUE"""),46.64)</f>
        <v>46.64</v>
      </c>
      <c r="C1711" s="1">
        <f>IFERROR(__xludf.DUMMYFUNCTION("""COMPUTED_VALUE"""),47.04)</f>
        <v>47.04</v>
      </c>
      <c r="D1711" s="1">
        <f>IFERROR(__xludf.DUMMYFUNCTION("""COMPUTED_VALUE"""),45.73)</f>
        <v>45.73</v>
      </c>
      <c r="E1711" s="1">
        <f>IFERROR(__xludf.DUMMYFUNCTION("""COMPUTED_VALUE"""),46.74)</f>
        <v>46.74</v>
      </c>
      <c r="F1711" s="1">
        <f>IFERROR(__xludf.DUMMYFUNCTION("""COMPUTED_VALUE"""),888222.0)</f>
        <v>888222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IFERROR(__xludf.DUMMYFUNCTION("""COMPUTED_VALUE"""),47.25)</f>
        <v>47.25</v>
      </c>
      <c r="C1712" s="1">
        <f>IFERROR(__xludf.DUMMYFUNCTION("""COMPUTED_VALUE"""),48.25)</f>
        <v>48.25</v>
      </c>
      <c r="D1712" s="1">
        <f>IFERROR(__xludf.DUMMYFUNCTION("""COMPUTED_VALUE"""),47.13)</f>
        <v>47.13</v>
      </c>
      <c r="E1712" s="1">
        <f>IFERROR(__xludf.DUMMYFUNCTION("""COMPUTED_VALUE"""),47.17)</f>
        <v>47.17</v>
      </c>
      <c r="F1712" s="1">
        <f>IFERROR(__xludf.DUMMYFUNCTION("""COMPUTED_VALUE"""),777626.0)</f>
        <v>777626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IFERROR(__xludf.DUMMYFUNCTION("""COMPUTED_VALUE"""),47.2)</f>
        <v>47.2</v>
      </c>
      <c r="C1713" s="1">
        <f>IFERROR(__xludf.DUMMYFUNCTION("""COMPUTED_VALUE"""),47.77)</f>
        <v>47.77</v>
      </c>
      <c r="D1713" s="1">
        <f>IFERROR(__xludf.DUMMYFUNCTION("""COMPUTED_VALUE"""),46.69)</f>
        <v>46.69</v>
      </c>
      <c r="E1713" s="1">
        <f>IFERROR(__xludf.DUMMYFUNCTION("""COMPUTED_VALUE"""),46.87)</f>
        <v>46.87</v>
      </c>
      <c r="F1713" s="1">
        <f>IFERROR(__xludf.DUMMYFUNCTION("""COMPUTED_VALUE"""),694841.0)</f>
        <v>694841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IFERROR(__xludf.DUMMYFUNCTION("""COMPUTED_VALUE"""),46.83)</f>
        <v>46.83</v>
      </c>
      <c r="C1714" s="1">
        <f>IFERROR(__xludf.DUMMYFUNCTION("""COMPUTED_VALUE"""),47.0)</f>
        <v>47</v>
      </c>
      <c r="D1714" s="1">
        <f>IFERROR(__xludf.DUMMYFUNCTION("""COMPUTED_VALUE"""),46.01)</f>
        <v>46.01</v>
      </c>
      <c r="E1714" s="1">
        <f>IFERROR(__xludf.DUMMYFUNCTION("""COMPUTED_VALUE"""),46.12)</f>
        <v>46.12</v>
      </c>
      <c r="F1714" s="1">
        <f>IFERROR(__xludf.DUMMYFUNCTION("""COMPUTED_VALUE"""),543204.0)</f>
        <v>543204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IFERROR(__xludf.DUMMYFUNCTION("""COMPUTED_VALUE"""),46.0)</f>
        <v>46</v>
      </c>
      <c r="C1715" s="1">
        <f>IFERROR(__xludf.DUMMYFUNCTION("""COMPUTED_VALUE"""),46.9)</f>
        <v>46.9</v>
      </c>
      <c r="D1715" s="1">
        <f>IFERROR(__xludf.DUMMYFUNCTION("""COMPUTED_VALUE"""),45.74)</f>
        <v>45.74</v>
      </c>
      <c r="E1715" s="1">
        <f>IFERROR(__xludf.DUMMYFUNCTION("""COMPUTED_VALUE"""),46.8)</f>
        <v>46.8</v>
      </c>
      <c r="F1715" s="1">
        <f>IFERROR(__xludf.DUMMYFUNCTION("""COMPUTED_VALUE"""),866421.0)</f>
        <v>866421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IFERROR(__xludf.DUMMYFUNCTION("""COMPUTED_VALUE"""),47.06)</f>
        <v>47.06</v>
      </c>
      <c r="C1716" s="1">
        <f>IFERROR(__xludf.DUMMYFUNCTION("""COMPUTED_VALUE"""),49.29)</f>
        <v>49.29</v>
      </c>
      <c r="D1716" s="1">
        <f>IFERROR(__xludf.DUMMYFUNCTION("""COMPUTED_VALUE"""),47.06)</f>
        <v>47.06</v>
      </c>
      <c r="E1716" s="1">
        <f>IFERROR(__xludf.DUMMYFUNCTION("""COMPUTED_VALUE"""),48.43)</f>
        <v>48.43</v>
      </c>
      <c r="F1716" s="1">
        <f>IFERROR(__xludf.DUMMYFUNCTION("""COMPUTED_VALUE"""),1029785.0)</f>
        <v>1029785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IFERROR(__xludf.DUMMYFUNCTION("""COMPUTED_VALUE"""),50.8)</f>
        <v>50.8</v>
      </c>
      <c r="C1717" s="1">
        <f>IFERROR(__xludf.DUMMYFUNCTION("""COMPUTED_VALUE"""),53.38)</f>
        <v>53.38</v>
      </c>
      <c r="D1717" s="1">
        <f>IFERROR(__xludf.DUMMYFUNCTION("""COMPUTED_VALUE"""),49.76)</f>
        <v>49.76</v>
      </c>
      <c r="E1717" s="1">
        <f>IFERROR(__xludf.DUMMYFUNCTION("""COMPUTED_VALUE"""),53.06)</f>
        <v>53.06</v>
      </c>
      <c r="F1717" s="1">
        <f>IFERROR(__xludf.DUMMYFUNCTION("""COMPUTED_VALUE"""),2048415.0)</f>
        <v>2048415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IFERROR(__xludf.DUMMYFUNCTION("""COMPUTED_VALUE"""),53.08)</f>
        <v>53.08</v>
      </c>
      <c r="C1718" s="1">
        <f>IFERROR(__xludf.DUMMYFUNCTION("""COMPUTED_VALUE"""),53.12)</f>
        <v>53.12</v>
      </c>
      <c r="D1718" s="1">
        <f>IFERROR(__xludf.DUMMYFUNCTION("""COMPUTED_VALUE"""),52.31)</f>
        <v>52.31</v>
      </c>
      <c r="E1718" s="1">
        <f>IFERROR(__xludf.DUMMYFUNCTION("""COMPUTED_VALUE"""),52.41)</f>
        <v>52.41</v>
      </c>
      <c r="F1718" s="1">
        <f>IFERROR(__xludf.DUMMYFUNCTION("""COMPUTED_VALUE"""),1135935.0)</f>
        <v>1135935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IFERROR(__xludf.DUMMYFUNCTION("""COMPUTED_VALUE"""),52.69)</f>
        <v>52.69</v>
      </c>
      <c r="C1719" s="1">
        <f>IFERROR(__xludf.DUMMYFUNCTION("""COMPUTED_VALUE"""),52.93)</f>
        <v>52.93</v>
      </c>
      <c r="D1719" s="1">
        <f>IFERROR(__xludf.DUMMYFUNCTION("""COMPUTED_VALUE"""),51.87)</f>
        <v>51.87</v>
      </c>
      <c r="E1719" s="1">
        <f>IFERROR(__xludf.DUMMYFUNCTION("""COMPUTED_VALUE"""),52.12)</f>
        <v>52.12</v>
      </c>
      <c r="F1719" s="1">
        <f>IFERROR(__xludf.DUMMYFUNCTION("""COMPUTED_VALUE"""),2111910.0)</f>
        <v>2111910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IFERROR(__xludf.DUMMYFUNCTION("""COMPUTED_VALUE"""),51.94)</f>
        <v>51.94</v>
      </c>
      <c r="C1720" s="1">
        <f>IFERROR(__xludf.DUMMYFUNCTION("""COMPUTED_VALUE"""),52.06)</f>
        <v>52.06</v>
      </c>
      <c r="D1720" s="1">
        <f>IFERROR(__xludf.DUMMYFUNCTION("""COMPUTED_VALUE"""),51.38)</f>
        <v>51.38</v>
      </c>
      <c r="E1720" s="1">
        <f>IFERROR(__xludf.DUMMYFUNCTION("""COMPUTED_VALUE"""),51.61)</f>
        <v>51.61</v>
      </c>
      <c r="F1720" s="1">
        <f>IFERROR(__xludf.DUMMYFUNCTION("""COMPUTED_VALUE"""),1428072.0)</f>
        <v>1428072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IFERROR(__xludf.DUMMYFUNCTION("""COMPUTED_VALUE"""),51.45)</f>
        <v>51.45</v>
      </c>
      <c r="C1721" s="1">
        <f>IFERROR(__xludf.DUMMYFUNCTION("""COMPUTED_VALUE"""),51.45)</f>
        <v>51.45</v>
      </c>
      <c r="D1721" s="1">
        <f>IFERROR(__xludf.DUMMYFUNCTION("""COMPUTED_VALUE"""),49.53)</f>
        <v>49.53</v>
      </c>
      <c r="E1721" s="1">
        <f>IFERROR(__xludf.DUMMYFUNCTION("""COMPUTED_VALUE"""),50.13)</f>
        <v>50.13</v>
      </c>
      <c r="F1721" s="1">
        <f>IFERROR(__xludf.DUMMYFUNCTION("""COMPUTED_VALUE"""),1235692.0)</f>
        <v>1235692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IFERROR(__xludf.DUMMYFUNCTION("""COMPUTED_VALUE"""),50.43)</f>
        <v>50.43</v>
      </c>
      <c r="C1722" s="1">
        <f>IFERROR(__xludf.DUMMYFUNCTION("""COMPUTED_VALUE"""),50.5)</f>
        <v>50.5</v>
      </c>
      <c r="D1722" s="1">
        <f>IFERROR(__xludf.DUMMYFUNCTION("""COMPUTED_VALUE"""),49.51)</f>
        <v>49.51</v>
      </c>
      <c r="E1722" s="1">
        <f>IFERROR(__xludf.DUMMYFUNCTION("""COMPUTED_VALUE"""),49.78)</f>
        <v>49.78</v>
      </c>
      <c r="F1722" s="1">
        <f>IFERROR(__xludf.DUMMYFUNCTION("""COMPUTED_VALUE"""),938760.0)</f>
        <v>938760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IFERROR(__xludf.DUMMYFUNCTION("""COMPUTED_VALUE"""),49.65)</f>
        <v>49.65</v>
      </c>
      <c r="C1723" s="1">
        <f>IFERROR(__xludf.DUMMYFUNCTION("""COMPUTED_VALUE"""),49.96)</f>
        <v>49.96</v>
      </c>
      <c r="D1723" s="1">
        <f>IFERROR(__xludf.DUMMYFUNCTION("""COMPUTED_VALUE"""),48.78)</f>
        <v>48.78</v>
      </c>
      <c r="E1723" s="1">
        <f>IFERROR(__xludf.DUMMYFUNCTION("""COMPUTED_VALUE"""),49.78)</f>
        <v>49.78</v>
      </c>
      <c r="F1723" s="1">
        <f>IFERROR(__xludf.DUMMYFUNCTION("""COMPUTED_VALUE"""),563819.0)</f>
        <v>563819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IFERROR(__xludf.DUMMYFUNCTION("""COMPUTED_VALUE"""),49.76)</f>
        <v>49.76</v>
      </c>
      <c r="C1724" s="1">
        <f>IFERROR(__xludf.DUMMYFUNCTION("""COMPUTED_VALUE"""),50.01)</f>
        <v>50.01</v>
      </c>
      <c r="D1724" s="1">
        <f>IFERROR(__xludf.DUMMYFUNCTION("""COMPUTED_VALUE"""),49.24)</f>
        <v>49.24</v>
      </c>
      <c r="E1724" s="1">
        <f>IFERROR(__xludf.DUMMYFUNCTION("""COMPUTED_VALUE"""),49.3)</f>
        <v>49.3</v>
      </c>
      <c r="F1724" s="1">
        <f>IFERROR(__xludf.DUMMYFUNCTION("""COMPUTED_VALUE"""),1098820.0)</f>
        <v>1098820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IFERROR(__xludf.DUMMYFUNCTION("""COMPUTED_VALUE"""),49.46)</f>
        <v>49.46</v>
      </c>
      <c r="C1725" s="1">
        <f>IFERROR(__xludf.DUMMYFUNCTION("""COMPUTED_VALUE"""),50.81)</f>
        <v>50.81</v>
      </c>
      <c r="D1725" s="1">
        <f>IFERROR(__xludf.DUMMYFUNCTION("""COMPUTED_VALUE"""),49.08)</f>
        <v>49.08</v>
      </c>
      <c r="E1725" s="1">
        <f>IFERROR(__xludf.DUMMYFUNCTION("""COMPUTED_VALUE"""),50.48)</f>
        <v>50.48</v>
      </c>
      <c r="F1725" s="1">
        <f>IFERROR(__xludf.DUMMYFUNCTION("""COMPUTED_VALUE"""),1095965.0)</f>
        <v>1095965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IFERROR(__xludf.DUMMYFUNCTION("""COMPUTED_VALUE"""),51.41)</f>
        <v>51.41</v>
      </c>
      <c r="C1726" s="1">
        <f>IFERROR(__xludf.DUMMYFUNCTION("""COMPUTED_VALUE"""),51.97)</f>
        <v>51.97</v>
      </c>
      <c r="D1726" s="1">
        <f>IFERROR(__xludf.DUMMYFUNCTION("""COMPUTED_VALUE"""),51.35)</f>
        <v>51.35</v>
      </c>
      <c r="E1726" s="1">
        <f>IFERROR(__xludf.DUMMYFUNCTION("""COMPUTED_VALUE"""),51.4)</f>
        <v>51.4</v>
      </c>
      <c r="F1726" s="1">
        <f>IFERROR(__xludf.DUMMYFUNCTION("""COMPUTED_VALUE"""),930955.0)</f>
        <v>930955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IFERROR(__xludf.DUMMYFUNCTION("""COMPUTED_VALUE"""),51.38)</f>
        <v>51.38</v>
      </c>
      <c r="C1727" s="1">
        <f>IFERROR(__xludf.DUMMYFUNCTION("""COMPUTED_VALUE"""),52.95)</f>
        <v>52.95</v>
      </c>
      <c r="D1727" s="1">
        <f>IFERROR(__xludf.DUMMYFUNCTION("""COMPUTED_VALUE"""),51.38)</f>
        <v>51.38</v>
      </c>
      <c r="E1727" s="1">
        <f>IFERROR(__xludf.DUMMYFUNCTION("""COMPUTED_VALUE"""),52.8)</f>
        <v>52.8</v>
      </c>
      <c r="F1727" s="1">
        <f>IFERROR(__xludf.DUMMYFUNCTION("""COMPUTED_VALUE"""),888548.0)</f>
        <v>888548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IFERROR(__xludf.DUMMYFUNCTION("""COMPUTED_VALUE"""),50.26)</f>
        <v>50.26</v>
      </c>
      <c r="C1728" s="1">
        <f>IFERROR(__xludf.DUMMYFUNCTION("""COMPUTED_VALUE"""),52.77)</f>
        <v>52.77</v>
      </c>
      <c r="D1728" s="1">
        <f>IFERROR(__xludf.DUMMYFUNCTION("""COMPUTED_VALUE"""),50.26)</f>
        <v>50.26</v>
      </c>
      <c r="E1728" s="1">
        <f>IFERROR(__xludf.DUMMYFUNCTION("""COMPUTED_VALUE"""),51.54)</f>
        <v>51.54</v>
      </c>
      <c r="F1728" s="1">
        <f>IFERROR(__xludf.DUMMYFUNCTION("""COMPUTED_VALUE"""),1458120.0)</f>
        <v>1458120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IFERROR(__xludf.DUMMYFUNCTION("""COMPUTED_VALUE"""),51.69)</f>
        <v>51.69</v>
      </c>
      <c r="C1729" s="1">
        <f>IFERROR(__xludf.DUMMYFUNCTION("""COMPUTED_VALUE"""),52.25)</f>
        <v>52.25</v>
      </c>
      <c r="D1729" s="1">
        <f>IFERROR(__xludf.DUMMYFUNCTION("""COMPUTED_VALUE"""),50.22)</f>
        <v>50.22</v>
      </c>
      <c r="E1729" s="1">
        <f>IFERROR(__xludf.DUMMYFUNCTION("""COMPUTED_VALUE"""),51.57)</f>
        <v>51.57</v>
      </c>
      <c r="F1729" s="1">
        <f>IFERROR(__xludf.DUMMYFUNCTION("""COMPUTED_VALUE"""),1011937.0)</f>
        <v>1011937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IFERROR(__xludf.DUMMYFUNCTION("""COMPUTED_VALUE"""),51.5)</f>
        <v>51.5</v>
      </c>
      <c r="C1730" s="1">
        <f>IFERROR(__xludf.DUMMYFUNCTION("""COMPUTED_VALUE"""),51.5)</f>
        <v>51.5</v>
      </c>
      <c r="D1730" s="1">
        <f>IFERROR(__xludf.DUMMYFUNCTION("""COMPUTED_VALUE"""),49.73)</f>
        <v>49.73</v>
      </c>
      <c r="E1730" s="1">
        <f>IFERROR(__xludf.DUMMYFUNCTION("""COMPUTED_VALUE"""),50.51)</f>
        <v>50.51</v>
      </c>
      <c r="F1730" s="1">
        <f>IFERROR(__xludf.DUMMYFUNCTION("""COMPUTED_VALUE"""),1241003.0)</f>
        <v>1241003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IFERROR(__xludf.DUMMYFUNCTION("""COMPUTED_VALUE"""),50.43)</f>
        <v>50.43</v>
      </c>
      <c r="C1731" s="1">
        <f>IFERROR(__xludf.DUMMYFUNCTION("""COMPUTED_VALUE"""),50.49)</f>
        <v>50.49</v>
      </c>
      <c r="D1731" s="1">
        <f>IFERROR(__xludf.DUMMYFUNCTION("""COMPUTED_VALUE"""),47.35)</f>
        <v>47.35</v>
      </c>
      <c r="E1731" s="1">
        <f>IFERROR(__xludf.DUMMYFUNCTION("""COMPUTED_VALUE"""),47.43)</f>
        <v>47.43</v>
      </c>
      <c r="F1731" s="1">
        <f>IFERROR(__xludf.DUMMYFUNCTION("""COMPUTED_VALUE"""),1710928.0)</f>
        <v>1710928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IFERROR(__xludf.DUMMYFUNCTION("""COMPUTED_VALUE"""),47.66)</f>
        <v>47.66</v>
      </c>
      <c r="C1732" s="1">
        <f>IFERROR(__xludf.DUMMYFUNCTION("""COMPUTED_VALUE"""),47.96)</f>
        <v>47.96</v>
      </c>
      <c r="D1732" s="1">
        <f>IFERROR(__xludf.DUMMYFUNCTION("""COMPUTED_VALUE"""),46.96)</f>
        <v>46.96</v>
      </c>
      <c r="E1732" s="1">
        <f>IFERROR(__xludf.DUMMYFUNCTION("""COMPUTED_VALUE"""),47.19)</f>
        <v>47.19</v>
      </c>
      <c r="F1732" s="1">
        <f>IFERROR(__xludf.DUMMYFUNCTION("""COMPUTED_VALUE"""),1431850.0)</f>
        <v>1431850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IFERROR(__xludf.DUMMYFUNCTION("""COMPUTED_VALUE"""),46.88)</f>
        <v>46.88</v>
      </c>
      <c r="C1733" s="1">
        <f>IFERROR(__xludf.DUMMYFUNCTION("""COMPUTED_VALUE"""),49.47)</f>
        <v>49.47</v>
      </c>
      <c r="D1733" s="1">
        <f>IFERROR(__xludf.DUMMYFUNCTION("""COMPUTED_VALUE"""),46.81)</f>
        <v>46.81</v>
      </c>
      <c r="E1733" s="1">
        <f>IFERROR(__xludf.DUMMYFUNCTION("""COMPUTED_VALUE"""),48.75)</f>
        <v>48.75</v>
      </c>
      <c r="F1733" s="1">
        <f>IFERROR(__xludf.DUMMYFUNCTION("""COMPUTED_VALUE"""),1121518.0)</f>
        <v>1121518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IFERROR(__xludf.DUMMYFUNCTION("""COMPUTED_VALUE"""),48.74)</f>
        <v>48.74</v>
      </c>
      <c r="C1734" s="1">
        <f>IFERROR(__xludf.DUMMYFUNCTION("""COMPUTED_VALUE"""),49.87)</f>
        <v>49.87</v>
      </c>
      <c r="D1734" s="1">
        <f>IFERROR(__xludf.DUMMYFUNCTION("""COMPUTED_VALUE"""),48.64)</f>
        <v>48.64</v>
      </c>
      <c r="E1734" s="1">
        <f>IFERROR(__xludf.DUMMYFUNCTION("""COMPUTED_VALUE"""),49.54)</f>
        <v>49.54</v>
      </c>
      <c r="F1734" s="1">
        <f>IFERROR(__xludf.DUMMYFUNCTION("""COMPUTED_VALUE"""),933344.0)</f>
        <v>933344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IFERROR(__xludf.DUMMYFUNCTION("""COMPUTED_VALUE"""),50.31)</f>
        <v>50.31</v>
      </c>
      <c r="C1735" s="1">
        <f>IFERROR(__xludf.DUMMYFUNCTION("""COMPUTED_VALUE"""),50.54)</f>
        <v>50.54</v>
      </c>
      <c r="D1735" s="1">
        <f>IFERROR(__xludf.DUMMYFUNCTION("""COMPUTED_VALUE"""),49.57)</f>
        <v>49.57</v>
      </c>
      <c r="E1735" s="1">
        <f>IFERROR(__xludf.DUMMYFUNCTION("""COMPUTED_VALUE"""),50.2)</f>
        <v>50.2</v>
      </c>
      <c r="F1735" s="1">
        <f>IFERROR(__xludf.DUMMYFUNCTION("""COMPUTED_VALUE"""),964851.0)</f>
        <v>964851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IFERROR(__xludf.DUMMYFUNCTION("""COMPUTED_VALUE"""),50.48)</f>
        <v>50.48</v>
      </c>
      <c r="C1736" s="1">
        <f>IFERROR(__xludf.DUMMYFUNCTION("""COMPUTED_VALUE"""),51.55)</f>
        <v>51.55</v>
      </c>
      <c r="D1736" s="1">
        <f>IFERROR(__xludf.DUMMYFUNCTION("""COMPUTED_VALUE"""),49.88)</f>
        <v>49.88</v>
      </c>
      <c r="E1736" s="1">
        <f>IFERROR(__xludf.DUMMYFUNCTION("""COMPUTED_VALUE"""),51.35)</f>
        <v>51.35</v>
      </c>
      <c r="F1736" s="1">
        <f>IFERROR(__xludf.DUMMYFUNCTION("""COMPUTED_VALUE"""),1707827.0)</f>
        <v>1707827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IFERROR(__xludf.DUMMYFUNCTION("""COMPUTED_VALUE"""),51.72)</f>
        <v>51.72</v>
      </c>
      <c r="C1737" s="1">
        <f>IFERROR(__xludf.DUMMYFUNCTION("""COMPUTED_VALUE"""),51.87)</f>
        <v>51.87</v>
      </c>
      <c r="D1737" s="1">
        <f>IFERROR(__xludf.DUMMYFUNCTION("""COMPUTED_VALUE"""),51.0)</f>
        <v>51</v>
      </c>
      <c r="E1737" s="1">
        <f>IFERROR(__xludf.DUMMYFUNCTION("""COMPUTED_VALUE"""),51.35)</f>
        <v>51.35</v>
      </c>
      <c r="F1737" s="1">
        <f>IFERROR(__xludf.DUMMYFUNCTION("""COMPUTED_VALUE"""),877519.0)</f>
        <v>877519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IFERROR(__xludf.DUMMYFUNCTION("""COMPUTED_VALUE"""),51.46)</f>
        <v>51.46</v>
      </c>
      <c r="C1738" s="1">
        <f>IFERROR(__xludf.DUMMYFUNCTION("""COMPUTED_VALUE"""),51.52)</f>
        <v>51.52</v>
      </c>
      <c r="D1738" s="1">
        <f>IFERROR(__xludf.DUMMYFUNCTION("""COMPUTED_VALUE"""),50.59)</f>
        <v>50.59</v>
      </c>
      <c r="E1738" s="1">
        <f>IFERROR(__xludf.DUMMYFUNCTION("""COMPUTED_VALUE"""),51.24)</f>
        <v>51.24</v>
      </c>
      <c r="F1738" s="1">
        <f>IFERROR(__xludf.DUMMYFUNCTION("""COMPUTED_VALUE"""),704476.0)</f>
        <v>704476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IFERROR(__xludf.DUMMYFUNCTION("""COMPUTED_VALUE"""),51.22)</f>
        <v>51.22</v>
      </c>
      <c r="C1739" s="1">
        <f>IFERROR(__xludf.DUMMYFUNCTION("""COMPUTED_VALUE"""),51.8)</f>
        <v>51.8</v>
      </c>
      <c r="D1739" s="1">
        <f>IFERROR(__xludf.DUMMYFUNCTION("""COMPUTED_VALUE"""),50.89)</f>
        <v>50.89</v>
      </c>
      <c r="E1739" s="1">
        <f>IFERROR(__xludf.DUMMYFUNCTION("""COMPUTED_VALUE"""),51.56)</f>
        <v>51.56</v>
      </c>
      <c r="F1739" s="1">
        <f>IFERROR(__xludf.DUMMYFUNCTION("""COMPUTED_VALUE"""),386421.0)</f>
        <v>386421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IFERROR(__xludf.DUMMYFUNCTION("""COMPUTED_VALUE"""),51.4)</f>
        <v>51.4</v>
      </c>
      <c r="C1740" s="1">
        <f>IFERROR(__xludf.DUMMYFUNCTION("""COMPUTED_VALUE"""),51.43)</f>
        <v>51.43</v>
      </c>
      <c r="D1740" s="1">
        <f>IFERROR(__xludf.DUMMYFUNCTION("""COMPUTED_VALUE"""),50.15)</f>
        <v>50.15</v>
      </c>
      <c r="E1740" s="1">
        <f>IFERROR(__xludf.DUMMYFUNCTION("""COMPUTED_VALUE"""),50.42)</f>
        <v>50.42</v>
      </c>
      <c r="F1740" s="1">
        <f>IFERROR(__xludf.DUMMYFUNCTION("""COMPUTED_VALUE"""),1302534.0)</f>
        <v>1302534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IFERROR(__xludf.DUMMYFUNCTION("""COMPUTED_VALUE"""),50.63)</f>
        <v>50.63</v>
      </c>
      <c r="C1741" s="1">
        <f>IFERROR(__xludf.DUMMYFUNCTION("""COMPUTED_VALUE"""),50.7)</f>
        <v>50.7</v>
      </c>
      <c r="D1741" s="1">
        <f>IFERROR(__xludf.DUMMYFUNCTION("""COMPUTED_VALUE"""),49.82)</f>
        <v>49.82</v>
      </c>
      <c r="E1741" s="1">
        <f>IFERROR(__xludf.DUMMYFUNCTION("""COMPUTED_VALUE"""),50.19)</f>
        <v>50.19</v>
      </c>
      <c r="F1741" s="1">
        <f>IFERROR(__xludf.DUMMYFUNCTION("""COMPUTED_VALUE"""),752557.0)</f>
        <v>752557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IFERROR(__xludf.DUMMYFUNCTION("""COMPUTED_VALUE"""),50.38)</f>
        <v>50.38</v>
      </c>
      <c r="C1742" s="1">
        <f>IFERROR(__xludf.DUMMYFUNCTION("""COMPUTED_VALUE"""),50.77)</f>
        <v>50.77</v>
      </c>
      <c r="D1742" s="1">
        <f>IFERROR(__xludf.DUMMYFUNCTION("""COMPUTED_VALUE"""),49.68)</f>
        <v>49.68</v>
      </c>
      <c r="E1742" s="1">
        <f>IFERROR(__xludf.DUMMYFUNCTION("""COMPUTED_VALUE"""),50.17)</f>
        <v>50.17</v>
      </c>
      <c r="F1742" s="1">
        <f>IFERROR(__xludf.DUMMYFUNCTION("""COMPUTED_VALUE"""),926424.0)</f>
        <v>926424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IFERROR(__xludf.DUMMYFUNCTION("""COMPUTED_VALUE"""),50.19)</f>
        <v>50.19</v>
      </c>
      <c r="C1743" s="1">
        <f>IFERROR(__xludf.DUMMYFUNCTION("""COMPUTED_VALUE"""),50.22)</f>
        <v>50.22</v>
      </c>
      <c r="D1743" s="1">
        <f>IFERROR(__xludf.DUMMYFUNCTION("""COMPUTED_VALUE"""),48.58)</f>
        <v>48.58</v>
      </c>
      <c r="E1743" s="1">
        <f>IFERROR(__xludf.DUMMYFUNCTION("""COMPUTED_VALUE"""),48.99)</f>
        <v>48.99</v>
      </c>
      <c r="F1743" s="1">
        <f>IFERROR(__xludf.DUMMYFUNCTION("""COMPUTED_VALUE"""),756199.0)</f>
        <v>756199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IFERROR(__xludf.DUMMYFUNCTION("""COMPUTED_VALUE"""),48.97)</f>
        <v>48.97</v>
      </c>
      <c r="C1744" s="1">
        <f>IFERROR(__xludf.DUMMYFUNCTION("""COMPUTED_VALUE"""),49.08)</f>
        <v>49.08</v>
      </c>
      <c r="D1744" s="1">
        <f>IFERROR(__xludf.DUMMYFUNCTION("""COMPUTED_VALUE"""),37.16)</f>
        <v>37.16</v>
      </c>
      <c r="E1744" s="1">
        <f>IFERROR(__xludf.DUMMYFUNCTION("""COMPUTED_VALUE"""),42.0)</f>
        <v>42</v>
      </c>
      <c r="F1744" s="1">
        <f>IFERROR(__xludf.DUMMYFUNCTION("""COMPUTED_VALUE"""),1.5449496E7)</f>
        <v>15449496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IFERROR(__xludf.DUMMYFUNCTION("""COMPUTED_VALUE"""),44.19)</f>
        <v>44.19</v>
      </c>
      <c r="C1745" s="1">
        <f>IFERROR(__xludf.DUMMYFUNCTION("""COMPUTED_VALUE"""),46.03)</f>
        <v>46.03</v>
      </c>
      <c r="D1745" s="1">
        <f>IFERROR(__xludf.DUMMYFUNCTION("""COMPUTED_VALUE"""),43.68)</f>
        <v>43.68</v>
      </c>
      <c r="E1745" s="1">
        <f>IFERROR(__xludf.DUMMYFUNCTION("""COMPUTED_VALUE"""),43.9)</f>
        <v>43.9</v>
      </c>
      <c r="F1745" s="1">
        <f>IFERROR(__xludf.DUMMYFUNCTION("""COMPUTED_VALUE"""),8220011.0)</f>
        <v>8220011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IFERROR(__xludf.DUMMYFUNCTION("""COMPUTED_VALUE"""),43.99)</f>
        <v>43.99</v>
      </c>
      <c r="C1746" s="1">
        <f>IFERROR(__xludf.DUMMYFUNCTION("""COMPUTED_VALUE"""),45.18)</f>
        <v>45.18</v>
      </c>
      <c r="D1746" s="1">
        <f>IFERROR(__xludf.DUMMYFUNCTION("""COMPUTED_VALUE"""),43.9)</f>
        <v>43.9</v>
      </c>
      <c r="E1746" s="1">
        <f>IFERROR(__xludf.DUMMYFUNCTION("""COMPUTED_VALUE"""),44.22)</f>
        <v>44.22</v>
      </c>
      <c r="F1746" s="1">
        <f>IFERROR(__xludf.DUMMYFUNCTION("""COMPUTED_VALUE"""),1532271.0)</f>
        <v>1532271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IFERROR(__xludf.DUMMYFUNCTION("""COMPUTED_VALUE"""),44.26)</f>
        <v>44.26</v>
      </c>
      <c r="C1747" s="1">
        <f>IFERROR(__xludf.DUMMYFUNCTION("""COMPUTED_VALUE"""),44.46)</f>
        <v>44.46</v>
      </c>
      <c r="D1747" s="1">
        <f>IFERROR(__xludf.DUMMYFUNCTION("""COMPUTED_VALUE"""),42.97)</f>
        <v>42.97</v>
      </c>
      <c r="E1747" s="1">
        <f>IFERROR(__xludf.DUMMYFUNCTION("""COMPUTED_VALUE"""),43.5)</f>
        <v>43.5</v>
      </c>
      <c r="F1747" s="1">
        <f>IFERROR(__xludf.DUMMYFUNCTION("""COMPUTED_VALUE"""),1408760.0)</f>
        <v>1408760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IFERROR(__xludf.DUMMYFUNCTION("""COMPUTED_VALUE"""),43.26)</f>
        <v>43.26</v>
      </c>
      <c r="C1748" s="1">
        <f>IFERROR(__xludf.DUMMYFUNCTION("""COMPUTED_VALUE"""),43.78)</f>
        <v>43.78</v>
      </c>
      <c r="D1748" s="1">
        <f>IFERROR(__xludf.DUMMYFUNCTION("""COMPUTED_VALUE"""),43.04)</f>
        <v>43.04</v>
      </c>
      <c r="E1748" s="1">
        <f>IFERROR(__xludf.DUMMYFUNCTION("""COMPUTED_VALUE"""),43.67)</f>
        <v>43.67</v>
      </c>
      <c r="F1748" s="1">
        <f>IFERROR(__xludf.DUMMYFUNCTION("""COMPUTED_VALUE"""),1358735.0)</f>
        <v>1358735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IFERROR(__xludf.DUMMYFUNCTION("""COMPUTED_VALUE"""),43.48)</f>
        <v>43.48</v>
      </c>
      <c r="C1749" s="1">
        <f>IFERROR(__xludf.DUMMYFUNCTION("""COMPUTED_VALUE"""),43.89)</f>
        <v>43.89</v>
      </c>
      <c r="D1749" s="1">
        <f>IFERROR(__xludf.DUMMYFUNCTION("""COMPUTED_VALUE"""),43.01)</f>
        <v>43.01</v>
      </c>
      <c r="E1749" s="1">
        <f>IFERROR(__xludf.DUMMYFUNCTION("""COMPUTED_VALUE"""),43.44)</f>
        <v>43.44</v>
      </c>
      <c r="F1749" s="1">
        <f>IFERROR(__xludf.DUMMYFUNCTION("""COMPUTED_VALUE"""),1075999.0)</f>
        <v>1075999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IFERROR(__xludf.DUMMYFUNCTION("""COMPUTED_VALUE"""),42.67)</f>
        <v>42.67</v>
      </c>
      <c r="C1750" s="1">
        <f>IFERROR(__xludf.DUMMYFUNCTION("""COMPUTED_VALUE"""),43.9)</f>
        <v>43.9</v>
      </c>
      <c r="D1750" s="1">
        <f>IFERROR(__xludf.DUMMYFUNCTION("""COMPUTED_VALUE"""),42.5)</f>
        <v>42.5</v>
      </c>
      <c r="E1750" s="1">
        <f>IFERROR(__xludf.DUMMYFUNCTION("""COMPUTED_VALUE"""),43.87)</f>
        <v>43.87</v>
      </c>
      <c r="F1750" s="1">
        <f>IFERROR(__xludf.DUMMYFUNCTION("""COMPUTED_VALUE"""),1598766.0)</f>
        <v>1598766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IFERROR(__xludf.DUMMYFUNCTION("""COMPUTED_VALUE"""),43.9)</f>
        <v>43.9</v>
      </c>
      <c r="C1751" s="1">
        <f>IFERROR(__xludf.DUMMYFUNCTION("""COMPUTED_VALUE"""),44.66)</f>
        <v>44.66</v>
      </c>
      <c r="D1751" s="1">
        <f>IFERROR(__xludf.DUMMYFUNCTION("""COMPUTED_VALUE"""),43.76)</f>
        <v>43.76</v>
      </c>
      <c r="E1751" s="1">
        <f>IFERROR(__xludf.DUMMYFUNCTION("""COMPUTED_VALUE"""),44.0)</f>
        <v>44</v>
      </c>
      <c r="F1751" s="1">
        <f>IFERROR(__xludf.DUMMYFUNCTION("""COMPUTED_VALUE"""),949258.0)</f>
        <v>949258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IFERROR(__xludf.DUMMYFUNCTION("""COMPUTED_VALUE"""),43.9)</f>
        <v>43.9</v>
      </c>
      <c r="C1752" s="1">
        <f>IFERROR(__xludf.DUMMYFUNCTION("""COMPUTED_VALUE"""),44.13)</f>
        <v>44.13</v>
      </c>
      <c r="D1752" s="1">
        <f>IFERROR(__xludf.DUMMYFUNCTION("""COMPUTED_VALUE"""),43.27)</f>
        <v>43.27</v>
      </c>
      <c r="E1752" s="1">
        <f>IFERROR(__xludf.DUMMYFUNCTION("""COMPUTED_VALUE"""),43.73)</f>
        <v>43.73</v>
      </c>
      <c r="F1752" s="1">
        <f>IFERROR(__xludf.DUMMYFUNCTION("""COMPUTED_VALUE"""),770746.0)</f>
        <v>770746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IFERROR(__xludf.DUMMYFUNCTION("""COMPUTED_VALUE"""),43.44)</f>
        <v>43.44</v>
      </c>
      <c r="C1753" s="1">
        <f>IFERROR(__xludf.DUMMYFUNCTION("""COMPUTED_VALUE"""),43.46)</f>
        <v>43.46</v>
      </c>
      <c r="D1753" s="1">
        <f>IFERROR(__xludf.DUMMYFUNCTION("""COMPUTED_VALUE"""),42.95)</f>
        <v>42.95</v>
      </c>
      <c r="E1753" s="1">
        <f>IFERROR(__xludf.DUMMYFUNCTION("""COMPUTED_VALUE"""),43.22)</f>
        <v>43.22</v>
      </c>
      <c r="F1753" s="1">
        <f>IFERROR(__xludf.DUMMYFUNCTION("""COMPUTED_VALUE"""),938352.0)</f>
        <v>938352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IFERROR(__xludf.DUMMYFUNCTION("""COMPUTED_VALUE"""),43.22)</f>
        <v>43.22</v>
      </c>
      <c r="C1754" s="1">
        <f>IFERROR(__xludf.DUMMYFUNCTION("""COMPUTED_VALUE"""),43.27)</f>
        <v>43.27</v>
      </c>
      <c r="D1754" s="1">
        <f>IFERROR(__xludf.DUMMYFUNCTION("""COMPUTED_VALUE"""),42.83)</f>
        <v>42.83</v>
      </c>
      <c r="E1754" s="1">
        <f>IFERROR(__xludf.DUMMYFUNCTION("""COMPUTED_VALUE"""),42.91)</f>
        <v>42.91</v>
      </c>
      <c r="F1754" s="1">
        <f>IFERROR(__xludf.DUMMYFUNCTION("""COMPUTED_VALUE"""),995244.0)</f>
        <v>995244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IFERROR(__xludf.DUMMYFUNCTION("""COMPUTED_VALUE"""),42.79)</f>
        <v>42.79</v>
      </c>
      <c r="C1755" s="1">
        <f>IFERROR(__xludf.DUMMYFUNCTION("""COMPUTED_VALUE"""),42.97)</f>
        <v>42.97</v>
      </c>
      <c r="D1755" s="1">
        <f>IFERROR(__xludf.DUMMYFUNCTION("""COMPUTED_VALUE"""),41.65)</f>
        <v>41.65</v>
      </c>
      <c r="E1755" s="1">
        <f>IFERROR(__xludf.DUMMYFUNCTION("""COMPUTED_VALUE"""),41.67)</f>
        <v>41.67</v>
      </c>
      <c r="F1755" s="1">
        <f>IFERROR(__xludf.DUMMYFUNCTION("""COMPUTED_VALUE"""),995088.0)</f>
        <v>995088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IFERROR(__xludf.DUMMYFUNCTION("""COMPUTED_VALUE"""),41.74)</f>
        <v>41.74</v>
      </c>
      <c r="C1756" s="1">
        <f>IFERROR(__xludf.DUMMYFUNCTION("""COMPUTED_VALUE"""),41.85)</f>
        <v>41.85</v>
      </c>
      <c r="D1756" s="1">
        <f>IFERROR(__xludf.DUMMYFUNCTION("""COMPUTED_VALUE"""),40.83)</f>
        <v>40.83</v>
      </c>
      <c r="E1756" s="1">
        <f>IFERROR(__xludf.DUMMYFUNCTION("""COMPUTED_VALUE"""),41.51)</f>
        <v>41.51</v>
      </c>
      <c r="F1756" s="1">
        <f>IFERROR(__xludf.DUMMYFUNCTION("""COMPUTED_VALUE"""),1081009.0)</f>
        <v>1081009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IFERROR(__xludf.DUMMYFUNCTION("""COMPUTED_VALUE"""),41.5)</f>
        <v>41.5</v>
      </c>
      <c r="C1757" s="1">
        <f>IFERROR(__xludf.DUMMYFUNCTION("""COMPUTED_VALUE"""),42.35)</f>
        <v>42.35</v>
      </c>
      <c r="D1757" s="1">
        <f>IFERROR(__xludf.DUMMYFUNCTION("""COMPUTED_VALUE"""),41.28)</f>
        <v>41.28</v>
      </c>
      <c r="E1757" s="1">
        <f>IFERROR(__xludf.DUMMYFUNCTION("""COMPUTED_VALUE"""),42.24)</f>
        <v>42.24</v>
      </c>
      <c r="F1757" s="1">
        <f>IFERROR(__xludf.DUMMYFUNCTION("""COMPUTED_VALUE"""),748712.0)</f>
        <v>748712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IFERROR(__xludf.DUMMYFUNCTION("""COMPUTED_VALUE"""),42.38)</f>
        <v>42.38</v>
      </c>
      <c r="C1758" s="1">
        <f>IFERROR(__xludf.DUMMYFUNCTION("""COMPUTED_VALUE"""),42.42)</f>
        <v>42.42</v>
      </c>
      <c r="D1758" s="1">
        <f>IFERROR(__xludf.DUMMYFUNCTION("""COMPUTED_VALUE"""),41.71)</f>
        <v>41.71</v>
      </c>
      <c r="E1758" s="1">
        <f>IFERROR(__xludf.DUMMYFUNCTION("""COMPUTED_VALUE"""),41.97)</f>
        <v>41.97</v>
      </c>
      <c r="F1758" s="1">
        <f>IFERROR(__xludf.DUMMYFUNCTION("""COMPUTED_VALUE"""),620590.0)</f>
        <v>620590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IFERROR(__xludf.DUMMYFUNCTION("""COMPUTED_VALUE"""),40.88)</f>
        <v>40.88</v>
      </c>
      <c r="C1759" s="1">
        <f>IFERROR(__xludf.DUMMYFUNCTION("""COMPUTED_VALUE"""),43.36)</f>
        <v>43.36</v>
      </c>
      <c r="D1759" s="1">
        <f>IFERROR(__xludf.DUMMYFUNCTION("""COMPUTED_VALUE"""),40.01)</f>
        <v>40.01</v>
      </c>
      <c r="E1759" s="1">
        <f>IFERROR(__xludf.DUMMYFUNCTION("""COMPUTED_VALUE"""),42.5)</f>
        <v>42.5</v>
      </c>
      <c r="F1759" s="1">
        <f>IFERROR(__xludf.DUMMYFUNCTION("""COMPUTED_VALUE"""),1341404.0)</f>
        <v>1341404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IFERROR(__xludf.DUMMYFUNCTION("""COMPUTED_VALUE"""),42.63)</f>
        <v>42.63</v>
      </c>
      <c r="C1760" s="1">
        <f>IFERROR(__xludf.DUMMYFUNCTION("""COMPUTED_VALUE"""),43.36)</f>
        <v>43.36</v>
      </c>
      <c r="D1760" s="1">
        <f>IFERROR(__xludf.DUMMYFUNCTION("""COMPUTED_VALUE"""),42.47)</f>
        <v>42.47</v>
      </c>
      <c r="E1760" s="1">
        <f>IFERROR(__xludf.DUMMYFUNCTION("""COMPUTED_VALUE"""),42.96)</f>
        <v>42.96</v>
      </c>
      <c r="F1760" s="1">
        <f>IFERROR(__xludf.DUMMYFUNCTION("""COMPUTED_VALUE"""),553960.0)</f>
        <v>553960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IFERROR(__xludf.DUMMYFUNCTION("""COMPUTED_VALUE"""),43.12)</f>
        <v>43.12</v>
      </c>
      <c r="C1761" s="1">
        <f>IFERROR(__xludf.DUMMYFUNCTION("""COMPUTED_VALUE"""),43.48)</f>
        <v>43.48</v>
      </c>
      <c r="D1761" s="1">
        <f>IFERROR(__xludf.DUMMYFUNCTION("""COMPUTED_VALUE"""),42.71)</f>
        <v>42.71</v>
      </c>
      <c r="E1761" s="1">
        <f>IFERROR(__xludf.DUMMYFUNCTION("""COMPUTED_VALUE"""),42.88)</f>
        <v>42.88</v>
      </c>
      <c r="F1761" s="1">
        <f>IFERROR(__xludf.DUMMYFUNCTION("""COMPUTED_VALUE"""),570077.0)</f>
        <v>570077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IFERROR(__xludf.DUMMYFUNCTION("""COMPUTED_VALUE"""),43.07)</f>
        <v>43.07</v>
      </c>
      <c r="C1762" s="1">
        <f>IFERROR(__xludf.DUMMYFUNCTION("""COMPUTED_VALUE"""),43.07)</f>
        <v>43.07</v>
      </c>
      <c r="D1762" s="1">
        <f>IFERROR(__xludf.DUMMYFUNCTION("""COMPUTED_VALUE"""),41.81)</f>
        <v>41.81</v>
      </c>
      <c r="E1762" s="1">
        <f>IFERROR(__xludf.DUMMYFUNCTION("""COMPUTED_VALUE"""),42.53)</f>
        <v>42.53</v>
      </c>
      <c r="F1762" s="1">
        <f>IFERROR(__xludf.DUMMYFUNCTION("""COMPUTED_VALUE"""),736374.0)</f>
        <v>736374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IFERROR(__xludf.DUMMYFUNCTION("""COMPUTED_VALUE"""),42.64)</f>
        <v>42.64</v>
      </c>
      <c r="C1763" s="1">
        <f>IFERROR(__xludf.DUMMYFUNCTION("""COMPUTED_VALUE"""),42.77)</f>
        <v>42.77</v>
      </c>
      <c r="D1763" s="1">
        <f>IFERROR(__xludf.DUMMYFUNCTION("""COMPUTED_VALUE"""),42.0)</f>
        <v>42</v>
      </c>
      <c r="E1763" s="1">
        <f>IFERROR(__xludf.DUMMYFUNCTION("""COMPUTED_VALUE"""),42.1)</f>
        <v>42.1</v>
      </c>
      <c r="F1763" s="1">
        <f>IFERROR(__xludf.DUMMYFUNCTION("""COMPUTED_VALUE"""),462850.0)</f>
        <v>462850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IFERROR(__xludf.DUMMYFUNCTION("""COMPUTED_VALUE"""),42.75)</f>
        <v>42.75</v>
      </c>
      <c r="C1764" s="1">
        <f>IFERROR(__xludf.DUMMYFUNCTION("""COMPUTED_VALUE"""),43.42)</f>
        <v>43.42</v>
      </c>
      <c r="D1764" s="1">
        <f>IFERROR(__xludf.DUMMYFUNCTION("""COMPUTED_VALUE"""),42.31)</f>
        <v>42.31</v>
      </c>
      <c r="E1764" s="1">
        <f>IFERROR(__xludf.DUMMYFUNCTION("""COMPUTED_VALUE"""),43.34)</f>
        <v>43.34</v>
      </c>
      <c r="F1764" s="1">
        <f>IFERROR(__xludf.DUMMYFUNCTION("""COMPUTED_VALUE"""),1137478.0)</f>
        <v>1137478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IFERROR(__xludf.DUMMYFUNCTION("""COMPUTED_VALUE"""),43.78)</f>
        <v>43.78</v>
      </c>
      <c r="C1765" s="1">
        <f>IFERROR(__xludf.DUMMYFUNCTION("""COMPUTED_VALUE"""),45.42)</f>
        <v>45.42</v>
      </c>
      <c r="D1765" s="1">
        <f>IFERROR(__xludf.DUMMYFUNCTION("""COMPUTED_VALUE"""),43.63)</f>
        <v>43.63</v>
      </c>
      <c r="E1765" s="1">
        <f>IFERROR(__xludf.DUMMYFUNCTION("""COMPUTED_VALUE"""),45.11)</f>
        <v>45.11</v>
      </c>
      <c r="F1765" s="1">
        <f>IFERROR(__xludf.DUMMYFUNCTION("""COMPUTED_VALUE"""),1901414.0)</f>
        <v>1901414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IFERROR(__xludf.DUMMYFUNCTION("""COMPUTED_VALUE"""),45.5)</f>
        <v>45.5</v>
      </c>
      <c r="C1766" s="1">
        <f>IFERROR(__xludf.DUMMYFUNCTION("""COMPUTED_VALUE"""),48.23)</f>
        <v>48.23</v>
      </c>
      <c r="D1766" s="1">
        <f>IFERROR(__xludf.DUMMYFUNCTION("""COMPUTED_VALUE"""),45.16)</f>
        <v>45.16</v>
      </c>
      <c r="E1766" s="1">
        <f>IFERROR(__xludf.DUMMYFUNCTION("""COMPUTED_VALUE"""),46.67)</f>
        <v>46.67</v>
      </c>
      <c r="F1766" s="1">
        <f>IFERROR(__xludf.DUMMYFUNCTION("""COMPUTED_VALUE"""),1766905.0)</f>
        <v>1766905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IFERROR(__xludf.DUMMYFUNCTION("""COMPUTED_VALUE"""),47.18)</f>
        <v>47.18</v>
      </c>
      <c r="C1767" s="1">
        <f>IFERROR(__xludf.DUMMYFUNCTION("""COMPUTED_VALUE"""),47.79)</f>
        <v>47.79</v>
      </c>
      <c r="D1767" s="1">
        <f>IFERROR(__xludf.DUMMYFUNCTION("""COMPUTED_VALUE"""),46.79)</f>
        <v>46.79</v>
      </c>
      <c r="E1767" s="1">
        <f>IFERROR(__xludf.DUMMYFUNCTION("""COMPUTED_VALUE"""),47.66)</f>
        <v>47.66</v>
      </c>
      <c r="F1767" s="1">
        <f>IFERROR(__xludf.DUMMYFUNCTION("""COMPUTED_VALUE"""),794245.0)</f>
        <v>794245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IFERROR(__xludf.DUMMYFUNCTION("""COMPUTED_VALUE"""),47.74)</f>
        <v>47.74</v>
      </c>
      <c r="C1768" s="1">
        <f>IFERROR(__xludf.DUMMYFUNCTION("""COMPUTED_VALUE"""),49.05)</f>
        <v>49.05</v>
      </c>
      <c r="D1768" s="1">
        <f>IFERROR(__xludf.DUMMYFUNCTION("""COMPUTED_VALUE"""),47.59)</f>
        <v>47.59</v>
      </c>
      <c r="E1768" s="1">
        <f>IFERROR(__xludf.DUMMYFUNCTION("""COMPUTED_VALUE"""),48.87)</f>
        <v>48.87</v>
      </c>
      <c r="F1768" s="1">
        <f>IFERROR(__xludf.DUMMYFUNCTION("""COMPUTED_VALUE"""),861369.0)</f>
        <v>861369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IFERROR(__xludf.DUMMYFUNCTION("""COMPUTED_VALUE"""),48.87)</f>
        <v>48.87</v>
      </c>
      <c r="C1769" s="1">
        <f>IFERROR(__xludf.DUMMYFUNCTION("""COMPUTED_VALUE"""),49.48)</f>
        <v>49.48</v>
      </c>
      <c r="D1769" s="1">
        <f>IFERROR(__xludf.DUMMYFUNCTION("""COMPUTED_VALUE"""),48.02)</f>
        <v>48.02</v>
      </c>
      <c r="E1769" s="1">
        <f>IFERROR(__xludf.DUMMYFUNCTION("""COMPUTED_VALUE"""),48.51)</f>
        <v>48.51</v>
      </c>
      <c r="F1769" s="1">
        <f>IFERROR(__xludf.DUMMYFUNCTION("""COMPUTED_VALUE"""),1248679.0)</f>
        <v>1248679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IFERROR(__xludf.DUMMYFUNCTION("""COMPUTED_VALUE"""),48.29)</f>
        <v>48.29</v>
      </c>
      <c r="C1770" s="1">
        <f>IFERROR(__xludf.DUMMYFUNCTION("""COMPUTED_VALUE"""),48.54)</f>
        <v>48.54</v>
      </c>
      <c r="D1770" s="1">
        <f>IFERROR(__xludf.DUMMYFUNCTION("""COMPUTED_VALUE"""),47.24)</f>
        <v>47.24</v>
      </c>
      <c r="E1770" s="1">
        <f>IFERROR(__xludf.DUMMYFUNCTION("""COMPUTED_VALUE"""),48.24)</f>
        <v>48.24</v>
      </c>
      <c r="F1770" s="1">
        <f>IFERROR(__xludf.DUMMYFUNCTION("""COMPUTED_VALUE"""),742684.0)</f>
        <v>742684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IFERROR(__xludf.DUMMYFUNCTION("""COMPUTED_VALUE"""),48.29)</f>
        <v>48.29</v>
      </c>
      <c r="C1771" s="1">
        <f>IFERROR(__xludf.DUMMYFUNCTION("""COMPUTED_VALUE"""),48.29)</f>
        <v>48.29</v>
      </c>
      <c r="D1771" s="1">
        <f>IFERROR(__xludf.DUMMYFUNCTION("""COMPUTED_VALUE"""),47.46)</f>
        <v>47.46</v>
      </c>
      <c r="E1771" s="1">
        <f>IFERROR(__xludf.DUMMYFUNCTION("""COMPUTED_VALUE"""),47.99)</f>
        <v>47.99</v>
      </c>
      <c r="F1771" s="1">
        <f>IFERROR(__xludf.DUMMYFUNCTION("""COMPUTED_VALUE"""),741763.0)</f>
        <v>741763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IFERROR(__xludf.DUMMYFUNCTION("""COMPUTED_VALUE"""),48.0)</f>
        <v>48</v>
      </c>
      <c r="C1772" s="1">
        <f>IFERROR(__xludf.DUMMYFUNCTION("""COMPUTED_VALUE"""),49.0)</f>
        <v>49</v>
      </c>
      <c r="D1772" s="1">
        <f>IFERROR(__xludf.DUMMYFUNCTION("""COMPUTED_VALUE"""),47.96)</f>
        <v>47.96</v>
      </c>
      <c r="E1772" s="1">
        <f>IFERROR(__xludf.DUMMYFUNCTION("""COMPUTED_VALUE"""),48.74)</f>
        <v>48.74</v>
      </c>
      <c r="F1772" s="1">
        <f>IFERROR(__xludf.DUMMYFUNCTION("""COMPUTED_VALUE"""),1322756.0)</f>
        <v>1322756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IFERROR(__xludf.DUMMYFUNCTION("""COMPUTED_VALUE"""),49.63)</f>
        <v>49.63</v>
      </c>
      <c r="C1773" s="1">
        <f>IFERROR(__xludf.DUMMYFUNCTION("""COMPUTED_VALUE"""),50.78)</f>
        <v>50.78</v>
      </c>
      <c r="D1773" s="1">
        <f>IFERROR(__xludf.DUMMYFUNCTION("""COMPUTED_VALUE"""),47.3)</f>
        <v>47.3</v>
      </c>
      <c r="E1773" s="1">
        <f>IFERROR(__xludf.DUMMYFUNCTION("""COMPUTED_VALUE"""),50.11)</f>
        <v>50.11</v>
      </c>
      <c r="F1773" s="1">
        <f>IFERROR(__xludf.DUMMYFUNCTION("""COMPUTED_VALUE"""),2510347.0)</f>
        <v>2510347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IFERROR(__xludf.DUMMYFUNCTION("""COMPUTED_VALUE"""),51.59)</f>
        <v>51.59</v>
      </c>
      <c r="C1774" s="1">
        <f>IFERROR(__xludf.DUMMYFUNCTION("""COMPUTED_VALUE"""),51.69)</f>
        <v>51.69</v>
      </c>
      <c r="D1774" s="1">
        <f>IFERROR(__xludf.DUMMYFUNCTION("""COMPUTED_VALUE"""),46.87)</f>
        <v>46.87</v>
      </c>
      <c r="E1774" s="1">
        <f>IFERROR(__xludf.DUMMYFUNCTION("""COMPUTED_VALUE"""),47.87)</f>
        <v>47.87</v>
      </c>
      <c r="F1774" s="1">
        <f>IFERROR(__xludf.DUMMYFUNCTION("""COMPUTED_VALUE"""),2720746.0)</f>
        <v>2720746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IFERROR(__xludf.DUMMYFUNCTION("""COMPUTED_VALUE"""),48.44)</f>
        <v>48.44</v>
      </c>
      <c r="C1775" s="1">
        <f>IFERROR(__xludf.DUMMYFUNCTION("""COMPUTED_VALUE"""),49.66)</f>
        <v>49.66</v>
      </c>
      <c r="D1775" s="1">
        <f>IFERROR(__xludf.DUMMYFUNCTION("""COMPUTED_VALUE"""),48.0)</f>
        <v>48</v>
      </c>
      <c r="E1775" s="1">
        <f>IFERROR(__xludf.DUMMYFUNCTION("""COMPUTED_VALUE"""),48.03)</f>
        <v>48.03</v>
      </c>
      <c r="F1775" s="1">
        <f>IFERROR(__xludf.DUMMYFUNCTION("""COMPUTED_VALUE"""),1774477.0)</f>
        <v>1774477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IFERROR(__xludf.DUMMYFUNCTION("""COMPUTED_VALUE"""),48.51)</f>
        <v>48.51</v>
      </c>
      <c r="C1776" s="1">
        <f>IFERROR(__xludf.DUMMYFUNCTION("""COMPUTED_VALUE"""),49.18)</f>
        <v>49.18</v>
      </c>
      <c r="D1776" s="1">
        <f>IFERROR(__xludf.DUMMYFUNCTION("""COMPUTED_VALUE"""),48.34)</f>
        <v>48.34</v>
      </c>
      <c r="E1776" s="1">
        <f>IFERROR(__xludf.DUMMYFUNCTION("""COMPUTED_VALUE"""),48.43)</f>
        <v>48.43</v>
      </c>
      <c r="F1776" s="1">
        <f>IFERROR(__xludf.DUMMYFUNCTION("""COMPUTED_VALUE"""),1474504.0)</f>
        <v>1474504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IFERROR(__xludf.DUMMYFUNCTION("""COMPUTED_VALUE"""),48.73)</f>
        <v>48.73</v>
      </c>
      <c r="C1777" s="1">
        <f>IFERROR(__xludf.DUMMYFUNCTION("""COMPUTED_VALUE"""),48.73)</f>
        <v>48.73</v>
      </c>
      <c r="D1777" s="1">
        <f>IFERROR(__xludf.DUMMYFUNCTION("""COMPUTED_VALUE"""),47.6)</f>
        <v>47.6</v>
      </c>
      <c r="E1777" s="1">
        <f>IFERROR(__xludf.DUMMYFUNCTION("""COMPUTED_VALUE"""),48.19)</f>
        <v>48.19</v>
      </c>
      <c r="F1777" s="1">
        <f>IFERROR(__xludf.DUMMYFUNCTION("""COMPUTED_VALUE"""),1227096.0)</f>
        <v>1227096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IFERROR(__xludf.DUMMYFUNCTION("""COMPUTED_VALUE"""),48.41)</f>
        <v>48.41</v>
      </c>
      <c r="C1778" s="1">
        <f>IFERROR(__xludf.DUMMYFUNCTION("""COMPUTED_VALUE"""),48.66)</f>
        <v>48.66</v>
      </c>
      <c r="D1778" s="1">
        <f>IFERROR(__xludf.DUMMYFUNCTION("""COMPUTED_VALUE"""),47.21)</f>
        <v>47.21</v>
      </c>
      <c r="E1778" s="1">
        <f>IFERROR(__xludf.DUMMYFUNCTION("""COMPUTED_VALUE"""),47.74)</f>
        <v>47.74</v>
      </c>
      <c r="F1778" s="1">
        <f>IFERROR(__xludf.DUMMYFUNCTION("""COMPUTED_VALUE"""),1468793.0)</f>
        <v>1468793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IFERROR(__xludf.DUMMYFUNCTION("""COMPUTED_VALUE"""),47.68)</f>
        <v>47.68</v>
      </c>
      <c r="C1779" s="1">
        <f>IFERROR(__xludf.DUMMYFUNCTION("""COMPUTED_VALUE"""),48.07)</f>
        <v>48.07</v>
      </c>
      <c r="D1779" s="1">
        <f>IFERROR(__xludf.DUMMYFUNCTION("""COMPUTED_VALUE"""),46.75)</f>
        <v>46.75</v>
      </c>
      <c r="E1779" s="1">
        <f>IFERROR(__xludf.DUMMYFUNCTION("""COMPUTED_VALUE"""),47.97)</f>
        <v>47.97</v>
      </c>
      <c r="F1779" s="1">
        <f>IFERROR(__xludf.DUMMYFUNCTION("""COMPUTED_VALUE"""),1295132.0)</f>
        <v>1295132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IFERROR(__xludf.DUMMYFUNCTION("""COMPUTED_VALUE"""),47.94)</f>
        <v>47.94</v>
      </c>
      <c r="C1780" s="1">
        <f>IFERROR(__xludf.DUMMYFUNCTION("""COMPUTED_VALUE"""),48.44)</f>
        <v>48.44</v>
      </c>
      <c r="D1780" s="1">
        <f>IFERROR(__xludf.DUMMYFUNCTION("""COMPUTED_VALUE"""),47.25)</f>
        <v>47.25</v>
      </c>
      <c r="E1780" s="1">
        <f>IFERROR(__xludf.DUMMYFUNCTION("""COMPUTED_VALUE"""),48.25)</f>
        <v>48.25</v>
      </c>
      <c r="F1780" s="1">
        <f>IFERROR(__xludf.DUMMYFUNCTION("""COMPUTED_VALUE"""),913017.0)</f>
        <v>913017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IFERROR(__xludf.DUMMYFUNCTION("""COMPUTED_VALUE"""),48.41)</f>
        <v>48.41</v>
      </c>
      <c r="C1781" s="1">
        <f>IFERROR(__xludf.DUMMYFUNCTION("""COMPUTED_VALUE"""),48.86)</f>
        <v>48.86</v>
      </c>
      <c r="D1781" s="1">
        <f>IFERROR(__xludf.DUMMYFUNCTION("""COMPUTED_VALUE"""),47.84)</f>
        <v>47.84</v>
      </c>
      <c r="E1781" s="1">
        <f>IFERROR(__xludf.DUMMYFUNCTION("""COMPUTED_VALUE"""),48.8)</f>
        <v>48.8</v>
      </c>
      <c r="F1781" s="1">
        <f>IFERROR(__xludf.DUMMYFUNCTION("""COMPUTED_VALUE"""),444311.0)</f>
        <v>444311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IFERROR(__xludf.DUMMYFUNCTION("""COMPUTED_VALUE"""),48.49)</f>
        <v>48.49</v>
      </c>
      <c r="C1782" s="1">
        <f>IFERROR(__xludf.DUMMYFUNCTION("""COMPUTED_VALUE"""),48.49)</f>
        <v>48.49</v>
      </c>
      <c r="D1782" s="1">
        <f>IFERROR(__xludf.DUMMYFUNCTION("""COMPUTED_VALUE"""),46.84)</f>
        <v>46.84</v>
      </c>
      <c r="E1782" s="1">
        <f>IFERROR(__xludf.DUMMYFUNCTION("""COMPUTED_VALUE"""),47.45)</f>
        <v>47.45</v>
      </c>
      <c r="F1782" s="1">
        <f>IFERROR(__xludf.DUMMYFUNCTION("""COMPUTED_VALUE"""),754346.0)</f>
        <v>754346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IFERROR(__xludf.DUMMYFUNCTION("""COMPUTED_VALUE"""),47.45)</f>
        <v>47.45</v>
      </c>
      <c r="C1783" s="1">
        <f>IFERROR(__xludf.DUMMYFUNCTION("""COMPUTED_VALUE"""),47.64)</f>
        <v>47.64</v>
      </c>
      <c r="D1783" s="1">
        <f>IFERROR(__xludf.DUMMYFUNCTION("""COMPUTED_VALUE"""),46.81)</f>
        <v>46.81</v>
      </c>
      <c r="E1783" s="1">
        <f>IFERROR(__xludf.DUMMYFUNCTION("""COMPUTED_VALUE"""),47.55)</f>
        <v>47.55</v>
      </c>
      <c r="F1783" s="1">
        <f>IFERROR(__xludf.DUMMYFUNCTION("""COMPUTED_VALUE"""),757213.0)</f>
        <v>757213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IFERROR(__xludf.DUMMYFUNCTION("""COMPUTED_VALUE"""),47.8)</f>
        <v>47.8</v>
      </c>
      <c r="C1784" s="1">
        <f>IFERROR(__xludf.DUMMYFUNCTION("""COMPUTED_VALUE"""),47.8)</f>
        <v>47.8</v>
      </c>
      <c r="D1784" s="1">
        <f>IFERROR(__xludf.DUMMYFUNCTION("""COMPUTED_VALUE"""),46.95)</f>
        <v>46.95</v>
      </c>
      <c r="E1784" s="1">
        <f>IFERROR(__xludf.DUMMYFUNCTION("""COMPUTED_VALUE"""),47.58)</f>
        <v>47.58</v>
      </c>
      <c r="F1784" s="1">
        <f>IFERROR(__xludf.DUMMYFUNCTION("""COMPUTED_VALUE"""),1026176.0)</f>
        <v>1026176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IFERROR(__xludf.DUMMYFUNCTION("""COMPUTED_VALUE"""),47.35)</f>
        <v>47.35</v>
      </c>
      <c r="C1785" s="1">
        <f>IFERROR(__xludf.DUMMYFUNCTION("""COMPUTED_VALUE"""),48.41)</f>
        <v>48.41</v>
      </c>
      <c r="D1785" s="1">
        <f>IFERROR(__xludf.DUMMYFUNCTION("""COMPUTED_VALUE"""),47.08)</f>
        <v>47.08</v>
      </c>
      <c r="E1785" s="1">
        <f>IFERROR(__xludf.DUMMYFUNCTION("""COMPUTED_VALUE"""),48.24)</f>
        <v>48.24</v>
      </c>
      <c r="F1785" s="1">
        <f>IFERROR(__xludf.DUMMYFUNCTION("""COMPUTED_VALUE"""),1156251.0)</f>
        <v>1156251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IFERROR(__xludf.DUMMYFUNCTION("""COMPUTED_VALUE"""),48.35)</f>
        <v>48.35</v>
      </c>
      <c r="C1786" s="1">
        <f>IFERROR(__xludf.DUMMYFUNCTION("""COMPUTED_VALUE"""),48.78)</f>
        <v>48.78</v>
      </c>
      <c r="D1786" s="1">
        <f>IFERROR(__xludf.DUMMYFUNCTION("""COMPUTED_VALUE"""),47.37)</f>
        <v>47.37</v>
      </c>
      <c r="E1786" s="1">
        <f>IFERROR(__xludf.DUMMYFUNCTION("""COMPUTED_VALUE"""),47.41)</f>
        <v>47.41</v>
      </c>
      <c r="F1786" s="1">
        <f>IFERROR(__xludf.DUMMYFUNCTION("""COMPUTED_VALUE"""),828809.0)</f>
        <v>828809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IFERROR(__xludf.DUMMYFUNCTION("""COMPUTED_VALUE"""),47.15)</f>
        <v>47.15</v>
      </c>
      <c r="C1787" s="1">
        <f>IFERROR(__xludf.DUMMYFUNCTION("""COMPUTED_VALUE"""),47.99)</f>
        <v>47.99</v>
      </c>
      <c r="D1787" s="1">
        <f>IFERROR(__xludf.DUMMYFUNCTION("""COMPUTED_VALUE"""),46.35)</f>
        <v>46.35</v>
      </c>
      <c r="E1787" s="1">
        <f>IFERROR(__xludf.DUMMYFUNCTION("""COMPUTED_VALUE"""),47.23)</f>
        <v>47.23</v>
      </c>
      <c r="F1787" s="1">
        <f>IFERROR(__xludf.DUMMYFUNCTION("""COMPUTED_VALUE"""),1130836.0)</f>
        <v>1130836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IFERROR(__xludf.DUMMYFUNCTION("""COMPUTED_VALUE"""),47.46)</f>
        <v>47.46</v>
      </c>
      <c r="C1788" s="1">
        <f>IFERROR(__xludf.DUMMYFUNCTION("""COMPUTED_VALUE"""),48.22)</f>
        <v>48.22</v>
      </c>
      <c r="D1788" s="1">
        <f>IFERROR(__xludf.DUMMYFUNCTION("""COMPUTED_VALUE"""),47.3)</f>
        <v>47.3</v>
      </c>
      <c r="E1788" s="1">
        <f>IFERROR(__xludf.DUMMYFUNCTION("""COMPUTED_VALUE"""),48.02)</f>
        <v>48.02</v>
      </c>
      <c r="F1788" s="1">
        <f>IFERROR(__xludf.DUMMYFUNCTION("""COMPUTED_VALUE"""),1377569.0)</f>
        <v>1377569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IFERROR(__xludf.DUMMYFUNCTION("""COMPUTED_VALUE"""),48.13)</f>
        <v>48.13</v>
      </c>
      <c r="C1789" s="1">
        <f>IFERROR(__xludf.DUMMYFUNCTION("""COMPUTED_VALUE"""),48.45)</f>
        <v>48.45</v>
      </c>
      <c r="D1789" s="1">
        <f>IFERROR(__xludf.DUMMYFUNCTION("""COMPUTED_VALUE"""),47.12)</f>
        <v>47.12</v>
      </c>
      <c r="E1789" s="1">
        <f>IFERROR(__xludf.DUMMYFUNCTION("""COMPUTED_VALUE"""),47.78)</f>
        <v>47.78</v>
      </c>
      <c r="F1789" s="1">
        <f>IFERROR(__xludf.DUMMYFUNCTION("""COMPUTED_VALUE"""),1281138.0)</f>
        <v>1281138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IFERROR(__xludf.DUMMYFUNCTION("""COMPUTED_VALUE"""),47.92)</f>
        <v>47.92</v>
      </c>
      <c r="C1790" s="1">
        <f>IFERROR(__xludf.DUMMYFUNCTION("""COMPUTED_VALUE"""),48.89)</f>
        <v>48.89</v>
      </c>
      <c r="D1790" s="1">
        <f>IFERROR(__xludf.DUMMYFUNCTION("""COMPUTED_VALUE"""),47.83)</f>
        <v>47.83</v>
      </c>
      <c r="E1790" s="1">
        <f>IFERROR(__xludf.DUMMYFUNCTION("""COMPUTED_VALUE"""),48.75)</f>
        <v>48.75</v>
      </c>
      <c r="F1790" s="1">
        <f>IFERROR(__xludf.DUMMYFUNCTION("""COMPUTED_VALUE"""),1260294.0)</f>
        <v>1260294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IFERROR(__xludf.DUMMYFUNCTION("""COMPUTED_VALUE"""),49.0)</f>
        <v>49</v>
      </c>
      <c r="C1791" s="1">
        <f>IFERROR(__xludf.DUMMYFUNCTION("""COMPUTED_VALUE"""),50.83)</f>
        <v>50.83</v>
      </c>
      <c r="D1791" s="1">
        <f>IFERROR(__xludf.DUMMYFUNCTION("""COMPUTED_VALUE"""),48.8)</f>
        <v>48.8</v>
      </c>
      <c r="E1791" s="1">
        <f>IFERROR(__xludf.DUMMYFUNCTION("""COMPUTED_VALUE"""),50.8)</f>
        <v>50.8</v>
      </c>
      <c r="F1791" s="1">
        <f>IFERROR(__xludf.DUMMYFUNCTION("""COMPUTED_VALUE"""),1198709.0)</f>
        <v>1198709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IFERROR(__xludf.DUMMYFUNCTION("""COMPUTED_VALUE"""),50.57)</f>
        <v>50.57</v>
      </c>
      <c r="C1792" s="1">
        <f>IFERROR(__xludf.DUMMYFUNCTION("""COMPUTED_VALUE"""),52.37)</f>
        <v>52.37</v>
      </c>
      <c r="D1792" s="1">
        <f>IFERROR(__xludf.DUMMYFUNCTION("""COMPUTED_VALUE"""),50.38)</f>
        <v>50.38</v>
      </c>
      <c r="E1792" s="1">
        <f>IFERROR(__xludf.DUMMYFUNCTION("""COMPUTED_VALUE"""),51.29)</f>
        <v>51.29</v>
      </c>
      <c r="F1792" s="1">
        <f>IFERROR(__xludf.DUMMYFUNCTION("""COMPUTED_VALUE"""),1825447.0)</f>
        <v>1825447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IFERROR(__xludf.DUMMYFUNCTION("""COMPUTED_VALUE"""),51.23)</f>
        <v>51.23</v>
      </c>
      <c r="C1793" s="1">
        <f>IFERROR(__xludf.DUMMYFUNCTION("""COMPUTED_VALUE"""),51.23)</f>
        <v>51.23</v>
      </c>
      <c r="D1793" s="1">
        <f>IFERROR(__xludf.DUMMYFUNCTION("""COMPUTED_VALUE"""),49.38)</f>
        <v>49.38</v>
      </c>
      <c r="E1793" s="1">
        <f>IFERROR(__xludf.DUMMYFUNCTION("""COMPUTED_VALUE"""),49.73)</f>
        <v>49.73</v>
      </c>
      <c r="F1793" s="1">
        <f>IFERROR(__xludf.DUMMYFUNCTION("""COMPUTED_VALUE"""),1571719.0)</f>
        <v>1571719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IFERROR(__xludf.DUMMYFUNCTION("""COMPUTED_VALUE"""),49.79)</f>
        <v>49.79</v>
      </c>
      <c r="C1794" s="1">
        <f>IFERROR(__xludf.DUMMYFUNCTION("""COMPUTED_VALUE"""),49.9)</f>
        <v>49.9</v>
      </c>
      <c r="D1794" s="1">
        <f>IFERROR(__xludf.DUMMYFUNCTION("""COMPUTED_VALUE"""),49.31)</f>
        <v>49.31</v>
      </c>
      <c r="E1794" s="1">
        <f>IFERROR(__xludf.DUMMYFUNCTION("""COMPUTED_VALUE"""),49.56)</f>
        <v>49.56</v>
      </c>
      <c r="F1794" s="1">
        <f>IFERROR(__xludf.DUMMYFUNCTION("""COMPUTED_VALUE"""),610570.0)</f>
        <v>610570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IFERROR(__xludf.DUMMYFUNCTION("""COMPUTED_VALUE"""),49.76)</f>
        <v>49.76</v>
      </c>
      <c r="C1795" s="1">
        <f>IFERROR(__xludf.DUMMYFUNCTION("""COMPUTED_VALUE"""),49.79)</f>
        <v>49.79</v>
      </c>
      <c r="D1795" s="1">
        <f>IFERROR(__xludf.DUMMYFUNCTION("""COMPUTED_VALUE"""),48.95)</f>
        <v>48.95</v>
      </c>
      <c r="E1795" s="1">
        <f>IFERROR(__xludf.DUMMYFUNCTION("""COMPUTED_VALUE"""),49.49)</f>
        <v>49.49</v>
      </c>
      <c r="F1795" s="1">
        <f>IFERROR(__xludf.DUMMYFUNCTION("""COMPUTED_VALUE"""),850361.0)</f>
        <v>850361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IFERROR(__xludf.DUMMYFUNCTION("""COMPUTED_VALUE"""),49.18)</f>
        <v>49.18</v>
      </c>
      <c r="C1796" s="1">
        <f>IFERROR(__xludf.DUMMYFUNCTION("""COMPUTED_VALUE"""),49.49)</f>
        <v>49.49</v>
      </c>
      <c r="D1796" s="1">
        <f>IFERROR(__xludf.DUMMYFUNCTION("""COMPUTED_VALUE"""),48.95)</f>
        <v>48.95</v>
      </c>
      <c r="E1796" s="1">
        <f>IFERROR(__xludf.DUMMYFUNCTION("""COMPUTED_VALUE"""),49.42)</f>
        <v>49.42</v>
      </c>
      <c r="F1796" s="1">
        <f>IFERROR(__xludf.DUMMYFUNCTION("""COMPUTED_VALUE"""),665933.0)</f>
        <v>665933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IFERROR(__xludf.DUMMYFUNCTION("""COMPUTED_VALUE"""),49.5)</f>
        <v>49.5</v>
      </c>
      <c r="C1797" s="1">
        <f>IFERROR(__xludf.DUMMYFUNCTION("""COMPUTED_VALUE"""),49.5)</f>
        <v>49.5</v>
      </c>
      <c r="D1797" s="1">
        <f>IFERROR(__xludf.DUMMYFUNCTION("""COMPUTED_VALUE"""),48.49)</f>
        <v>48.49</v>
      </c>
      <c r="E1797" s="1">
        <f>IFERROR(__xludf.DUMMYFUNCTION("""COMPUTED_VALUE"""),49.17)</f>
        <v>49.17</v>
      </c>
      <c r="F1797" s="1">
        <f>IFERROR(__xludf.DUMMYFUNCTION("""COMPUTED_VALUE"""),914866.0)</f>
        <v>914866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IFERROR(__xludf.DUMMYFUNCTION("""COMPUTED_VALUE"""),49.29)</f>
        <v>49.29</v>
      </c>
      <c r="C1798" s="1">
        <f>IFERROR(__xludf.DUMMYFUNCTION("""COMPUTED_VALUE"""),49.86)</f>
        <v>49.86</v>
      </c>
      <c r="D1798" s="1">
        <f>IFERROR(__xludf.DUMMYFUNCTION("""COMPUTED_VALUE"""),48.7)</f>
        <v>48.7</v>
      </c>
      <c r="E1798" s="1">
        <f>IFERROR(__xludf.DUMMYFUNCTION("""COMPUTED_VALUE"""),49.62)</f>
        <v>49.62</v>
      </c>
      <c r="F1798" s="1">
        <f>IFERROR(__xludf.DUMMYFUNCTION("""COMPUTED_VALUE"""),708076.0)</f>
        <v>708076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IFERROR(__xludf.DUMMYFUNCTION("""COMPUTED_VALUE"""),49.6)</f>
        <v>49.6</v>
      </c>
      <c r="C1799" s="1">
        <f>IFERROR(__xludf.DUMMYFUNCTION("""COMPUTED_VALUE"""),50.62)</f>
        <v>50.62</v>
      </c>
      <c r="D1799" s="1">
        <f>IFERROR(__xludf.DUMMYFUNCTION("""COMPUTED_VALUE"""),49.49)</f>
        <v>49.49</v>
      </c>
      <c r="E1799" s="1">
        <f>IFERROR(__xludf.DUMMYFUNCTION("""COMPUTED_VALUE"""),49.72)</f>
        <v>49.72</v>
      </c>
      <c r="F1799" s="1">
        <f>IFERROR(__xludf.DUMMYFUNCTION("""COMPUTED_VALUE"""),780125.0)</f>
        <v>780125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IFERROR(__xludf.DUMMYFUNCTION("""COMPUTED_VALUE"""),48.9)</f>
        <v>48.9</v>
      </c>
      <c r="C1800" s="1">
        <f>IFERROR(__xludf.DUMMYFUNCTION("""COMPUTED_VALUE"""),49.2)</f>
        <v>49.2</v>
      </c>
      <c r="D1800" s="1">
        <f>IFERROR(__xludf.DUMMYFUNCTION("""COMPUTED_VALUE"""),47.99)</f>
        <v>47.99</v>
      </c>
      <c r="E1800" s="1">
        <f>IFERROR(__xludf.DUMMYFUNCTION("""COMPUTED_VALUE"""),49.15)</f>
        <v>49.15</v>
      </c>
      <c r="F1800" s="1">
        <f>IFERROR(__xludf.DUMMYFUNCTION("""COMPUTED_VALUE"""),391631.0)</f>
        <v>391631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IFERROR(__xludf.DUMMYFUNCTION("""COMPUTED_VALUE"""),48.7)</f>
        <v>48.7</v>
      </c>
      <c r="C1801" s="1">
        <f>IFERROR(__xludf.DUMMYFUNCTION("""COMPUTED_VALUE"""),49.0)</f>
        <v>49</v>
      </c>
      <c r="D1801" s="1">
        <f>IFERROR(__xludf.DUMMYFUNCTION("""COMPUTED_VALUE"""),48.06)</f>
        <v>48.06</v>
      </c>
      <c r="E1801" s="1">
        <f>IFERROR(__xludf.DUMMYFUNCTION("""COMPUTED_VALUE"""),48.83)</f>
        <v>48.83</v>
      </c>
      <c r="F1801" s="1">
        <f>IFERROR(__xludf.DUMMYFUNCTION("""COMPUTED_VALUE"""),981291.0)</f>
        <v>981291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IFERROR(__xludf.DUMMYFUNCTION("""COMPUTED_VALUE"""),48.61)</f>
        <v>48.61</v>
      </c>
      <c r="C1802" s="1">
        <f>IFERROR(__xludf.DUMMYFUNCTION("""COMPUTED_VALUE"""),48.77)</f>
        <v>48.77</v>
      </c>
      <c r="D1802" s="1">
        <f>IFERROR(__xludf.DUMMYFUNCTION("""COMPUTED_VALUE"""),48.12)</f>
        <v>48.12</v>
      </c>
      <c r="E1802" s="1">
        <f>IFERROR(__xludf.DUMMYFUNCTION("""COMPUTED_VALUE"""),48.41)</f>
        <v>48.41</v>
      </c>
      <c r="F1802" s="1">
        <f>IFERROR(__xludf.DUMMYFUNCTION("""COMPUTED_VALUE"""),744995.0)</f>
        <v>744995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IFERROR(__xludf.DUMMYFUNCTION("""COMPUTED_VALUE"""),48.95)</f>
        <v>48.95</v>
      </c>
      <c r="C1803" s="1">
        <f>IFERROR(__xludf.DUMMYFUNCTION("""COMPUTED_VALUE"""),50.72)</f>
        <v>50.72</v>
      </c>
      <c r="D1803" s="1">
        <f>IFERROR(__xludf.DUMMYFUNCTION("""COMPUTED_VALUE"""),48.95)</f>
        <v>48.95</v>
      </c>
      <c r="E1803" s="1">
        <f>IFERROR(__xludf.DUMMYFUNCTION("""COMPUTED_VALUE"""),50.47)</f>
        <v>50.47</v>
      </c>
      <c r="F1803" s="1">
        <f>IFERROR(__xludf.DUMMYFUNCTION("""COMPUTED_VALUE"""),605538.0)</f>
        <v>605538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IFERROR(__xludf.DUMMYFUNCTION("""COMPUTED_VALUE"""),50.29)</f>
        <v>50.29</v>
      </c>
      <c r="C1804" s="1">
        <f>IFERROR(__xludf.DUMMYFUNCTION("""COMPUTED_VALUE"""),51.85)</f>
        <v>51.85</v>
      </c>
      <c r="D1804" s="1">
        <f>IFERROR(__xludf.DUMMYFUNCTION("""COMPUTED_VALUE"""),50.07)</f>
        <v>50.07</v>
      </c>
      <c r="E1804" s="1">
        <f>IFERROR(__xludf.DUMMYFUNCTION("""COMPUTED_VALUE"""),51.25)</f>
        <v>51.25</v>
      </c>
      <c r="F1804" s="1">
        <f>IFERROR(__xludf.DUMMYFUNCTION("""COMPUTED_VALUE"""),1794774.0)</f>
        <v>1794774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IFERROR(__xludf.DUMMYFUNCTION("""COMPUTED_VALUE"""),51.0)</f>
        <v>51</v>
      </c>
      <c r="C1805" s="1">
        <f>IFERROR(__xludf.DUMMYFUNCTION("""COMPUTED_VALUE"""),51.0)</f>
        <v>51</v>
      </c>
      <c r="D1805" s="1">
        <f>IFERROR(__xludf.DUMMYFUNCTION("""COMPUTED_VALUE"""),49.01)</f>
        <v>49.01</v>
      </c>
      <c r="E1805" s="1">
        <f>IFERROR(__xludf.DUMMYFUNCTION("""COMPUTED_VALUE"""),49.88)</f>
        <v>49.88</v>
      </c>
      <c r="F1805" s="1">
        <f>IFERROR(__xludf.DUMMYFUNCTION("""COMPUTED_VALUE"""),885135.0)</f>
        <v>885135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IFERROR(__xludf.DUMMYFUNCTION("""COMPUTED_VALUE"""),50.0)</f>
        <v>50</v>
      </c>
      <c r="C1806" s="1">
        <f>IFERROR(__xludf.DUMMYFUNCTION("""COMPUTED_VALUE"""),52.06)</f>
        <v>52.06</v>
      </c>
      <c r="D1806" s="1">
        <f>IFERROR(__xludf.DUMMYFUNCTION("""COMPUTED_VALUE"""),50.0)</f>
        <v>50</v>
      </c>
      <c r="E1806" s="1">
        <f>IFERROR(__xludf.DUMMYFUNCTION("""COMPUTED_VALUE"""),51.69)</f>
        <v>51.69</v>
      </c>
      <c r="F1806" s="1">
        <f>IFERROR(__xludf.DUMMYFUNCTION("""COMPUTED_VALUE"""),809644.0)</f>
        <v>809644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IFERROR(__xludf.DUMMYFUNCTION("""COMPUTED_VALUE"""),52.06)</f>
        <v>52.06</v>
      </c>
      <c r="C1807" s="1">
        <f>IFERROR(__xludf.DUMMYFUNCTION("""COMPUTED_VALUE"""),52.54)</f>
        <v>52.54</v>
      </c>
      <c r="D1807" s="1">
        <f>IFERROR(__xludf.DUMMYFUNCTION("""COMPUTED_VALUE"""),50.82)</f>
        <v>50.82</v>
      </c>
      <c r="E1807" s="1">
        <f>IFERROR(__xludf.DUMMYFUNCTION("""COMPUTED_VALUE"""),50.82)</f>
        <v>50.82</v>
      </c>
      <c r="F1807" s="1">
        <f>IFERROR(__xludf.DUMMYFUNCTION("""COMPUTED_VALUE"""),938319.0)</f>
        <v>938319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IFERROR(__xludf.DUMMYFUNCTION("""COMPUTED_VALUE"""),50.92)</f>
        <v>50.92</v>
      </c>
      <c r="C1808" s="1">
        <f>IFERROR(__xludf.DUMMYFUNCTION("""COMPUTED_VALUE"""),51.32)</f>
        <v>51.32</v>
      </c>
      <c r="D1808" s="1">
        <f>IFERROR(__xludf.DUMMYFUNCTION("""COMPUTED_VALUE"""),50.27)</f>
        <v>50.27</v>
      </c>
      <c r="E1808" s="1">
        <f>IFERROR(__xludf.DUMMYFUNCTION("""COMPUTED_VALUE"""),50.46)</f>
        <v>50.46</v>
      </c>
      <c r="F1808" s="1">
        <f>IFERROR(__xludf.DUMMYFUNCTION("""COMPUTED_VALUE"""),678839.0)</f>
        <v>678839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IFERROR(__xludf.DUMMYFUNCTION("""COMPUTED_VALUE"""),50.52)</f>
        <v>50.52</v>
      </c>
      <c r="C1809" s="1">
        <f>IFERROR(__xludf.DUMMYFUNCTION("""COMPUTED_VALUE"""),50.83)</f>
        <v>50.83</v>
      </c>
      <c r="D1809" s="1">
        <f>IFERROR(__xludf.DUMMYFUNCTION("""COMPUTED_VALUE"""),50.0)</f>
        <v>50</v>
      </c>
      <c r="E1809" s="1">
        <f>IFERROR(__xludf.DUMMYFUNCTION("""COMPUTED_VALUE"""),50.25)</f>
        <v>50.25</v>
      </c>
      <c r="F1809" s="1">
        <f>IFERROR(__xludf.DUMMYFUNCTION("""COMPUTED_VALUE"""),551094.0)</f>
        <v>551094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IFERROR(__xludf.DUMMYFUNCTION("""COMPUTED_VALUE"""),50.44)</f>
        <v>50.44</v>
      </c>
      <c r="C1810" s="1">
        <f>IFERROR(__xludf.DUMMYFUNCTION("""COMPUTED_VALUE"""),51.41)</f>
        <v>51.41</v>
      </c>
      <c r="D1810" s="1">
        <f>IFERROR(__xludf.DUMMYFUNCTION("""COMPUTED_VALUE"""),50.44)</f>
        <v>50.44</v>
      </c>
      <c r="E1810" s="1">
        <f>IFERROR(__xludf.DUMMYFUNCTION("""COMPUTED_VALUE"""),51.11)</f>
        <v>51.11</v>
      </c>
      <c r="F1810" s="1">
        <f>IFERROR(__xludf.DUMMYFUNCTION("""COMPUTED_VALUE"""),614285.0)</f>
        <v>614285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IFERROR(__xludf.DUMMYFUNCTION("""COMPUTED_VALUE"""),51.24)</f>
        <v>51.24</v>
      </c>
      <c r="C1811" s="1">
        <f>IFERROR(__xludf.DUMMYFUNCTION("""COMPUTED_VALUE"""),52.06)</f>
        <v>52.06</v>
      </c>
      <c r="D1811" s="1">
        <f>IFERROR(__xludf.DUMMYFUNCTION("""COMPUTED_VALUE"""),50.67)</f>
        <v>50.67</v>
      </c>
      <c r="E1811" s="1">
        <f>IFERROR(__xludf.DUMMYFUNCTION("""COMPUTED_VALUE"""),51.84)</f>
        <v>51.84</v>
      </c>
      <c r="F1811" s="1">
        <f>IFERROR(__xludf.DUMMYFUNCTION("""COMPUTED_VALUE"""),437367.0)</f>
        <v>437367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IFERROR(__xludf.DUMMYFUNCTION("""COMPUTED_VALUE"""),52.13)</f>
        <v>52.13</v>
      </c>
      <c r="C1812" s="1">
        <f>IFERROR(__xludf.DUMMYFUNCTION("""COMPUTED_VALUE"""),52.85)</f>
        <v>52.85</v>
      </c>
      <c r="D1812" s="1">
        <f>IFERROR(__xludf.DUMMYFUNCTION("""COMPUTED_VALUE"""),51.88)</f>
        <v>51.88</v>
      </c>
      <c r="E1812" s="1">
        <f>IFERROR(__xludf.DUMMYFUNCTION("""COMPUTED_VALUE"""),52.06)</f>
        <v>52.06</v>
      </c>
      <c r="F1812" s="1">
        <f>IFERROR(__xludf.DUMMYFUNCTION("""COMPUTED_VALUE"""),665611.0)</f>
        <v>665611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IFERROR(__xludf.DUMMYFUNCTION("""COMPUTED_VALUE"""),52.17)</f>
        <v>52.17</v>
      </c>
      <c r="C1813" s="1">
        <f>IFERROR(__xludf.DUMMYFUNCTION("""COMPUTED_VALUE"""),55.01)</f>
        <v>55.01</v>
      </c>
      <c r="D1813" s="1">
        <f>IFERROR(__xludf.DUMMYFUNCTION("""COMPUTED_VALUE"""),52.1)</f>
        <v>52.1</v>
      </c>
      <c r="E1813" s="1">
        <f>IFERROR(__xludf.DUMMYFUNCTION("""COMPUTED_VALUE"""),53.63)</f>
        <v>53.63</v>
      </c>
      <c r="F1813" s="1">
        <f>IFERROR(__xludf.DUMMYFUNCTION("""COMPUTED_VALUE"""),1802374.0)</f>
        <v>1802374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IFERROR(__xludf.DUMMYFUNCTION("""COMPUTED_VALUE"""),54.02)</f>
        <v>54.02</v>
      </c>
      <c r="C1814" s="1">
        <f>IFERROR(__xludf.DUMMYFUNCTION("""COMPUTED_VALUE"""),54.5)</f>
        <v>54.5</v>
      </c>
      <c r="D1814" s="1">
        <f>IFERROR(__xludf.DUMMYFUNCTION("""COMPUTED_VALUE"""),53.65)</f>
        <v>53.65</v>
      </c>
      <c r="E1814" s="1">
        <f>IFERROR(__xludf.DUMMYFUNCTION("""COMPUTED_VALUE"""),54.2)</f>
        <v>54.2</v>
      </c>
      <c r="F1814" s="1">
        <f>IFERROR(__xludf.DUMMYFUNCTION("""COMPUTED_VALUE"""),583488.0)</f>
        <v>583488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IFERROR(__xludf.DUMMYFUNCTION("""COMPUTED_VALUE"""),54.12)</f>
        <v>54.12</v>
      </c>
      <c r="C1815" s="1">
        <f>IFERROR(__xludf.DUMMYFUNCTION("""COMPUTED_VALUE"""),55.68)</f>
        <v>55.68</v>
      </c>
      <c r="D1815" s="1">
        <f>IFERROR(__xludf.DUMMYFUNCTION("""COMPUTED_VALUE"""),53.56)</f>
        <v>53.56</v>
      </c>
      <c r="E1815" s="1">
        <f>IFERROR(__xludf.DUMMYFUNCTION("""COMPUTED_VALUE"""),55.1)</f>
        <v>55.1</v>
      </c>
      <c r="F1815" s="1">
        <f>IFERROR(__xludf.DUMMYFUNCTION("""COMPUTED_VALUE"""),900205.0)</f>
        <v>900205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IFERROR(__xludf.DUMMYFUNCTION("""COMPUTED_VALUE"""),55.5)</f>
        <v>55.5</v>
      </c>
      <c r="C1816" s="1">
        <f>IFERROR(__xludf.DUMMYFUNCTION("""COMPUTED_VALUE"""),57.5)</f>
        <v>57.5</v>
      </c>
      <c r="D1816" s="1">
        <f>IFERROR(__xludf.DUMMYFUNCTION("""COMPUTED_VALUE"""),55.5)</f>
        <v>55.5</v>
      </c>
      <c r="E1816" s="1">
        <f>IFERROR(__xludf.DUMMYFUNCTION("""COMPUTED_VALUE"""),57.24)</f>
        <v>57.24</v>
      </c>
      <c r="F1816" s="1">
        <f>IFERROR(__xludf.DUMMYFUNCTION("""COMPUTED_VALUE"""),1719111.0)</f>
        <v>1719111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IFERROR(__xludf.DUMMYFUNCTION("""COMPUTED_VALUE"""),57.98)</f>
        <v>57.98</v>
      </c>
      <c r="C1817" s="1">
        <f>IFERROR(__xludf.DUMMYFUNCTION("""COMPUTED_VALUE"""),58.25)</f>
        <v>58.25</v>
      </c>
      <c r="D1817" s="1">
        <f>IFERROR(__xludf.DUMMYFUNCTION("""COMPUTED_VALUE"""),56.87)</f>
        <v>56.87</v>
      </c>
      <c r="E1817" s="1">
        <f>IFERROR(__xludf.DUMMYFUNCTION("""COMPUTED_VALUE"""),57.48)</f>
        <v>57.48</v>
      </c>
      <c r="F1817" s="1">
        <f>IFERROR(__xludf.DUMMYFUNCTION("""COMPUTED_VALUE"""),2197502.0)</f>
        <v>2197502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IFERROR(__xludf.DUMMYFUNCTION("""COMPUTED_VALUE"""),57.15)</f>
        <v>57.15</v>
      </c>
      <c r="C1818" s="1">
        <f>IFERROR(__xludf.DUMMYFUNCTION("""COMPUTED_VALUE"""),59.06)</f>
        <v>59.06</v>
      </c>
      <c r="D1818" s="1">
        <f>IFERROR(__xludf.DUMMYFUNCTION("""COMPUTED_VALUE"""),56.34)</f>
        <v>56.34</v>
      </c>
      <c r="E1818" s="1">
        <f>IFERROR(__xludf.DUMMYFUNCTION("""COMPUTED_VALUE"""),58.69)</f>
        <v>58.69</v>
      </c>
      <c r="F1818" s="1">
        <f>IFERROR(__xludf.DUMMYFUNCTION("""COMPUTED_VALUE"""),1496979.0)</f>
        <v>1496979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IFERROR(__xludf.DUMMYFUNCTION("""COMPUTED_VALUE"""),58.68)</f>
        <v>58.68</v>
      </c>
      <c r="C1819" s="1">
        <f>IFERROR(__xludf.DUMMYFUNCTION("""COMPUTED_VALUE"""),58.77)</f>
        <v>58.77</v>
      </c>
      <c r="D1819" s="1">
        <f>IFERROR(__xludf.DUMMYFUNCTION("""COMPUTED_VALUE"""),57.84)</f>
        <v>57.84</v>
      </c>
      <c r="E1819" s="1">
        <f>IFERROR(__xludf.DUMMYFUNCTION("""COMPUTED_VALUE"""),58.1)</f>
        <v>58.1</v>
      </c>
      <c r="F1819" s="1">
        <f>IFERROR(__xludf.DUMMYFUNCTION("""COMPUTED_VALUE"""),1006517.0)</f>
        <v>1006517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IFERROR(__xludf.DUMMYFUNCTION("""COMPUTED_VALUE"""),58.19)</f>
        <v>58.19</v>
      </c>
      <c r="C1820" s="1">
        <f>IFERROR(__xludf.DUMMYFUNCTION("""COMPUTED_VALUE"""),59.84)</f>
        <v>59.84</v>
      </c>
      <c r="D1820" s="1">
        <f>IFERROR(__xludf.DUMMYFUNCTION("""COMPUTED_VALUE"""),57.72)</f>
        <v>57.72</v>
      </c>
      <c r="E1820" s="1">
        <f>IFERROR(__xludf.DUMMYFUNCTION("""COMPUTED_VALUE"""),58.95)</f>
        <v>58.95</v>
      </c>
      <c r="F1820" s="1">
        <f>IFERROR(__xludf.DUMMYFUNCTION("""COMPUTED_VALUE"""),553533.0)</f>
        <v>553533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IFERROR(__xludf.DUMMYFUNCTION("""COMPUTED_VALUE"""),58.85)</f>
        <v>58.85</v>
      </c>
      <c r="C1821" s="1">
        <f>IFERROR(__xludf.DUMMYFUNCTION("""COMPUTED_VALUE"""),58.89)</f>
        <v>58.89</v>
      </c>
      <c r="D1821" s="1">
        <f>IFERROR(__xludf.DUMMYFUNCTION("""COMPUTED_VALUE"""),57.3)</f>
        <v>57.3</v>
      </c>
      <c r="E1821" s="1">
        <f>IFERROR(__xludf.DUMMYFUNCTION("""COMPUTED_VALUE"""),58.47)</f>
        <v>58.47</v>
      </c>
      <c r="F1821" s="1">
        <f>IFERROR(__xludf.DUMMYFUNCTION("""COMPUTED_VALUE"""),1242478.0)</f>
        <v>1242478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IFERROR(__xludf.DUMMYFUNCTION("""COMPUTED_VALUE"""),58.18)</f>
        <v>58.18</v>
      </c>
      <c r="C1822" s="1">
        <f>IFERROR(__xludf.DUMMYFUNCTION("""COMPUTED_VALUE"""),58.59)</f>
        <v>58.59</v>
      </c>
      <c r="D1822" s="1">
        <f>IFERROR(__xludf.DUMMYFUNCTION("""COMPUTED_VALUE"""),57.59)</f>
        <v>57.59</v>
      </c>
      <c r="E1822" s="1">
        <f>IFERROR(__xludf.DUMMYFUNCTION("""COMPUTED_VALUE"""),58.07)</f>
        <v>58.07</v>
      </c>
      <c r="F1822" s="1">
        <f>IFERROR(__xludf.DUMMYFUNCTION("""COMPUTED_VALUE"""),734836.0)</f>
        <v>734836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IFERROR(__xludf.DUMMYFUNCTION("""COMPUTED_VALUE"""),58.0)</f>
        <v>58</v>
      </c>
      <c r="C1823" s="1">
        <f>IFERROR(__xludf.DUMMYFUNCTION("""COMPUTED_VALUE"""),59.66)</f>
        <v>59.66</v>
      </c>
      <c r="D1823" s="1">
        <f>IFERROR(__xludf.DUMMYFUNCTION("""COMPUTED_VALUE"""),57.73)</f>
        <v>57.73</v>
      </c>
      <c r="E1823" s="1">
        <f>IFERROR(__xludf.DUMMYFUNCTION("""COMPUTED_VALUE"""),59.46)</f>
        <v>59.46</v>
      </c>
      <c r="F1823" s="1">
        <f>IFERROR(__xludf.DUMMYFUNCTION("""COMPUTED_VALUE"""),829443.0)</f>
        <v>829443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IFERROR(__xludf.DUMMYFUNCTION("""COMPUTED_VALUE"""),59.58)</f>
        <v>59.58</v>
      </c>
      <c r="C1824" s="1">
        <f>IFERROR(__xludf.DUMMYFUNCTION("""COMPUTED_VALUE"""),60.17)</f>
        <v>60.17</v>
      </c>
      <c r="D1824" s="1">
        <f>IFERROR(__xludf.DUMMYFUNCTION("""COMPUTED_VALUE"""),59.11)</f>
        <v>59.11</v>
      </c>
      <c r="E1824" s="1">
        <f>IFERROR(__xludf.DUMMYFUNCTION("""COMPUTED_VALUE"""),59.53)</f>
        <v>59.53</v>
      </c>
      <c r="F1824" s="1">
        <f>IFERROR(__xludf.DUMMYFUNCTION("""COMPUTED_VALUE"""),898084.0)</f>
        <v>898084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IFERROR(__xludf.DUMMYFUNCTION("""COMPUTED_VALUE"""),59.56)</f>
        <v>59.56</v>
      </c>
      <c r="C1825" s="1">
        <f>IFERROR(__xludf.DUMMYFUNCTION("""COMPUTED_VALUE"""),60.91)</f>
        <v>60.91</v>
      </c>
      <c r="D1825" s="1">
        <f>IFERROR(__xludf.DUMMYFUNCTION("""COMPUTED_VALUE"""),59.1)</f>
        <v>59.1</v>
      </c>
      <c r="E1825" s="1">
        <f>IFERROR(__xludf.DUMMYFUNCTION("""COMPUTED_VALUE"""),60.38)</f>
        <v>60.38</v>
      </c>
      <c r="F1825" s="1">
        <f>IFERROR(__xludf.DUMMYFUNCTION("""COMPUTED_VALUE"""),1301677.0)</f>
        <v>1301677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IFERROR(__xludf.DUMMYFUNCTION("""COMPUTED_VALUE"""),60.51)</f>
        <v>60.51</v>
      </c>
      <c r="C1826" s="1">
        <f>IFERROR(__xludf.DUMMYFUNCTION("""COMPUTED_VALUE"""),60.98)</f>
        <v>60.98</v>
      </c>
      <c r="D1826" s="1">
        <f>IFERROR(__xludf.DUMMYFUNCTION("""COMPUTED_VALUE"""),59.78)</f>
        <v>59.78</v>
      </c>
      <c r="E1826" s="1">
        <f>IFERROR(__xludf.DUMMYFUNCTION("""COMPUTED_VALUE"""),60.91)</f>
        <v>60.91</v>
      </c>
      <c r="F1826" s="1">
        <f>IFERROR(__xludf.DUMMYFUNCTION("""COMPUTED_VALUE"""),546725.0)</f>
        <v>546725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IFERROR(__xludf.DUMMYFUNCTION("""COMPUTED_VALUE"""),60.8)</f>
        <v>60.8</v>
      </c>
      <c r="C1827" s="1">
        <f>IFERROR(__xludf.DUMMYFUNCTION("""COMPUTED_VALUE"""),61.37)</f>
        <v>61.37</v>
      </c>
      <c r="D1827" s="1">
        <f>IFERROR(__xludf.DUMMYFUNCTION("""COMPUTED_VALUE"""),60.53)</f>
        <v>60.53</v>
      </c>
      <c r="E1827" s="1">
        <f>IFERROR(__xludf.DUMMYFUNCTION("""COMPUTED_VALUE"""),60.69)</f>
        <v>60.69</v>
      </c>
      <c r="F1827" s="1">
        <f>IFERROR(__xludf.DUMMYFUNCTION("""COMPUTED_VALUE"""),548707.0)</f>
        <v>548707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IFERROR(__xludf.DUMMYFUNCTION("""COMPUTED_VALUE"""),61.13)</f>
        <v>61.13</v>
      </c>
      <c r="C1828" s="1">
        <f>IFERROR(__xludf.DUMMYFUNCTION("""COMPUTED_VALUE"""),61.81)</f>
        <v>61.81</v>
      </c>
      <c r="D1828" s="1">
        <f>IFERROR(__xludf.DUMMYFUNCTION("""COMPUTED_VALUE"""),60.55)</f>
        <v>60.55</v>
      </c>
      <c r="E1828" s="1">
        <f>IFERROR(__xludf.DUMMYFUNCTION("""COMPUTED_VALUE"""),60.73)</f>
        <v>60.73</v>
      </c>
      <c r="F1828" s="1">
        <f>IFERROR(__xludf.DUMMYFUNCTION("""COMPUTED_VALUE"""),1024811.0)</f>
        <v>1024811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IFERROR(__xludf.DUMMYFUNCTION("""COMPUTED_VALUE"""),60.66)</f>
        <v>60.66</v>
      </c>
      <c r="C1829" s="1">
        <f>IFERROR(__xludf.DUMMYFUNCTION("""COMPUTED_VALUE"""),61.96)</f>
        <v>61.96</v>
      </c>
      <c r="D1829" s="1">
        <f>IFERROR(__xludf.DUMMYFUNCTION("""COMPUTED_VALUE"""),60.28)</f>
        <v>60.28</v>
      </c>
      <c r="E1829" s="1">
        <f>IFERROR(__xludf.DUMMYFUNCTION("""COMPUTED_VALUE"""),61.45)</f>
        <v>61.45</v>
      </c>
      <c r="F1829" s="1">
        <f>IFERROR(__xludf.DUMMYFUNCTION("""COMPUTED_VALUE"""),701137.0)</f>
        <v>701137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IFERROR(__xludf.DUMMYFUNCTION("""COMPUTED_VALUE"""),61.39)</f>
        <v>61.39</v>
      </c>
      <c r="C1830" s="1">
        <f>IFERROR(__xludf.DUMMYFUNCTION("""COMPUTED_VALUE"""),61.43)</f>
        <v>61.43</v>
      </c>
      <c r="D1830" s="1">
        <f>IFERROR(__xludf.DUMMYFUNCTION("""COMPUTED_VALUE"""),60.19)</f>
        <v>60.19</v>
      </c>
      <c r="E1830" s="1">
        <f>IFERROR(__xludf.DUMMYFUNCTION("""COMPUTED_VALUE"""),61.06)</f>
        <v>61.06</v>
      </c>
      <c r="F1830" s="1">
        <f>IFERROR(__xludf.DUMMYFUNCTION("""COMPUTED_VALUE"""),552849.0)</f>
        <v>552849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IFERROR(__xludf.DUMMYFUNCTION("""COMPUTED_VALUE"""),61.28)</f>
        <v>61.28</v>
      </c>
      <c r="C1831" s="1">
        <f>IFERROR(__xludf.DUMMYFUNCTION("""COMPUTED_VALUE"""),61.28)</f>
        <v>61.28</v>
      </c>
      <c r="D1831" s="1">
        <f>IFERROR(__xludf.DUMMYFUNCTION("""COMPUTED_VALUE"""),59.75)</f>
        <v>59.75</v>
      </c>
      <c r="E1831" s="1">
        <f>IFERROR(__xludf.DUMMYFUNCTION("""COMPUTED_VALUE"""),60.09)</f>
        <v>60.09</v>
      </c>
      <c r="F1831" s="1">
        <f>IFERROR(__xludf.DUMMYFUNCTION("""COMPUTED_VALUE"""),886540.0)</f>
        <v>886540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IFERROR(__xludf.DUMMYFUNCTION("""COMPUTED_VALUE"""),60.0)</f>
        <v>60</v>
      </c>
      <c r="C1832" s="1">
        <f>IFERROR(__xludf.DUMMYFUNCTION("""COMPUTED_VALUE"""),60.26)</f>
        <v>60.26</v>
      </c>
      <c r="D1832" s="1">
        <f>IFERROR(__xludf.DUMMYFUNCTION("""COMPUTED_VALUE"""),58.47)</f>
        <v>58.47</v>
      </c>
      <c r="E1832" s="1">
        <f>IFERROR(__xludf.DUMMYFUNCTION("""COMPUTED_VALUE"""),59.68)</f>
        <v>59.68</v>
      </c>
      <c r="F1832" s="1">
        <f>IFERROR(__xludf.DUMMYFUNCTION("""COMPUTED_VALUE"""),785176.0)</f>
        <v>785176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IFERROR(__xludf.DUMMYFUNCTION("""COMPUTED_VALUE"""),59.91)</f>
        <v>59.91</v>
      </c>
      <c r="C1833" s="1">
        <f>IFERROR(__xludf.DUMMYFUNCTION("""COMPUTED_VALUE"""),60.06)</f>
        <v>60.06</v>
      </c>
      <c r="D1833" s="1">
        <f>IFERROR(__xludf.DUMMYFUNCTION("""COMPUTED_VALUE"""),59.09)</f>
        <v>59.09</v>
      </c>
      <c r="E1833" s="1">
        <f>IFERROR(__xludf.DUMMYFUNCTION("""COMPUTED_VALUE"""),59.45)</f>
        <v>59.45</v>
      </c>
      <c r="F1833" s="1">
        <f>IFERROR(__xludf.DUMMYFUNCTION("""COMPUTED_VALUE"""),918986.0)</f>
        <v>918986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IFERROR(__xludf.DUMMYFUNCTION("""COMPUTED_VALUE"""),59.36)</f>
        <v>59.36</v>
      </c>
      <c r="C1834" s="1">
        <f>IFERROR(__xludf.DUMMYFUNCTION("""COMPUTED_VALUE"""),59.84)</f>
        <v>59.84</v>
      </c>
      <c r="D1834" s="1">
        <f>IFERROR(__xludf.DUMMYFUNCTION("""COMPUTED_VALUE"""),58.92)</f>
        <v>58.92</v>
      </c>
      <c r="E1834" s="1">
        <f>IFERROR(__xludf.DUMMYFUNCTION("""COMPUTED_VALUE"""),59.39)</f>
        <v>59.39</v>
      </c>
      <c r="F1834" s="1">
        <f>IFERROR(__xludf.DUMMYFUNCTION("""COMPUTED_VALUE"""),1121728.0)</f>
        <v>1121728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IFERROR(__xludf.DUMMYFUNCTION("""COMPUTED_VALUE"""),59.58)</f>
        <v>59.58</v>
      </c>
      <c r="C1835" s="1">
        <f>IFERROR(__xludf.DUMMYFUNCTION("""COMPUTED_VALUE"""),60.62)</f>
        <v>60.62</v>
      </c>
      <c r="D1835" s="1">
        <f>IFERROR(__xludf.DUMMYFUNCTION("""COMPUTED_VALUE"""),59.29)</f>
        <v>59.29</v>
      </c>
      <c r="E1835" s="1">
        <f>IFERROR(__xludf.DUMMYFUNCTION("""COMPUTED_VALUE"""),60.38)</f>
        <v>60.38</v>
      </c>
      <c r="F1835" s="1">
        <f>IFERROR(__xludf.DUMMYFUNCTION("""COMPUTED_VALUE"""),558699.0)</f>
        <v>558699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IFERROR(__xludf.DUMMYFUNCTION("""COMPUTED_VALUE"""),60.2)</f>
        <v>60.2</v>
      </c>
      <c r="C1836" s="1">
        <f>IFERROR(__xludf.DUMMYFUNCTION("""COMPUTED_VALUE"""),60.74)</f>
        <v>60.74</v>
      </c>
      <c r="D1836" s="1">
        <f>IFERROR(__xludf.DUMMYFUNCTION("""COMPUTED_VALUE"""),59.83)</f>
        <v>59.83</v>
      </c>
      <c r="E1836" s="1">
        <f>IFERROR(__xludf.DUMMYFUNCTION("""COMPUTED_VALUE"""),60.33)</f>
        <v>60.33</v>
      </c>
      <c r="F1836" s="1">
        <f>IFERROR(__xludf.DUMMYFUNCTION("""COMPUTED_VALUE"""),613769.0)</f>
        <v>613769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IFERROR(__xludf.DUMMYFUNCTION("""COMPUTED_VALUE"""),60.33)</f>
        <v>60.33</v>
      </c>
      <c r="C1837" s="1">
        <f>IFERROR(__xludf.DUMMYFUNCTION("""COMPUTED_VALUE"""),63.03)</f>
        <v>63.03</v>
      </c>
      <c r="D1837" s="1">
        <f>IFERROR(__xludf.DUMMYFUNCTION("""COMPUTED_VALUE"""),60.05)</f>
        <v>60.05</v>
      </c>
      <c r="E1837" s="1">
        <f>IFERROR(__xludf.DUMMYFUNCTION("""COMPUTED_VALUE"""),62.4)</f>
        <v>62.4</v>
      </c>
      <c r="F1837" s="1">
        <f>IFERROR(__xludf.DUMMYFUNCTION("""COMPUTED_VALUE"""),1017063.0)</f>
        <v>1017063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IFERROR(__xludf.DUMMYFUNCTION("""COMPUTED_VALUE"""),62.67)</f>
        <v>62.67</v>
      </c>
      <c r="C1838" s="1">
        <f>IFERROR(__xludf.DUMMYFUNCTION("""COMPUTED_VALUE"""),62.76)</f>
        <v>62.76</v>
      </c>
      <c r="D1838" s="1">
        <f>IFERROR(__xludf.DUMMYFUNCTION("""COMPUTED_VALUE"""),61.89)</f>
        <v>61.89</v>
      </c>
      <c r="E1838" s="1">
        <f>IFERROR(__xludf.DUMMYFUNCTION("""COMPUTED_VALUE"""),62.05)</f>
        <v>62.05</v>
      </c>
      <c r="F1838" s="1">
        <f>IFERROR(__xludf.DUMMYFUNCTION("""COMPUTED_VALUE"""),1110520.0)</f>
        <v>1110520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IFERROR(__xludf.DUMMYFUNCTION("""COMPUTED_VALUE"""),62.2)</f>
        <v>62.2</v>
      </c>
      <c r="C1839" s="1">
        <f>IFERROR(__xludf.DUMMYFUNCTION("""COMPUTED_VALUE"""),63.22)</f>
        <v>63.22</v>
      </c>
      <c r="D1839" s="1">
        <f>IFERROR(__xludf.DUMMYFUNCTION("""COMPUTED_VALUE"""),61.91)</f>
        <v>61.91</v>
      </c>
      <c r="E1839" s="1">
        <f>IFERROR(__xludf.DUMMYFUNCTION("""COMPUTED_VALUE"""),62.81)</f>
        <v>62.81</v>
      </c>
      <c r="F1839" s="1">
        <f>IFERROR(__xludf.DUMMYFUNCTION("""COMPUTED_VALUE"""),980956.0)</f>
        <v>980956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IFERROR(__xludf.DUMMYFUNCTION("""COMPUTED_VALUE"""),62.9)</f>
        <v>62.9</v>
      </c>
      <c r="C1840" s="1">
        <f>IFERROR(__xludf.DUMMYFUNCTION("""COMPUTED_VALUE"""),64.37)</f>
        <v>64.37</v>
      </c>
      <c r="D1840" s="1">
        <f>IFERROR(__xludf.DUMMYFUNCTION("""COMPUTED_VALUE"""),61.77)</f>
        <v>61.77</v>
      </c>
      <c r="E1840" s="1">
        <f>IFERROR(__xludf.DUMMYFUNCTION("""COMPUTED_VALUE"""),62.81)</f>
        <v>62.81</v>
      </c>
      <c r="F1840" s="1">
        <f>IFERROR(__xludf.DUMMYFUNCTION("""COMPUTED_VALUE"""),1799261.0)</f>
        <v>1799261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IFERROR(__xludf.DUMMYFUNCTION("""COMPUTED_VALUE"""),63.11)</f>
        <v>63.11</v>
      </c>
      <c r="C1841" s="1">
        <f>IFERROR(__xludf.DUMMYFUNCTION("""COMPUTED_VALUE"""),68.52)</f>
        <v>68.52</v>
      </c>
      <c r="D1841" s="1">
        <f>IFERROR(__xludf.DUMMYFUNCTION("""COMPUTED_VALUE"""),63.0)</f>
        <v>63</v>
      </c>
      <c r="E1841" s="1">
        <f>IFERROR(__xludf.DUMMYFUNCTION("""COMPUTED_VALUE"""),66.91)</f>
        <v>66.91</v>
      </c>
      <c r="F1841" s="1">
        <f>IFERROR(__xludf.DUMMYFUNCTION("""COMPUTED_VALUE"""),2408793.0)</f>
        <v>2408793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IFERROR(__xludf.DUMMYFUNCTION("""COMPUTED_VALUE"""),67.34)</f>
        <v>67.34</v>
      </c>
      <c r="C1842" s="1">
        <f>IFERROR(__xludf.DUMMYFUNCTION("""COMPUTED_VALUE"""),67.34)</f>
        <v>67.34</v>
      </c>
      <c r="D1842" s="1">
        <f>IFERROR(__xludf.DUMMYFUNCTION("""COMPUTED_VALUE"""),64.61)</f>
        <v>64.61</v>
      </c>
      <c r="E1842" s="1">
        <f>IFERROR(__xludf.DUMMYFUNCTION("""COMPUTED_VALUE"""),65.31)</f>
        <v>65.31</v>
      </c>
      <c r="F1842" s="1">
        <f>IFERROR(__xludf.DUMMYFUNCTION("""COMPUTED_VALUE"""),1678423.0)</f>
        <v>1678423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IFERROR(__xludf.DUMMYFUNCTION("""COMPUTED_VALUE"""),65.2)</f>
        <v>65.2</v>
      </c>
      <c r="C1843" s="1">
        <f>IFERROR(__xludf.DUMMYFUNCTION("""COMPUTED_VALUE"""),65.78)</f>
        <v>65.78</v>
      </c>
      <c r="D1843" s="1">
        <f>IFERROR(__xludf.DUMMYFUNCTION("""COMPUTED_VALUE"""),64.83)</f>
        <v>64.83</v>
      </c>
      <c r="E1843" s="1">
        <f>IFERROR(__xludf.DUMMYFUNCTION("""COMPUTED_VALUE"""),65.0)</f>
        <v>65</v>
      </c>
      <c r="F1843" s="1">
        <f>IFERROR(__xludf.DUMMYFUNCTION("""COMPUTED_VALUE"""),2151224.0)</f>
        <v>2151224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IFERROR(__xludf.DUMMYFUNCTION("""COMPUTED_VALUE"""),65.4)</f>
        <v>65.4</v>
      </c>
      <c r="C1844" s="1">
        <f>IFERROR(__xludf.DUMMYFUNCTION("""COMPUTED_VALUE"""),65.4)</f>
        <v>65.4</v>
      </c>
      <c r="D1844" s="1">
        <f>IFERROR(__xludf.DUMMYFUNCTION("""COMPUTED_VALUE"""),64.24)</f>
        <v>64.24</v>
      </c>
      <c r="E1844" s="1">
        <f>IFERROR(__xludf.DUMMYFUNCTION("""COMPUTED_VALUE"""),64.54)</f>
        <v>64.54</v>
      </c>
      <c r="F1844" s="1">
        <f>IFERROR(__xludf.DUMMYFUNCTION("""COMPUTED_VALUE"""),974912.0)</f>
        <v>974912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IFERROR(__xludf.DUMMYFUNCTION("""COMPUTED_VALUE"""),64.76)</f>
        <v>64.76</v>
      </c>
      <c r="C1845" s="1">
        <f>IFERROR(__xludf.DUMMYFUNCTION("""COMPUTED_VALUE"""),65.02)</f>
        <v>65.02</v>
      </c>
      <c r="D1845" s="1">
        <f>IFERROR(__xludf.DUMMYFUNCTION("""COMPUTED_VALUE"""),64.07)</f>
        <v>64.07</v>
      </c>
      <c r="E1845" s="1">
        <f>IFERROR(__xludf.DUMMYFUNCTION("""COMPUTED_VALUE"""),64.4)</f>
        <v>64.4</v>
      </c>
      <c r="F1845" s="1">
        <f>IFERROR(__xludf.DUMMYFUNCTION("""COMPUTED_VALUE"""),518120.0)</f>
        <v>518120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IFERROR(__xludf.DUMMYFUNCTION("""COMPUTED_VALUE"""),64.5)</f>
        <v>64.5</v>
      </c>
      <c r="C1846" s="1">
        <f>IFERROR(__xludf.DUMMYFUNCTION("""COMPUTED_VALUE"""),65.76)</f>
        <v>65.76</v>
      </c>
      <c r="D1846" s="1">
        <f>IFERROR(__xludf.DUMMYFUNCTION("""COMPUTED_VALUE"""),64.04)</f>
        <v>64.04</v>
      </c>
      <c r="E1846" s="1">
        <f>IFERROR(__xludf.DUMMYFUNCTION("""COMPUTED_VALUE"""),64.35)</f>
        <v>64.35</v>
      </c>
      <c r="F1846" s="1">
        <f>IFERROR(__xludf.DUMMYFUNCTION("""COMPUTED_VALUE"""),1276178.0)</f>
        <v>1276178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IFERROR(__xludf.DUMMYFUNCTION("""COMPUTED_VALUE"""),64.67)</f>
        <v>64.67</v>
      </c>
      <c r="C1847" s="1">
        <f>IFERROR(__xludf.DUMMYFUNCTION("""COMPUTED_VALUE"""),64.67)</f>
        <v>64.67</v>
      </c>
      <c r="D1847" s="1">
        <f>IFERROR(__xludf.DUMMYFUNCTION("""COMPUTED_VALUE"""),63.87)</f>
        <v>63.87</v>
      </c>
      <c r="E1847" s="1">
        <f>IFERROR(__xludf.DUMMYFUNCTION("""COMPUTED_VALUE"""),64.03)</f>
        <v>64.03</v>
      </c>
      <c r="F1847" s="1">
        <f>IFERROR(__xludf.DUMMYFUNCTION("""COMPUTED_VALUE"""),342244.0)</f>
        <v>342244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IFERROR(__xludf.DUMMYFUNCTION("""COMPUTED_VALUE"""),63.98)</f>
        <v>63.98</v>
      </c>
      <c r="C1848" s="1">
        <f>IFERROR(__xludf.DUMMYFUNCTION("""COMPUTED_VALUE"""),64.16)</f>
        <v>64.16</v>
      </c>
      <c r="D1848" s="1">
        <f>IFERROR(__xludf.DUMMYFUNCTION("""COMPUTED_VALUE"""),63.48)</f>
        <v>63.48</v>
      </c>
      <c r="E1848" s="1">
        <f>IFERROR(__xludf.DUMMYFUNCTION("""COMPUTED_VALUE"""),64.0)</f>
        <v>64</v>
      </c>
      <c r="F1848" s="1">
        <f>IFERROR(__xludf.DUMMYFUNCTION("""COMPUTED_VALUE"""),753890.0)</f>
        <v>753890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IFERROR(__xludf.DUMMYFUNCTION("""COMPUTED_VALUE"""),64.1)</f>
        <v>64.1</v>
      </c>
      <c r="C1849" s="1">
        <f>IFERROR(__xludf.DUMMYFUNCTION("""COMPUTED_VALUE"""),65.59)</f>
        <v>65.59</v>
      </c>
      <c r="D1849" s="1">
        <f>IFERROR(__xludf.DUMMYFUNCTION("""COMPUTED_VALUE"""),63.25)</f>
        <v>63.25</v>
      </c>
      <c r="E1849" s="1">
        <f>IFERROR(__xludf.DUMMYFUNCTION("""COMPUTED_VALUE"""),65.32)</f>
        <v>65.32</v>
      </c>
      <c r="F1849" s="1">
        <f>IFERROR(__xludf.DUMMYFUNCTION("""COMPUTED_VALUE"""),864210.0)</f>
        <v>864210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IFERROR(__xludf.DUMMYFUNCTION("""COMPUTED_VALUE"""),65.38)</f>
        <v>65.38</v>
      </c>
      <c r="C1850" s="1">
        <f>IFERROR(__xludf.DUMMYFUNCTION("""COMPUTED_VALUE"""),67.4)</f>
        <v>67.4</v>
      </c>
      <c r="D1850" s="1">
        <f>IFERROR(__xludf.DUMMYFUNCTION("""COMPUTED_VALUE"""),65.38)</f>
        <v>65.38</v>
      </c>
      <c r="E1850" s="1">
        <f>IFERROR(__xludf.DUMMYFUNCTION("""COMPUTED_VALUE"""),67.15)</f>
        <v>67.15</v>
      </c>
      <c r="F1850" s="1">
        <f>IFERROR(__xludf.DUMMYFUNCTION("""COMPUTED_VALUE"""),1000067.0)</f>
        <v>1000067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IFERROR(__xludf.DUMMYFUNCTION("""COMPUTED_VALUE"""),67.23)</f>
        <v>67.23</v>
      </c>
      <c r="C1851" s="1">
        <f>IFERROR(__xludf.DUMMYFUNCTION("""COMPUTED_VALUE"""),68.1)</f>
        <v>68.1</v>
      </c>
      <c r="D1851" s="1">
        <f>IFERROR(__xludf.DUMMYFUNCTION("""COMPUTED_VALUE"""),66.74)</f>
        <v>66.74</v>
      </c>
      <c r="E1851" s="1">
        <f>IFERROR(__xludf.DUMMYFUNCTION("""COMPUTED_VALUE"""),66.97)</f>
        <v>66.97</v>
      </c>
      <c r="F1851" s="1">
        <f>IFERROR(__xludf.DUMMYFUNCTION("""COMPUTED_VALUE"""),858595.0)</f>
        <v>858595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IFERROR(__xludf.DUMMYFUNCTION("""COMPUTED_VALUE"""),67.28)</f>
        <v>67.28</v>
      </c>
      <c r="C1852" s="1">
        <f>IFERROR(__xludf.DUMMYFUNCTION("""COMPUTED_VALUE"""),69.25)</f>
        <v>69.25</v>
      </c>
      <c r="D1852" s="1">
        <f>IFERROR(__xludf.DUMMYFUNCTION("""COMPUTED_VALUE"""),67.05)</f>
        <v>67.05</v>
      </c>
      <c r="E1852" s="1">
        <f>IFERROR(__xludf.DUMMYFUNCTION("""COMPUTED_VALUE"""),67.98)</f>
        <v>67.98</v>
      </c>
      <c r="F1852" s="1">
        <f>IFERROR(__xludf.DUMMYFUNCTION("""COMPUTED_VALUE"""),885114.0)</f>
        <v>885114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IFERROR(__xludf.DUMMYFUNCTION("""COMPUTED_VALUE"""),67.89)</f>
        <v>67.89</v>
      </c>
      <c r="C1853" s="1">
        <f>IFERROR(__xludf.DUMMYFUNCTION("""COMPUTED_VALUE"""),69.42)</f>
        <v>69.42</v>
      </c>
      <c r="D1853" s="1">
        <f>IFERROR(__xludf.DUMMYFUNCTION("""COMPUTED_VALUE"""),67.3)</f>
        <v>67.3</v>
      </c>
      <c r="E1853" s="1">
        <f>IFERROR(__xludf.DUMMYFUNCTION("""COMPUTED_VALUE"""),69.36)</f>
        <v>69.36</v>
      </c>
      <c r="F1853" s="1">
        <f>IFERROR(__xludf.DUMMYFUNCTION("""COMPUTED_VALUE"""),1118548.0)</f>
        <v>1118548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IFERROR(__xludf.DUMMYFUNCTION("""COMPUTED_VALUE"""),69.46)</f>
        <v>69.46</v>
      </c>
      <c r="C1854" s="1">
        <f>IFERROR(__xludf.DUMMYFUNCTION("""COMPUTED_VALUE"""),72.5)</f>
        <v>72.5</v>
      </c>
      <c r="D1854" s="1">
        <f>IFERROR(__xludf.DUMMYFUNCTION("""COMPUTED_VALUE"""),69.36)</f>
        <v>69.36</v>
      </c>
      <c r="E1854" s="1">
        <f>IFERROR(__xludf.DUMMYFUNCTION("""COMPUTED_VALUE"""),71.59)</f>
        <v>71.59</v>
      </c>
      <c r="F1854" s="1">
        <f>IFERROR(__xludf.DUMMYFUNCTION("""COMPUTED_VALUE"""),1419646.0)</f>
        <v>1419646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IFERROR(__xludf.DUMMYFUNCTION("""COMPUTED_VALUE"""),71.66)</f>
        <v>71.66</v>
      </c>
      <c r="C1855" s="1">
        <f>IFERROR(__xludf.DUMMYFUNCTION("""COMPUTED_VALUE"""),72.09)</f>
        <v>72.09</v>
      </c>
      <c r="D1855" s="1">
        <f>IFERROR(__xludf.DUMMYFUNCTION("""COMPUTED_VALUE"""),68.32)</f>
        <v>68.32</v>
      </c>
      <c r="E1855" s="1">
        <f>IFERROR(__xludf.DUMMYFUNCTION("""COMPUTED_VALUE"""),70.91)</f>
        <v>70.91</v>
      </c>
      <c r="F1855" s="1">
        <f>IFERROR(__xludf.DUMMYFUNCTION("""COMPUTED_VALUE"""),1251064.0)</f>
        <v>1251064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IFERROR(__xludf.DUMMYFUNCTION("""COMPUTED_VALUE"""),72.0)</f>
        <v>72</v>
      </c>
      <c r="C1856" s="1">
        <f>IFERROR(__xludf.DUMMYFUNCTION("""COMPUTED_VALUE"""),76.18)</f>
        <v>76.18</v>
      </c>
      <c r="D1856" s="1">
        <f>IFERROR(__xludf.DUMMYFUNCTION("""COMPUTED_VALUE"""),71.55)</f>
        <v>71.55</v>
      </c>
      <c r="E1856" s="1">
        <f>IFERROR(__xludf.DUMMYFUNCTION("""COMPUTED_VALUE"""),75.82)</f>
        <v>75.82</v>
      </c>
      <c r="F1856" s="1">
        <f>IFERROR(__xludf.DUMMYFUNCTION("""COMPUTED_VALUE"""),2142440.0)</f>
        <v>2142440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IFERROR(__xludf.DUMMYFUNCTION("""COMPUTED_VALUE"""),74.2)</f>
        <v>74.2</v>
      </c>
      <c r="C1857" s="1">
        <f>IFERROR(__xludf.DUMMYFUNCTION("""COMPUTED_VALUE"""),74.25)</f>
        <v>74.25</v>
      </c>
      <c r="D1857" s="1">
        <f>IFERROR(__xludf.DUMMYFUNCTION("""COMPUTED_VALUE"""),68.2)</f>
        <v>68.2</v>
      </c>
      <c r="E1857" s="1">
        <f>IFERROR(__xludf.DUMMYFUNCTION("""COMPUTED_VALUE"""),68.95)</f>
        <v>68.95</v>
      </c>
      <c r="F1857" s="1">
        <f>IFERROR(__xludf.DUMMYFUNCTION("""COMPUTED_VALUE"""),2995686.0)</f>
        <v>2995686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IFERROR(__xludf.DUMMYFUNCTION("""COMPUTED_VALUE"""),68.3)</f>
        <v>68.3</v>
      </c>
      <c r="C1858" s="1">
        <f>IFERROR(__xludf.DUMMYFUNCTION("""COMPUTED_VALUE"""),68.39)</f>
        <v>68.39</v>
      </c>
      <c r="D1858" s="1">
        <f>IFERROR(__xludf.DUMMYFUNCTION("""COMPUTED_VALUE"""),66.26)</f>
        <v>66.26</v>
      </c>
      <c r="E1858" s="1">
        <f>IFERROR(__xludf.DUMMYFUNCTION("""COMPUTED_VALUE"""),68.04)</f>
        <v>68.04</v>
      </c>
      <c r="F1858" s="1">
        <f>IFERROR(__xludf.DUMMYFUNCTION("""COMPUTED_VALUE"""),2166332.0)</f>
        <v>2166332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IFERROR(__xludf.DUMMYFUNCTION("""COMPUTED_VALUE"""),68.97)</f>
        <v>68.97</v>
      </c>
      <c r="C1859" s="1">
        <f>IFERROR(__xludf.DUMMYFUNCTION("""COMPUTED_VALUE"""),71.71)</f>
        <v>71.71</v>
      </c>
      <c r="D1859" s="1">
        <f>IFERROR(__xludf.DUMMYFUNCTION("""COMPUTED_VALUE"""),68.8)</f>
        <v>68.8</v>
      </c>
      <c r="E1859" s="1">
        <f>IFERROR(__xludf.DUMMYFUNCTION("""COMPUTED_VALUE"""),71.7)</f>
        <v>71.7</v>
      </c>
      <c r="F1859" s="1">
        <f>IFERROR(__xludf.DUMMYFUNCTION("""COMPUTED_VALUE"""),1576816.0)</f>
        <v>1576816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IFERROR(__xludf.DUMMYFUNCTION("""COMPUTED_VALUE"""),71.52)</f>
        <v>71.52</v>
      </c>
      <c r="C1860" s="1">
        <f>IFERROR(__xludf.DUMMYFUNCTION("""COMPUTED_VALUE"""),73.59)</f>
        <v>73.59</v>
      </c>
      <c r="D1860" s="1">
        <f>IFERROR(__xludf.DUMMYFUNCTION("""COMPUTED_VALUE"""),71.29)</f>
        <v>71.29</v>
      </c>
      <c r="E1860" s="1">
        <f>IFERROR(__xludf.DUMMYFUNCTION("""COMPUTED_VALUE"""),73.41)</f>
        <v>73.41</v>
      </c>
      <c r="F1860" s="1">
        <f>IFERROR(__xludf.DUMMYFUNCTION("""COMPUTED_VALUE"""),1820204.0)</f>
        <v>1820204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IFERROR(__xludf.DUMMYFUNCTION("""COMPUTED_VALUE"""),73.49)</f>
        <v>73.49</v>
      </c>
      <c r="C1861" s="1">
        <f>IFERROR(__xludf.DUMMYFUNCTION("""COMPUTED_VALUE"""),73.61)</f>
        <v>73.61</v>
      </c>
      <c r="D1861" s="1">
        <f>IFERROR(__xludf.DUMMYFUNCTION("""COMPUTED_VALUE"""),72.12)</f>
        <v>72.12</v>
      </c>
      <c r="E1861" s="1">
        <f>IFERROR(__xludf.DUMMYFUNCTION("""COMPUTED_VALUE"""),73.21)</f>
        <v>73.21</v>
      </c>
      <c r="F1861" s="1">
        <f>IFERROR(__xludf.DUMMYFUNCTION("""COMPUTED_VALUE"""),1999661.0)</f>
        <v>1999661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IFERROR(__xludf.DUMMYFUNCTION("""COMPUTED_VALUE"""),73.25)</f>
        <v>73.25</v>
      </c>
      <c r="C1862" s="1">
        <f>IFERROR(__xludf.DUMMYFUNCTION("""COMPUTED_VALUE"""),73.97)</f>
        <v>73.97</v>
      </c>
      <c r="D1862" s="1">
        <f>IFERROR(__xludf.DUMMYFUNCTION("""COMPUTED_VALUE"""),72.59)</f>
        <v>72.59</v>
      </c>
      <c r="E1862" s="1">
        <f>IFERROR(__xludf.DUMMYFUNCTION("""COMPUTED_VALUE"""),73.21)</f>
        <v>73.21</v>
      </c>
      <c r="F1862" s="1">
        <f>IFERROR(__xludf.DUMMYFUNCTION("""COMPUTED_VALUE"""),1477808.0)</f>
        <v>1477808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IFERROR(__xludf.DUMMYFUNCTION("""COMPUTED_VALUE"""),74.07)</f>
        <v>74.07</v>
      </c>
      <c r="C1863" s="1">
        <f>IFERROR(__xludf.DUMMYFUNCTION("""COMPUTED_VALUE"""),74.07)</f>
        <v>74.07</v>
      </c>
      <c r="D1863" s="1">
        <f>IFERROR(__xludf.DUMMYFUNCTION("""COMPUTED_VALUE"""),72.03)</f>
        <v>72.03</v>
      </c>
      <c r="E1863" s="1">
        <f>IFERROR(__xludf.DUMMYFUNCTION("""COMPUTED_VALUE"""),73.0)</f>
        <v>73</v>
      </c>
      <c r="F1863" s="1">
        <f>IFERROR(__xludf.DUMMYFUNCTION("""COMPUTED_VALUE"""),1659454.0)</f>
        <v>1659454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IFERROR(__xludf.DUMMYFUNCTION("""COMPUTED_VALUE"""),72.54)</f>
        <v>72.54</v>
      </c>
      <c r="C1864" s="1">
        <f>IFERROR(__xludf.DUMMYFUNCTION("""COMPUTED_VALUE"""),73.69)</f>
        <v>73.69</v>
      </c>
      <c r="D1864" s="1">
        <f>IFERROR(__xludf.DUMMYFUNCTION("""COMPUTED_VALUE"""),72.54)</f>
        <v>72.54</v>
      </c>
      <c r="E1864" s="1">
        <f>IFERROR(__xludf.DUMMYFUNCTION("""COMPUTED_VALUE"""),73.43)</f>
        <v>73.43</v>
      </c>
      <c r="F1864" s="1">
        <f>IFERROR(__xludf.DUMMYFUNCTION("""COMPUTED_VALUE"""),920640.0)</f>
        <v>920640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IFERROR(__xludf.DUMMYFUNCTION("""COMPUTED_VALUE"""),73.02)</f>
        <v>73.02</v>
      </c>
      <c r="C1865" s="1">
        <f>IFERROR(__xludf.DUMMYFUNCTION("""COMPUTED_VALUE"""),73.31)</f>
        <v>73.31</v>
      </c>
      <c r="D1865" s="1">
        <f>IFERROR(__xludf.DUMMYFUNCTION("""COMPUTED_VALUE"""),70.24)</f>
        <v>70.24</v>
      </c>
      <c r="E1865" s="1">
        <f>IFERROR(__xludf.DUMMYFUNCTION("""COMPUTED_VALUE"""),70.62)</f>
        <v>70.62</v>
      </c>
      <c r="F1865" s="1">
        <f>IFERROR(__xludf.DUMMYFUNCTION("""COMPUTED_VALUE"""),1372928.0)</f>
        <v>1372928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IFERROR(__xludf.DUMMYFUNCTION("""COMPUTED_VALUE"""),70.0)</f>
        <v>70</v>
      </c>
      <c r="C1866" s="1">
        <f>IFERROR(__xludf.DUMMYFUNCTION("""COMPUTED_VALUE"""),72.47)</f>
        <v>72.47</v>
      </c>
      <c r="D1866" s="1">
        <f>IFERROR(__xludf.DUMMYFUNCTION("""COMPUTED_VALUE"""),69.96)</f>
        <v>69.96</v>
      </c>
      <c r="E1866" s="1">
        <f>IFERROR(__xludf.DUMMYFUNCTION("""COMPUTED_VALUE"""),71.67)</f>
        <v>71.67</v>
      </c>
      <c r="F1866" s="1">
        <f>IFERROR(__xludf.DUMMYFUNCTION("""COMPUTED_VALUE"""),1495177.0)</f>
        <v>1495177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IFERROR(__xludf.DUMMYFUNCTION("""COMPUTED_VALUE"""),72.44)</f>
        <v>72.44</v>
      </c>
      <c r="C1867" s="1">
        <f>IFERROR(__xludf.DUMMYFUNCTION("""COMPUTED_VALUE"""),74.3)</f>
        <v>74.3</v>
      </c>
      <c r="D1867" s="1">
        <f>IFERROR(__xludf.DUMMYFUNCTION("""COMPUTED_VALUE"""),71.9)</f>
        <v>71.9</v>
      </c>
      <c r="E1867" s="1">
        <f>IFERROR(__xludf.DUMMYFUNCTION("""COMPUTED_VALUE"""),74.05)</f>
        <v>74.05</v>
      </c>
      <c r="F1867" s="1">
        <f>IFERROR(__xludf.DUMMYFUNCTION("""COMPUTED_VALUE"""),1292620.0)</f>
        <v>1292620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IFERROR(__xludf.DUMMYFUNCTION("""COMPUTED_VALUE"""),74.23)</f>
        <v>74.23</v>
      </c>
      <c r="C1868" s="1">
        <f>IFERROR(__xludf.DUMMYFUNCTION("""COMPUTED_VALUE"""),74.88)</f>
        <v>74.88</v>
      </c>
      <c r="D1868" s="1">
        <f>IFERROR(__xludf.DUMMYFUNCTION("""COMPUTED_VALUE"""),72.72)</f>
        <v>72.72</v>
      </c>
      <c r="E1868" s="1">
        <f>IFERROR(__xludf.DUMMYFUNCTION("""COMPUTED_VALUE"""),73.96)</f>
        <v>73.96</v>
      </c>
      <c r="F1868" s="1">
        <f>IFERROR(__xludf.DUMMYFUNCTION("""COMPUTED_VALUE"""),1049962.0)</f>
        <v>1049962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IFERROR(__xludf.DUMMYFUNCTION("""COMPUTED_VALUE"""),73.68)</f>
        <v>73.68</v>
      </c>
      <c r="C1869" s="1">
        <f>IFERROR(__xludf.DUMMYFUNCTION("""COMPUTED_VALUE"""),74.71)</f>
        <v>74.71</v>
      </c>
      <c r="D1869" s="1">
        <f>IFERROR(__xludf.DUMMYFUNCTION("""COMPUTED_VALUE"""),73.24)</f>
        <v>73.24</v>
      </c>
      <c r="E1869" s="1">
        <f>IFERROR(__xludf.DUMMYFUNCTION("""COMPUTED_VALUE"""),74.55)</f>
        <v>74.55</v>
      </c>
      <c r="F1869" s="1">
        <f>IFERROR(__xludf.DUMMYFUNCTION("""COMPUTED_VALUE"""),965008.0)</f>
        <v>965008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IFERROR(__xludf.DUMMYFUNCTION("""COMPUTED_VALUE"""),74.46)</f>
        <v>74.46</v>
      </c>
      <c r="C1870" s="1">
        <f>IFERROR(__xludf.DUMMYFUNCTION("""COMPUTED_VALUE"""),77.03)</f>
        <v>77.03</v>
      </c>
      <c r="D1870" s="1">
        <f>IFERROR(__xludf.DUMMYFUNCTION("""COMPUTED_VALUE"""),74.42)</f>
        <v>74.42</v>
      </c>
      <c r="E1870" s="1">
        <f>IFERROR(__xludf.DUMMYFUNCTION("""COMPUTED_VALUE"""),76.12)</f>
        <v>76.12</v>
      </c>
      <c r="F1870" s="1">
        <f>IFERROR(__xludf.DUMMYFUNCTION("""COMPUTED_VALUE"""),1254099.0)</f>
        <v>1254099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IFERROR(__xludf.DUMMYFUNCTION("""COMPUTED_VALUE"""),76.62)</f>
        <v>76.62</v>
      </c>
      <c r="C1871" s="1">
        <f>IFERROR(__xludf.DUMMYFUNCTION("""COMPUTED_VALUE"""),83.21)</f>
        <v>83.21</v>
      </c>
      <c r="D1871" s="1">
        <f>IFERROR(__xludf.DUMMYFUNCTION("""COMPUTED_VALUE"""),76.59)</f>
        <v>76.59</v>
      </c>
      <c r="E1871" s="1">
        <f>IFERROR(__xludf.DUMMYFUNCTION("""COMPUTED_VALUE"""),82.66)</f>
        <v>82.66</v>
      </c>
      <c r="F1871" s="1">
        <f>IFERROR(__xludf.DUMMYFUNCTION("""COMPUTED_VALUE"""),2777561.0)</f>
        <v>2777561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IFERROR(__xludf.DUMMYFUNCTION("""COMPUTED_VALUE"""),82.9)</f>
        <v>82.9</v>
      </c>
      <c r="C1872" s="1">
        <f>IFERROR(__xludf.DUMMYFUNCTION("""COMPUTED_VALUE"""),83.09)</f>
        <v>83.09</v>
      </c>
      <c r="D1872" s="1">
        <f>IFERROR(__xludf.DUMMYFUNCTION("""COMPUTED_VALUE"""),74.33)</f>
        <v>74.33</v>
      </c>
      <c r="E1872" s="1">
        <f>IFERROR(__xludf.DUMMYFUNCTION("""COMPUTED_VALUE"""),75.83)</f>
        <v>75.83</v>
      </c>
      <c r="F1872" s="1">
        <f>IFERROR(__xludf.DUMMYFUNCTION("""COMPUTED_VALUE"""),2892621.0)</f>
        <v>2892621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IFERROR(__xludf.DUMMYFUNCTION("""COMPUTED_VALUE"""),77.07)</f>
        <v>77.07</v>
      </c>
      <c r="C1873" s="1">
        <f>IFERROR(__xludf.DUMMYFUNCTION("""COMPUTED_VALUE"""),78.35)</f>
        <v>78.35</v>
      </c>
      <c r="D1873" s="1">
        <f>IFERROR(__xludf.DUMMYFUNCTION("""COMPUTED_VALUE"""),71.27)</f>
        <v>71.27</v>
      </c>
      <c r="E1873" s="1">
        <f>IFERROR(__xludf.DUMMYFUNCTION("""COMPUTED_VALUE"""),72.47)</f>
        <v>72.47</v>
      </c>
      <c r="F1873" s="1">
        <f>IFERROR(__xludf.DUMMYFUNCTION("""COMPUTED_VALUE"""),2685177.0)</f>
        <v>2685177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IFERROR(__xludf.DUMMYFUNCTION("""COMPUTED_VALUE"""),72.46)</f>
        <v>72.46</v>
      </c>
      <c r="C1874" s="1">
        <f>IFERROR(__xludf.DUMMYFUNCTION("""COMPUTED_VALUE"""),76.12)</f>
        <v>76.12</v>
      </c>
      <c r="D1874" s="1">
        <f>IFERROR(__xludf.DUMMYFUNCTION("""COMPUTED_VALUE"""),72.0)</f>
        <v>72</v>
      </c>
      <c r="E1874" s="1">
        <f>IFERROR(__xludf.DUMMYFUNCTION("""COMPUTED_VALUE"""),74.08)</f>
        <v>74.08</v>
      </c>
      <c r="F1874" s="1">
        <f>IFERROR(__xludf.DUMMYFUNCTION("""COMPUTED_VALUE"""),2666276.0)</f>
        <v>2666276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IFERROR(__xludf.DUMMYFUNCTION("""COMPUTED_VALUE"""),75.86)</f>
        <v>75.86</v>
      </c>
      <c r="C1875" s="1">
        <f>IFERROR(__xludf.DUMMYFUNCTION("""COMPUTED_VALUE"""),77.67)</f>
        <v>77.67</v>
      </c>
      <c r="D1875" s="1">
        <f>IFERROR(__xludf.DUMMYFUNCTION("""COMPUTED_VALUE"""),73.01)</f>
        <v>73.01</v>
      </c>
      <c r="E1875" s="1">
        <f>IFERROR(__xludf.DUMMYFUNCTION("""COMPUTED_VALUE"""),73.69)</f>
        <v>73.69</v>
      </c>
      <c r="F1875" s="1">
        <f>IFERROR(__xludf.DUMMYFUNCTION("""COMPUTED_VALUE"""),2695917.0)</f>
        <v>2695917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IFERROR(__xludf.DUMMYFUNCTION("""COMPUTED_VALUE"""),74.04)</f>
        <v>74.04</v>
      </c>
      <c r="C1876" s="1">
        <f>IFERROR(__xludf.DUMMYFUNCTION("""COMPUTED_VALUE"""),76.23)</f>
        <v>76.23</v>
      </c>
      <c r="D1876" s="1">
        <f>IFERROR(__xludf.DUMMYFUNCTION("""COMPUTED_VALUE"""),72.0)</f>
        <v>72</v>
      </c>
      <c r="E1876" s="1">
        <f>IFERROR(__xludf.DUMMYFUNCTION("""COMPUTED_VALUE"""),72.96)</f>
        <v>72.96</v>
      </c>
      <c r="F1876" s="1">
        <f>IFERROR(__xludf.DUMMYFUNCTION("""COMPUTED_VALUE"""),1003542.0)</f>
        <v>1003542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IFERROR(__xludf.DUMMYFUNCTION("""COMPUTED_VALUE"""),71.73)</f>
        <v>71.73</v>
      </c>
      <c r="C1877" s="1">
        <f>IFERROR(__xludf.DUMMYFUNCTION("""COMPUTED_VALUE"""),72.93)</f>
        <v>72.93</v>
      </c>
      <c r="D1877" s="1">
        <f>IFERROR(__xludf.DUMMYFUNCTION("""COMPUTED_VALUE"""),71.14)</f>
        <v>71.14</v>
      </c>
      <c r="E1877" s="1">
        <f>IFERROR(__xludf.DUMMYFUNCTION("""COMPUTED_VALUE"""),72.8)</f>
        <v>72.8</v>
      </c>
      <c r="F1877" s="1">
        <f>IFERROR(__xludf.DUMMYFUNCTION("""COMPUTED_VALUE"""),1179366.0)</f>
        <v>1179366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IFERROR(__xludf.DUMMYFUNCTION("""COMPUTED_VALUE"""),73.4)</f>
        <v>73.4</v>
      </c>
      <c r="C1878" s="1">
        <f>IFERROR(__xludf.DUMMYFUNCTION("""COMPUTED_VALUE"""),74.79)</f>
        <v>74.79</v>
      </c>
      <c r="D1878" s="1">
        <f>IFERROR(__xludf.DUMMYFUNCTION("""COMPUTED_VALUE"""),72.92)</f>
        <v>72.92</v>
      </c>
      <c r="E1878" s="1">
        <f>IFERROR(__xludf.DUMMYFUNCTION("""COMPUTED_VALUE"""),74.1)</f>
        <v>74.1</v>
      </c>
      <c r="F1878" s="1">
        <f>IFERROR(__xludf.DUMMYFUNCTION("""COMPUTED_VALUE"""),851751.0)</f>
        <v>851751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IFERROR(__xludf.DUMMYFUNCTION("""COMPUTED_VALUE"""),75.57)</f>
        <v>75.57</v>
      </c>
      <c r="C1879" s="1">
        <f>IFERROR(__xludf.DUMMYFUNCTION("""COMPUTED_VALUE"""),76.63)</f>
        <v>76.63</v>
      </c>
      <c r="D1879" s="1">
        <f>IFERROR(__xludf.DUMMYFUNCTION("""COMPUTED_VALUE"""),75.01)</f>
        <v>75.01</v>
      </c>
      <c r="E1879" s="1">
        <f>IFERROR(__xludf.DUMMYFUNCTION("""COMPUTED_VALUE"""),75.47)</f>
        <v>75.47</v>
      </c>
      <c r="F1879" s="1">
        <f>IFERROR(__xludf.DUMMYFUNCTION("""COMPUTED_VALUE"""),1144767.0)</f>
        <v>1144767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IFERROR(__xludf.DUMMYFUNCTION("""COMPUTED_VALUE"""),75.22)</f>
        <v>75.22</v>
      </c>
      <c r="C1880" s="1">
        <f>IFERROR(__xludf.DUMMYFUNCTION("""COMPUTED_VALUE"""),76.31)</f>
        <v>76.31</v>
      </c>
      <c r="D1880" s="1">
        <f>IFERROR(__xludf.DUMMYFUNCTION("""COMPUTED_VALUE"""),73.71)</f>
        <v>73.71</v>
      </c>
      <c r="E1880" s="1">
        <f>IFERROR(__xludf.DUMMYFUNCTION("""COMPUTED_VALUE"""),74.17)</f>
        <v>74.17</v>
      </c>
      <c r="F1880" s="1">
        <f>IFERROR(__xludf.DUMMYFUNCTION("""COMPUTED_VALUE"""),1349398.0)</f>
        <v>1349398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IFERROR(__xludf.DUMMYFUNCTION("""COMPUTED_VALUE"""),74.62)</f>
        <v>74.62</v>
      </c>
      <c r="C1881" s="1">
        <f>IFERROR(__xludf.DUMMYFUNCTION("""COMPUTED_VALUE"""),74.79)</f>
        <v>74.79</v>
      </c>
      <c r="D1881" s="1">
        <f>IFERROR(__xludf.DUMMYFUNCTION("""COMPUTED_VALUE"""),72.14)</f>
        <v>72.14</v>
      </c>
      <c r="E1881" s="1">
        <f>IFERROR(__xludf.DUMMYFUNCTION("""COMPUTED_VALUE"""),72.84)</f>
        <v>72.84</v>
      </c>
      <c r="F1881" s="1">
        <f>IFERROR(__xludf.DUMMYFUNCTION("""COMPUTED_VALUE"""),1148108.0)</f>
        <v>1148108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IFERROR(__xludf.DUMMYFUNCTION("""COMPUTED_VALUE"""),72.58)</f>
        <v>72.58</v>
      </c>
      <c r="C1882" s="1">
        <f>IFERROR(__xludf.DUMMYFUNCTION("""COMPUTED_VALUE"""),72.87)</f>
        <v>72.87</v>
      </c>
      <c r="D1882" s="1">
        <f>IFERROR(__xludf.DUMMYFUNCTION("""COMPUTED_VALUE"""),71.5)</f>
        <v>71.5</v>
      </c>
      <c r="E1882" s="1">
        <f>IFERROR(__xludf.DUMMYFUNCTION("""COMPUTED_VALUE"""),72.65)</f>
        <v>72.65</v>
      </c>
      <c r="F1882" s="1">
        <f>IFERROR(__xludf.DUMMYFUNCTION("""COMPUTED_VALUE"""),1287365.0)</f>
        <v>1287365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IFERROR(__xludf.DUMMYFUNCTION("""COMPUTED_VALUE"""),73.02)</f>
        <v>73.02</v>
      </c>
      <c r="C1883" s="1">
        <f>IFERROR(__xludf.DUMMYFUNCTION("""COMPUTED_VALUE"""),73.86)</f>
        <v>73.86</v>
      </c>
      <c r="D1883" s="1">
        <f>IFERROR(__xludf.DUMMYFUNCTION("""COMPUTED_VALUE"""),72.52)</f>
        <v>72.52</v>
      </c>
      <c r="E1883" s="1">
        <f>IFERROR(__xludf.DUMMYFUNCTION("""COMPUTED_VALUE"""),72.72)</f>
        <v>72.72</v>
      </c>
      <c r="F1883" s="1">
        <f>IFERROR(__xludf.DUMMYFUNCTION("""COMPUTED_VALUE"""),555374.0)</f>
        <v>555374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IFERROR(__xludf.DUMMYFUNCTION("""COMPUTED_VALUE"""),73.25)</f>
        <v>73.25</v>
      </c>
      <c r="C1884" s="1">
        <f>IFERROR(__xludf.DUMMYFUNCTION("""COMPUTED_VALUE"""),75.35)</f>
        <v>75.35</v>
      </c>
      <c r="D1884" s="1">
        <f>IFERROR(__xludf.DUMMYFUNCTION("""COMPUTED_VALUE"""),72.06)</f>
        <v>72.06</v>
      </c>
      <c r="E1884" s="1">
        <f>IFERROR(__xludf.DUMMYFUNCTION("""COMPUTED_VALUE"""),72.41)</f>
        <v>72.41</v>
      </c>
      <c r="F1884" s="1">
        <f>IFERROR(__xludf.DUMMYFUNCTION("""COMPUTED_VALUE"""),876872.0)</f>
        <v>876872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IFERROR(__xludf.DUMMYFUNCTION("""COMPUTED_VALUE"""),72.02)</f>
        <v>72.02</v>
      </c>
      <c r="C1885" s="1">
        <f>IFERROR(__xludf.DUMMYFUNCTION("""COMPUTED_VALUE"""),74.89)</f>
        <v>74.89</v>
      </c>
      <c r="D1885" s="1">
        <f>IFERROR(__xludf.DUMMYFUNCTION("""COMPUTED_VALUE"""),71.56)</f>
        <v>71.56</v>
      </c>
      <c r="E1885" s="1">
        <f>IFERROR(__xludf.DUMMYFUNCTION("""COMPUTED_VALUE"""),71.6)</f>
        <v>71.6</v>
      </c>
      <c r="F1885" s="1">
        <f>IFERROR(__xludf.DUMMYFUNCTION("""COMPUTED_VALUE"""),1005425.0)</f>
        <v>1005425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IFERROR(__xludf.DUMMYFUNCTION("""COMPUTED_VALUE"""),72.25)</f>
        <v>72.25</v>
      </c>
      <c r="C1886" s="1">
        <f>IFERROR(__xludf.DUMMYFUNCTION("""COMPUTED_VALUE"""),72.27)</f>
        <v>72.27</v>
      </c>
      <c r="D1886" s="1">
        <f>IFERROR(__xludf.DUMMYFUNCTION("""COMPUTED_VALUE"""),70.31)</f>
        <v>70.31</v>
      </c>
      <c r="E1886" s="1">
        <f>IFERROR(__xludf.DUMMYFUNCTION("""COMPUTED_VALUE"""),71.29)</f>
        <v>71.29</v>
      </c>
      <c r="F1886" s="1">
        <f>IFERROR(__xludf.DUMMYFUNCTION("""COMPUTED_VALUE"""),1050516.0)</f>
        <v>1050516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IFERROR(__xludf.DUMMYFUNCTION("""COMPUTED_VALUE"""),71.28)</f>
        <v>71.28</v>
      </c>
      <c r="C1887" s="1">
        <f>IFERROR(__xludf.DUMMYFUNCTION("""COMPUTED_VALUE"""),72.44)</f>
        <v>72.44</v>
      </c>
      <c r="D1887" s="1">
        <f>IFERROR(__xludf.DUMMYFUNCTION("""COMPUTED_VALUE"""),69.91)</f>
        <v>69.91</v>
      </c>
      <c r="E1887" s="1">
        <f>IFERROR(__xludf.DUMMYFUNCTION("""COMPUTED_VALUE"""),70.42)</f>
        <v>70.42</v>
      </c>
      <c r="F1887" s="1">
        <f>IFERROR(__xludf.DUMMYFUNCTION("""COMPUTED_VALUE"""),1241037.0)</f>
        <v>1241037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IFERROR(__xludf.DUMMYFUNCTION("""COMPUTED_VALUE"""),70.5)</f>
        <v>70.5</v>
      </c>
      <c r="C1888" s="1">
        <f>IFERROR(__xludf.DUMMYFUNCTION("""COMPUTED_VALUE"""),71.55)</f>
        <v>71.55</v>
      </c>
      <c r="D1888" s="1">
        <f>IFERROR(__xludf.DUMMYFUNCTION("""COMPUTED_VALUE"""),69.97)</f>
        <v>69.97</v>
      </c>
      <c r="E1888" s="1">
        <f>IFERROR(__xludf.DUMMYFUNCTION("""COMPUTED_VALUE"""),70.49)</f>
        <v>70.49</v>
      </c>
      <c r="F1888" s="1">
        <f>IFERROR(__xludf.DUMMYFUNCTION("""COMPUTED_VALUE"""),915433.0)</f>
        <v>915433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IFERROR(__xludf.DUMMYFUNCTION("""COMPUTED_VALUE"""),70.63)</f>
        <v>70.63</v>
      </c>
      <c r="C1889" s="1">
        <f>IFERROR(__xludf.DUMMYFUNCTION("""COMPUTED_VALUE"""),72.32)</f>
        <v>72.32</v>
      </c>
      <c r="D1889" s="1">
        <f>IFERROR(__xludf.DUMMYFUNCTION("""COMPUTED_VALUE"""),70.58)</f>
        <v>70.58</v>
      </c>
      <c r="E1889" s="1">
        <f>IFERROR(__xludf.DUMMYFUNCTION("""COMPUTED_VALUE"""),71.33)</f>
        <v>71.33</v>
      </c>
      <c r="F1889" s="1">
        <f>IFERROR(__xludf.DUMMYFUNCTION("""COMPUTED_VALUE"""),674519.0)</f>
        <v>674519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IFERROR(__xludf.DUMMYFUNCTION("""COMPUTED_VALUE"""),71.6)</f>
        <v>71.6</v>
      </c>
      <c r="C1890" s="1">
        <f>IFERROR(__xludf.DUMMYFUNCTION("""COMPUTED_VALUE"""),72.14)</f>
        <v>72.14</v>
      </c>
      <c r="D1890" s="1">
        <f>IFERROR(__xludf.DUMMYFUNCTION("""COMPUTED_VALUE"""),70.91)</f>
        <v>70.91</v>
      </c>
      <c r="E1890" s="1">
        <f>IFERROR(__xludf.DUMMYFUNCTION("""COMPUTED_VALUE"""),72.0)</f>
        <v>72</v>
      </c>
      <c r="F1890" s="1">
        <f>IFERROR(__xludf.DUMMYFUNCTION("""COMPUTED_VALUE"""),601632.0)</f>
        <v>601632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IFERROR(__xludf.DUMMYFUNCTION("""COMPUTED_VALUE"""),72.0)</f>
        <v>72</v>
      </c>
      <c r="C1891" s="1">
        <f>IFERROR(__xludf.DUMMYFUNCTION("""COMPUTED_VALUE"""),73.08)</f>
        <v>73.08</v>
      </c>
      <c r="D1891" s="1">
        <f>IFERROR(__xludf.DUMMYFUNCTION("""COMPUTED_VALUE"""),70.6)</f>
        <v>70.6</v>
      </c>
      <c r="E1891" s="1">
        <f>IFERROR(__xludf.DUMMYFUNCTION("""COMPUTED_VALUE"""),71.0)</f>
        <v>71</v>
      </c>
      <c r="F1891" s="1">
        <f>IFERROR(__xludf.DUMMYFUNCTION("""COMPUTED_VALUE"""),1613637.0)</f>
        <v>1613637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IFERROR(__xludf.DUMMYFUNCTION("""COMPUTED_VALUE"""),71.11)</f>
        <v>71.11</v>
      </c>
      <c r="C1892" s="1">
        <f>IFERROR(__xludf.DUMMYFUNCTION("""COMPUTED_VALUE"""),72.68)</f>
        <v>72.68</v>
      </c>
      <c r="D1892" s="1">
        <f>IFERROR(__xludf.DUMMYFUNCTION("""COMPUTED_VALUE"""),70.37)</f>
        <v>70.37</v>
      </c>
      <c r="E1892" s="1">
        <f>IFERROR(__xludf.DUMMYFUNCTION("""COMPUTED_VALUE"""),72.12)</f>
        <v>72.12</v>
      </c>
      <c r="F1892" s="1">
        <f>IFERROR(__xludf.DUMMYFUNCTION("""COMPUTED_VALUE"""),848165.0)</f>
        <v>848165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IFERROR(__xludf.DUMMYFUNCTION("""COMPUTED_VALUE"""),72.34)</f>
        <v>72.34</v>
      </c>
      <c r="C1893" s="1">
        <f>IFERROR(__xludf.DUMMYFUNCTION("""COMPUTED_VALUE"""),75.09)</f>
        <v>75.09</v>
      </c>
      <c r="D1893" s="1">
        <f>IFERROR(__xludf.DUMMYFUNCTION("""COMPUTED_VALUE"""),72.34)</f>
        <v>72.34</v>
      </c>
      <c r="E1893" s="1">
        <f>IFERROR(__xludf.DUMMYFUNCTION("""COMPUTED_VALUE"""),74.65)</f>
        <v>74.65</v>
      </c>
      <c r="F1893" s="1">
        <f>IFERROR(__xludf.DUMMYFUNCTION("""COMPUTED_VALUE"""),1155794.0)</f>
        <v>1155794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IFERROR(__xludf.DUMMYFUNCTION("""COMPUTED_VALUE"""),75.25)</f>
        <v>75.25</v>
      </c>
      <c r="C1894" s="1">
        <f>IFERROR(__xludf.DUMMYFUNCTION("""COMPUTED_VALUE"""),76.26)</f>
        <v>76.26</v>
      </c>
      <c r="D1894" s="1">
        <f>IFERROR(__xludf.DUMMYFUNCTION("""COMPUTED_VALUE"""),73.81)</f>
        <v>73.81</v>
      </c>
      <c r="E1894" s="1">
        <f>IFERROR(__xludf.DUMMYFUNCTION("""COMPUTED_VALUE"""),76.13)</f>
        <v>76.13</v>
      </c>
      <c r="F1894" s="1">
        <f>IFERROR(__xludf.DUMMYFUNCTION("""COMPUTED_VALUE"""),949868.0)</f>
        <v>949868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IFERROR(__xludf.DUMMYFUNCTION("""COMPUTED_VALUE"""),76.9)</f>
        <v>76.9</v>
      </c>
      <c r="C1895" s="1">
        <f>IFERROR(__xludf.DUMMYFUNCTION("""COMPUTED_VALUE"""),80.0)</f>
        <v>80</v>
      </c>
      <c r="D1895" s="1">
        <f>IFERROR(__xludf.DUMMYFUNCTION("""COMPUTED_VALUE"""),76.59)</f>
        <v>76.59</v>
      </c>
      <c r="E1895" s="1">
        <f>IFERROR(__xludf.DUMMYFUNCTION("""COMPUTED_VALUE"""),79.86)</f>
        <v>79.86</v>
      </c>
      <c r="F1895" s="1">
        <f>IFERROR(__xludf.DUMMYFUNCTION("""COMPUTED_VALUE"""),1548028.0)</f>
        <v>1548028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IFERROR(__xludf.DUMMYFUNCTION("""COMPUTED_VALUE"""),79.8)</f>
        <v>79.8</v>
      </c>
      <c r="C1896" s="1">
        <f>IFERROR(__xludf.DUMMYFUNCTION("""COMPUTED_VALUE"""),80.0)</f>
        <v>80</v>
      </c>
      <c r="D1896" s="1">
        <f>IFERROR(__xludf.DUMMYFUNCTION("""COMPUTED_VALUE"""),77.13)</f>
        <v>77.13</v>
      </c>
      <c r="E1896" s="1">
        <f>IFERROR(__xludf.DUMMYFUNCTION("""COMPUTED_VALUE"""),78.19)</f>
        <v>78.19</v>
      </c>
      <c r="F1896" s="1">
        <f>IFERROR(__xludf.DUMMYFUNCTION("""COMPUTED_VALUE"""),1487845.0)</f>
        <v>1487845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IFERROR(__xludf.DUMMYFUNCTION("""COMPUTED_VALUE"""),78.31)</f>
        <v>78.31</v>
      </c>
      <c r="C1897" s="1">
        <f>IFERROR(__xludf.DUMMYFUNCTION("""COMPUTED_VALUE"""),81.88)</f>
        <v>81.88</v>
      </c>
      <c r="D1897" s="1">
        <f>IFERROR(__xludf.DUMMYFUNCTION("""COMPUTED_VALUE"""),78.18)</f>
        <v>78.18</v>
      </c>
      <c r="E1897" s="1">
        <f>IFERROR(__xludf.DUMMYFUNCTION("""COMPUTED_VALUE"""),79.78)</f>
        <v>79.78</v>
      </c>
      <c r="F1897" s="1">
        <f>IFERROR(__xludf.DUMMYFUNCTION("""COMPUTED_VALUE"""),1799944.0)</f>
        <v>1799944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IFERROR(__xludf.DUMMYFUNCTION("""COMPUTED_VALUE"""),80.1)</f>
        <v>80.1</v>
      </c>
      <c r="C1898" s="1">
        <f>IFERROR(__xludf.DUMMYFUNCTION("""COMPUTED_VALUE"""),81.8)</f>
        <v>81.8</v>
      </c>
      <c r="D1898" s="1">
        <f>IFERROR(__xludf.DUMMYFUNCTION("""COMPUTED_VALUE"""),79.28)</f>
        <v>79.28</v>
      </c>
      <c r="E1898" s="1">
        <f>IFERROR(__xludf.DUMMYFUNCTION("""COMPUTED_VALUE"""),79.8)</f>
        <v>79.8</v>
      </c>
      <c r="F1898" s="1">
        <f>IFERROR(__xludf.DUMMYFUNCTION("""COMPUTED_VALUE"""),967345.0)</f>
        <v>967345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IFERROR(__xludf.DUMMYFUNCTION("""COMPUTED_VALUE"""),80.15)</f>
        <v>80.15</v>
      </c>
      <c r="C1899" s="1">
        <f>IFERROR(__xludf.DUMMYFUNCTION("""COMPUTED_VALUE"""),82.47)</f>
        <v>82.47</v>
      </c>
      <c r="D1899" s="1">
        <f>IFERROR(__xludf.DUMMYFUNCTION("""COMPUTED_VALUE"""),79.14)</f>
        <v>79.14</v>
      </c>
      <c r="E1899" s="1">
        <f>IFERROR(__xludf.DUMMYFUNCTION("""COMPUTED_VALUE"""),82.07)</f>
        <v>82.07</v>
      </c>
      <c r="F1899" s="1">
        <f>IFERROR(__xludf.DUMMYFUNCTION("""COMPUTED_VALUE"""),1200750.0)</f>
        <v>1200750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IFERROR(__xludf.DUMMYFUNCTION("""COMPUTED_VALUE"""),82.07)</f>
        <v>82.07</v>
      </c>
      <c r="C1900" s="1">
        <f>IFERROR(__xludf.DUMMYFUNCTION("""COMPUTED_VALUE"""),82.62)</f>
        <v>82.62</v>
      </c>
      <c r="D1900" s="1">
        <f>IFERROR(__xludf.DUMMYFUNCTION("""COMPUTED_VALUE"""),80.03)</f>
        <v>80.03</v>
      </c>
      <c r="E1900" s="1">
        <f>IFERROR(__xludf.DUMMYFUNCTION("""COMPUTED_VALUE"""),80.23)</f>
        <v>80.23</v>
      </c>
      <c r="F1900" s="1">
        <f>IFERROR(__xludf.DUMMYFUNCTION("""COMPUTED_VALUE"""),1395796.0)</f>
        <v>1395796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IFERROR(__xludf.DUMMYFUNCTION("""COMPUTED_VALUE"""),80.55)</f>
        <v>80.55</v>
      </c>
      <c r="C1901" s="1">
        <f>IFERROR(__xludf.DUMMYFUNCTION("""COMPUTED_VALUE"""),81.75)</f>
        <v>81.75</v>
      </c>
      <c r="D1901" s="1">
        <f>IFERROR(__xludf.DUMMYFUNCTION("""COMPUTED_VALUE"""),79.12)</f>
        <v>79.12</v>
      </c>
      <c r="E1901" s="1">
        <f>IFERROR(__xludf.DUMMYFUNCTION("""COMPUTED_VALUE"""),80.61)</f>
        <v>80.61</v>
      </c>
      <c r="F1901" s="1">
        <f>IFERROR(__xludf.DUMMYFUNCTION("""COMPUTED_VALUE"""),1425863.0)</f>
        <v>1425863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IFERROR(__xludf.DUMMYFUNCTION("""COMPUTED_VALUE"""),80.57)</f>
        <v>80.57</v>
      </c>
      <c r="C1902" s="1">
        <f>IFERROR(__xludf.DUMMYFUNCTION("""COMPUTED_VALUE"""),80.57)</f>
        <v>80.57</v>
      </c>
      <c r="D1902" s="1">
        <f>IFERROR(__xludf.DUMMYFUNCTION("""COMPUTED_VALUE"""),78.85)</f>
        <v>78.85</v>
      </c>
      <c r="E1902" s="1">
        <f>IFERROR(__xludf.DUMMYFUNCTION("""COMPUTED_VALUE"""),79.11)</f>
        <v>79.11</v>
      </c>
      <c r="F1902" s="1">
        <f>IFERROR(__xludf.DUMMYFUNCTION("""COMPUTED_VALUE"""),1042791.0)</f>
        <v>1042791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IFERROR(__xludf.DUMMYFUNCTION("""COMPUTED_VALUE"""),79.35)</f>
        <v>79.35</v>
      </c>
      <c r="C1903" s="1">
        <f>IFERROR(__xludf.DUMMYFUNCTION("""COMPUTED_VALUE"""),81.08)</f>
        <v>81.08</v>
      </c>
      <c r="D1903" s="1">
        <f>IFERROR(__xludf.DUMMYFUNCTION("""COMPUTED_VALUE"""),78.75)</f>
        <v>78.75</v>
      </c>
      <c r="E1903" s="1">
        <f>IFERROR(__xludf.DUMMYFUNCTION("""COMPUTED_VALUE"""),80.49)</f>
        <v>80.49</v>
      </c>
      <c r="F1903" s="1">
        <f>IFERROR(__xludf.DUMMYFUNCTION("""COMPUTED_VALUE"""),1798235.0)</f>
        <v>1798235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IFERROR(__xludf.DUMMYFUNCTION("""COMPUTED_VALUE"""),77.75)</f>
        <v>77.75</v>
      </c>
      <c r="C1904" s="1">
        <f>IFERROR(__xludf.DUMMYFUNCTION("""COMPUTED_VALUE"""),81.74)</f>
        <v>81.74</v>
      </c>
      <c r="D1904" s="1">
        <f>IFERROR(__xludf.DUMMYFUNCTION("""COMPUTED_VALUE"""),76.23)</f>
        <v>76.23</v>
      </c>
      <c r="E1904" s="1">
        <f>IFERROR(__xludf.DUMMYFUNCTION("""COMPUTED_VALUE"""),80.7)</f>
        <v>80.7</v>
      </c>
      <c r="F1904" s="1">
        <f>IFERROR(__xludf.DUMMYFUNCTION("""COMPUTED_VALUE"""),3751148.0)</f>
        <v>3751148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IFERROR(__xludf.DUMMYFUNCTION("""COMPUTED_VALUE"""),80.73)</f>
        <v>80.73</v>
      </c>
      <c r="C1905" s="1">
        <f>IFERROR(__xludf.DUMMYFUNCTION("""COMPUTED_VALUE"""),83.91)</f>
        <v>83.91</v>
      </c>
      <c r="D1905" s="1">
        <f>IFERROR(__xludf.DUMMYFUNCTION("""COMPUTED_VALUE"""),80.7)</f>
        <v>80.7</v>
      </c>
      <c r="E1905" s="1">
        <f>IFERROR(__xludf.DUMMYFUNCTION("""COMPUTED_VALUE"""),82.87)</f>
        <v>82.87</v>
      </c>
      <c r="F1905" s="1">
        <f>IFERROR(__xludf.DUMMYFUNCTION("""COMPUTED_VALUE"""),1859929.0)</f>
        <v>1859929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IFERROR(__xludf.DUMMYFUNCTION("""COMPUTED_VALUE"""),83.14)</f>
        <v>83.14</v>
      </c>
      <c r="C1906" s="1">
        <f>IFERROR(__xludf.DUMMYFUNCTION("""COMPUTED_VALUE"""),83.5)</f>
        <v>83.5</v>
      </c>
      <c r="D1906" s="1">
        <f>IFERROR(__xludf.DUMMYFUNCTION("""COMPUTED_VALUE"""),78.34)</f>
        <v>78.34</v>
      </c>
      <c r="E1906" s="1">
        <f>IFERROR(__xludf.DUMMYFUNCTION("""COMPUTED_VALUE"""),79.23)</f>
        <v>79.23</v>
      </c>
      <c r="F1906" s="1">
        <f>IFERROR(__xludf.DUMMYFUNCTION("""COMPUTED_VALUE"""),1887316.0)</f>
        <v>1887316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IFERROR(__xludf.DUMMYFUNCTION("""COMPUTED_VALUE"""),79.15)</f>
        <v>79.15</v>
      </c>
      <c r="C1907" s="1">
        <f>IFERROR(__xludf.DUMMYFUNCTION("""COMPUTED_VALUE"""),80.2)</f>
        <v>80.2</v>
      </c>
      <c r="D1907" s="1">
        <f>IFERROR(__xludf.DUMMYFUNCTION("""COMPUTED_VALUE"""),78.31)</f>
        <v>78.31</v>
      </c>
      <c r="E1907" s="1">
        <f>IFERROR(__xludf.DUMMYFUNCTION("""COMPUTED_VALUE"""),79.84)</f>
        <v>79.84</v>
      </c>
      <c r="F1907" s="1">
        <f>IFERROR(__xludf.DUMMYFUNCTION("""COMPUTED_VALUE"""),941919.0)</f>
        <v>941919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IFERROR(__xludf.DUMMYFUNCTION("""COMPUTED_VALUE"""),80.18)</f>
        <v>80.18</v>
      </c>
      <c r="C1908" s="1">
        <f>IFERROR(__xludf.DUMMYFUNCTION("""COMPUTED_VALUE"""),82.04)</f>
        <v>82.04</v>
      </c>
      <c r="D1908" s="1">
        <f>IFERROR(__xludf.DUMMYFUNCTION("""COMPUTED_VALUE"""),78.12)</f>
        <v>78.12</v>
      </c>
      <c r="E1908" s="1">
        <f>IFERROR(__xludf.DUMMYFUNCTION("""COMPUTED_VALUE"""),79.66)</f>
        <v>79.66</v>
      </c>
      <c r="F1908" s="1">
        <f>IFERROR(__xludf.DUMMYFUNCTION("""COMPUTED_VALUE"""),1011224.0)</f>
        <v>1011224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IFERROR(__xludf.DUMMYFUNCTION("""COMPUTED_VALUE"""),80.3)</f>
        <v>80.3</v>
      </c>
      <c r="C1909" s="1">
        <f>IFERROR(__xludf.DUMMYFUNCTION("""COMPUTED_VALUE"""),81.07)</f>
        <v>81.07</v>
      </c>
      <c r="D1909" s="1">
        <f>IFERROR(__xludf.DUMMYFUNCTION("""COMPUTED_VALUE"""),78.0)</f>
        <v>78</v>
      </c>
      <c r="E1909" s="1">
        <f>IFERROR(__xludf.DUMMYFUNCTION("""COMPUTED_VALUE"""),78.11)</f>
        <v>78.11</v>
      </c>
      <c r="F1909" s="1">
        <f>IFERROR(__xludf.DUMMYFUNCTION("""COMPUTED_VALUE"""),1488367.0)</f>
        <v>1488367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IFERROR(__xludf.DUMMYFUNCTION("""COMPUTED_VALUE"""),78.33)</f>
        <v>78.33</v>
      </c>
      <c r="C1910" s="1">
        <f>IFERROR(__xludf.DUMMYFUNCTION("""COMPUTED_VALUE"""),79.12)</f>
        <v>79.12</v>
      </c>
      <c r="D1910" s="1">
        <f>IFERROR(__xludf.DUMMYFUNCTION("""COMPUTED_VALUE"""),75.85)</f>
        <v>75.85</v>
      </c>
      <c r="E1910" s="1">
        <f>IFERROR(__xludf.DUMMYFUNCTION("""COMPUTED_VALUE"""),77.32)</f>
        <v>77.32</v>
      </c>
      <c r="F1910" s="1">
        <f>IFERROR(__xludf.DUMMYFUNCTION("""COMPUTED_VALUE"""),2116368.0)</f>
        <v>2116368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IFERROR(__xludf.DUMMYFUNCTION("""COMPUTED_VALUE"""),78.14)</f>
        <v>78.14</v>
      </c>
      <c r="C1911" s="1">
        <f>IFERROR(__xludf.DUMMYFUNCTION("""COMPUTED_VALUE"""),78.83)</f>
        <v>78.83</v>
      </c>
      <c r="D1911" s="1">
        <f>IFERROR(__xludf.DUMMYFUNCTION("""COMPUTED_VALUE"""),76.9)</f>
        <v>76.9</v>
      </c>
      <c r="E1911" s="1">
        <f>IFERROR(__xludf.DUMMYFUNCTION("""COMPUTED_VALUE"""),78.65)</f>
        <v>78.65</v>
      </c>
      <c r="F1911" s="1">
        <f>IFERROR(__xludf.DUMMYFUNCTION("""COMPUTED_VALUE"""),920858.0)</f>
        <v>920858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IFERROR(__xludf.DUMMYFUNCTION("""COMPUTED_VALUE"""),79.2)</f>
        <v>79.2</v>
      </c>
      <c r="C1912" s="1">
        <f>IFERROR(__xludf.DUMMYFUNCTION("""COMPUTED_VALUE"""),80.08)</f>
        <v>80.08</v>
      </c>
      <c r="D1912" s="1">
        <f>IFERROR(__xludf.DUMMYFUNCTION("""COMPUTED_VALUE"""),78.6)</f>
        <v>78.6</v>
      </c>
      <c r="E1912" s="1">
        <f>IFERROR(__xludf.DUMMYFUNCTION("""COMPUTED_VALUE"""),79.09)</f>
        <v>79.09</v>
      </c>
      <c r="F1912" s="1">
        <f>IFERROR(__xludf.DUMMYFUNCTION("""COMPUTED_VALUE"""),542739.0)</f>
        <v>542739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IFERROR(__xludf.DUMMYFUNCTION("""COMPUTED_VALUE"""),80.08)</f>
        <v>80.08</v>
      </c>
      <c r="C1913" s="1">
        <f>IFERROR(__xludf.DUMMYFUNCTION("""COMPUTED_VALUE"""),81.63)</f>
        <v>81.63</v>
      </c>
      <c r="D1913" s="1">
        <f>IFERROR(__xludf.DUMMYFUNCTION("""COMPUTED_VALUE"""),79.58)</f>
        <v>79.58</v>
      </c>
      <c r="E1913" s="1">
        <f>IFERROR(__xludf.DUMMYFUNCTION("""COMPUTED_VALUE"""),81.1)</f>
        <v>81.1</v>
      </c>
      <c r="F1913" s="1">
        <f>IFERROR(__xludf.DUMMYFUNCTION("""COMPUTED_VALUE"""),1531701.0)</f>
        <v>1531701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IFERROR(__xludf.DUMMYFUNCTION("""COMPUTED_VALUE"""),80.87)</f>
        <v>80.87</v>
      </c>
      <c r="C1914" s="1">
        <f>IFERROR(__xludf.DUMMYFUNCTION("""COMPUTED_VALUE"""),81.09)</f>
        <v>81.09</v>
      </c>
      <c r="D1914" s="1">
        <f>IFERROR(__xludf.DUMMYFUNCTION("""COMPUTED_VALUE"""),78.65)</f>
        <v>78.65</v>
      </c>
      <c r="E1914" s="1">
        <f>IFERROR(__xludf.DUMMYFUNCTION("""COMPUTED_VALUE"""),80.08)</f>
        <v>80.08</v>
      </c>
      <c r="F1914" s="1">
        <f>IFERROR(__xludf.DUMMYFUNCTION("""COMPUTED_VALUE"""),814602.0)</f>
        <v>814602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IFERROR(__xludf.DUMMYFUNCTION("""COMPUTED_VALUE"""),79.61)</f>
        <v>79.61</v>
      </c>
      <c r="C1915" s="1">
        <f>IFERROR(__xludf.DUMMYFUNCTION("""COMPUTED_VALUE"""),80.46)</f>
        <v>80.46</v>
      </c>
      <c r="D1915" s="1">
        <f>IFERROR(__xludf.DUMMYFUNCTION("""COMPUTED_VALUE"""),79.16)</f>
        <v>79.16</v>
      </c>
      <c r="E1915" s="1">
        <f>IFERROR(__xludf.DUMMYFUNCTION("""COMPUTED_VALUE"""),79.82)</f>
        <v>79.82</v>
      </c>
      <c r="F1915" s="1">
        <f>IFERROR(__xludf.DUMMYFUNCTION("""COMPUTED_VALUE"""),1176407.0)</f>
        <v>1176407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IFERROR(__xludf.DUMMYFUNCTION("""COMPUTED_VALUE"""),79.33)</f>
        <v>79.33</v>
      </c>
      <c r="C1916" s="1">
        <f>IFERROR(__xludf.DUMMYFUNCTION("""COMPUTED_VALUE"""),79.91)</f>
        <v>79.91</v>
      </c>
      <c r="D1916" s="1">
        <f>IFERROR(__xludf.DUMMYFUNCTION("""COMPUTED_VALUE"""),77.06)</f>
        <v>77.06</v>
      </c>
      <c r="E1916" s="1">
        <f>IFERROR(__xludf.DUMMYFUNCTION("""COMPUTED_VALUE"""),77.54)</f>
        <v>77.54</v>
      </c>
      <c r="F1916" s="1">
        <f>IFERROR(__xludf.DUMMYFUNCTION("""COMPUTED_VALUE"""),924015.0)</f>
        <v>924015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IFERROR(__xludf.DUMMYFUNCTION("""COMPUTED_VALUE"""),76.97)</f>
        <v>76.97</v>
      </c>
      <c r="C1917" s="1">
        <f>IFERROR(__xludf.DUMMYFUNCTION("""COMPUTED_VALUE"""),78.28)</f>
        <v>78.28</v>
      </c>
      <c r="D1917" s="1">
        <f>IFERROR(__xludf.DUMMYFUNCTION("""COMPUTED_VALUE"""),75.39)</f>
        <v>75.39</v>
      </c>
      <c r="E1917" s="1">
        <f>IFERROR(__xludf.DUMMYFUNCTION("""COMPUTED_VALUE"""),78.23)</f>
        <v>78.23</v>
      </c>
      <c r="F1917" s="1">
        <f>IFERROR(__xludf.DUMMYFUNCTION("""COMPUTED_VALUE"""),1133462.0)</f>
        <v>1133462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IFERROR(__xludf.DUMMYFUNCTION("""COMPUTED_VALUE"""),79.83)</f>
        <v>79.83</v>
      </c>
      <c r="C1918" s="1">
        <f>IFERROR(__xludf.DUMMYFUNCTION("""COMPUTED_VALUE"""),82.77)</f>
        <v>82.77</v>
      </c>
      <c r="D1918" s="1">
        <f>IFERROR(__xludf.DUMMYFUNCTION("""COMPUTED_VALUE"""),79.83)</f>
        <v>79.83</v>
      </c>
      <c r="E1918" s="1">
        <f>IFERROR(__xludf.DUMMYFUNCTION("""COMPUTED_VALUE"""),82.34)</f>
        <v>82.34</v>
      </c>
      <c r="F1918" s="1">
        <f>IFERROR(__xludf.DUMMYFUNCTION("""COMPUTED_VALUE"""),1391232.0)</f>
        <v>1391232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IFERROR(__xludf.DUMMYFUNCTION("""COMPUTED_VALUE"""),82.45)</f>
        <v>82.45</v>
      </c>
      <c r="C1919" s="1">
        <f>IFERROR(__xludf.DUMMYFUNCTION("""COMPUTED_VALUE"""),82.54)</f>
        <v>82.54</v>
      </c>
      <c r="D1919" s="1">
        <f>IFERROR(__xludf.DUMMYFUNCTION("""COMPUTED_VALUE"""),80.77)</f>
        <v>80.77</v>
      </c>
      <c r="E1919" s="1">
        <f>IFERROR(__xludf.DUMMYFUNCTION("""COMPUTED_VALUE"""),81.06)</f>
        <v>81.06</v>
      </c>
      <c r="F1919" s="1">
        <f>IFERROR(__xludf.DUMMYFUNCTION("""COMPUTED_VALUE"""),732657.0)</f>
        <v>732657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IFERROR(__xludf.DUMMYFUNCTION("""COMPUTED_VALUE"""),81.71)</f>
        <v>81.71</v>
      </c>
      <c r="C1920" s="1">
        <f>IFERROR(__xludf.DUMMYFUNCTION("""COMPUTED_VALUE"""),82.14)</f>
        <v>82.14</v>
      </c>
      <c r="D1920" s="1">
        <f>IFERROR(__xludf.DUMMYFUNCTION("""COMPUTED_VALUE"""),80.02)</f>
        <v>80.02</v>
      </c>
      <c r="E1920" s="1">
        <f>IFERROR(__xludf.DUMMYFUNCTION("""COMPUTED_VALUE"""),80.47)</f>
        <v>80.47</v>
      </c>
      <c r="F1920" s="1">
        <f>IFERROR(__xludf.DUMMYFUNCTION("""COMPUTED_VALUE"""),712490.0)</f>
        <v>712490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IFERROR(__xludf.DUMMYFUNCTION("""COMPUTED_VALUE"""),80.64)</f>
        <v>80.64</v>
      </c>
      <c r="C1921" s="1">
        <f>IFERROR(__xludf.DUMMYFUNCTION("""COMPUTED_VALUE"""),81.8)</f>
        <v>81.8</v>
      </c>
      <c r="D1921" s="1">
        <f>IFERROR(__xludf.DUMMYFUNCTION("""COMPUTED_VALUE"""),79.01)</f>
        <v>79.01</v>
      </c>
      <c r="E1921" s="1">
        <f>IFERROR(__xludf.DUMMYFUNCTION("""COMPUTED_VALUE"""),79.2)</f>
        <v>79.2</v>
      </c>
      <c r="F1921" s="1">
        <f>IFERROR(__xludf.DUMMYFUNCTION("""COMPUTED_VALUE"""),894335.0)</f>
        <v>894335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IFERROR(__xludf.DUMMYFUNCTION("""COMPUTED_VALUE"""),79.37)</f>
        <v>79.37</v>
      </c>
      <c r="C1922" s="1">
        <f>IFERROR(__xludf.DUMMYFUNCTION("""COMPUTED_VALUE"""),81.4)</f>
        <v>81.4</v>
      </c>
      <c r="D1922" s="1">
        <f>IFERROR(__xludf.DUMMYFUNCTION("""COMPUTED_VALUE"""),78.82)</f>
        <v>78.82</v>
      </c>
      <c r="E1922" s="1">
        <f>IFERROR(__xludf.DUMMYFUNCTION("""COMPUTED_VALUE"""),80.05)</f>
        <v>80.05</v>
      </c>
      <c r="F1922" s="1">
        <f>IFERROR(__xludf.DUMMYFUNCTION("""COMPUTED_VALUE"""),860767.0)</f>
        <v>860767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IFERROR(__xludf.DUMMYFUNCTION("""COMPUTED_VALUE"""),80.19)</f>
        <v>80.19</v>
      </c>
      <c r="C1923" s="1">
        <f>IFERROR(__xludf.DUMMYFUNCTION("""COMPUTED_VALUE"""),82.55)</f>
        <v>82.55</v>
      </c>
      <c r="D1923" s="1">
        <f>IFERROR(__xludf.DUMMYFUNCTION("""COMPUTED_VALUE"""),79.01)</f>
        <v>79.01</v>
      </c>
      <c r="E1923" s="1">
        <f>IFERROR(__xludf.DUMMYFUNCTION("""COMPUTED_VALUE"""),82.03)</f>
        <v>82.03</v>
      </c>
      <c r="F1923" s="1">
        <f>IFERROR(__xludf.DUMMYFUNCTION("""COMPUTED_VALUE"""),1206591.0)</f>
        <v>1206591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IFERROR(__xludf.DUMMYFUNCTION("""COMPUTED_VALUE"""),82.03)</f>
        <v>82.03</v>
      </c>
      <c r="C1924" s="1">
        <f>IFERROR(__xludf.DUMMYFUNCTION("""COMPUTED_VALUE"""),85.79)</f>
        <v>85.79</v>
      </c>
      <c r="D1924" s="1">
        <f>IFERROR(__xludf.DUMMYFUNCTION("""COMPUTED_VALUE"""),82.03)</f>
        <v>82.03</v>
      </c>
      <c r="E1924" s="1">
        <f>IFERROR(__xludf.DUMMYFUNCTION("""COMPUTED_VALUE"""),83.52)</f>
        <v>83.52</v>
      </c>
      <c r="F1924" s="1">
        <f>IFERROR(__xludf.DUMMYFUNCTION("""COMPUTED_VALUE"""),1914061.0)</f>
        <v>1914061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IFERROR(__xludf.DUMMYFUNCTION("""COMPUTED_VALUE"""),82.98)</f>
        <v>82.98</v>
      </c>
      <c r="C1925" s="1">
        <f>IFERROR(__xludf.DUMMYFUNCTION("""COMPUTED_VALUE"""),86.88)</f>
        <v>86.88</v>
      </c>
      <c r="D1925" s="1">
        <f>IFERROR(__xludf.DUMMYFUNCTION("""COMPUTED_VALUE"""),82.1)</f>
        <v>82.1</v>
      </c>
      <c r="E1925" s="1">
        <f>IFERROR(__xludf.DUMMYFUNCTION("""COMPUTED_VALUE"""),84.46)</f>
        <v>84.46</v>
      </c>
      <c r="F1925" s="1">
        <f>IFERROR(__xludf.DUMMYFUNCTION("""COMPUTED_VALUE"""),1113117.0)</f>
        <v>1113117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IFERROR(__xludf.DUMMYFUNCTION("""COMPUTED_VALUE"""),84.95)</f>
        <v>84.95</v>
      </c>
      <c r="C1926" s="1">
        <f>IFERROR(__xludf.DUMMYFUNCTION("""COMPUTED_VALUE"""),85.95)</f>
        <v>85.95</v>
      </c>
      <c r="D1926" s="1">
        <f>IFERROR(__xludf.DUMMYFUNCTION("""COMPUTED_VALUE"""),82.28)</f>
        <v>82.28</v>
      </c>
      <c r="E1926" s="1">
        <f>IFERROR(__xludf.DUMMYFUNCTION("""COMPUTED_VALUE"""),83.22)</f>
        <v>83.22</v>
      </c>
      <c r="F1926" s="1">
        <f>IFERROR(__xludf.DUMMYFUNCTION("""COMPUTED_VALUE"""),873817.0)</f>
        <v>873817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IFERROR(__xludf.DUMMYFUNCTION("""COMPUTED_VALUE"""),84.76)</f>
        <v>84.76</v>
      </c>
      <c r="C1927" s="1">
        <f>IFERROR(__xludf.DUMMYFUNCTION("""COMPUTED_VALUE"""),84.98)</f>
        <v>84.98</v>
      </c>
      <c r="D1927" s="1">
        <f>IFERROR(__xludf.DUMMYFUNCTION("""COMPUTED_VALUE"""),77.53)</f>
        <v>77.53</v>
      </c>
      <c r="E1927" s="1">
        <f>IFERROR(__xludf.DUMMYFUNCTION("""COMPUTED_VALUE"""),77.79)</f>
        <v>77.79</v>
      </c>
      <c r="F1927" s="1">
        <f>IFERROR(__xludf.DUMMYFUNCTION("""COMPUTED_VALUE"""),1601816.0)</f>
        <v>1601816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IFERROR(__xludf.DUMMYFUNCTION("""COMPUTED_VALUE"""),78.29)</f>
        <v>78.29</v>
      </c>
      <c r="C1928" s="1">
        <f>IFERROR(__xludf.DUMMYFUNCTION("""COMPUTED_VALUE"""),79.19)</f>
        <v>79.19</v>
      </c>
      <c r="D1928" s="1">
        <f>IFERROR(__xludf.DUMMYFUNCTION("""COMPUTED_VALUE"""),75.56)</f>
        <v>75.56</v>
      </c>
      <c r="E1928" s="1">
        <f>IFERROR(__xludf.DUMMYFUNCTION("""COMPUTED_VALUE"""),76.68)</f>
        <v>76.68</v>
      </c>
      <c r="F1928" s="1">
        <f>IFERROR(__xludf.DUMMYFUNCTION("""COMPUTED_VALUE"""),2381692.0)</f>
        <v>2381692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IFERROR(__xludf.DUMMYFUNCTION("""COMPUTED_VALUE"""),76.21)</f>
        <v>76.21</v>
      </c>
      <c r="C1929" s="1">
        <f>IFERROR(__xludf.DUMMYFUNCTION("""COMPUTED_VALUE"""),78.58)</f>
        <v>78.58</v>
      </c>
      <c r="D1929" s="1">
        <f>IFERROR(__xludf.DUMMYFUNCTION("""COMPUTED_VALUE"""),74.66)</f>
        <v>74.66</v>
      </c>
      <c r="E1929" s="1">
        <f>IFERROR(__xludf.DUMMYFUNCTION("""COMPUTED_VALUE"""),78.31)</f>
        <v>78.31</v>
      </c>
      <c r="F1929" s="1">
        <f>IFERROR(__xludf.DUMMYFUNCTION("""COMPUTED_VALUE"""),1161319.0)</f>
        <v>1161319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IFERROR(__xludf.DUMMYFUNCTION("""COMPUTED_VALUE"""),78.94)</f>
        <v>78.94</v>
      </c>
      <c r="C1930" s="1">
        <f>IFERROR(__xludf.DUMMYFUNCTION("""COMPUTED_VALUE"""),80.5)</f>
        <v>80.5</v>
      </c>
      <c r="D1930" s="1">
        <f>IFERROR(__xludf.DUMMYFUNCTION("""COMPUTED_VALUE"""),78.15)</f>
        <v>78.15</v>
      </c>
      <c r="E1930" s="1">
        <f>IFERROR(__xludf.DUMMYFUNCTION("""COMPUTED_VALUE"""),79.31)</f>
        <v>79.31</v>
      </c>
      <c r="F1930" s="1">
        <f>IFERROR(__xludf.DUMMYFUNCTION("""COMPUTED_VALUE"""),825694.0)</f>
        <v>825694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IFERROR(__xludf.DUMMYFUNCTION("""COMPUTED_VALUE"""),79.94)</f>
        <v>79.94</v>
      </c>
      <c r="C1931" s="1">
        <f>IFERROR(__xludf.DUMMYFUNCTION("""COMPUTED_VALUE"""),81.97)</f>
        <v>81.97</v>
      </c>
      <c r="D1931" s="1">
        <f>IFERROR(__xludf.DUMMYFUNCTION("""COMPUTED_VALUE"""),78.71)</f>
        <v>78.71</v>
      </c>
      <c r="E1931" s="1">
        <f>IFERROR(__xludf.DUMMYFUNCTION("""COMPUTED_VALUE"""),81.75)</f>
        <v>81.75</v>
      </c>
      <c r="F1931" s="1">
        <f>IFERROR(__xludf.DUMMYFUNCTION("""COMPUTED_VALUE"""),1361459.0)</f>
        <v>1361459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IFERROR(__xludf.DUMMYFUNCTION("""COMPUTED_VALUE"""),82.11)</f>
        <v>82.11</v>
      </c>
      <c r="C1932" s="1">
        <f>IFERROR(__xludf.DUMMYFUNCTION("""COMPUTED_VALUE"""),84.73)</f>
        <v>84.73</v>
      </c>
      <c r="D1932" s="1">
        <f>IFERROR(__xludf.DUMMYFUNCTION("""COMPUTED_VALUE"""),82.02)</f>
        <v>82.02</v>
      </c>
      <c r="E1932" s="1">
        <f>IFERROR(__xludf.DUMMYFUNCTION("""COMPUTED_VALUE"""),84.12)</f>
        <v>84.12</v>
      </c>
      <c r="F1932" s="1">
        <f>IFERROR(__xludf.DUMMYFUNCTION("""COMPUTED_VALUE"""),1357834.0)</f>
        <v>1357834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IFERROR(__xludf.DUMMYFUNCTION("""COMPUTED_VALUE"""),83.58)</f>
        <v>83.58</v>
      </c>
      <c r="C1933" s="1">
        <f>IFERROR(__xludf.DUMMYFUNCTION("""COMPUTED_VALUE"""),86.08)</f>
        <v>86.08</v>
      </c>
      <c r="D1933" s="1">
        <f>IFERROR(__xludf.DUMMYFUNCTION("""COMPUTED_VALUE"""),80.59)</f>
        <v>80.59</v>
      </c>
      <c r="E1933" s="1">
        <f>IFERROR(__xludf.DUMMYFUNCTION("""COMPUTED_VALUE"""),80.92)</f>
        <v>80.92</v>
      </c>
      <c r="F1933" s="1">
        <f>IFERROR(__xludf.DUMMYFUNCTION("""COMPUTED_VALUE"""),1660384.0)</f>
        <v>1660384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IFERROR(__xludf.DUMMYFUNCTION("""COMPUTED_VALUE"""),81.19)</f>
        <v>81.19</v>
      </c>
      <c r="C1934" s="1">
        <f>IFERROR(__xludf.DUMMYFUNCTION("""COMPUTED_VALUE"""),84.62)</f>
        <v>84.62</v>
      </c>
      <c r="D1934" s="1">
        <f>IFERROR(__xludf.DUMMYFUNCTION("""COMPUTED_VALUE"""),81.19)</f>
        <v>81.19</v>
      </c>
      <c r="E1934" s="1">
        <f>IFERROR(__xludf.DUMMYFUNCTION("""COMPUTED_VALUE"""),83.28)</f>
        <v>83.28</v>
      </c>
      <c r="F1934" s="1">
        <f>IFERROR(__xludf.DUMMYFUNCTION("""COMPUTED_VALUE"""),1420738.0)</f>
        <v>1420738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IFERROR(__xludf.DUMMYFUNCTION("""COMPUTED_VALUE"""),84.17)</f>
        <v>84.17</v>
      </c>
      <c r="C1935" s="1">
        <f>IFERROR(__xludf.DUMMYFUNCTION("""COMPUTED_VALUE"""),91.28)</f>
        <v>91.28</v>
      </c>
      <c r="D1935" s="1">
        <f>IFERROR(__xludf.DUMMYFUNCTION("""COMPUTED_VALUE"""),83.95)</f>
        <v>83.95</v>
      </c>
      <c r="E1935" s="1">
        <f>IFERROR(__xludf.DUMMYFUNCTION("""COMPUTED_VALUE"""),90.66)</f>
        <v>90.66</v>
      </c>
      <c r="F1935" s="1">
        <f>IFERROR(__xludf.DUMMYFUNCTION("""COMPUTED_VALUE"""),2778707.0)</f>
        <v>2778707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IFERROR(__xludf.DUMMYFUNCTION("""COMPUTED_VALUE"""),90.86)</f>
        <v>90.86</v>
      </c>
      <c r="C1936" s="1">
        <f>IFERROR(__xludf.DUMMYFUNCTION("""COMPUTED_VALUE"""),91.99)</f>
        <v>91.99</v>
      </c>
      <c r="D1936" s="1">
        <f>IFERROR(__xludf.DUMMYFUNCTION("""COMPUTED_VALUE"""),87.01)</f>
        <v>87.01</v>
      </c>
      <c r="E1936" s="1">
        <f>IFERROR(__xludf.DUMMYFUNCTION("""COMPUTED_VALUE"""),87.89)</f>
        <v>87.89</v>
      </c>
      <c r="F1936" s="1">
        <f>IFERROR(__xludf.DUMMYFUNCTION("""COMPUTED_VALUE"""),1508357.0)</f>
        <v>1508357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IFERROR(__xludf.DUMMYFUNCTION("""COMPUTED_VALUE"""),89.39)</f>
        <v>89.39</v>
      </c>
      <c r="C1937" s="1">
        <f>IFERROR(__xludf.DUMMYFUNCTION("""COMPUTED_VALUE"""),91.18)</f>
        <v>91.18</v>
      </c>
      <c r="D1937" s="1">
        <f>IFERROR(__xludf.DUMMYFUNCTION("""COMPUTED_VALUE"""),88.73)</f>
        <v>88.73</v>
      </c>
      <c r="E1937" s="1">
        <f>IFERROR(__xludf.DUMMYFUNCTION("""COMPUTED_VALUE"""),90.01)</f>
        <v>90.01</v>
      </c>
      <c r="F1937" s="1">
        <f>IFERROR(__xludf.DUMMYFUNCTION("""COMPUTED_VALUE"""),1355325.0)</f>
        <v>1355325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IFERROR(__xludf.DUMMYFUNCTION("""COMPUTED_VALUE"""),90.23)</f>
        <v>90.23</v>
      </c>
      <c r="C1938" s="1">
        <f>IFERROR(__xludf.DUMMYFUNCTION("""COMPUTED_VALUE"""),91.09)</f>
        <v>91.09</v>
      </c>
      <c r="D1938" s="1">
        <f>IFERROR(__xludf.DUMMYFUNCTION("""COMPUTED_VALUE"""),89.65)</f>
        <v>89.65</v>
      </c>
      <c r="E1938" s="1">
        <f>IFERROR(__xludf.DUMMYFUNCTION("""COMPUTED_VALUE"""),91.01)</f>
        <v>91.01</v>
      </c>
      <c r="F1938" s="1">
        <f>IFERROR(__xludf.DUMMYFUNCTION("""COMPUTED_VALUE"""),858557.0)</f>
        <v>858557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IFERROR(__xludf.DUMMYFUNCTION("""COMPUTED_VALUE"""),91.41)</f>
        <v>91.41</v>
      </c>
      <c r="C1939" s="1">
        <f>IFERROR(__xludf.DUMMYFUNCTION("""COMPUTED_VALUE"""),94.3)</f>
        <v>94.3</v>
      </c>
      <c r="D1939" s="1">
        <f>IFERROR(__xludf.DUMMYFUNCTION("""COMPUTED_VALUE"""),91.06)</f>
        <v>91.06</v>
      </c>
      <c r="E1939" s="1">
        <f>IFERROR(__xludf.DUMMYFUNCTION("""COMPUTED_VALUE"""),91.86)</f>
        <v>91.86</v>
      </c>
      <c r="F1939" s="1">
        <f>IFERROR(__xludf.DUMMYFUNCTION("""COMPUTED_VALUE"""),2325009.0)</f>
        <v>2325009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IFERROR(__xludf.DUMMYFUNCTION("""COMPUTED_VALUE"""),89.2)</f>
        <v>89.2</v>
      </c>
      <c r="C1940" s="1">
        <f>IFERROR(__xludf.DUMMYFUNCTION("""COMPUTED_VALUE"""),90.74)</f>
        <v>90.74</v>
      </c>
      <c r="D1940" s="1">
        <f>IFERROR(__xludf.DUMMYFUNCTION("""COMPUTED_VALUE"""),87.65)</f>
        <v>87.65</v>
      </c>
      <c r="E1940" s="1">
        <f>IFERROR(__xludf.DUMMYFUNCTION("""COMPUTED_VALUE"""),88.19)</f>
        <v>88.19</v>
      </c>
      <c r="F1940" s="1">
        <f>IFERROR(__xludf.DUMMYFUNCTION("""COMPUTED_VALUE"""),2249436.0)</f>
        <v>2249436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IFERROR(__xludf.DUMMYFUNCTION("""COMPUTED_VALUE"""),88.31)</f>
        <v>88.31</v>
      </c>
      <c r="C1941" s="1">
        <f>IFERROR(__xludf.DUMMYFUNCTION("""COMPUTED_VALUE"""),88.7)</f>
        <v>88.7</v>
      </c>
      <c r="D1941" s="1">
        <f>IFERROR(__xludf.DUMMYFUNCTION("""COMPUTED_VALUE"""),85.37)</f>
        <v>85.37</v>
      </c>
      <c r="E1941" s="1">
        <f>IFERROR(__xludf.DUMMYFUNCTION("""COMPUTED_VALUE"""),87.04)</f>
        <v>87.04</v>
      </c>
      <c r="F1941" s="1">
        <f>IFERROR(__xludf.DUMMYFUNCTION("""COMPUTED_VALUE"""),4129065.0)</f>
        <v>4129065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IFERROR(__xludf.DUMMYFUNCTION("""COMPUTED_VALUE"""),88.3)</f>
        <v>88.3</v>
      </c>
      <c r="C1942" s="1">
        <f>IFERROR(__xludf.DUMMYFUNCTION("""COMPUTED_VALUE"""),88.85)</f>
        <v>88.85</v>
      </c>
      <c r="D1942" s="1">
        <f>IFERROR(__xludf.DUMMYFUNCTION("""COMPUTED_VALUE"""),85.97)</f>
        <v>85.97</v>
      </c>
      <c r="E1942" s="1">
        <f>IFERROR(__xludf.DUMMYFUNCTION("""COMPUTED_VALUE"""),87.16)</f>
        <v>87.16</v>
      </c>
      <c r="F1942" s="1">
        <f>IFERROR(__xludf.DUMMYFUNCTION("""COMPUTED_VALUE"""),1504600.0)</f>
        <v>1504600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IFERROR(__xludf.DUMMYFUNCTION("""COMPUTED_VALUE"""),87.57)</f>
        <v>87.57</v>
      </c>
      <c r="C1943" s="1">
        <f>IFERROR(__xludf.DUMMYFUNCTION("""COMPUTED_VALUE"""),87.63)</f>
        <v>87.63</v>
      </c>
      <c r="D1943" s="1">
        <f>IFERROR(__xludf.DUMMYFUNCTION("""COMPUTED_VALUE"""),85.2)</f>
        <v>85.2</v>
      </c>
      <c r="E1943" s="1">
        <f>IFERROR(__xludf.DUMMYFUNCTION("""COMPUTED_VALUE"""),85.93)</f>
        <v>85.93</v>
      </c>
      <c r="F1943" s="1">
        <f>IFERROR(__xludf.DUMMYFUNCTION("""COMPUTED_VALUE"""),1271637.0)</f>
        <v>1271637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IFERROR(__xludf.DUMMYFUNCTION("""COMPUTED_VALUE"""),86.66)</f>
        <v>86.66</v>
      </c>
      <c r="C1944" s="1">
        <f>IFERROR(__xludf.DUMMYFUNCTION("""COMPUTED_VALUE"""),88.8)</f>
        <v>88.8</v>
      </c>
      <c r="D1944" s="1">
        <f>IFERROR(__xludf.DUMMYFUNCTION("""COMPUTED_VALUE"""),85.26)</f>
        <v>85.26</v>
      </c>
      <c r="E1944" s="1">
        <f>IFERROR(__xludf.DUMMYFUNCTION("""COMPUTED_VALUE"""),87.19)</f>
        <v>87.19</v>
      </c>
      <c r="F1944" s="1">
        <f>IFERROR(__xludf.DUMMYFUNCTION("""COMPUTED_VALUE"""),1241704.0)</f>
        <v>1241704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IFERROR(__xludf.DUMMYFUNCTION("""COMPUTED_VALUE"""),88.19)</f>
        <v>88.19</v>
      </c>
      <c r="C1945" s="1">
        <f>IFERROR(__xludf.DUMMYFUNCTION("""COMPUTED_VALUE"""),89.41)</f>
        <v>89.41</v>
      </c>
      <c r="D1945" s="1">
        <f>IFERROR(__xludf.DUMMYFUNCTION("""COMPUTED_VALUE"""),85.08)</f>
        <v>85.08</v>
      </c>
      <c r="E1945" s="1">
        <f>IFERROR(__xludf.DUMMYFUNCTION("""COMPUTED_VALUE"""),86.41)</f>
        <v>86.41</v>
      </c>
      <c r="F1945" s="1">
        <f>IFERROR(__xludf.DUMMYFUNCTION("""COMPUTED_VALUE"""),980743.0)</f>
        <v>980743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IFERROR(__xludf.DUMMYFUNCTION("""COMPUTED_VALUE"""),86.11)</f>
        <v>86.11</v>
      </c>
      <c r="C1946" s="1">
        <f>IFERROR(__xludf.DUMMYFUNCTION("""COMPUTED_VALUE"""),87.7)</f>
        <v>87.7</v>
      </c>
      <c r="D1946" s="1">
        <f>IFERROR(__xludf.DUMMYFUNCTION("""COMPUTED_VALUE"""),84.29)</f>
        <v>84.29</v>
      </c>
      <c r="E1946" s="1">
        <f>IFERROR(__xludf.DUMMYFUNCTION("""COMPUTED_VALUE"""),85.58)</f>
        <v>85.58</v>
      </c>
      <c r="F1946" s="1">
        <f>IFERROR(__xludf.DUMMYFUNCTION("""COMPUTED_VALUE"""),1043428.0)</f>
        <v>1043428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IFERROR(__xludf.DUMMYFUNCTION("""COMPUTED_VALUE"""),86.65)</f>
        <v>86.65</v>
      </c>
      <c r="C1947" s="1">
        <f>IFERROR(__xludf.DUMMYFUNCTION("""COMPUTED_VALUE"""),86.65)</f>
        <v>86.65</v>
      </c>
      <c r="D1947" s="1">
        <f>IFERROR(__xludf.DUMMYFUNCTION("""COMPUTED_VALUE"""),81.34)</f>
        <v>81.34</v>
      </c>
      <c r="E1947" s="1">
        <f>IFERROR(__xludf.DUMMYFUNCTION("""COMPUTED_VALUE"""),82.29)</f>
        <v>82.29</v>
      </c>
      <c r="F1947" s="1">
        <f>IFERROR(__xludf.DUMMYFUNCTION("""COMPUTED_VALUE"""),1871841.0)</f>
        <v>1871841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IFERROR(__xludf.DUMMYFUNCTION("""COMPUTED_VALUE"""),83.0)</f>
        <v>83</v>
      </c>
      <c r="C1948" s="1">
        <f>IFERROR(__xludf.DUMMYFUNCTION("""COMPUTED_VALUE"""),84.99)</f>
        <v>84.99</v>
      </c>
      <c r="D1948" s="1">
        <f>IFERROR(__xludf.DUMMYFUNCTION("""COMPUTED_VALUE"""),81.89)</f>
        <v>81.89</v>
      </c>
      <c r="E1948" s="1">
        <f>IFERROR(__xludf.DUMMYFUNCTION("""COMPUTED_VALUE"""),82.29)</f>
        <v>82.29</v>
      </c>
      <c r="F1948" s="1">
        <f>IFERROR(__xludf.DUMMYFUNCTION("""COMPUTED_VALUE"""),1908217.0)</f>
        <v>1908217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IFERROR(__xludf.DUMMYFUNCTION("""COMPUTED_VALUE"""),83.24)</f>
        <v>83.24</v>
      </c>
      <c r="C1949" s="1">
        <f>IFERROR(__xludf.DUMMYFUNCTION("""COMPUTED_VALUE"""),86.52)</f>
        <v>86.52</v>
      </c>
      <c r="D1949" s="1">
        <f>IFERROR(__xludf.DUMMYFUNCTION("""COMPUTED_VALUE"""),82.91)</f>
        <v>82.91</v>
      </c>
      <c r="E1949" s="1">
        <f>IFERROR(__xludf.DUMMYFUNCTION("""COMPUTED_VALUE"""),86.22)</f>
        <v>86.22</v>
      </c>
      <c r="F1949" s="1">
        <f>IFERROR(__xludf.DUMMYFUNCTION("""COMPUTED_VALUE"""),1587485.0)</f>
        <v>1587485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IFERROR(__xludf.DUMMYFUNCTION("""COMPUTED_VALUE"""),85.8)</f>
        <v>85.8</v>
      </c>
      <c r="C1950" s="1">
        <f>IFERROR(__xludf.DUMMYFUNCTION("""COMPUTED_VALUE"""),88.56)</f>
        <v>88.56</v>
      </c>
      <c r="D1950" s="1">
        <f>IFERROR(__xludf.DUMMYFUNCTION("""COMPUTED_VALUE"""),85.75)</f>
        <v>85.75</v>
      </c>
      <c r="E1950" s="1">
        <f>IFERROR(__xludf.DUMMYFUNCTION("""COMPUTED_VALUE"""),87.73)</f>
        <v>87.73</v>
      </c>
      <c r="F1950" s="1">
        <f>IFERROR(__xludf.DUMMYFUNCTION("""COMPUTED_VALUE"""),1409620.0)</f>
        <v>1409620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IFERROR(__xludf.DUMMYFUNCTION("""COMPUTED_VALUE"""),88.35)</f>
        <v>88.35</v>
      </c>
      <c r="C1951" s="1">
        <f>IFERROR(__xludf.DUMMYFUNCTION("""COMPUTED_VALUE"""),89.78)</f>
        <v>89.78</v>
      </c>
      <c r="D1951" s="1">
        <f>IFERROR(__xludf.DUMMYFUNCTION("""COMPUTED_VALUE"""),87.66)</f>
        <v>87.66</v>
      </c>
      <c r="E1951" s="1">
        <f>IFERROR(__xludf.DUMMYFUNCTION("""COMPUTED_VALUE"""),88.26)</f>
        <v>88.26</v>
      </c>
      <c r="F1951" s="1">
        <f>IFERROR(__xludf.DUMMYFUNCTION("""COMPUTED_VALUE"""),1279330.0)</f>
        <v>1279330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IFERROR(__xludf.DUMMYFUNCTION("""COMPUTED_VALUE"""),87.54)</f>
        <v>87.54</v>
      </c>
      <c r="C1952" s="1">
        <f>IFERROR(__xludf.DUMMYFUNCTION("""COMPUTED_VALUE"""),89.26)</f>
        <v>89.26</v>
      </c>
      <c r="D1952" s="1">
        <f>IFERROR(__xludf.DUMMYFUNCTION("""COMPUTED_VALUE"""),86.29)</f>
        <v>86.29</v>
      </c>
      <c r="E1952" s="1">
        <f>IFERROR(__xludf.DUMMYFUNCTION("""COMPUTED_VALUE"""),88.1)</f>
        <v>88.1</v>
      </c>
      <c r="F1952" s="1">
        <f>IFERROR(__xludf.DUMMYFUNCTION("""COMPUTED_VALUE"""),942019.0)</f>
        <v>942019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IFERROR(__xludf.DUMMYFUNCTION("""COMPUTED_VALUE"""),89.21)</f>
        <v>89.21</v>
      </c>
      <c r="C1953" s="1">
        <f>IFERROR(__xludf.DUMMYFUNCTION("""COMPUTED_VALUE"""),94.17)</f>
        <v>94.17</v>
      </c>
      <c r="D1953" s="1">
        <f>IFERROR(__xludf.DUMMYFUNCTION("""COMPUTED_VALUE"""),89.21)</f>
        <v>89.21</v>
      </c>
      <c r="E1953" s="1">
        <f>IFERROR(__xludf.DUMMYFUNCTION("""COMPUTED_VALUE"""),92.72)</f>
        <v>92.72</v>
      </c>
      <c r="F1953" s="1">
        <f>IFERROR(__xludf.DUMMYFUNCTION("""COMPUTED_VALUE"""),1805288.0)</f>
        <v>1805288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IFERROR(__xludf.DUMMYFUNCTION("""COMPUTED_VALUE"""),92.11)</f>
        <v>92.11</v>
      </c>
      <c r="C1954" s="1">
        <f>IFERROR(__xludf.DUMMYFUNCTION("""COMPUTED_VALUE"""),93.32)</f>
        <v>93.32</v>
      </c>
      <c r="D1954" s="1">
        <f>IFERROR(__xludf.DUMMYFUNCTION("""COMPUTED_VALUE"""),89.68)</f>
        <v>89.68</v>
      </c>
      <c r="E1954" s="1">
        <f>IFERROR(__xludf.DUMMYFUNCTION("""COMPUTED_VALUE"""),90.68)</f>
        <v>90.68</v>
      </c>
      <c r="F1954" s="1">
        <f>IFERROR(__xludf.DUMMYFUNCTION("""COMPUTED_VALUE"""),883775.0)</f>
        <v>883775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IFERROR(__xludf.DUMMYFUNCTION("""COMPUTED_VALUE"""),91.0)</f>
        <v>91</v>
      </c>
      <c r="C1955" s="1">
        <f>IFERROR(__xludf.DUMMYFUNCTION("""COMPUTED_VALUE"""),91.9)</f>
        <v>91.9</v>
      </c>
      <c r="D1955" s="1">
        <f>IFERROR(__xludf.DUMMYFUNCTION("""COMPUTED_VALUE"""),88.75)</f>
        <v>88.75</v>
      </c>
      <c r="E1955" s="1">
        <f>IFERROR(__xludf.DUMMYFUNCTION("""COMPUTED_VALUE"""),89.88)</f>
        <v>89.88</v>
      </c>
      <c r="F1955" s="1">
        <f>IFERROR(__xludf.DUMMYFUNCTION("""COMPUTED_VALUE"""),591106.0)</f>
        <v>591106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IFERROR(__xludf.DUMMYFUNCTION("""COMPUTED_VALUE"""),89.22)</f>
        <v>89.22</v>
      </c>
      <c r="C1956" s="1">
        <f>IFERROR(__xludf.DUMMYFUNCTION("""COMPUTED_VALUE"""),91.75)</f>
        <v>91.75</v>
      </c>
      <c r="D1956" s="1">
        <f>IFERROR(__xludf.DUMMYFUNCTION("""COMPUTED_VALUE"""),89.03)</f>
        <v>89.03</v>
      </c>
      <c r="E1956" s="1">
        <f>IFERROR(__xludf.DUMMYFUNCTION("""COMPUTED_VALUE"""),91.63)</f>
        <v>91.63</v>
      </c>
      <c r="F1956" s="1">
        <f>IFERROR(__xludf.DUMMYFUNCTION("""COMPUTED_VALUE"""),1365207.0)</f>
        <v>1365207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IFERROR(__xludf.DUMMYFUNCTION("""COMPUTED_VALUE"""),91.71)</f>
        <v>91.71</v>
      </c>
      <c r="C1957" s="1">
        <f>IFERROR(__xludf.DUMMYFUNCTION("""COMPUTED_VALUE"""),93.21)</f>
        <v>93.21</v>
      </c>
      <c r="D1957" s="1">
        <f>IFERROR(__xludf.DUMMYFUNCTION("""COMPUTED_VALUE"""),90.69)</f>
        <v>90.69</v>
      </c>
      <c r="E1957" s="1">
        <f>IFERROR(__xludf.DUMMYFUNCTION("""COMPUTED_VALUE"""),91.64)</f>
        <v>91.64</v>
      </c>
      <c r="F1957" s="1">
        <f>IFERROR(__xludf.DUMMYFUNCTION("""COMPUTED_VALUE"""),956211.0)</f>
        <v>956211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IFERROR(__xludf.DUMMYFUNCTION("""COMPUTED_VALUE"""),91.52)</f>
        <v>91.52</v>
      </c>
      <c r="C1958" s="1">
        <f>IFERROR(__xludf.DUMMYFUNCTION("""COMPUTED_VALUE"""),94.63)</f>
        <v>94.63</v>
      </c>
      <c r="D1958" s="1">
        <f>IFERROR(__xludf.DUMMYFUNCTION("""COMPUTED_VALUE"""),91.5)</f>
        <v>91.5</v>
      </c>
      <c r="E1958" s="1">
        <f>IFERROR(__xludf.DUMMYFUNCTION("""COMPUTED_VALUE"""),93.44)</f>
        <v>93.44</v>
      </c>
      <c r="F1958" s="1">
        <f>IFERROR(__xludf.DUMMYFUNCTION("""COMPUTED_VALUE"""),1002764.0)</f>
        <v>1002764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IFERROR(__xludf.DUMMYFUNCTION("""COMPUTED_VALUE"""),93.44)</f>
        <v>93.44</v>
      </c>
      <c r="C1959" s="1">
        <f>IFERROR(__xludf.DUMMYFUNCTION("""COMPUTED_VALUE"""),93.44)</f>
        <v>93.44</v>
      </c>
      <c r="D1959" s="1">
        <f>IFERROR(__xludf.DUMMYFUNCTION("""COMPUTED_VALUE"""),90.17)</f>
        <v>90.17</v>
      </c>
      <c r="E1959" s="1">
        <f>IFERROR(__xludf.DUMMYFUNCTION("""COMPUTED_VALUE"""),91.34)</f>
        <v>91.34</v>
      </c>
      <c r="F1959" s="1">
        <f>IFERROR(__xludf.DUMMYFUNCTION("""COMPUTED_VALUE"""),1671252.0)</f>
        <v>1671252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IFERROR(__xludf.DUMMYFUNCTION("""COMPUTED_VALUE"""),91.86)</f>
        <v>91.86</v>
      </c>
      <c r="C1960" s="1">
        <f>IFERROR(__xludf.DUMMYFUNCTION("""COMPUTED_VALUE"""),92.18)</f>
        <v>92.18</v>
      </c>
      <c r="D1960" s="1">
        <f>IFERROR(__xludf.DUMMYFUNCTION("""COMPUTED_VALUE"""),90.32)</f>
        <v>90.32</v>
      </c>
      <c r="E1960" s="1">
        <f>IFERROR(__xludf.DUMMYFUNCTION("""COMPUTED_VALUE"""),90.53)</f>
        <v>90.53</v>
      </c>
      <c r="F1960" s="1">
        <f>IFERROR(__xludf.DUMMYFUNCTION("""COMPUTED_VALUE"""),842745.0)</f>
        <v>842745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IFERROR(__xludf.DUMMYFUNCTION("""COMPUTED_VALUE"""),91.0)</f>
        <v>91</v>
      </c>
      <c r="C1961" s="1">
        <f>IFERROR(__xludf.DUMMYFUNCTION("""COMPUTED_VALUE"""),94.49)</f>
        <v>94.49</v>
      </c>
      <c r="D1961" s="1">
        <f>IFERROR(__xludf.DUMMYFUNCTION("""COMPUTED_VALUE"""),90.88)</f>
        <v>90.88</v>
      </c>
      <c r="E1961" s="1">
        <f>IFERROR(__xludf.DUMMYFUNCTION("""COMPUTED_VALUE"""),93.8)</f>
        <v>93.8</v>
      </c>
      <c r="F1961" s="1">
        <f>IFERROR(__xludf.DUMMYFUNCTION("""COMPUTED_VALUE"""),1231725.0)</f>
        <v>1231725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IFERROR(__xludf.DUMMYFUNCTION("""COMPUTED_VALUE"""),94.47)</f>
        <v>94.47</v>
      </c>
      <c r="C1962" s="1">
        <f>IFERROR(__xludf.DUMMYFUNCTION("""COMPUTED_VALUE"""),94.59)</f>
        <v>94.59</v>
      </c>
      <c r="D1962" s="1">
        <f>IFERROR(__xludf.DUMMYFUNCTION("""COMPUTED_VALUE"""),91.23)</f>
        <v>91.23</v>
      </c>
      <c r="E1962" s="1">
        <f>IFERROR(__xludf.DUMMYFUNCTION("""COMPUTED_VALUE"""),93.63)</f>
        <v>93.63</v>
      </c>
      <c r="F1962" s="1">
        <f>IFERROR(__xludf.DUMMYFUNCTION("""COMPUTED_VALUE"""),826952.0)</f>
        <v>826952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IFERROR(__xludf.DUMMYFUNCTION("""COMPUTED_VALUE"""),93.55)</f>
        <v>93.55</v>
      </c>
      <c r="C1963" s="1">
        <f>IFERROR(__xludf.DUMMYFUNCTION("""COMPUTED_VALUE"""),93.56)</f>
        <v>93.56</v>
      </c>
      <c r="D1963" s="1">
        <f>IFERROR(__xludf.DUMMYFUNCTION("""COMPUTED_VALUE"""),90.79)</f>
        <v>90.79</v>
      </c>
      <c r="E1963" s="1">
        <f>IFERROR(__xludf.DUMMYFUNCTION("""COMPUTED_VALUE"""),90.93)</f>
        <v>90.93</v>
      </c>
      <c r="F1963" s="1">
        <f>IFERROR(__xludf.DUMMYFUNCTION("""COMPUTED_VALUE"""),1263186.0)</f>
        <v>1263186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IFERROR(__xludf.DUMMYFUNCTION("""COMPUTED_VALUE"""),91.83)</f>
        <v>91.83</v>
      </c>
      <c r="C1964" s="1">
        <f>IFERROR(__xludf.DUMMYFUNCTION("""COMPUTED_VALUE"""),93.0)</f>
        <v>93</v>
      </c>
      <c r="D1964" s="1">
        <f>IFERROR(__xludf.DUMMYFUNCTION("""COMPUTED_VALUE"""),90.35)</f>
        <v>90.35</v>
      </c>
      <c r="E1964" s="1">
        <f>IFERROR(__xludf.DUMMYFUNCTION("""COMPUTED_VALUE"""),91.23)</f>
        <v>91.23</v>
      </c>
      <c r="F1964" s="1">
        <f>IFERROR(__xludf.DUMMYFUNCTION("""COMPUTED_VALUE"""),1556167.0)</f>
        <v>1556167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IFERROR(__xludf.DUMMYFUNCTION("""COMPUTED_VALUE"""),89.19)</f>
        <v>89.19</v>
      </c>
      <c r="C1965" s="1">
        <f>IFERROR(__xludf.DUMMYFUNCTION("""COMPUTED_VALUE"""),91.18)</f>
        <v>91.18</v>
      </c>
      <c r="D1965" s="1">
        <f>IFERROR(__xludf.DUMMYFUNCTION("""COMPUTED_VALUE"""),86.55)</f>
        <v>86.55</v>
      </c>
      <c r="E1965" s="1">
        <f>IFERROR(__xludf.DUMMYFUNCTION("""COMPUTED_VALUE"""),90.5)</f>
        <v>90.5</v>
      </c>
      <c r="F1965" s="1">
        <f>IFERROR(__xludf.DUMMYFUNCTION("""COMPUTED_VALUE"""),1319789.0)</f>
        <v>1319789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IFERROR(__xludf.DUMMYFUNCTION("""COMPUTED_VALUE"""),90.88)</f>
        <v>90.88</v>
      </c>
      <c r="C1966" s="1">
        <f>IFERROR(__xludf.DUMMYFUNCTION("""COMPUTED_VALUE"""),93.42)</f>
        <v>93.42</v>
      </c>
      <c r="D1966" s="1">
        <f>IFERROR(__xludf.DUMMYFUNCTION("""COMPUTED_VALUE"""),90.88)</f>
        <v>90.88</v>
      </c>
      <c r="E1966" s="1">
        <f>IFERROR(__xludf.DUMMYFUNCTION("""COMPUTED_VALUE"""),92.75)</f>
        <v>92.75</v>
      </c>
      <c r="F1966" s="1">
        <f>IFERROR(__xludf.DUMMYFUNCTION("""COMPUTED_VALUE"""),1151087.0)</f>
        <v>1151087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IFERROR(__xludf.DUMMYFUNCTION("""COMPUTED_VALUE"""),92.92)</f>
        <v>92.92</v>
      </c>
      <c r="C1967" s="1">
        <f>IFERROR(__xludf.DUMMYFUNCTION("""COMPUTED_VALUE"""),94.55)</f>
        <v>94.55</v>
      </c>
      <c r="D1967" s="1">
        <f>IFERROR(__xludf.DUMMYFUNCTION("""COMPUTED_VALUE"""),91.9)</f>
        <v>91.9</v>
      </c>
      <c r="E1967" s="1">
        <f>IFERROR(__xludf.DUMMYFUNCTION("""COMPUTED_VALUE"""),93.97)</f>
        <v>93.97</v>
      </c>
      <c r="F1967" s="1">
        <f>IFERROR(__xludf.DUMMYFUNCTION("""COMPUTED_VALUE"""),2462666.0)</f>
        <v>2462666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IFERROR(__xludf.DUMMYFUNCTION("""COMPUTED_VALUE"""),92.56)</f>
        <v>92.56</v>
      </c>
      <c r="C1968" s="1">
        <f>IFERROR(__xludf.DUMMYFUNCTION("""COMPUTED_VALUE"""),93.84)</f>
        <v>93.84</v>
      </c>
      <c r="D1968" s="1">
        <f>IFERROR(__xludf.DUMMYFUNCTION("""COMPUTED_VALUE"""),88.51)</f>
        <v>88.51</v>
      </c>
      <c r="E1968" s="1">
        <f>IFERROR(__xludf.DUMMYFUNCTION("""COMPUTED_VALUE"""),92.12)</f>
        <v>92.12</v>
      </c>
      <c r="F1968" s="1">
        <f>IFERROR(__xludf.DUMMYFUNCTION("""COMPUTED_VALUE"""),3603509.0)</f>
        <v>3603509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IFERROR(__xludf.DUMMYFUNCTION("""COMPUTED_VALUE"""),91.27)</f>
        <v>91.27</v>
      </c>
      <c r="C1969" s="1">
        <f>IFERROR(__xludf.DUMMYFUNCTION("""COMPUTED_VALUE"""),91.76)</f>
        <v>91.76</v>
      </c>
      <c r="D1969" s="1">
        <f>IFERROR(__xludf.DUMMYFUNCTION("""COMPUTED_VALUE"""),87.26)</f>
        <v>87.26</v>
      </c>
      <c r="E1969" s="1">
        <f>IFERROR(__xludf.DUMMYFUNCTION("""COMPUTED_VALUE"""),88.93)</f>
        <v>88.93</v>
      </c>
      <c r="F1969" s="1">
        <f>IFERROR(__xludf.DUMMYFUNCTION("""COMPUTED_VALUE"""),3111563.0)</f>
        <v>3111563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IFERROR(__xludf.DUMMYFUNCTION("""COMPUTED_VALUE"""),85.15)</f>
        <v>85.15</v>
      </c>
      <c r="C1970" s="1">
        <f>IFERROR(__xludf.DUMMYFUNCTION("""COMPUTED_VALUE"""),85.41)</f>
        <v>85.41</v>
      </c>
      <c r="D1970" s="1">
        <f>IFERROR(__xludf.DUMMYFUNCTION("""COMPUTED_VALUE"""),81.58)</f>
        <v>81.58</v>
      </c>
      <c r="E1970" s="1">
        <f>IFERROR(__xludf.DUMMYFUNCTION("""COMPUTED_VALUE"""),82.75)</f>
        <v>82.75</v>
      </c>
      <c r="F1970" s="1">
        <f>IFERROR(__xludf.DUMMYFUNCTION("""COMPUTED_VALUE"""),7902626.0)</f>
        <v>7902626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IFERROR(__xludf.DUMMYFUNCTION("""COMPUTED_VALUE"""),84.56)</f>
        <v>84.56</v>
      </c>
      <c r="C1971" s="1">
        <f>IFERROR(__xludf.DUMMYFUNCTION("""COMPUTED_VALUE"""),86.37)</f>
        <v>86.37</v>
      </c>
      <c r="D1971" s="1">
        <f>IFERROR(__xludf.DUMMYFUNCTION("""COMPUTED_VALUE"""),84.11)</f>
        <v>84.11</v>
      </c>
      <c r="E1971" s="1">
        <f>IFERROR(__xludf.DUMMYFUNCTION("""COMPUTED_VALUE"""),85.36)</f>
        <v>85.36</v>
      </c>
      <c r="F1971" s="1">
        <f>IFERROR(__xludf.DUMMYFUNCTION("""COMPUTED_VALUE"""),3233936.0)</f>
        <v>3233936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IFERROR(__xludf.DUMMYFUNCTION("""COMPUTED_VALUE"""),84.97)</f>
        <v>84.97</v>
      </c>
      <c r="C1972" s="1">
        <f>IFERROR(__xludf.DUMMYFUNCTION("""COMPUTED_VALUE"""),85.79)</f>
        <v>85.79</v>
      </c>
      <c r="D1972" s="1">
        <f>IFERROR(__xludf.DUMMYFUNCTION("""COMPUTED_VALUE"""),82.71)</f>
        <v>82.71</v>
      </c>
      <c r="E1972" s="1">
        <f>IFERROR(__xludf.DUMMYFUNCTION("""COMPUTED_VALUE"""),82.75)</f>
        <v>82.75</v>
      </c>
      <c r="F1972" s="1">
        <f>IFERROR(__xludf.DUMMYFUNCTION("""COMPUTED_VALUE"""),2052392.0)</f>
        <v>2052392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IFERROR(__xludf.DUMMYFUNCTION("""COMPUTED_VALUE"""),82.57)</f>
        <v>82.57</v>
      </c>
      <c r="C1973" s="1">
        <f>IFERROR(__xludf.DUMMYFUNCTION("""COMPUTED_VALUE"""),84.33)</f>
        <v>84.33</v>
      </c>
      <c r="D1973" s="1">
        <f>IFERROR(__xludf.DUMMYFUNCTION("""COMPUTED_VALUE"""),82.4)</f>
        <v>82.4</v>
      </c>
      <c r="E1973" s="1">
        <f>IFERROR(__xludf.DUMMYFUNCTION("""COMPUTED_VALUE"""),83.24)</f>
        <v>83.24</v>
      </c>
      <c r="F1973" s="1">
        <f>IFERROR(__xludf.DUMMYFUNCTION("""COMPUTED_VALUE"""),2095835.0)</f>
        <v>2095835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IFERROR(__xludf.DUMMYFUNCTION("""COMPUTED_VALUE"""),83.53)</f>
        <v>83.53</v>
      </c>
      <c r="C1974" s="1">
        <f>IFERROR(__xludf.DUMMYFUNCTION("""COMPUTED_VALUE"""),84.39)</f>
        <v>84.39</v>
      </c>
      <c r="D1974" s="1">
        <f>IFERROR(__xludf.DUMMYFUNCTION("""COMPUTED_VALUE"""),81.45)</f>
        <v>81.45</v>
      </c>
      <c r="E1974" s="1">
        <f>IFERROR(__xludf.DUMMYFUNCTION("""COMPUTED_VALUE"""),82.46)</f>
        <v>82.46</v>
      </c>
      <c r="F1974" s="1">
        <f>IFERROR(__xludf.DUMMYFUNCTION("""COMPUTED_VALUE"""),2349285.0)</f>
        <v>2349285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IFERROR(__xludf.DUMMYFUNCTION("""COMPUTED_VALUE"""),82.51)</f>
        <v>82.51</v>
      </c>
      <c r="C1975" s="1">
        <f>IFERROR(__xludf.DUMMYFUNCTION("""COMPUTED_VALUE"""),83.16)</f>
        <v>83.16</v>
      </c>
      <c r="D1975" s="1">
        <f>IFERROR(__xludf.DUMMYFUNCTION("""COMPUTED_VALUE"""),81.65)</f>
        <v>81.65</v>
      </c>
      <c r="E1975" s="1">
        <f>IFERROR(__xludf.DUMMYFUNCTION("""COMPUTED_VALUE"""),81.67)</f>
        <v>81.67</v>
      </c>
      <c r="F1975" s="1">
        <f>IFERROR(__xludf.DUMMYFUNCTION("""COMPUTED_VALUE"""),1529071.0)</f>
        <v>1529071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IFERROR(__xludf.DUMMYFUNCTION("""COMPUTED_VALUE"""),82.3)</f>
        <v>82.3</v>
      </c>
      <c r="C1976" s="1">
        <f>IFERROR(__xludf.DUMMYFUNCTION("""COMPUTED_VALUE"""),83.25)</f>
        <v>83.25</v>
      </c>
      <c r="D1976" s="1">
        <f>IFERROR(__xludf.DUMMYFUNCTION("""COMPUTED_VALUE"""),81.49)</f>
        <v>81.49</v>
      </c>
      <c r="E1976" s="1">
        <f>IFERROR(__xludf.DUMMYFUNCTION("""COMPUTED_VALUE"""),81.54)</f>
        <v>81.54</v>
      </c>
      <c r="F1976" s="1">
        <f>IFERROR(__xludf.DUMMYFUNCTION("""COMPUTED_VALUE"""),1631330.0)</f>
        <v>1631330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IFERROR(__xludf.DUMMYFUNCTION("""COMPUTED_VALUE"""),81.5)</f>
        <v>81.5</v>
      </c>
      <c r="C1977" s="1">
        <f>IFERROR(__xludf.DUMMYFUNCTION("""COMPUTED_VALUE"""),88.45)</f>
        <v>88.45</v>
      </c>
      <c r="D1977" s="1">
        <f>IFERROR(__xludf.DUMMYFUNCTION("""COMPUTED_VALUE"""),81.4)</f>
        <v>81.4</v>
      </c>
      <c r="E1977" s="1">
        <f>IFERROR(__xludf.DUMMYFUNCTION("""COMPUTED_VALUE"""),88.0)</f>
        <v>88</v>
      </c>
      <c r="F1977" s="1">
        <f>IFERROR(__xludf.DUMMYFUNCTION("""COMPUTED_VALUE"""),2935788.0)</f>
        <v>2935788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IFERROR(__xludf.DUMMYFUNCTION("""COMPUTED_VALUE"""),88.23)</f>
        <v>88.23</v>
      </c>
      <c r="C1978" s="1">
        <f>IFERROR(__xludf.DUMMYFUNCTION("""COMPUTED_VALUE"""),89.5)</f>
        <v>89.5</v>
      </c>
      <c r="D1978" s="1">
        <f>IFERROR(__xludf.DUMMYFUNCTION("""COMPUTED_VALUE"""),86.68)</f>
        <v>86.68</v>
      </c>
      <c r="E1978" s="1">
        <f>IFERROR(__xludf.DUMMYFUNCTION("""COMPUTED_VALUE"""),87.51)</f>
        <v>87.51</v>
      </c>
      <c r="F1978" s="1">
        <f>IFERROR(__xludf.DUMMYFUNCTION("""COMPUTED_VALUE"""),1635592.0)</f>
        <v>1635592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IFERROR(__xludf.DUMMYFUNCTION("""COMPUTED_VALUE"""),88.37)</f>
        <v>88.37</v>
      </c>
      <c r="C1979" s="1">
        <f>IFERROR(__xludf.DUMMYFUNCTION("""COMPUTED_VALUE"""),90.98)</f>
        <v>90.98</v>
      </c>
      <c r="D1979" s="1">
        <f>IFERROR(__xludf.DUMMYFUNCTION("""COMPUTED_VALUE"""),86.88)</f>
        <v>86.88</v>
      </c>
      <c r="E1979" s="1">
        <f>IFERROR(__xludf.DUMMYFUNCTION("""COMPUTED_VALUE"""),87.14)</f>
        <v>87.14</v>
      </c>
      <c r="F1979" s="1">
        <f>IFERROR(__xludf.DUMMYFUNCTION("""COMPUTED_VALUE"""),1098690.0)</f>
        <v>1098690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IFERROR(__xludf.DUMMYFUNCTION("""COMPUTED_VALUE"""),86.24)</f>
        <v>86.24</v>
      </c>
      <c r="C1980" s="1">
        <f>IFERROR(__xludf.DUMMYFUNCTION("""COMPUTED_VALUE"""),87.0)</f>
        <v>87</v>
      </c>
      <c r="D1980" s="1">
        <f>IFERROR(__xludf.DUMMYFUNCTION("""COMPUTED_VALUE"""),83.77)</f>
        <v>83.77</v>
      </c>
      <c r="E1980" s="1">
        <f>IFERROR(__xludf.DUMMYFUNCTION("""COMPUTED_VALUE"""),85.42)</f>
        <v>85.42</v>
      </c>
      <c r="F1980" s="1">
        <f>IFERROR(__xludf.DUMMYFUNCTION("""COMPUTED_VALUE"""),888934.0)</f>
        <v>888934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IFERROR(__xludf.DUMMYFUNCTION("""COMPUTED_VALUE"""),85.51)</f>
        <v>85.51</v>
      </c>
      <c r="C1981" s="1">
        <f>IFERROR(__xludf.DUMMYFUNCTION("""COMPUTED_VALUE"""),86.33)</f>
        <v>86.33</v>
      </c>
      <c r="D1981" s="1">
        <f>IFERROR(__xludf.DUMMYFUNCTION("""COMPUTED_VALUE"""),84.04)</f>
        <v>84.04</v>
      </c>
      <c r="E1981" s="1">
        <f>IFERROR(__xludf.DUMMYFUNCTION("""COMPUTED_VALUE"""),85.53)</f>
        <v>85.53</v>
      </c>
      <c r="F1981" s="1">
        <f>IFERROR(__xludf.DUMMYFUNCTION("""COMPUTED_VALUE"""),747469.0)</f>
        <v>747469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IFERROR(__xludf.DUMMYFUNCTION("""COMPUTED_VALUE"""),84.94)</f>
        <v>84.94</v>
      </c>
      <c r="C1982" s="1">
        <f>IFERROR(__xludf.DUMMYFUNCTION("""COMPUTED_VALUE"""),86.1)</f>
        <v>86.1</v>
      </c>
      <c r="D1982" s="1">
        <f>IFERROR(__xludf.DUMMYFUNCTION("""COMPUTED_VALUE"""),83.97)</f>
        <v>83.97</v>
      </c>
      <c r="E1982" s="1">
        <f>IFERROR(__xludf.DUMMYFUNCTION("""COMPUTED_VALUE"""),84.58)</f>
        <v>84.58</v>
      </c>
      <c r="F1982" s="1">
        <f>IFERROR(__xludf.DUMMYFUNCTION("""COMPUTED_VALUE"""),1112900.0)</f>
        <v>1112900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IFERROR(__xludf.DUMMYFUNCTION("""COMPUTED_VALUE"""),84.52)</f>
        <v>84.52</v>
      </c>
      <c r="C1983" s="1">
        <f>IFERROR(__xludf.DUMMYFUNCTION("""COMPUTED_VALUE"""),85.3)</f>
        <v>85.3</v>
      </c>
      <c r="D1983" s="1">
        <f>IFERROR(__xludf.DUMMYFUNCTION("""COMPUTED_VALUE"""),83.47)</f>
        <v>83.47</v>
      </c>
      <c r="E1983" s="1">
        <f>IFERROR(__xludf.DUMMYFUNCTION("""COMPUTED_VALUE"""),84.1)</f>
        <v>84.1</v>
      </c>
      <c r="F1983" s="1">
        <f>IFERROR(__xludf.DUMMYFUNCTION("""COMPUTED_VALUE"""),889380.0)</f>
        <v>889380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IFERROR(__xludf.DUMMYFUNCTION("""COMPUTED_VALUE"""),83.22)</f>
        <v>83.22</v>
      </c>
      <c r="C1984" s="1">
        <f>IFERROR(__xludf.DUMMYFUNCTION("""COMPUTED_VALUE"""),85.74)</f>
        <v>85.74</v>
      </c>
      <c r="D1984" s="1">
        <f>IFERROR(__xludf.DUMMYFUNCTION("""COMPUTED_VALUE"""),82.03)</f>
        <v>82.03</v>
      </c>
      <c r="E1984" s="1">
        <f>IFERROR(__xludf.DUMMYFUNCTION("""COMPUTED_VALUE"""),84.98)</f>
        <v>84.98</v>
      </c>
      <c r="F1984" s="1">
        <f>IFERROR(__xludf.DUMMYFUNCTION("""COMPUTED_VALUE"""),1324417.0)</f>
        <v>1324417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IFERROR(__xludf.DUMMYFUNCTION("""COMPUTED_VALUE"""),85.63)</f>
        <v>85.63</v>
      </c>
      <c r="C1985" s="1">
        <f>IFERROR(__xludf.DUMMYFUNCTION("""COMPUTED_VALUE"""),89.34)</f>
        <v>89.34</v>
      </c>
      <c r="D1985" s="1">
        <f>IFERROR(__xludf.DUMMYFUNCTION("""COMPUTED_VALUE"""),85.46)</f>
        <v>85.46</v>
      </c>
      <c r="E1985" s="1">
        <f>IFERROR(__xludf.DUMMYFUNCTION("""COMPUTED_VALUE"""),88.13)</f>
        <v>88.13</v>
      </c>
      <c r="F1985" s="1">
        <f>IFERROR(__xludf.DUMMYFUNCTION("""COMPUTED_VALUE"""),1463259.0)</f>
        <v>1463259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IFERROR(__xludf.DUMMYFUNCTION("""COMPUTED_VALUE"""),88.16)</f>
        <v>88.16</v>
      </c>
      <c r="C1986" s="1">
        <f>IFERROR(__xludf.DUMMYFUNCTION("""COMPUTED_VALUE"""),91.36)</f>
        <v>91.36</v>
      </c>
      <c r="D1986" s="1">
        <f>IFERROR(__xludf.DUMMYFUNCTION("""COMPUTED_VALUE"""),87.84)</f>
        <v>87.84</v>
      </c>
      <c r="E1986" s="1">
        <f>IFERROR(__xludf.DUMMYFUNCTION("""COMPUTED_VALUE"""),89.29)</f>
        <v>89.29</v>
      </c>
      <c r="F1986" s="1">
        <f>IFERROR(__xludf.DUMMYFUNCTION("""COMPUTED_VALUE"""),2119685.0)</f>
        <v>2119685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IFERROR(__xludf.DUMMYFUNCTION("""COMPUTED_VALUE"""),89.55)</f>
        <v>89.55</v>
      </c>
      <c r="C1987" s="1">
        <f>IFERROR(__xludf.DUMMYFUNCTION("""COMPUTED_VALUE"""),89.65)</f>
        <v>89.65</v>
      </c>
      <c r="D1987" s="1">
        <f>IFERROR(__xludf.DUMMYFUNCTION("""COMPUTED_VALUE"""),87.38)</f>
        <v>87.38</v>
      </c>
      <c r="E1987" s="1">
        <f>IFERROR(__xludf.DUMMYFUNCTION("""COMPUTED_VALUE"""),88.23)</f>
        <v>88.23</v>
      </c>
      <c r="F1987" s="1">
        <f>IFERROR(__xludf.DUMMYFUNCTION("""COMPUTED_VALUE"""),1464979.0)</f>
        <v>1464979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IFERROR(__xludf.DUMMYFUNCTION("""COMPUTED_VALUE"""),89.12)</f>
        <v>89.12</v>
      </c>
      <c r="C1988" s="1">
        <f>IFERROR(__xludf.DUMMYFUNCTION("""COMPUTED_VALUE"""),90.77)</f>
        <v>90.77</v>
      </c>
      <c r="D1988" s="1">
        <f>IFERROR(__xludf.DUMMYFUNCTION("""COMPUTED_VALUE"""),89.12)</f>
        <v>89.12</v>
      </c>
      <c r="E1988" s="1">
        <f>IFERROR(__xludf.DUMMYFUNCTION("""COMPUTED_VALUE"""),90.39)</f>
        <v>90.39</v>
      </c>
      <c r="F1988" s="1">
        <f>IFERROR(__xludf.DUMMYFUNCTION("""COMPUTED_VALUE"""),1239965.0)</f>
        <v>1239965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IFERROR(__xludf.DUMMYFUNCTION("""COMPUTED_VALUE"""),90.23)</f>
        <v>90.23</v>
      </c>
      <c r="C1989" s="1">
        <f>IFERROR(__xludf.DUMMYFUNCTION("""COMPUTED_VALUE"""),91.4)</f>
        <v>91.4</v>
      </c>
      <c r="D1989" s="1">
        <f>IFERROR(__xludf.DUMMYFUNCTION("""COMPUTED_VALUE"""),89.12)</f>
        <v>89.12</v>
      </c>
      <c r="E1989" s="1">
        <f>IFERROR(__xludf.DUMMYFUNCTION("""COMPUTED_VALUE"""),89.31)</f>
        <v>89.31</v>
      </c>
      <c r="F1989" s="1">
        <f>IFERROR(__xludf.DUMMYFUNCTION("""COMPUTED_VALUE"""),1168895.0)</f>
        <v>1168895</v>
      </c>
    </row>
    <row r="1990">
      <c r="A1990" s="2">
        <f>IFERROR(__xludf.DUMMYFUNCTION("""COMPUTED_VALUE"""),43063.54166666667)</f>
        <v>43063.54167</v>
      </c>
      <c r="B1990" s="1">
        <f>IFERROR(__xludf.DUMMYFUNCTION("""COMPUTED_VALUE"""),87.02)</f>
        <v>87.02</v>
      </c>
      <c r="C1990" s="1">
        <f>IFERROR(__xludf.DUMMYFUNCTION("""COMPUTED_VALUE"""),88.93)</f>
        <v>88.93</v>
      </c>
      <c r="D1990" s="1">
        <f>IFERROR(__xludf.DUMMYFUNCTION("""COMPUTED_VALUE"""),85.96)</f>
        <v>85.96</v>
      </c>
      <c r="E1990" s="1">
        <f>IFERROR(__xludf.DUMMYFUNCTION("""COMPUTED_VALUE"""),88.57)</f>
        <v>88.57</v>
      </c>
      <c r="F1990" s="1">
        <f>IFERROR(__xludf.DUMMYFUNCTION("""COMPUTED_VALUE"""),1075072.0)</f>
        <v>1075072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IFERROR(__xludf.DUMMYFUNCTION("""COMPUTED_VALUE"""),87.59)</f>
        <v>87.59</v>
      </c>
      <c r="C1991" s="1">
        <f>IFERROR(__xludf.DUMMYFUNCTION("""COMPUTED_VALUE"""),88.1)</f>
        <v>88.1</v>
      </c>
      <c r="D1991" s="1">
        <f>IFERROR(__xludf.DUMMYFUNCTION("""COMPUTED_VALUE"""),86.0)</f>
        <v>86</v>
      </c>
      <c r="E1991" s="1">
        <f>IFERROR(__xludf.DUMMYFUNCTION("""COMPUTED_VALUE"""),86.27)</f>
        <v>86.27</v>
      </c>
      <c r="F1991" s="1">
        <f>IFERROR(__xludf.DUMMYFUNCTION("""COMPUTED_VALUE"""),1210411.0)</f>
        <v>1210411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IFERROR(__xludf.DUMMYFUNCTION("""COMPUTED_VALUE"""),87.0)</f>
        <v>87</v>
      </c>
      <c r="C1992" s="1">
        <f>IFERROR(__xludf.DUMMYFUNCTION("""COMPUTED_VALUE"""),89.45)</f>
        <v>89.45</v>
      </c>
      <c r="D1992" s="1">
        <f>IFERROR(__xludf.DUMMYFUNCTION("""COMPUTED_VALUE"""),86.05)</f>
        <v>86.05</v>
      </c>
      <c r="E1992" s="1">
        <f>IFERROR(__xludf.DUMMYFUNCTION("""COMPUTED_VALUE"""),88.29)</f>
        <v>88.29</v>
      </c>
      <c r="F1992" s="1">
        <f>IFERROR(__xludf.DUMMYFUNCTION("""COMPUTED_VALUE"""),1781481.0)</f>
        <v>1781481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IFERROR(__xludf.DUMMYFUNCTION("""COMPUTED_VALUE"""),88.12)</f>
        <v>88.12</v>
      </c>
      <c r="C1993" s="1">
        <f>IFERROR(__xludf.DUMMYFUNCTION("""COMPUTED_VALUE"""),89.48)</f>
        <v>89.48</v>
      </c>
      <c r="D1993" s="1">
        <f>IFERROR(__xludf.DUMMYFUNCTION("""COMPUTED_VALUE"""),84.41)</f>
        <v>84.41</v>
      </c>
      <c r="E1993" s="1">
        <f>IFERROR(__xludf.DUMMYFUNCTION("""COMPUTED_VALUE"""),85.0)</f>
        <v>85</v>
      </c>
      <c r="F1993" s="1">
        <f>IFERROR(__xludf.DUMMYFUNCTION("""COMPUTED_VALUE"""),1771599.0)</f>
        <v>1771599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IFERROR(__xludf.DUMMYFUNCTION("""COMPUTED_VALUE"""),85.01)</f>
        <v>85.01</v>
      </c>
      <c r="C1994" s="1">
        <f>IFERROR(__xludf.DUMMYFUNCTION("""COMPUTED_VALUE"""),85.06)</f>
        <v>85.06</v>
      </c>
      <c r="D1994" s="1">
        <f>IFERROR(__xludf.DUMMYFUNCTION("""COMPUTED_VALUE"""),81.88)</f>
        <v>81.88</v>
      </c>
      <c r="E1994" s="1">
        <f>IFERROR(__xludf.DUMMYFUNCTION("""COMPUTED_VALUE"""),84.86)</f>
        <v>84.86</v>
      </c>
      <c r="F1994" s="1">
        <f>IFERROR(__xludf.DUMMYFUNCTION("""COMPUTED_VALUE"""),1689905.0)</f>
        <v>1689905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IFERROR(__xludf.DUMMYFUNCTION("""COMPUTED_VALUE"""),83.81)</f>
        <v>83.81</v>
      </c>
      <c r="C1995" s="1">
        <f>IFERROR(__xludf.DUMMYFUNCTION("""COMPUTED_VALUE"""),85.26)</f>
        <v>85.26</v>
      </c>
      <c r="D1995" s="1">
        <f>IFERROR(__xludf.DUMMYFUNCTION("""COMPUTED_VALUE"""),83.47)</f>
        <v>83.47</v>
      </c>
      <c r="E1995" s="1">
        <f>IFERROR(__xludf.DUMMYFUNCTION("""COMPUTED_VALUE"""),84.28)</f>
        <v>84.28</v>
      </c>
      <c r="F1995" s="1">
        <f>IFERROR(__xludf.DUMMYFUNCTION("""COMPUTED_VALUE"""),516708.0)</f>
        <v>516708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IFERROR(__xludf.DUMMYFUNCTION("""COMPUTED_VALUE"""),85.24)</f>
        <v>85.24</v>
      </c>
      <c r="C1996" s="1">
        <f>IFERROR(__xludf.DUMMYFUNCTION("""COMPUTED_VALUE"""),86.53)</f>
        <v>86.53</v>
      </c>
      <c r="D1996" s="1">
        <f>IFERROR(__xludf.DUMMYFUNCTION("""COMPUTED_VALUE"""),82.07)</f>
        <v>82.07</v>
      </c>
      <c r="E1996" s="1">
        <f>IFERROR(__xludf.DUMMYFUNCTION("""COMPUTED_VALUE"""),84.69)</f>
        <v>84.69</v>
      </c>
      <c r="F1996" s="1">
        <f>IFERROR(__xludf.DUMMYFUNCTION("""COMPUTED_VALUE"""),1442077.0)</f>
        <v>1442077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IFERROR(__xludf.DUMMYFUNCTION("""COMPUTED_VALUE"""),84.24)</f>
        <v>84.24</v>
      </c>
      <c r="C1997" s="1">
        <f>IFERROR(__xludf.DUMMYFUNCTION("""COMPUTED_VALUE"""),85.22)</f>
        <v>85.22</v>
      </c>
      <c r="D1997" s="1">
        <f>IFERROR(__xludf.DUMMYFUNCTION("""COMPUTED_VALUE"""),82.43)</f>
        <v>82.43</v>
      </c>
      <c r="E1997" s="1">
        <f>IFERROR(__xludf.DUMMYFUNCTION("""COMPUTED_VALUE"""),84.48)</f>
        <v>84.48</v>
      </c>
      <c r="F1997" s="1">
        <f>IFERROR(__xludf.DUMMYFUNCTION("""COMPUTED_VALUE"""),1714107.0)</f>
        <v>1714107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IFERROR(__xludf.DUMMYFUNCTION("""COMPUTED_VALUE"""),83.24)</f>
        <v>83.24</v>
      </c>
      <c r="C1998" s="1">
        <f>IFERROR(__xludf.DUMMYFUNCTION("""COMPUTED_VALUE"""),89.09)</f>
        <v>89.09</v>
      </c>
      <c r="D1998" s="1">
        <f>IFERROR(__xludf.DUMMYFUNCTION("""COMPUTED_VALUE"""),82.84)</f>
        <v>82.84</v>
      </c>
      <c r="E1998" s="1">
        <f>IFERROR(__xludf.DUMMYFUNCTION("""COMPUTED_VALUE"""),88.88)</f>
        <v>88.88</v>
      </c>
      <c r="F1998" s="1">
        <f>IFERROR(__xludf.DUMMYFUNCTION("""COMPUTED_VALUE"""),1414911.0)</f>
        <v>1414911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IFERROR(__xludf.DUMMYFUNCTION("""COMPUTED_VALUE"""),88.69)</f>
        <v>88.69</v>
      </c>
      <c r="C1999" s="1">
        <f>IFERROR(__xludf.DUMMYFUNCTION("""COMPUTED_VALUE"""),90.08)</f>
        <v>90.08</v>
      </c>
      <c r="D1999" s="1">
        <f>IFERROR(__xludf.DUMMYFUNCTION("""COMPUTED_VALUE"""),87.15)</f>
        <v>87.15</v>
      </c>
      <c r="E1999" s="1">
        <f>IFERROR(__xludf.DUMMYFUNCTION("""COMPUTED_VALUE"""),88.89)</f>
        <v>88.89</v>
      </c>
      <c r="F1999" s="1">
        <f>IFERROR(__xludf.DUMMYFUNCTION("""COMPUTED_VALUE"""),1683134.0)</f>
        <v>1683134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IFERROR(__xludf.DUMMYFUNCTION("""COMPUTED_VALUE"""),89.92)</f>
        <v>89.92</v>
      </c>
      <c r="C2000" s="1">
        <f>IFERROR(__xludf.DUMMYFUNCTION("""COMPUTED_VALUE"""),92.26)</f>
        <v>92.26</v>
      </c>
      <c r="D2000" s="1">
        <f>IFERROR(__xludf.DUMMYFUNCTION("""COMPUTED_VALUE"""),89.38)</f>
        <v>89.38</v>
      </c>
      <c r="E2000" s="1">
        <f>IFERROR(__xludf.DUMMYFUNCTION("""COMPUTED_VALUE"""),90.01)</f>
        <v>90.01</v>
      </c>
      <c r="F2000" s="1">
        <f>IFERROR(__xludf.DUMMYFUNCTION("""COMPUTED_VALUE"""),1330569.0)</f>
        <v>1330569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IFERROR(__xludf.DUMMYFUNCTION("""COMPUTED_VALUE"""),90.89)</f>
        <v>90.89</v>
      </c>
      <c r="C2001" s="1">
        <f>IFERROR(__xludf.DUMMYFUNCTION("""COMPUTED_VALUE"""),91.37)</f>
        <v>91.37</v>
      </c>
      <c r="D2001" s="1">
        <f>IFERROR(__xludf.DUMMYFUNCTION("""COMPUTED_VALUE"""),89.51)</f>
        <v>89.51</v>
      </c>
      <c r="E2001" s="1">
        <f>IFERROR(__xludf.DUMMYFUNCTION("""COMPUTED_VALUE"""),90.24)</f>
        <v>90.24</v>
      </c>
      <c r="F2001" s="1">
        <f>IFERROR(__xludf.DUMMYFUNCTION("""COMPUTED_VALUE"""),1661257.0)</f>
        <v>1661257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IFERROR(__xludf.DUMMYFUNCTION("""COMPUTED_VALUE"""),89.8)</f>
        <v>89.8</v>
      </c>
      <c r="C2002" s="1">
        <f>IFERROR(__xludf.DUMMYFUNCTION("""COMPUTED_VALUE"""),90.9)</f>
        <v>90.9</v>
      </c>
      <c r="D2002" s="1">
        <f>IFERROR(__xludf.DUMMYFUNCTION("""COMPUTED_VALUE"""),88.04)</f>
        <v>88.04</v>
      </c>
      <c r="E2002" s="1">
        <f>IFERROR(__xludf.DUMMYFUNCTION("""COMPUTED_VALUE"""),89.18)</f>
        <v>89.18</v>
      </c>
      <c r="F2002" s="1">
        <f>IFERROR(__xludf.DUMMYFUNCTION("""COMPUTED_VALUE"""),577842.0)</f>
        <v>577842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IFERROR(__xludf.DUMMYFUNCTION("""COMPUTED_VALUE"""),89.5)</f>
        <v>89.5</v>
      </c>
      <c r="C2003" s="1">
        <f>IFERROR(__xludf.DUMMYFUNCTION("""COMPUTED_VALUE"""),89.78)</f>
        <v>89.78</v>
      </c>
      <c r="D2003" s="1">
        <f>IFERROR(__xludf.DUMMYFUNCTION("""COMPUTED_VALUE"""),86.39)</f>
        <v>86.39</v>
      </c>
      <c r="E2003" s="1">
        <f>IFERROR(__xludf.DUMMYFUNCTION("""COMPUTED_VALUE"""),88.2)</f>
        <v>88.2</v>
      </c>
      <c r="F2003" s="1">
        <f>IFERROR(__xludf.DUMMYFUNCTION("""COMPUTED_VALUE"""),1145613.0)</f>
        <v>1145613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IFERROR(__xludf.DUMMYFUNCTION("""COMPUTED_VALUE"""),88.9)</f>
        <v>88.9</v>
      </c>
      <c r="C2004" s="1">
        <f>IFERROR(__xludf.DUMMYFUNCTION("""COMPUTED_VALUE"""),89.57)</f>
        <v>89.57</v>
      </c>
      <c r="D2004" s="1">
        <f>IFERROR(__xludf.DUMMYFUNCTION("""COMPUTED_VALUE"""),87.66)</f>
        <v>87.66</v>
      </c>
      <c r="E2004" s="1">
        <f>IFERROR(__xludf.DUMMYFUNCTION("""COMPUTED_VALUE"""),89.43)</f>
        <v>89.43</v>
      </c>
      <c r="F2004" s="1">
        <f>IFERROR(__xludf.DUMMYFUNCTION("""COMPUTED_VALUE"""),829942.0)</f>
        <v>829942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IFERROR(__xludf.DUMMYFUNCTION("""COMPUTED_VALUE"""),88.97)</f>
        <v>88.97</v>
      </c>
      <c r="C2005" s="1">
        <f>IFERROR(__xludf.DUMMYFUNCTION("""COMPUTED_VALUE"""),89.75)</f>
        <v>89.75</v>
      </c>
      <c r="D2005" s="1">
        <f>IFERROR(__xludf.DUMMYFUNCTION("""COMPUTED_VALUE"""),88.11)</f>
        <v>88.11</v>
      </c>
      <c r="E2005" s="1">
        <f>IFERROR(__xludf.DUMMYFUNCTION("""COMPUTED_VALUE"""),89.5)</f>
        <v>89.5</v>
      </c>
      <c r="F2005" s="1">
        <f>IFERROR(__xludf.DUMMYFUNCTION("""COMPUTED_VALUE"""),2206456.0)</f>
        <v>2206456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IFERROR(__xludf.DUMMYFUNCTION("""COMPUTED_VALUE"""),90.14)</f>
        <v>90.14</v>
      </c>
      <c r="C2006" s="1">
        <f>IFERROR(__xludf.DUMMYFUNCTION("""COMPUTED_VALUE"""),92.86)</f>
        <v>92.86</v>
      </c>
      <c r="D2006" s="1">
        <f>IFERROR(__xludf.DUMMYFUNCTION("""COMPUTED_VALUE"""),89.41)</f>
        <v>89.41</v>
      </c>
      <c r="E2006" s="1">
        <f>IFERROR(__xludf.DUMMYFUNCTION("""COMPUTED_VALUE"""),91.88)</f>
        <v>91.88</v>
      </c>
      <c r="F2006" s="1">
        <f>IFERROR(__xludf.DUMMYFUNCTION("""COMPUTED_VALUE"""),1797267.0)</f>
        <v>1797267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IFERROR(__xludf.DUMMYFUNCTION("""COMPUTED_VALUE"""),91.98)</f>
        <v>91.98</v>
      </c>
      <c r="C2007" s="1">
        <f>IFERROR(__xludf.DUMMYFUNCTION("""COMPUTED_VALUE"""),93.25)</f>
        <v>93.25</v>
      </c>
      <c r="D2007" s="1">
        <f>IFERROR(__xludf.DUMMYFUNCTION("""COMPUTED_VALUE"""),90.47)</f>
        <v>90.47</v>
      </c>
      <c r="E2007" s="1">
        <f>IFERROR(__xludf.DUMMYFUNCTION("""COMPUTED_VALUE"""),90.89)</f>
        <v>90.89</v>
      </c>
      <c r="F2007" s="1">
        <f>IFERROR(__xludf.DUMMYFUNCTION("""COMPUTED_VALUE"""),881356.0)</f>
        <v>881356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IFERROR(__xludf.DUMMYFUNCTION("""COMPUTED_VALUE"""),91.95)</f>
        <v>91.95</v>
      </c>
      <c r="C2008" s="1">
        <f>IFERROR(__xludf.DUMMYFUNCTION("""COMPUTED_VALUE"""),92.42)</f>
        <v>92.42</v>
      </c>
      <c r="D2008" s="1">
        <f>IFERROR(__xludf.DUMMYFUNCTION("""COMPUTED_VALUE"""),90.18)</f>
        <v>90.18</v>
      </c>
      <c r="E2008" s="1">
        <f>IFERROR(__xludf.DUMMYFUNCTION("""COMPUTED_VALUE"""),91.81)</f>
        <v>91.81</v>
      </c>
      <c r="F2008" s="1">
        <f>IFERROR(__xludf.DUMMYFUNCTION("""COMPUTED_VALUE"""),621764.0)</f>
        <v>621764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IFERROR(__xludf.DUMMYFUNCTION("""COMPUTED_VALUE"""),92.15)</f>
        <v>92.15</v>
      </c>
      <c r="C2009" s="1">
        <f>IFERROR(__xludf.DUMMYFUNCTION("""COMPUTED_VALUE"""),92.95)</f>
        <v>92.95</v>
      </c>
      <c r="D2009" s="1">
        <f>IFERROR(__xludf.DUMMYFUNCTION("""COMPUTED_VALUE"""),91.32)</f>
        <v>91.32</v>
      </c>
      <c r="E2009" s="1">
        <f>IFERROR(__xludf.DUMMYFUNCTION("""COMPUTED_VALUE"""),92.19)</f>
        <v>92.19</v>
      </c>
      <c r="F2009" s="1">
        <f>IFERROR(__xludf.DUMMYFUNCTION("""COMPUTED_VALUE"""),540481.0)</f>
        <v>540481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IFERROR(__xludf.DUMMYFUNCTION("""COMPUTED_VALUE"""),92.09)</f>
        <v>92.09</v>
      </c>
      <c r="C2010" s="1">
        <f>IFERROR(__xludf.DUMMYFUNCTION("""COMPUTED_VALUE"""),92.73)</f>
        <v>92.73</v>
      </c>
      <c r="D2010" s="1">
        <f>IFERROR(__xludf.DUMMYFUNCTION("""COMPUTED_VALUE"""),91.37)</f>
        <v>91.37</v>
      </c>
      <c r="E2010" s="1">
        <f>IFERROR(__xludf.DUMMYFUNCTION("""COMPUTED_VALUE"""),91.75)</f>
        <v>91.75</v>
      </c>
      <c r="F2010" s="1">
        <f>IFERROR(__xludf.DUMMYFUNCTION("""COMPUTED_VALUE"""),615867.0)</f>
        <v>615867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IFERROR(__xludf.DUMMYFUNCTION("""COMPUTED_VALUE"""),91.75)</f>
        <v>91.75</v>
      </c>
      <c r="C2011" s="1">
        <f>IFERROR(__xludf.DUMMYFUNCTION("""COMPUTED_VALUE"""),92.72)</f>
        <v>92.72</v>
      </c>
      <c r="D2011" s="1">
        <f>IFERROR(__xludf.DUMMYFUNCTION("""COMPUTED_VALUE"""),90.38)</f>
        <v>90.38</v>
      </c>
      <c r="E2011" s="1">
        <f>IFERROR(__xludf.DUMMYFUNCTION("""COMPUTED_VALUE"""),92.46)</f>
        <v>92.46</v>
      </c>
      <c r="F2011" s="1">
        <f>IFERROR(__xludf.DUMMYFUNCTION("""COMPUTED_VALUE"""),517786.0)</f>
        <v>517786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IFERROR(__xludf.DUMMYFUNCTION("""COMPUTED_VALUE"""),92.95)</f>
        <v>92.95</v>
      </c>
      <c r="C2012" s="1">
        <f>IFERROR(__xludf.DUMMYFUNCTION("""COMPUTED_VALUE"""),93.02)</f>
        <v>93.02</v>
      </c>
      <c r="D2012" s="1">
        <f>IFERROR(__xludf.DUMMYFUNCTION("""COMPUTED_VALUE"""),90.92)</f>
        <v>90.92</v>
      </c>
      <c r="E2012" s="1">
        <f>IFERROR(__xludf.DUMMYFUNCTION("""COMPUTED_VALUE"""),92.83)</f>
        <v>92.83</v>
      </c>
      <c r="F2012" s="1">
        <f>IFERROR(__xludf.DUMMYFUNCTION("""COMPUTED_VALUE"""),619723.0)</f>
        <v>619723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IFERROR(__xludf.DUMMYFUNCTION("""COMPUTED_VALUE"""),93.75)</f>
        <v>93.75</v>
      </c>
      <c r="C2013" s="1">
        <f>IFERROR(__xludf.DUMMYFUNCTION("""COMPUTED_VALUE"""),94.49)</f>
        <v>94.49</v>
      </c>
      <c r="D2013" s="1">
        <f>IFERROR(__xludf.DUMMYFUNCTION("""COMPUTED_VALUE"""),92.31)</f>
        <v>92.31</v>
      </c>
      <c r="E2013" s="1">
        <f>IFERROR(__xludf.DUMMYFUNCTION("""COMPUTED_VALUE"""),92.65)</f>
        <v>92.65</v>
      </c>
      <c r="F2013" s="1">
        <f>IFERROR(__xludf.DUMMYFUNCTION("""COMPUTED_VALUE"""),541245.0)</f>
        <v>541245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IFERROR(__xludf.DUMMYFUNCTION("""COMPUTED_VALUE"""),92.83)</f>
        <v>92.83</v>
      </c>
      <c r="C2014" s="1">
        <f>IFERROR(__xludf.DUMMYFUNCTION("""COMPUTED_VALUE"""),95.47)</f>
        <v>95.47</v>
      </c>
      <c r="D2014" s="1">
        <f>IFERROR(__xludf.DUMMYFUNCTION("""COMPUTED_VALUE"""),92.19)</f>
        <v>92.19</v>
      </c>
      <c r="E2014" s="1">
        <f>IFERROR(__xludf.DUMMYFUNCTION("""COMPUTED_VALUE"""),94.0)</f>
        <v>94</v>
      </c>
      <c r="F2014" s="1">
        <f>IFERROR(__xludf.DUMMYFUNCTION("""COMPUTED_VALUE"""),800717.0)</f>
        <v>800717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IFERROR(__xludf.DUMMYFUNCTION("""COMPUTED_VALUE"""),95.74)</f>
        <v>95.74</v>
      </c>
      <c r="C2015" s="1">
        <f>IFERROR(__xludf.DUMMYFUNCTION("""COMPUTED_VALUE"""),98.54)</f>
        <v>98.54</v>
      </c>
      <c r="D2015" s="1">
        <f>IFERROR(__xludf.DUMMYFUNCTION("""COMPUTED_VALUE"""),95.65)</f>
        <v>95.65</v>
      </c>
      <c r="E2015" s="1">
        <f>IFERROR(__xludf.DUMMYFUNCTION("""COMPUTED_VALUE"""),97.79)</f>
        <v>97.79</v>
      </c>
      <c r="F2015" s="1">
        <f>IFERROR(__xludf.DUMMYFUNCTION("""COMPUTED_VALUE"""),1378761.0)</f>
        <v>1378761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IFERROR(__xludf.DUMMYFUNCTION("""COMPUTED_VALUE"""),98.25)</f>
        <v>98.25</v>
      </c>
      <c r="C2016" s="1">
        <f>IFERROR(__xludf.DUMMYFUNCTION("""COMPUTED_VALUE"""),102.5)</f>
        <v>102.5</v>
      </c>
      <c r="D2016" s="1">
        <f>IFERROR(__xludf.DUMMYFUNCTION("""COMPUTED_VALUE"""),98.23)</f>
        <v>98.23</v>
      </c>
      <c r="E2016" s="1">
        <f>IFERROR(__xludf.DUMMYFUNCTION("""COMPUTED_VALUE"""),101.57)</f>
        <v>101.57</v>
      </c>
      <c r="F2016" s="1">
        <f>IFERROR(__xludf.DUMMYFUNCTION("""COMPUTED_VALUE"""),1943948.0)</f>
        <v>1943948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IFERROR(__xludf.DUMMYFUNCTION("""COMPUTED_VALUE"""),103.5)</f>
        <v>103.5</v>
      </c>
      <c r="C2017" s="1">
        <f>IFERROR(__xludf.DUMMYFUNCTION("""COMPUTED_VALUE"""),104.88)</f>
        <v>104.88</v>
      </c>
      <c r="D2017" s="1">
        <f>IFERROR(__xludf.DUMMYFUNCTION("""COMPUTED_VALUE"""),98.93)</f>
        <v>98.93</v>
      </c>
      <c r="E2017" s="1">
        <f>IFERROR(__xludf.DUMMYFUNCTION("""COMPUTED_VALUE"""),99.39)</f>
        <v>99.39</v>
      </c>
      <c r="F2017" s="1">
        <f>IFERROR(__xludf.DUMMYFUNCTION("""COMPUTED_VALUE"""),2106953.0)</f>
        <v>2106953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IFERROR(__xludf.DUMMYFUNCTION("""COMPUTED_VALUE"""),100.85)</f>
        <v>100.85</v>
      </c>
      <c r="C2018" s="1">
        <f>IFERROR(__xludf.DUMMYFUNCTION("""COMPUTED_VALUE"""),101.91)</f>
        <v>101.91</v>
      </c>
      <c r="D2018" s="1">
        <f>IFERROR(__xludf.DUMMYFUNCTION("""COMPUTED_VALUE"""),97.81)</f>
        <v>97.81</v>
      </c>
      <c r="E2018" s="1">
        <f>IFERROR(__xludf.DUMMYFUNCTION("""COMPUTED_VALUE"""),100.86)</f>
        <v>100.86</v>
      </c>
      <c r="F2018" s="1">
        <f>IFERROR(__xludf.DUMMYFUNCTION("""COMPUTED_VALUE"""),2156299.0)</f>
        <v>2156299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IFERROR(__xludf.DUMMYFUNCTION("""COMPUTED_VALUE"""),101.0)</f>
        <v>101</v>
      </c>
      <c r="C2019" s="1">
        <f>IFERROR(__xludf.DUMMYFUNCTION("""COMPUTED_VALUE"""),102.62)</f>
        <v>102.62</v>
      </c>
      <c r="D2019" s="1">
        <f>IFERROR(__xludf.DUMMYFUNCTION("""COMPUTED_VALUE"""),99.36)</f>
        <v>99.36</v>
      </c>
      <c r="E2019" s="1">
        <f>IFERROR(__xludf.DUMMYFUNCTION("""COMPUTED_VALUE"""),101.49)</f>
        <v>101.49</v>
      </c>
      <c r="F2019" s="1">
        <f>IFERROR(__xludf.DUMMYFUNCTION("""COMPUTED_VALUE"""),1550451.0)</f>
        <v>1550451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IFERROR(__xludf.DUMMYFUNCTION("""COMPUTED_VALUE"""),102.35)</f>
        <v>102.35</v>
      </c>
      <c r="C2020" s="1">
        <f>IFERROR(__xludf.DUMMYFUNCTION("""COMPUTED_VALUE"""),103.72)</f>
        <v>103.72</v>
      </c>
      <c r="D2020" s="1">
        <f>IFERROR(__xludf.DUMMYFUNCTION("""COMPUTED_VALUE"""),100.39)</f>
        <v>100.39</v>
      </c>
      <c r="E2020" s="1">
        <f>IFERROR(__xludf.DUMMYFUNCTION("""COMPUTED_VALUE"""),103.51)</f>
        <v>103.51</v>
      </c>
      <c r="F2020" s="1">
        <f>IFERROR(__xludf.DUMMYFUNCTION("""COMPUTED_VALUE"""),1234520.0)</f>
        <v>1234520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IFERROR(__xludf.DUMMYFUNCTION("""COMPUTED_VALUE"""),102.24)</f>
        <v>102.24</v>
      </c>
      <c r="C2021" s="1">
        <f>IFERROR(__xludf.DUMMYFUNCTION("""COMPUTED_VALUE"""),103.74)</f>
        <v>103.74</v>
      </c>
      <c r="D2021" s="1">
        <f>IFERROR(__xludf.DUMMYFUNCTION("""COMPUTED_VALUE"""),100.63)</f>
        <v>100.63</v>
      </c>
      <c r="E2021" s="1">
        <f>IFERROR(__xludf.DUMMYFUNCTION("""COMPUTED_VALUE"""),103.23)</f>
        <v>103.23</v>
      </c>
      <c r="F2021" s="1">
        <f>IFERROR(__xludf.DUMMYFUNCTION("""COMPUTED_VALUE"""),652283.0)</f>
        <v>652283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IFERROR(__xludf.DUMMYFUNCTION("""COMPUTED_VALUE"""),103.3)</f>
        <v>103.3</v>
      </c>
      <c r="C2022" s="1">
        <f>IFERROR(__xludf.DUMMYFUNCTION("""COMPUTED_VALUE"""),103.93)</f>
        <v>103.93</v>
      </c>
      <c r="D2022" s="1">
        <f>IFERROR(__xludf.DUMMYFUNCTION("""COMPUTED_VALUE"""),101.05)</f>
        <v>101.05</v>
      </c>
      <c r="E2022" s="1">
        <f>IFERROR(__xludf.DUMMYFUNCTION("""COMPUTED_VALUE"""),101.92)</f>
        <v>101.92</v>
      </c>
      <c r="F2022" s="1">
        <f>IFERROR(__xludf.DUMMYFUNCTION("""COMPUTED_VALUE"""),1227260.0)</f>
        <v>1227260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IFERROR(__xludf.DUMMYFUNCTION("""COMPUTED_VALUE"""),102.5)</f>
        <v>102.5</v>
      </c>
      <c r="C2023" s="1">
        <f>IFERROR(__xludf.DUMMYFUNCTION("""COMPUTED_VALUE"""),105.5)</f>
        <v>105.5</v>
      </c>
      <c r="D2023" s="1">
        <f>IFERROR(__xludf.DUMMYFUNCTION("""COMPUTED_VALUE"""),102.48)</f>
        <v>102.48</v>
      </c>
      <c r="E2023" s="1">
        <f>IFERROR(__xludf.DUMMYFUNCTION("""COMPUTED_VALUE"""),104.92)</f>
        <v>104.92</v>
      </c>
      <c r="F2023" s="1">
        <f>IFERROR(__xludf.DUMMYFUNCTION("""COMPUTED_VALUE"""),2504596.0)</f>
        <v>2504596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IFERROR(__xludf.DUMMYFUNCTION("""COMPUTED_VALUE"""),105.6)</f>
        <v>105.6</v>
      </c>
      <c r="C2024" s="1">
        <f>IFERROR(__xludf.DUMMYFUNCTION("""COMPUTED_VALUE"""),108.4)</f>
        <v>108.4</v>
      </c>
      <c r="D2024" s="1">
        <f>IFERROR(__xludf.DUMMYFUNCTION("""COMPUTED_VALUE"""),99.82)</f>
        <v>99.82</v>
      </c>
      <c r="E2024" s="1">
        <f>IFERROR(__xludf.DUMMYFUNCTION("""COMPUTED_VALUE"""),100.52)</f>
        <v>100.52</v>
      </c>
      <c r="F2024" s="1">
        <f>IFERROR(__xludf.DUMMYFUNCTION("""COMPUTED_VALUE"""),2762680.0)</f>
        <v>2762680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IFERROR(__xludf.DUMMYFUNCTION("""COMPUTED_VALUE"""),100.75)</f>
        <v>100.75</v>
      </c>
      <c r="C2025" s="1">
        <f>IFERROR(__xludf.DUMMYFUNCTION("""COMPUTED_VALUE"""),102.97)</f>
        <v>102.97</v>
      </c>
      <c r="D2025" s="1">
        <f>IFERROR(__xludf.DUMMYFUNCTION("""COMPUTED_VALUE"""),99.26)</f>
        <v>99.26</v>
      </c>
      <c r="E2025" s="1">
        <f>IFERROR(__xludf.DUMMYFUNCTION("""COMPUTED_VALUE"""),102.25)</f>
        <v>102.25</v>
      </c>
      <c r="F2025" s="1">
        <f>IFERROR(__xludf.DUMMYFUNCTION("""COMPUTED_VALUE"""),1473119.0)</f>
        <v>1473119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IFERROR(__xludf.DUMMYFUNCTION("""COMPUTED_VALUE"""),103.0)</f>
        <v>103</v>
      </c>
      <c r="C2026" s="1">
        <f>IFERROR(__xludf.DUMMYFUNCTION("""COMPUTED_VALUE"""),104.58)</f>
        <v>104.58</v>
      </c>
      <c r="D2026" s="1">
        <f>IFERROR(__xludf.DUMMYFUNCTION("""COMPUTED_VALUE"""),101.01)</f>
        <v>101.01</v>
      </c>
      <c r="E2026" s="1">
        <f>IFERROR(__xludf.DUMMYFUNCTION("""COMPUTED_VALUE"""),102.35)</f>
        <v>102.35</v>
      </c>
      <c r="F2026" s="1">
        <f>IFERROR(__xludf.DUMMYFUNCTION("""COMPUTED_VALUE"""),1039753.0)</f>
        <v>1039753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IFERROR(__xludf.DUMMYFUNCTION("""COMPUTED_VALUE"""),103.19)</f>
        <v>103.19</v>
      </c>
      <c r="C2027" s="1">
        <f>IFERROR(__xludf.DUMMYFUNCTION("""COMPUTED_VALUE"""),103.22)</f>
        <v>103.22</v>
      </c>
      <c r="D2027" s="1">
        <f>IFERROR(__xludf.DUMMYFUNCTION("""COMPUTED_VALUE"""),99.67)</f>
        <v>99.67</v>
      </c>
      <c r="E2027" s="1">
        <f>IFERROR(__xludf.DUMMYFUNCTION("""COMPUTED_VALUE"""),101.69)</f>
        <v>101.69</v>
      </c>
      <c r="F2027" s="1">
        <f>IFERROR(__xludf.DUMMYFUNCTION("""COMPUTED_VALUE"""),883611.0)</f>
        <v>883611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IFERROR(__xludf.DUMMYFUNCTION("""COMPUTED_VALUE"""),101.31)</f>
        <v>101.31</v>
      </c>
      <c r="C2028" s="1">
        <f>IFERROR(__xludf.DUMMYFUNCTION("""COMPUTED_VALUE"""),101.32)</f>
        <v>101.32</v>
      </c>
      <c r="D2028" s="1">
        <f>IFERROR(__xludf.DUMMYFUNCTION("""COMPUTED_VALUE"""),96.65)</f>
        <v>96.65</v>
      </c>
      <c r="E2028" s="1">
        <f>IFERROR(__xludf.DUMMYFUNCTION("""COMPUTED_VALUE"""),98.94)</f>
        <v>98.94</v>
      </c>
      <c r="F2028" s="1">
        <f>IFERROR(__xludf.DUMMYFUNCTION("""COMPUTED_VALUE"""),2694041.0)</f>
        <v>2694041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IFERROR(__xludf.DUMMYFUNCTION("""COMPUTED_VALUE"""),95.92)</f>
        <v>95.92</v>
      </c>
      <c r="C2029" s="1">
        <f>IFERROR(__xludf.DUMMYFUNCTION("""COMPUTED_VALUE"""),96.11)</f>
        <v>96.11</v>
      </c>
      <c r="D2029" s="1">
        <f>IFERROR(__xludf.DUMMYFUNCTION("""COMPUTED_VALUE"""),88.16)</f>
        <v>88.16</v>
      </c>
      <c r="E2029" s="1">
        <f>IFERROR(__xludf.DUMMYFUNCTION("""COMPUTED_VALUE"""),90.1)</f>
        <v>90.1</v>
      </c>
      <c r="F2029" s="1">
        <f>IFERROR(__xludf.DUMMYFUNCTION("""COMPUTED_VALUE"""),8086447.0)</f>
        <v>8086447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IFERROR(__xludf.DUMMYFUNCTION("""COMPUTED_VALUE"""),90.01)</f>
        <v>90.01</v>
      </c>
      <c r="C2030" s="1">
        <f>IFERROR(__xludf.DUMMYFUNCTION("""COMPUTED_VALUE"""),91.49)</f>
        <v>91.49</v>
      </c>
      <c r="D2030" s="1">
        <f>IFERROR(__xludf.DUMMYFUNCTION("""COMPUTED_VALUE"""),87.75)</f>
        <v>87.75</v>
      </c>
      <c r="E2030" s="1">
        <f>IFERROR(__xludf.DUMMYFUNCTION("""COMPUTED_VALUE"""),90.02)</f>
        <v>90.02</v>
      </c>
      <c r="F2030" s="1">
        <f>IFERROR(__xludf.DUMMYFUNCTION("""COMPUTED_VALUE"""),5642958.0)</f>
        <v>5642958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IFERROR(__xludf.DUMMYFUNCTION("""COMPUTED_VALUE"""),91.67)</f>
        <v>91.67</v>
      </c>
      <c r="C2031" s="1">
        <f>IFERROR(__xludf.DUMMYFUNCTION("""COMPUTED_VALUE"""),95.02)</f>
        <v>95.02</v>
      </c>
      <c r="D2031" s="1">
        <f>IFERROR(__xludf.DUMMYFUNCTION("""COMPUTED_VALUE"""),91.26)</f>
        <v>91.26</v>
      </c>
      <c r="E2031" s="1">
        <f>IFERROR(__xludf.DUMMYFUNCTION("""COMPUTED_VALUE"""),92.0)</f>
        <v>92</v>
      </c>
      <c r="F2031" s="1">
        <f>IFERROR(__xludf.DUMMYFUNCTION("""COMPUTED_VALUE"""),3661248.0)</f>
        <v>3661248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IFERROR(__xludf.DUMMYFUNCTION("""COMPUTED_VALUE"""),93.2)</f>
        <v>93.2</v>
      </c>
      <c r="C2032" s="1">
        <f>IFERROR(__xludf.DUMMYFUNCTION("""COMPUTED_VALUE"""),95.92)</f>
        <v>95.92</v>
      </c>
      <c r="D2032" s="1">
        <f>IFERROR(__xludf.DUMMYFUNCTION("""COMPUTED_VALUE"""),93.2)</f>
        <v>93.2</v>
      </c>
      <c r="E2032" s="1">
        <f>IFERROR(__xludf.DUMMYFUNCTION("""COMPUTED_VALUE"""),94.41)</f>
        <v>94.41</v>
      </c>
      <c r="F2032" s="1">
        <f>IFERROR(__xludf.DUMMYFUNCTION("""COMPUTED_VALUE"""),2914301.0)</f>
        <v>2914301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IFERROR(__xludf.DUMMYFUNCTION("""COMPUTED_VALUE"""),93.3)</f>
        <v>93.3</v>
      </c>
      <c r="C2033" s="1">
        <f>IFERROR(__xludf.DUMMYFUNCTION("""COMPUTED_VALUE"""),95.22)</f>
        <v>95.22</v>
      </c>
      <c r="D2033" s="1">
        <f>IFERROR(__xludf.DUMMYFUNCTION("""COMPUTED_VALUE"""),92.1)</f>
        <v>92.1</v>
      </c>
      <c r="E2033" s="1">
        <f>IFERROR(__xludf.DUMMYFUNCTION("""COMPUTED_VALUE"""),94.4)</f>
        <v>94.4</v>
      </c>
      <c r="F2033" s="1">
        <f>IFERROR(__xludf.DUMMYFUNCTION("""COMPUTED_VALUE"""),1893036.0)</f>
        <v>1893036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IFERROR(__xludf.DUMMYFUNCTION("""COMPUTED_VALUE"""),93.41)</f>
        <v>93.41</v>
      </c>
      <c r="C2034" s="1">
        <f>IFERROR(__xludf.DUMMYFUNCTION("""COMPUTED_VALUE"""),93.41)</f>
        <v>93.41</v>
      </c>
      <c r="D2034" s="1">
        <f>IFERROR(__xludf.DUMMYFUNCTION("""COMPUTED_VALUE"""),89.74)</f>
        <v>89.74</v>
      </c>
      <c r="E2034" s="1">
        <f>IFERROR(__xludf.DUMMYFUNCTION("""COMPUTED_VALUE"""),91.07)</f>
        <v>91.07</v>
      </c>
      <c r="F2034" s="1">
        <f>IFERROR(__xludf.DUMMYFUNCTION("""COMPUTED_VALUE"""),2247482.0)</f>
        <v>2247482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IFERROR(__xludf.DUMMYFUNCTION("""COMPUTED_VALUE"""),92.69)</f>
        <v>92.69</v>
      </c>
      <c r="C2035" s="1">
        <f>IFERROR(__xludf.DUMMYFUNCTION("""COMPUTED_VALUE"""),92.88)</f>
        <v>92.88</v>
      </c>
      <c r="D2035" s="1">
        <f>IFERROR(__xludf.DUMMYFUNCTION("""COMPUTED_VALUE"""),91.0)</f>
        <v>91</v>
      </c>
      <c r="E2035" s="1">
        <f>IFERROR(__xludf.DUMMYFUNCTION("""COMPUTED_VALUE"""),92.09)</f>
        <v>92.09</v>
      </c>
      <c r="F2035" s="1">
        <f>IFERROR(__xludf.DUMMYFUNCTION("""COMPUTED_VALUE"""),1331255.0)</f>
        <v>1331255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IFERROR(__xludf.DUMMYFUNCTION("""COMPUTED_VALUE"""),91.0)</f>
        <v>91</v>
      </c>
      <c r="C2036" s="1">
        <f>IFERROR(__xludf.DUMMYFUNCTION("""COMPUTED_VALUE"""),93.55)</f>
        <v>93.55</v>
      </c>
      <c r="D2036" s="1">
        <f>IFERROR(__xludf.DUMMYFUNCTION("""COMPUTED_VALUE"""),89.89)</f>
        <v>89.89</v>
      </c>
      <c r="E2036" s="1">
        <f>IFERROR(__xludf.DUMMYFUNCTION("""COMPUTED_VALUE"""),91.6)</f>
        <v>91.6</v>
      </c>
      <c r="F2036" s="1">
        <f>IFERROR(__xludf.DUMMYFUNCTION("""COMPUTED_VALUE"""),1604429.0)</f>
        <v>1604429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IFERROR(__xludf.DUMMYFUNCTION("""COMPUTED_VALUE"""),91.12)</f>
        <v>91.12</v>
      </c>
      <c r="C2037" s="1">
        <f>IFERROR(__xludf.DUMMYFUNCTION("""COMPUTED_VALUE"""),91.79)</f>
        <v>91.79</v>
      </c>
      <c r="D2037" s="1">
        <f>IFERROR(__xludf.DUMMYFUNCTION("""COMPUTED_VALUE"""),89.17)</f>
        <v>89.17</v>
      </c>
      <c r="E2037" s="1">
        <f>IFERROR(__xludf.DUMMYFUNCTION("""COMPUTED_VALUE"""),89.58)</f>
        <v>89.58</v>
      </c>
      <c r="F2037" s="1">
        <f>IFERROR(__xludf.DUMMYFUNCTION("""COMPUTED_VALUE"""),1616588.0)</f>
        <v>1616588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IFERROR(__xludf.DUMMYFUNCTION("""COMPUTED_VALUE"""),89.02)</f>
        <v>89.02</v>
      </c>
      <c r="C2038" s="1">
        <f>IFERROR(__xludf.DUMMYFUNCTION("""COMPUTED_VALUE"""),91.87)</f>
        <v>91.87</v>
      </c>
      <c r="D2038" s="1">
        <f>IFERROR(__xludf.DUMMYFUNCTION("""COMPUTED_VALUE"""),87.34)</f>
        <v>87.34</v>
      </c>
      <c r="E2038" s="1">
        <f>IFERROR(__xludf.DUMMYFUNCTION("""COMPUTED_VALUE"""),88.08)</f>
        <v>88.08</v>
      </c>
      <c r="F2038" s="1">
        <f>IFERROR(__xludf.DUMMYFUNCTION("""COMPUTED_VALUE"""),1466236.0)</f>
        <v>1466236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IFERROR(__xludf.DUMMYFUNCTION("""COMPUTED_VALUE"""),85.1)</f>
        <v>85.1</v>
      </c>
      <c r="C2039" s="1">
        <f>IFERROR(__xludf.DUMMYFUNCTION("""COMPUTED_VALUE"""),88.55)</f>
        <v>88.55</v>
      </c>
      <c r="D2039" s="1">
        <f>IFERROR(__xludf.DUMMYFUNCTION("""COMPUTED_VALUE"""),84.19)</f>
        <v>84.19</v>
      </c>
      <c r="E2039" s="1">
        <f>IFERROR(__xludf.DUMMYFUNCTION("""COMPUTED_VALUE"""),87.6)</f>
        <v>87.6</v>
      </c>
      <c r="F2039" s="1">
        <f>IFERROR(__xludf.DUMMYFUNCTION("""COMPUTED_VALUE"""),3362887.0)</f>
        <v>3362887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IFERROR(__xludf.DUMMYFUNCTION("""COMPUTED_VALUE"""),85.95)</f>
        <v>85.95</v>
      </c>
      <c r="C2040" s="1">
        <f>IFERROR(__xludf.DUMMYFUNCTION("""COMPUTED_VALUE"""),88.4)</f>
        <v>88.4</v>
      </c>
      <c r="D2040" s="1">
        <f>IFERROR(__xludf.DUMMYFUNCTION("""COMPUTED_VALUE"""),85.25)</f>
        <v>85.25</v>
      </c>
      <c r="E2040" s="1">
        <f>IFERROR(__xludf.DUMMYFUNCTION("""COMPUTED_VALUE"""),86.71)</f>
        <v>86.71</v>
      </c>
      <c r="F2040" s="1">
        <f>IFERROR(__xludf.DUMMYFUNCTION("""COMPUTED_VALUE"""),2131337.0)</f>
        <v>2131337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IFERROR(__xludf.DUMMYFUNCTION("""COMPUTED_VALUE"""),86.76)</f>
        <v>86.76</v>
      </c>
      <c r="C2041" s="1">
        <f>IFERROR(__xludf.DUMMYFUNCTION("""COMPUTED_VALUE"""),87.74)</f>
        <v>87.74</v>
      </c>
      <c r="D2041" s="1">
        <f>IFERROR(__xludf.DUMMYFUNCTION("""COMPUTED_VALUE"""),82.75)</f>
        <v>82.75</v>
      </c>
      <c r="E2041" s="1">
        <f>IFERROR(__xludf.DUMMYFUNCTION("""COMPUTED_VALUE"""),82.77)</f>
        <v>82.77</v>
      </c>
      <c r="F2041" s="1">
        <f>IFERROR(__xludf.DUMMYFUNCTION("""COMPUTED_VALUE"""),2991077.0)</f>
        <v>2991077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IFERROR(__xludf.DUMMYFUNCTION("""COMPUTED_VALUE"""),83.81)</f>
        <v>83.81</v>
      </c>
      <c r="C2042" s="1">
        <f>IFERROR(__xludf.DUMMYFUNCTION("""COMPUTED_VALUE"""),85.6)</f>
        <v>85.6</v>
      </c>
      <c r="D2042" s="1">
        <f>IFERROR(__xludf.DUMMYFUNCTION("""COMPUTED_VALUE"""),82.55)</f>
        <v>82.55</v>
      </c>
      <c r="E2042" s="1">
        <f>IFERROR(__xludf.DUMMYFUNCTION("""COMPUTED_VALUE"""),85.0)</f>
        <v>85</v>
      </c>
      <c r="F2042" s="1">
        <f>IFERROR(__xludf.DUMMYFUNCTION("""COMPUTED_VALUE"""),2225246.0)</f>
        <v>2225246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IFERROR(__xludf.DUMMYFUNCTION("""COMPUTED_VALUE"""),86.0)</f>
        <v>86</v>
      </c>
      <c r="C2043" s="1">
        <f>IFERROR(__xludf.DUMMYFUNCTION("""COMPUTED_VALUE"""),89.56)</f>
        <v>89.56</v>
      </c>
      <c r="D2043" s="1">
        <f>IFERROR(__xludf.DUMMYFUNCTION("""COMPUTED_VALUE"""),85.65)</f>
        <v>85.65</v>
      </c>
      <c r="E2043" s="1">
        <f>IFERROR(__xludf.DUMMYFUNCTION("""COMPUTED_VALUE"""),86.71)</f>
        <v>86.71</v>
      </c>
      <c r="F2043" s="1">
        <f>IFERROR(__xludf.DUMMYFUNCTION("""COMPUTED_VALUE"""),1348035.0)</f>
        <v>1348035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IFERROR(__xludf.DUMMYFUNCTION("""COMPUTED_VALUE"""),86.71)</f>
        <v>86.71</v>
      </c>
      <c r="C2044" s="1">
        <f>IFERROR(__xludf.DUMMYFUNCTION("""COMPUTED_VALUE"""),88.01)</f>
        <v>88.01</v>
      </c>
      <c r="D2044" s="1">
        <f>IFERROR(__xludf.DUMMYFUNCTION("""COMPUTED_VALUE"""),84.46)</f>
        <v>84.46</v>
      </c>
      <c r="E2044" s="1">
        <f>IFERROR(__xludf.DUMMYFUNCTION("""COMPUTED_VALUE"""),85.68)</f>
        <v>85.68</v>
      </c>
      <c r="F2044" s="1">
        <f>IFERROR(__xludf.DUMMYFUNCTION("""COMPUTED_VALUE"""),1828912.0)</f>
        <v>1828912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IFERROR(__xludf.DUMMYFUNCTION("""COMPUTED_VALUE"""),85.69)</f>
        <v>85.69</v>
      </c>
      <c r="C2045" s="1">
        <f>IFERROR(__xludf.DUMMYFUNCTION("""COMPUTED_VALUE"""),89.1)</f>
        <v>89.1</v>
      </c>
      <c r="D2045" s="1">
        <f>IFERROR(__xludf.DUMMYFUNCTION("""COMPUTED_VALUE"""),85.36)</f>
        <v>85.36</v>
      </c>
      <c r="E2045" s="1">
        <f>IFERROR(__xludf.DUMMYFUNCTION("""COMPUTED_VALUE"""),88.79)</f>
        <v>88.79</v>
      </c>
      <c r="F2045" s="1">
        <f>IFERROR(__xludf.DUMMYFUNCTION("""COMPUTED_VALUE"""),1725089.0)</f>
        <v>1725089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IFERROR(__xludf.DUMMYFUNCTION("""COMPUTED_VALUE"""),89.96)</f>
        <v>89.96</v>
      </c>
      <c r="C2046" s="1">
        <f>IFERROR(__xludf.DUMMYFUNCTION("""COMPUTED_VALUE"""),93.0)</f>
        <v>93</v>
      </c>
      <c r="D2046" s="1">
        <f>IFERROR(__xludf.DUMMYFUNCTION("""COMPUTED_VALUE"""),89.63)</f>
        <v>89.63</v>
      </c>
      <c r="E2046" s="1">
        <f>IFERROR(__xludf.DUMMYFUNCTION("""COMPUTED_VALUE"""),92.68)</f>
        <v>92.68</v>
      </c>
      <c r="F2046" s="1">
        <f>IFERROR(__xludf.DUMMYFUNCTION("""COMPUTED_VALUE"""),1452803.0)</f>
        <v>1452803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IFERROR(__xludf.DUMMYFUNCTION("""COMPUTED_VALUE"""),92.01)</f>
        <v>92.01</v>
      </c>
      <c r="C2047" s="1">
        <f>IFERROR(__xludf.DUMMYFUNCTION("""COMPUTED_VALUE"""),93.7)</f>
        <v>93.7</v>
      </c>
      <c r="D2047" s="1">
        <f>IFERROR(__xludf.DUMMYFUNCTION("""COMPUTED_VALUE"""),91.15)</f>
        <v>91.15</v>
      </c>
      <c r="E2047" s="1">
        <f>IFERROR(__xludf.DUMMYFUNCTION("""COMPUTED_VALUE"""),92.94)</f>
        <v>92.94</v>
      </c>
      <c r="F2047" s="1">
        <f>IFERROR(__xludf.DUMMYFUNCTION("""COMPUTED_VALUE"""),791986.0)</f>
        <v>791986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IFERROR(__xludf.DUMMYFUNCTION("""COMPUTED_VALUE"""),92.15)</f>
        <v>92.15</v>
      </c>
      <c r="C2048" s="1">
        <f>IFERROR(__xludf.DUMMYFUNCTION("""COMPUTED_VALUE"""),93.8)</f>
        <v>93.8</v>
      </c>
      <c r="D2048" s="1">
        <f>IFERROR(__xludf.DUMMYFUNCTION("""COMPUTED_VALUE"""),91.28)</f>
        <v>91.28</v>
      </c>
      <c r="E2048" s="1">
        <f>IFERROR(__xludf.DUMMYFUNCTION("""COMPUTED_VALUE"""),93.16)</f>
        <v>93.16</v>
      </c>
      <c r="F2048" s="1">
        <f>IFERROR(__xludf.DUMMYFUNCTION("""COMPUTED_VALUE"""),824848.0)</f>
        <v>824848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IFERROR(__xludf.DUMMYFUNCTION("""COMPUTED_VALUE"""),93.92)</f>
        <v>93.92</v>
      </c>
      <c r="C2049" s="1">
        <f>IFERROR(__xludf.DUMMYFUNCTION("""COMPUTED_VALUE"""),95.99)</f>
        <v>95.99</v>
      </c>
      <c r="D2049" s="1">
        <f>IFERROR(__xludf.DUMMYFUNCTION("""COMPUTED_VALUE"""),92.68)</f>
        <v>92.68</v>
      </c>
      <c r="E2049" s="1">
        <f>IFERROR(__xludf.DUMMYFUNCTION("""COMPUTED_VALUE"""),92.78)</f>
        <v>92.78</v>
      </c>
      <c r="F2049" s="1">
        <f>IFERROR(__xludf.DUMMYFUNCTION("""COMPUTED_VALUE"""),1130190.0)</f>
        <v>1130190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IFERROR(__xludf.DUMMYFUNCTION("""COMPUTED_VALUE"""),93.0)</f>
        <v>93</v>
      </c>
      <c r="C2050" s="1">
        <f>IFERROR(__xludf.DUMMYFUNCTION("""COMPUTED_VALUE"""),93.92)</f>
        <v>93.92</v>
      </c>
      <c r="D2050" s="1">
        <f>IFERROR(__xludf.DUMMYFUNCTION("""COMPUTED_VALUE"""),91.14)</f>
        <v>91.14</v>
      </c>
      <c r="E2050" s="1">
        <f>IFERROR(__xludf.DUMMYFUNCTION("""COMPUTED_VALUE"""),92.42)</f>
        <v>92.42</v>
      </c>
      <c r="F2050" s="1">
        <f>IFERROR(__xludf.DUMMYFUNCTION("""COMPUTED_VALUE"""),1257881.0)</f>
        <v>1257881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IFERROR(__xludf.DUMMYFUNCTION("""COMPUTED_VALUE"""),93.0)</f>
        <v>93</v>
      </c>
      <c r="C2051" s="1">
        <f>IFERROR(__xludf.DUMMYFUNCTION("""COMPUTED_VALUE"""),96.73)</f>
        <v>96.73</v>
      </c>
      <c r="D2051" s="1">
        <f>IFERROR(__xludf.DUMMYFUNCTION("""COMPUTED_VALUE"""),91.79)</f>
        <v>91.79</v>
      </c>
      <c r="E2051" s="1">
        <f>IFERROR(__xludf.DUMMYFUNCTION("""COMPUTED_VALUE"""),95.95)</f>
        <v>95.95</v>
      </c>
      <c r="F2051" s="1">
        <f>IFERROR(__xludf.DUMMYFUNCTION("""COMPUTED_VALUE"""),1244941.0)</f>
        <v>1244941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IFERROR(__xludf.DUMMYFUNCTION("""COMPUTED_VALUE"""),93.29)</f>
        <v>93.29</v>
      </c>
      <c r="C2052" s="1">
        <f>IFERROR(__xludf.DUMMYFUNCTION("""COMPUTED_VALUE"""),93.3)</f>
        <v>93.3</v>
      </c>
      <c r="D2052" s="1">
        <f>IFERROR(__xludf.DUMMYFUNCTION("""COMPUTED_VALUE"""),89.3)</f>
        <v>89.3</v>
      </c>
      <c r="E2052" s="1">
        <f>IFERROR(__xludf.DUMMYFUNCTION("""COMPUTED_VALUE"""),92.02)</f>
        <v>92.02</v>
      </c>
      <c r="F2052" s="1">
        <f>IFERROR(__xludf.DUMMYFUNCTION("""COMPUTED_VALUE"""),2750267.0)</f>
        <v>2750267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IFERROR(__xludf.DUMMYFUNCTION("""COMPUTED_VALUE"""),91.61)</f>
        <v>91.61</v>
      </c>
      <c r="C2053" s="1">
        <f>IFERROR(__xludf.DUMMYFUNCTION("""COMPUTED_VALUE"""),91.85)</f>
        <v>91.85</v>
      </c>
      <c r="D2053" s="1">
        <f>IFERROR(__xludf.DUMMYFUNCTION("""COMPUTED_VALUE"""),88.6)</f>
        <v>88.6</v>
      </c>
      <c r="E2053" s="1">
        <f>IFERROR(__xludf.DUMMYFUNCTION("""COMPUTED_VALUE"""),90.1)</f>
        <v>90.1</v>
      </c>
      <c r="F2053" s="1">
        <f>IFERROR(__xludf.DUMMYFUNCTION("""COMPUTED_VALUE"""),3157545.0)</f>
        <v>3157545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IFERROR(__xludf.DUMMYFUNCTION("""COMPUTED_VALUE"""),90.69)</f>
        <v>90.69</v>
      </c>
      <c r="C2054" s="1">
        <f>IFERROR(__xludf.DUMMYFUNCTION("""COMPUTED_VALUE"""),92.29)</f>
        <v>92.29</v>
      </c>
      <c r="D2054" s="1">
        <f>IFERROR(__xludf.DUMMYFUNCTION("""COMPUTED_VALUE"""),90.41)</f>
        <v>90.41</v>
      </c>
      <c r="E2054" s="1">
        <f>IFERROR(__xludf.DUMMYFUNCTION("""COMPUTED_VALUE"""),91.39)</f>
        <v>91.39</v>
      </c>
      <c r="F2054" s="1">
        <f>IFERROR(__xludf.DUMMYFUNCTION("""COMPUTED_VALUE"""),1712538.0)</f>
        <v>1712538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IFERROR(__xludf.DUMMYFUNCTION("""COMPUTED_VALUE"""),91.93)</f>
        <v>91.93</v>
      </c>
      <c r="C2055" s="1">
        <f>IFERROR(__xludf.DUMMYFUNCTION("""COMPUTED_VALUE"""),91.93)</f>
        <v>91.93</v>
      </c>
      <c r="D2055" s="1">
        <f>IFERROR(__xludf.DUMMYFUNCTION("""COMPUTED_VALUE"""),85.92)</f>
        <v>85.92</v>
      </c>
      <c r="E2055" s="1">
        <f>IFERROR(__xludf.DUMMYFUNCTION("""COMPUTED_VALUE"""),87.35)</f>
        <v>87.35</v>
      </c>
      <c r="F2055" s="1">
        <f>IFERROR(__xludf.DUMMYFUNCTION("""COMPUTED_VALUE"""),2610837.0)</f>
        <v>2610837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IFERROR(__xludf.DUMMYFUNCTION("""COMPUTED_VALUE"""),86.0)</f>
        <v>86</v>
      </c>
      <c r="C2056" s="1">
        <f>IFERROR(__xludf.DUMMYFUNCTION("""COMPUTED_VALUE"""),86.68)</f>
        <v>86.68</v>
      </c>
      <c r="D2056" s="1">
        <f>IFERROR(__xludf.DUMMYFUNCTION("""COMPUTED_VALUE"""),84.32)</f>
        <v>84.32</v>
      </c>
      <c r="E2056" s="1">
        <f>IFERROR(__xludf.DUMMYFUNCTION("""COMPUTED_VALUE"""),85.92)</f>
        <v>85.92</v>
      </c>
      <c r="F2056" s="1">
        <f>IFERROR(__xludf.DUMMYFUNCTION("""COMPUTED_VALUE"""),3146605.0)</f>
        <v>3146605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IFERROR(__xludf.DUMMYFUNCTION("""COMPUTED_VALUE"""),85.54)</f>
        <v>85.54</v>
      </c>
      <c r="C2057" s="1">
        <f>IFERROR(__xludf.DUMMYFUNCTION("""COMPUTED_VALUE"""),86.25)</f>
        <v>86.25</v>
      </c>
      <c r="D2057" s="1">
        <f>IFERROR(__xludf.DUMMYFUNCTION("""COMPUTED_VALUE"""),84.41)</f>
        <v>84.41</v>
      </c>
      <c r="E2057" s="1">
        <f>IFERROR(__xludf.DUMMYFUNCTION("""COMPUTED_VALUE"""),86.05)</f>
        <v>86.05</v>
      </c>
      <c r="F2057" s="1">
        <f>IFERROR(__xludf.DUMMYFUNCTION("""COMPUTED_VALUE"""),2017175.0)</f>
        <v>2017175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IFERROR(__xludf.DUMMYFUNCTION("""COMPUTED_VALUE"""),87.3)</f>
        <v>87.3</v>
      </c>
      <c r="C2058" s="1">
        <f>IFERROR(__xludf.DUMMYFUNCTION("""COMPUTED_VALUE"""),88.1)</f>
        <v>88.1</v>
      </c>
      <c r="D2058" s="1">
        <f>IFERROR(__xludf.DUMMYFUNCTION("""COMPUTED_VALUE"""),86.5)</f>
        <v>86.5</v>
      </c>
      <c r="E2058" s="1">
        <f>IFERROR(__xludf.DUMMYFUNCTION("""COMPUTED_VALUE"""),87.45)</f>
        <v>87.45</v>
      </c>
      <c r="F2058" s="1">
        <f>IFERROR(__xludf.DUMMYFUNCTION("""COMPUTED_VALUE"""),1959598.0)</f>
        <v>1959598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IFERROR(__xludf.DUMMYFUNCTION("""COMPUTED_VALUE"""),87.0)</f>
        <v>87</v>
      </c>
      <c r="C2059" s="1">
        <f>IFERROR(__xludf.DUMMYFUNCTION("""COMPUTED_VALUE"""),91.43)</f>
        <v>91.43</v>
      </c>
      <c r="D2059" s="1">
        <f>IFERROR(__xludf.DUMMYFUNCTION("""COMPUTED_VALUE"""),86.54)</f>
        <v>86.54</v>
      </c>
      <c r="E2059" s="1">
        <f>IFERROR(__xludf.DUMMYFUNCTION("""COMPUTED_VALUE"""),91.05)</f>
        <v>91.05</v>
      </c>
      <c r="F2059" s="1">
        <f>IFERROR(__xludf.DUMMYFUNCTION("""COMPUTED_VALUE"""),1230727.0)</f>
        <v>1230727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IFERROR(__xludf.DUMMYFUNCTION("""COMPUTED_VALUE"""),91.56)</f>
        <v>91.56</v>
      </c>
      <c r="C2060" s="1">
        <f>IFERROR(__xludf.DUMMYFUNCTION("""COMPUTED_VALUE"""),93.28)</f>
        <v>93.28</v>
      </c>
      <c r="D2060" s="1">
        <f>IFERROR(__xludf.DUMMYFUNCTION("""COMPUTED_VALUE"""),91.3)</f>
        <v>91.3</v>
      </c>
      <c r="E2060" s="1">
        <f>IFERROR(__xludf.DUMMYFUNCTION("""COMPUTED_VALUE"""),93.03)</f>
        <v>93.03</v>
      </c>
      <c r="F2060" s="1">
        <f>IFERROR(__xludf.DUMMYFUNCTION("""COMPUTED_VALUE"""),1796868.0)</f>
        <v>1796868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IFERROR(__xludf.DUMMYFUNCTION("""COMPUTED_VALUE"""),93.0)</f>
        <v>93</v>
      </c>
      <c r="C2061" s="1">
        <f>IFERROR(__xludf.DUMMYFUNCTION("""COMPUTED_VALUE"""),93.74)</f>
        <v>93.74</v>
      </c>
      <c r="D2061" s="1">
        <f>IFERROR(__xludf.DUMMYFUNCTION("""COMPUTED_VALUE"""),91.13)</f>
        <v>91.13</v>
      </c>
      <c r="E2061" s="1">
        <f>IFERROR(__xludf.DUMMYFUNCTION("""COMPUTED_VALUE"""),93.5)</f>
        <v>93.5</v>
      </c>
      <c r="F2061" s="1">
        <f>IFERROR(__xludf.DUMMYFUNCTION("""COMPUTED_VALUE"""),1292287.0)</f>
        <v>1292287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IFERROR(__xludf.DUMMYFUNCTION("""COMPUTED_VALUE"""),93.6)</f>
        <v>93.6</v>
      </c>
      <c r="C2062" s="1">
        <f>IFERROR(__xludf.DUMMYFUNCTION("""COMPUTED_VALUE"""),95.67)</f>
        <v>95.67</v>
      </c>
      <c r="D2062" s="1">
        <f>IFERROR(__xludf.DUMMYFUNCTION("""COMPUTED_VALUE"""),92.89)</f>
        <v>92.89</v>
      </c>
      <c r="E2062" s="1">
        <f>IFERROR(__xludf.DUMMYFUNCTION("""COMPUTED_VALUE"""),94.81)</f>
        <v>94.81</v>
      </c>
      <c r="F2062" s="1">
        <f>IFERROR(__xludf.DUMMYFUNCTION("""COMPUTED_VALUE"""),1903757.0)</f>
        <v>1903757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IFERROR(__xludf.DUMMYFUNCTION("""COMPUTED_VALUE"""),95.23)</f>
        <v>95.23</v>
      </c>
      <c r="C2063" s="1">
        <f>IFERROR(__xludf.DUMMYFUNCTION("""COMPUTED_VALUE"""),95.23)</f>
        <v>95.23</v>
      </c>
      <c r="D2063" s="1">
        <f>IFERROR(__xludf.DUMMYFUNCTION("""COMPUTED_VALUE"""),90.73)</f>
        <v>90.73</v>
      </c>
      <c r="E2063" s="1">
        <f>IFERROR(__xludf.DUMMYFUNCTION("""COMPUTED_VALUE"""),91.35)</f>
        <v>91.35</v>
      </c>
      <c r="F2063" s="1">
        <f>IFERROR(__xludf.DUMMYFUNCTION("""COMPUTED_VALUE"""),1445504.0)</f>
        <v>1445504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IFERROR(__xludf.DUMMYFUNCTION("""COMPUTED_VALUE"""),92.5)</f>
        <v>92.5</v>
      </c>
      <c r="C2064" s="1">
        <f>IFERROR(__xludf.DUMMYFUNCTION("""COMPUTED_VALUE"""),92.5)</f>
        <v>92.5</v>
      </c>
      <c r="D2064" s="1">
        <f>IFERROR(__xludf.DUMMYFUNCTION("""COMPUTED_VALUE"""),90.42)</f>
        <v>90.42</v>
      </c>
      <c r="E2064" s="1">
        <f>IFERROR(__xludf.DUMMYFUNCTION("""COMPUTED_VALUE"""),91.81)</f>
        <v>91.81</v>
      </c>
      <c r="F2064" s="1">
        <f>IFERROR(__xludf.DUMMYFUNCTION("""COMPUTED_VALUE"""),867965.0)</f>
        <v>867965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IFERROR(__xludf.DUMMYFUNCTION("""COMPUTED_VALUE"""),92.5)</f>
        <v>92.5</v>
      </c>
      <c r="C2065" s="1">
        <f>IFERROR(__xludf.DUMMYFUNCTION("""COMPUTED_VALUE"""),94.03)</f>
        <v>94.03</v>
      </c>
      <c r="D2065" s="1">
        <f>IFERROR(__xludf.DUMMYFUNCTION("""COMPUTED_VALUE"""),92.12)</f>
        <v>92.12</v>
      </c>
      <c r="E2065" s="1">
        <f>IFERROR(__xludf.DUMMYFUNCTION("""COMPUTED_VALUE"""),93.78)</f>
        <v>93.78</v>
      </c>
      <c r="F2065" s="1">
        <f>IFERROR(__xludf.DUMMYFUNCTION("""COMPUTED_VALUE"""),1253596.0)</f>
        <v>1253596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IFERROR(__xludf.DUMMYFUNCTION("""COMPUTED_VALUE"""),92.54)</f>
        <v>92.54</v>
      </c>
      <c r="C2066" s="1">
        <f>IFERROR(__xludf.DUMMYFUNCTION("""COMPUTED_VALUE"""),92.86)</f>
        <v>92.86</v>
      </c>
      <c r="D2066" s="1">
        <f>IFERROR(__xludf.DUMMYFUNCTION("""COMPUTED_VALUE"""),89.19)</f>
        <v>89.19</v>
      </c>
      <c r="E2066" s="1">
        <f>IFERROR(__xludf.DUMMYFUNCTION("""COMPUTED_VALUE"""),90.5)</f>
        <v>90.5</v>
      </c>
      <c r="F2066" s="1">
        <f>IFERROR(__xludf.DUMMYFUNCTION("""COMPUTED_VALUE"""),3671205.0)</f>
        <v>3671205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IFERROR(__xludf.DUMMYFUNCTION("""COMPUTED_VALUE"""),90.14)</f>
        <v>90.14</v>
      </c>
      <c r="C2067" s="1">
        <f>IFERROR(__xludf.DUMMYFUNCTION("""COMPUTED_VALUE"""),92.9)</f>
        <v>92.9</v>
      </c>
      <c r="D2067" s="1">
        <f>IFERROR(__xludf.DUMMYFUNCTION("""COMPUTED_VALUE"""),89.86)</f>
        <v>89.86</v>
      </c>
      <c r="E2067" s="1">
        <f>IFERROR(__xludf.DUMMYFUNCTION("""COMPUTED_VALUE"""),92.66)</f>
        <v>92.66</v>
      </c>
      <c r="F2067" s="1">
        <f>IFERROR(__xludf.DUMMYFUNCTION("""COMPUTED_VALUE"""),1755873.0)</f>
        <v>1755873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IFERROR(__xludf.DUMMYFUNCTION("""COMPUTED_VALUE"""),92.05)</f>
        <v>92.05</v>
      </c>
      <c r="C2068" s="1">
        <f>IFERROR(__xludf.DUMMYFUNCTION("""COMPUTED_VALUE"""),97.35)</f>
        <v>97.35</v>
      </c>
      <c r="D2068" s="1">
        <f>IFERROR(__xludf.DUMMYFUNCTION("""COMPUTED_VALUE"""),91.61)</f>
        <v>91.61</v>
      </c>
      <c r="E2068" s="1">
        <f>IFERROR(__xludf.DUMMYFUNCTION("""COMPUTED_VALUE"""),97.04)</f>
        <v>97.04</v>
      </c>
      <c r="F2068" s="1">
        <f>IFERROR(__xludf.DUMMYFUNCTION("""COMPUTED_VALUE"""),1859830.0)</f>
        <v>1859830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IFERROR(__xludf.DUMMYFUNCTION("""COMPUTED_VALUE"""),96.5)</f>
        <v>96.5</v>
      </c>
      <c r="C2069" s="1">
        <f>IFERROR(__xludf.DUMMYFUNCTION("""COMPUTED_VALUE"""),96.58)</f>
        <v>96.58</v>
      </c>
      <c r="D2069" s="1">
        <f>IFERROR(__xludf.DUMMYFUNCTION("""COMPUTED_VALUE"""),94.4)</f>
        <v>94.4</v>
      </c>
      <c r="E2069" s="1">
        <f>IFERROR(__xludf.DUMMYFUNCTION("""COMPUTED_VALUE"""),95.82)</f>
        <v>95.82</v>
      </c>
      <c r="F2069" s="1">
        <f>IFERROR(__xludf.DUMMYFUNCTION("""COMPUTED_VALUE"""),1038826.0)</f>
        <v>1038826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IFERROR(__xludf.DUMMYFUNCTION("""COMPUTED_VALUE"""),93.86)</f>
        <v>93.86</v>
      </c>
      <c r="C2070" s="1">
        <f>IFERROR(__xludf.DUMMYFUNCTION("""COMPUTED_VALUE"""),93.95)</f>
        <v>93.95</v>
      </c>
      <c r="D2070" s="1">
        <f>IFERROR(__xludf.DUMMYFUNCTION("""COMPUTED_VALUE"""),88.98)</f>
        <v>88.98</v>
      </c>
      <c r="E2070" s="1">
        <f>IFERROR(__xludf.DUMMYFUNCTION("""COMPUTED_VALUE"""),91.12)</f>
        <v>91.12</v>
      </c>
      <c r="F2070" s="1">
        <f>IFERROR(__xludf.DUMMYFUNCTION("""COMPUTED_VALUE"""),1494539.0)</f>
        <v>1494539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IFERROR(__xludf.DUMMYFUNCTION("""COMPUTED_VALUE"""),91.0)</f>
        <v>91</v>
      </c>
      <c r="C2071" s="1">
        <f>IFERROR(__xludf.DUMMYFUNCTION("""COMPUTED_VALUE"""),92.16)</f>
        <v>92.16</v>
      </c>
      <c r="D2071" s="1">
        <f>IFERROR(__xludf.DUMMYFUNCTION("""COMPUTED_VALUE"""),89.62)</f>
        <v>89.62</v>
      </c>
      <c r="E2071" s="1">
        <f>IFERROR(__xludf.DUMMYFUNCTION("""COMPUTED_VALUE"""),89.92)</f>
        <v>89.92</v>
      </c>
      <c r="F2071" s="1">
        <f>IFERROR(__xludf.DUMMYFUNCTION("""COMPUTED_VALUE"""),1157731.0)</f>
        <v>1157731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IFERROR(__xludf.DUMMYFUNCTION("""COMPUTED_VALUE"""),92.0)</f>
        <v>92</v>
      </c>
      <c r="C2072" s="1">
        <f>IFERROR(__xludf.DUMMYFUNCTION("""COMPUTED_VALUE"""),93.66)</f>
        <v>93.66</v>
      </c>
      <c r="D2072" s="1">
        <f>IFERROR(__xludf.DUMMYFUNCTION("""COMPUTED_VALUE"""),90.1)</f>
        <v>90.1</v>
      </c>
      <c r="E2072" s="1">
        <f>IFERROR(__xludf.DUMMYFUNCTION("""COMPUTED_VALUE"""),91.78)</f>
        <v>91.78</v>
      </c>
      <c r="F2072" s="1">
        <f>IFERROR(__xludf.DUMMYFUNCTION("""COMPUTED_VALUE"""),1311933.0)</f>
        <v>1311933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IFERROR(__xludf.DUMMYFUNCTION("""COMPUTED_VALUE"""),93.04)</f>
        <v>93.04</v>
      </c>
      <c r="C2073" s="1">
        <f>IFERROR(__xludf.DUMMYFUNCTION("""COMPUTED_VALUE"""),93.17)</f>
        <v>93.17</v>
      </c>
      <c r="D2073" s="1">
        <f>IFERROR(__xludf.DUMMYFUNCTION("""COMPUTED_VALUE"""),86.93)</f>
        <v>86.93</v>
      </c>
      <c r="E2073" s="1">
        <f>IFERROR(__xludf.DUMMYFUNCTION("""COMPUTED_VALUE"""),87.73)</f>
        <v>87.73</v>
      </c>
      <c r="F2073" s="1">
        <f>IFERROR(__xludf.DUMMYFUNCTION("""COMPUTED_VALUE"""),1508288.0)</f>
        <v>1508288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IFERROR(__xludf.DUMMYFUNCTION("""COMPUTED_VALUE"""),87.84)</f>
        <v>87.84</v>
      </c>
      <c r="C2074" s="1">
        <f>IFERROR(__xludf.DUMMYFUNCTION("""COMPUTED_VALUE"""),88.1)</f>
        <v>88.1</v>
      </c>
      <c r="D2074" s="1">
        <f>IFERROR(__xludf.DUMMYFUNCTION("""COMPUTED_VALUE"""),84.27)</f>
        <v>84.27</v>
      </c>
      <c r="E2074" s="1">
        <f>IFERROR(__xludf.DUMMYFUNCTION("""COMPUTED_VALUE"""),86.25)</f>
        <v>86.25</v>
      </c>
      <c r="F2074" s="1">
        <f>IFERROR(__xludf.DUMMYFUNCTION("""COMPUTED_VALUE"""),1393911.0)</f>
        <v>1393911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IFERROR(__xludf.DUMMYFUNCTION("""COMPUTED_VALUE"""),86.81)</f>
        <v>86.81</v>
      </c>
      <c r="C2075" s="1">
        <f>IFERROR(__xludf.DUMMYFUNCTION("""COMPUTED_VALUE"""),88.77)</f>
        <v>88.77</v>
      </c>
      <c r="D2075" s="1">
        <f>IFERROR(__xludf.DUMMYFUNCTION("""COMPUTED_VALUE"""),85.5)</f>
        <v>85.5</v>
      </c>
      <c r="E2075" s="1">
        <f>IFERROR(__xludf.DUMMYFUNCTION("""COMPUTED_VALUE"""),87.65)</f>
        <v>87.65</v>
      </c>
      <c r="F2075" s="1">
        <f>IFERROR(__xludf.DUMMYFUNCTION("""COMPUTED_VALUE"""),1039177.0)</f>
        <v>1039177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IFERROR(__xludf.DUMMYFUNCTION("""COMPUTED_VALUE"""),87.73)</f>
        <v>87.73</v>
      </c>
      <c r="C2076" s="1">
        <f>IFERROR(__xludf.DUMMYFUNCTION("""COMPUTED_VALUE"""),87.87)</f>
        <v>87.87</v>
      </c>
      <c r="D2076" s="1">
        <f>IFERROR(__xludf.DUMMYFUNCTION("""COMPUTED_VALUE"""),84.84)</f>
        <v>84.84</v>
      </c>
      <c r="E2076" s="1">
        <f>IFERROR(__xludf.DUMMYFUNCTION("""COMPUTED_VALUE"""),86.03)</f>
        <v>86.03</v>
      </c>
      <c r="F2076" s="1">
        <f>IFERROR(__xludf.DUMMYFUNCTION("""COMPUTED_VALUE"""),937525.0)</f>
        <v>937525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IFERROR(__xludf.DUMMYFUNCTION("""COMPUTED_VALUE"""),86.41)</f>
        <v>86.41</v>
      </c>
      <c r="C2077" s="1">
        <f>IFERROR(__xludf.DUMMYFUNCTION("""COMPUTED_VALUE"""),87.92)</f>
        <v>87.92</v>
      </c>
      <c r="D2077" s="1">
        <f>IFERROR(__xludf.DUMMYFUNCTION("""COMPUTED_VALUE"""),85.32)</f>
        <v>85.32</v>
      </c>
      <c r="E2077" s="1">
        <f>IFERROR(__xludf.DUMMYFUNCTION("""COMPUTED_VALUE"""),86.48)</f>
        <v>86.48</v>
      </c>
      <c r="F2077" s="1">
        <f>IFERROR(__xludf.DUMMYFUNCTION("""COMPUTED_VALUE"""),987507.0)</f>
        <v>987507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IFERROR(__xludf.DUMMYFUNCTION("""COMPUTED_VALUE"""),83.11)</f>
        <v>83.11</v>
      </c>
      <c r="C2078" s="1">
        <f>IFERROR(__xludf.DUMMYFUNCTION("""COMPUTED_VALUE"""),88.04)</f>
        <v>88.04</v>
      </c>
      <c r="D2078" s="1">
        <f>IFERROR(__xludf.DUMMYFUNCTION("""COMPUTED_VALUE"""),83.0)</f>
        <v>83</v>
      </c>
      <c r="E2078" s="1">
        <f>IFERROR(__xludf.DUMMYFUNCTION("""COMPUTED_VALUE"""),87.69)</f>
        <v>87.69</v>
      </c>
      <c r="F2078" s="1">
        <f>IFERROR(__xludf.DUMMYFUNCTION("""COMPUTED_VALUE"""),1250693.0)</f>
        <v>1250693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IFERROR(__xludf.DUMMYFUNCTION("""COMPUTED_VALUE"""),88.45)</f>
        <v>88.45</v>
      </c>
      <c r="C2079" s="1">
        <f>IFERROR(__xludf.DUMMYFUNCTION("""COMPUTED_VALUE"""),89.53)</f>
        <v>89.53</v>
      </c>
      <c r="D2079" s="1">
        <f>IFERROR(__xludf.DUMMYFUNCTION("""COMPUTED_VALUE"""),86.92)</f>
        <v>86.92</v>
      </c>
      <c r="E2079" s="1">
        <f>IFERROR(__xludf.DUMMYFUNCTION("""COMPUTED_VALUE"""),88.97)</f>
        <v>88.97</v>
      </c>
      <c r="F2079" s="1">
        <f>IFERROR(__xludf.DUMMYFUNCTION("""COMPUTED_VALUE"""),1216450.0)</f>
        <v>1216450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IFERROR(__xludf.DUMMYFUNCTION("""COMPUTED_VALUE"""),87.51)</f>
        <v>87.51</v>
      </c>
      <c r="C2080" s="1">
        <f>IFERROR(__xludf.DUMMYFUNCTION("""COMPUTED_VALUE"""),89.88)</f>
        <v>89.88</v>
      </c>
      <c r="D2080" s="1">
        <f>IFERROR(__xludf.DUMMYFUNCTION("""COMPUTED_VALUE"""),87.29)</f>
        <v>87.29</v>
      </c>
      <c r="E2080" s="1">
        <f>IFERROR(__xludf.DUMMYFUNCTION("""COMPUTED_VALUE"""),88.72)</f>
        <v>88.72</v>
      </c>
      <c r="F2080" s="1">
        <f>IFERROR(__xludf.DUMMYFUNCTION("""COMPUTED_VALUE"""),1418787.0)</f>
        <v>1418787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IFERROR(__xludf.DUMMYFUNCTION("""COMPUTED_VALUE"""),89.99)</f>
        <v>89.99</v>
      </c>
      <c r="C2081" s="1">
        <f>IFERROR(__xludf.DUMMYFUNCTION("""COMPUTED_VALUE"""),94.08)</f>
        <v>94.08</v>
      </c>
      <c r="D2081" s="1">
        <f>IFERROR(__xludf.DUMMYFUNCTION("""COMPUTED_VALUE"""),89.25)</f>
        <v>89.25</v>
      </c>
      <c r="E2081" s="1">
        <f>IFERROR(__xludf.DUMMYFUNCTION("""COMPUTED_VALUE"""),91.6)</f>
        <v>91.6</v>
      </c>
      <c r="F2081" s="1">
        <f>IFERROR(__xludf.DUMMYFUNCTION("""COMPUTED_VALUE"""),1292496.0)</f>
        <v>1292496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IFERROR(__xludf.DUMMYFUNCTION("""COMPUTED_VALUE"""),94.35)</f>
        <v>94.35</v>
      </c>
      <c r="C2082" s="1">
        <f>IFERROR(__xludf.DUMMYFUNCTION("""COMPUTED_VALUE"""),95.8)</f>
        <v>95.8</v>
      </c>
      <c r="D2082" s="1">
        <f>IFERROR(__xludf.DUMMYFUNCTION("""COMPUTED_VALUE"""),93.33)</f>
        <v>93.33</v>
      </c>
      <c r="E2082" s="1">
        <f>IFERROR(__xludf.DUMMYFUNCTION("""COMPUTED_VALUE"""),95.39)</f>
        <v>95.39</v>
      </c>
      <c r="F2082" s="1">
        <f>IFERROR(__xludf.DUMMYFUNCTION("""COMPUTED_VALUE"""),2285816.0)</f>
        <v>2285816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IFERROR(__xludf.DUMMYFUNCTION("""COMPUTED_VALUE"""),94.8)</f>
        <v>94.8</v>
      </c>
      <c r="C2083" s="1">
        <f>IFERROR(__xludf.DUMMYFUNCTION("""COMPUTED_VALUE"""),96.55)</f>
        <v>96.55</v>
      </c>
      <c r="D2083" s="1">
        <f>IFERROR(__xludf.DUMMYFUNCTION("""COMPUTED_VALUE"""),93.81)</f>
        <v>93.81</v>
      </c>
      <c r="E2083" s="1">
        <f>IFERROR(__xludf.DUMMYFUNCTION("""COMPUTED_VALUE"""),95.47)</f>
        <v>95.47</v>
      </c>
      <c r="F2083" s="1">
        <f>IFERROR(__xludf.DUMMYFUNCTION("""COMPUTED_VALUE"""),1369283.0)</f>
        <v>1369283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IFERROR(__xludf.DUMMYFUNCTION("""COMPUTED_VALUE"""),95.76)</f>
        <v>95.76</v>
      </c>
      <c r="C2084" s="1">
        <f>IFERROR(__xludf.DUMMYFUNCTION("""COMPUTED_VALUE"""),96.28)</f>
        <v>96.28</v>
      </c>
      <c r="D2084" s="1">
        <f>IFERROR(__xludf.DUMMYFUNCTION("""COMPUTED_VALUE"""),93.64)</f>
        <v>93.64</v>
      </c>
      <c r="E2084" s="1">
        <f>IFERROR(__xludf.DUMMYFUNCTION("""COMPUTED_VALUE"""),94.12)</f>
        <v>94.12</v>
      </c>
      <c r="F2084" s="1">
        <f>IFERROR(__xludf.DUMMYFUNCTION("""COMPUTED_VALUE"""),969513.0)</f>
        <v>969513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IFERROR(__xludf.DUMMYFUNCTION("""COMPUTED_VALUE"""),94.51)</f>
        <v>94.51</v>
      </c>
      <c r="C2085" s="1">
        <f>IFERROR(__xludf.DUMMYFUNCTION("""COMPUTED_VALUE"""),94.55)</f>
        <v>94.55</v>
      </c>
      <c r="D2085" s="1">
        <f>IFERROR(__xludf.DUMMYFUNCTION("""COMPUTED_VALUE"""),91.27)</f>
        <v>91.27</v>
      </c>
      <c r="E2085" s="1">
        <f>IFERROR(__xludf.DUMMYFUNCTION("""COMPUTED_VALUE"""),92.29)</f>
        <v>92.29</v>
      </c>
      <c r="F2085" s="1">
        <f>IFERROR(__xludf.DUMMYFUNCTION("""COMPUTED_VALUE"""),757702.0)</f>
        <v>757702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IFERROR(__xludf.DUMMYFUNCTION("""COMPUTED_VALUE"""),92.47)</f>
        <v>92.47</v>
      </c>
      <c r="C2086" s="1">
        <f>IFERROR(__xludf.DUMMYFUNCTION("""COMPUTED_VALUE"""),92.47)</f>
        <v>92.47</v>
      </c>
      <c r="D2086" s="1">
        <f>IFERROR(__xludf.DUMMYFUNCTION("""COMPUTED_VALUE"""),90.25)</f>
        <v>90.25</v>
      </c>
      <c r="E2086" s="1">
        <f>IFERROR(__xludf.DUMMYFUNCTION("""COMPUTED_VALUE"""),91.43)</f>
        <v>91.43</v>
      </c>
      <c r="F2086" s="1">
        <f>IFERROR(__xludf.DUMMYFUNCTION("""COMPUTED_VALUE"""),979918.0)</f>
        <v>979918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IFERROR(__xludf.DUMMYFUNCTION("""COMPUTED_VALUE"""),91.6)</f>
        <v>91.6</v>
      </c>
      <c r="C2087" s="1">
        <f>IFERROR(__xludf.DUMMYFUNCTION("""COMPUTED_VALUE"""),93.16)</f>
        <v>93.16</v>
      </c>
      <c r="D2087" s="1">
        <f>IFERROR(__xludf.DUMMYFUNCTION("""COMPUTED_VALUE"""),91.18)</f>
        <v>91.18</v>
      </c>
      <c r="E2087" s="1">
        <f>IFERROR(__xludf.DUMMYFUNCTION("""COMPUTED_VALUE"""),92.4)</f>
        <v>92.4</v>
      </c>
      <c r="F2087" s="1">
        <f>IFERROR(__xludf.DUMMYFUNCTION("""COMPUTED_VALUE"""),1076532.0)</f>
        <v>1076532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IFERROR(__xludf.DUMMYFUNCTION("""COMPUTED_VALUE"""),92.77)</f>
        <v>92.77</v>
      </c>
      <c r="C2088" s="1">
        <f>IFERROR(__xludf.DUMMYFUNCTION("""COMPUTED_VALUE"""),94.04)</f>
        <v>94.04</v>
      </c>
      <c r="D2088" s="1">
        <f>IFERROR(__xludf.DUMMYFUNCTION("""COMPUTED_VALUE"""),91.5)</f>
        <v>91.5</v>
      </c>
      <c r="E2088" s="1">
        <f>IFERROR(__xludf.DUMMYFUNCTION("""COMPUTED_VALUE"""),93.65)</f>
        <v>93.65</v>
      </c>
      <c r="F2088" s="1">
        <f>IFERROR(__xludf.DUMMYFUNCTION("""COMPUTED_VALUE"""),1074031.0)</f>
        <v>1074031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IFERROR(__xludf.DUMMYFUNCTION("""COMPUTED_VALUE"""),94.29)</f>
        <v>94.29</v>
      </c>
      <c r="C2089" s="1">
        <f>IFERROR(__xludf.DUMMYFUNCTION("""COMPUTED_VALUE"""),94.68)</f>
        <v>94.68</v>
      </c>
      <c r="D2089" s="1">
        <f>IFERROR(__xludf.DUMMYFUNCTION("""COMPUTED_VALUE"""),91.2)</f>
        <v>91.2</v>
      </c>
      <c r="E2089" s="1">
        <f>IFERROR(__xludf.DUMMYFUNCTION("""COMPUTED_VALUE"""),91.62)</f>
        <v>91.62</v>
      </c>
      <c r="F2089" s="1">
        <f>IFERROR(__xludf.DUMMYFUNCTION("""COMPUTED_VALUE"""),1020361.0)</f>
        <v>1020361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IFERROR(__xludf.DUMMYFUNCTION("""COMPUTED_VALUE"""),91.89)</f>
        <v>91.89</v>
      </c>
      <c r="C2090" s="1">
        <f>IFERROR(__xludf.DUMMYFUNCTION("""COMPUTED_VALUE"""),92.0)</f>
        <v>92</v>
      </c>
      <c r="D2090" s="1">
        <f>IFERROR(__xludf.DUMMYFUNCTION("""COMPUTED_VALUE"""),90.3)</f>
        <v>90.3</v>
      </c>
      <c r="E2090" s="1">
        <f>IFERROR(__xludf.DUMMYFUNCTION("""COMPUTED_VALUE"""),91.11)</f>
        <v>91.11</v>
      </c>
      <c r="F2090" s="1">
        <f>IFERROR(__xludf.DUMMYFUNCTION("""COMPUTED_VALUE"""),2818661.0)</f>
        <v>2818661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IFERROR(__xludf.DUMMYFUNCTION("""COMPUTED_VALUE"""),91.28)</f>
        <v>91.28</v>
      </c>
      <c r="C2091" s="1">
        <f>IFERROR(__xludf.DUMMYFUNCTION("""COMPUTED_VALUE"""),91.35)</f>
        <v>91.35</v>
      </c>
      <c r="D2091" s="1">
        <f>IFERROR(__xludf.DUMMYFUNCTION("""COMPUTED_VALUE"""),86.4)</f>
        <v>86.4</v>
      </c>
      <c r="E2091" s="1">
        <f>IFERROR(__xludf.DUMMYFUNCTION("""COMPUTED_VALUE"""),86.82)</f>
        <v>86.82</v>
      </c>
      <c r="F2091" s="1">
        <f>IFERROR(__xludf.DUMMYFUNCTION("""COMPUTED_VALUE"""),2958355.0)</f>
        <v>2958355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IFERROR(__xludf.DUMMYFUNCTION("""COMPUTED_VALUE"""),94.0)</f>
        <v>94</v>
      </c>
      <c r="C2092" s="1">
        <f>IFERROR(__xludf.DUMMYFUNCTION("""COMPUTED_VALUE"""),96.39)</f>
        <v>96.39</v>
      </c>
      <c r="D2092" s="1">
        <f>IFERROR(__xludf.DUMMYFUNCTION("""COMPUTED_VALUE"""),88.0)</f>
        <v>88</v>
      </c>
      <c r="E2092" s="1">
        <f>IFERROR(__xludf.DUMMYFUNCTION("""COMPUTED_VALUE"""),90.27)</f>
        <v>90.27</v>
      </c>
      <c r="F2092" s="1">
        <f>IFERROR(__xludf.DUMMYFUNCTION("""COMPUTED_VALUE"""),5638274.0)</f>
        <v>5638274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IFERROR(__xludf.DUMMYFUNCTION("""COMPUTED_VALUE"""),89.01)</f>
        <v>89.01</v>
      </c>
      <c r="C2093" s="1">
        <f>IFERROR(__xludf.DUMMYFUNCTION("""COMPUTED_VALUE"""),90.99)</f>
        <v>90.99</v>
      </c>
      <c r="D2093" s="1">
        <f>IFERROR(__xludf.DUMMYFUNCTION("""COMPUTED_VALUE"""),87.25)</f>
        <v>87.25</v>
      </c>
      <c r="E2093" s="1">
        <f>IFERROR(__xludf.DUMMYFUNCTION("""COMPUTED_VALUE"""),88.47)</f>
        <v>88.47</v>
      </c>
      <c r="F2093" s="1">
        <f>IFERROR(__xludf.DUMMYFUNCTION("""COMPUTED_VALUE"""),2060953.0)</f>
        <v>2060953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IFERROR(__xludf.DUMMYFUNCTION("""COMPUTED_VALUE"""),90.2)</f>
        <v>90.2</v>
      </c>
      <c r="C2094" s="1">
        <f>IFERROR(__xludf.DUMMYFUNCTION("""COMPUTED_VALUE"""),90.61)</f>
        <v>90.61</v>
      </c>
      <c r="D2094" s="1">
        <f>IFERROR(__xludf.DUMMYFUNCTION("""COMPUTED_VALUE"""),87.88)</f>
        <v>87.88</v>
      </c>
      <c r="E2094" s="1">
        <f>IFERROR(__xludf.DUMMYFUNCTION("""COMPUTED_VALUE"""),90.29)</f>
        <v>90.29</v>
      </c>
      <c r="F2094" s="1">
        <f>IFERROR(__xludf.DUMMYFUNCTION("""COMPUTED_VALUE"""),1815559.0)</f>
        <v>1815559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IFERROR(__xludf.DUMMYFUNCTION("""COMPUTED_VALUE"""),90.44)</f>
        <v>90.44</v>
      </c>
      <c r="C2095" s="1">
        <f>IFERROR(__xludf.DUMMYFUNCTION("""COMPUTED_VALUE"""),91.15)</f>
        <v>91.15</v>
      </c>
      <c r="D2095" s="1">
        <f>IFERROR(__xludf.DUMMYFUNCTION("""COMPUTED_VALUE"""),89.29)</f>
        <v>89.29</v>
      </c>
      <c r="E2095" s="1">
        <f>IFERROR(__xludf.DUMMYFUNCTION("""COMPUTED_VALUE"""),90.09)</f>
        <v>90.09</v>
      </c>
      <c r="F2095" s="1">
        <f>IFERROR(__xludf.DUMMYFUNCTION("""COMPUTED_VALUE"""),681904.0)</f>
        <v>681904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IFERROR(__xludf.DUMMYFUNCTION("""COMPUTED_VALUE"""),90.68)</f>
        <v>90.68</v>
      </c>
      <c r="C2096" s="1">
        <f>IFERROR(__xludf.DUMMYFUNCTION("""COMPUTED_VALUE"""),92.17)</f>
        <v>92.17</v>
      </c>
      <c r="D2096" s="1">
        <f>IFERROR(__xludf.DUMMYFUNCTION("""COMPUTED_VALUE"""),89.16)</f>
        <v>89.16</v>
      </c>
      <c r="E2096" s="1">
        <f>IFERROR(__xludf.DUMMYFUNCTION("""COMPUTED_VALUE"""),89.84)</f>
        <v>89.84</v>
      </c>
      <c r="F2096" s="1">
        <f>IFERROR(__xludf.DUMMYFUNCTION("""COMPUTED_VALUE"""),894057.0)</f>
        <v>894057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IFERROR(__xludf.DUMMYFUNCTION("""COMPUTED_VALUE"""),90.23)</f>
        <v>90.23</v>
      </c>
      <c r="C2097" s="1">
        <f>IFERROR(__xludf.DUMMYFUNCTION("""COMPUTED_VALUE"""),91.63)</f>
        <v>91.63</v>
      </c>
      <c r="D2097" s="1">
        <f>IFERROR(__xludf.DUMMYFUNCTION("""COMPUTED_VALUE"""),89.01)</f>
        <v>89.01</v>
      </c>
      <c r="E2097" s="1">
        <f>IFERROR(__xludf.DUMMYFUNCTION("""COMPUTED_VALUE"""),91.36)</f>
        <v>91.36</v>
      </c>
      <c r="F2097" s="1">
        <f>IFERROR(__xludf.DUMMYFUNCTION("""COMPUTED_VALUE"""),389428.0)</f>
        <v>389428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IFERROR(__xludf.DUMMYFUNCTION("""COMPUTED_VALUE"""),91.51)</f>
        <v>91.51</v>
      </c>
      <c r="C2098" s="1">
        <f>IFERROR(__xludf.DUMMYFUNCTION("""COMPUTED_VALUE"""),93.89)</f>
        <v>93.89</v>
      </c>
      <c r="D2098" s="1">
        <f>IFERROR(__xludf.DUMMYFUNCTION("""COMPUTED_VALUE"""),91.36)</f>
        <v>91.36</v>
      </c>
      <c r="E2098" s="1">
        <f>IFERROR(__xludf.DUMMYFUNCTION("""COMPUTED_VALUE"""),91.51)</f>
        <v>91.51</v>
      </c>
      <c r="F2098" s="1">
        <f>IFERROR(__xludf.DUMMYFUNCTION("""COMPUTED_VALUE"""),859405.0)</f>
        <v>859405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IFERROR(__xludf.DUMMYFUNCTION("""COMPUTED_VALUE"""),91.2)</f>
        <v>91.2</v>
      </c>
      <c r="C2099" s="1">
        <f>IFERROR(__xludf.DUMMYFUNCTION("""COMPUTED_VALUE"""),92.2)</f>
        <v>92.2</v>
      </c>
      <c r="D2099" s="1">
        <f>IFERROR(__xludf.DUMMYFUNCTION("""COMPUTED_VALUE"""),88.2)</f>
        <v>88.2</v>
      </c>
      <c r="E2099" s="1">
        <f>IFERROR(__xludf.DUMMYFUNCTION("""COMPUTED_VALUE"""),91.57)</f>
        <v>91.57</v>
      </c>
      <c r="F2099" s="1">
        <f>IFERROR(__xludf.DUMMYFUNCTION("""COMPUTED_VALUE"""),906179.0)</f>
        <v>906179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IFERROR(__xludf.DUMMYFUNCTION("""COMPUTED_VALUE"""),91.5)</f>
        <v>91.5</v>
      </c>
      <c r="C2100" s="1">
        <f>IFERROR(__xludf.DUMMYFUNCTION("""COMPUTED_VALUE"""),91.68)</f>
        <v>91.68</v>
      </c>
      <c r="D2100" s="1">
        <f>IFERROR(__xludf.DUMMYFUNCTION("""COMPUTED_VALUE"""),89.43)</f>
        <v>89.43</v>
      </c>
      <c r="E2100" s="1">
        <f>IFERROR(__xludf.DUMMYFUNCTION("""COMPUTED_VALUE"""),90.78)</f>
        <v>90.78</v>
      </c>
      <c r="F2100" s="1">
        <f>IFERROR(__xludf.DUMMYFUNCTION("""COMPUTED_VALUE"""),813848.0)</f>
        <v>813848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IFERROR(__xludf.DUMMYFUNCTION("""COMPUTED_VALUE"""),90.86)</f>
        <v>90.86</v>
      </c>
      <c r="C2101" s="1">
        <f>IFERROR(__xludf.DUMMYFUNCTION("""COMPUTED_VALUE"""),92.98)</f>
        <v>92.98</v>
      </c>
      <c r="D2101" s="1">
        <f>IFERROR(__xludf.DUMMYFUNCTION("""COMPUTED_VALUE"""),90.0)</f>
        <v>90</v>
      </c>
      <c r="E2101" s="1">
        <f>IFERROR(__xludf.DUMMYFUNCTION("""COMPUTED_VALUE"""),91.67)</f>
        <v>91.67</v>
      </c>
      <c r="F2101" s="1">
        <f>IFERROR(__xludf.DUMMYFUNCTION("""COMPUTED_VALUE"""),882964.0)</f>
        <v>882964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IFERROR(__xludf.DUMMYFUNCTION("""COMPUTED_VALUE"""),92.47)</f>
        <v>92.47</v>
      </c>
      <c r="C2102" s="1">
        <f>IFERROR(__xludf.DUMMYFUNCTION("""COMPUTED_VALUE"""),92.76)</f>
        <v>92.76</v>
      </c>
      <c r="D2102" s="1">
        <f>IFERROR(__xludf.DUMMYFUNCTION("""COMPUTED_VALUE"""),90.86)</f>
        <v>90.86</v>
      </c>
      <c r="E2102" s="1">
        <f>IFERROR(__xludf.DUMMYFUNCTION("""COMPUTED_VALUE"""),92.25)</f>
        <v>92.25</v>
      </c>
      <c r="F2102" s="1">
        <f>IFERROR(__xludf.DUMMYFUNCTION("""COMPUTED_VALUE"""),698386.0)</f>
        <v>698386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IFERROR(__xludf.DUMMYFUNCTION("""COMPUTED_VALUE"""),92.37)</f>
        <v>92.37</v>
      </c>
      <c r="C2103" s="1">
        <f>IFERROR(__xludf.DUMMYFUNCTION("""COMPUTED_VALUE"""),93.9)</f>
        <v>93.9</v>
      </c>
      <c r="D2103" s="1">
        <f>IFERROR(__xludf.DUMMYFUNCTION("""COMPUTED_VALUE"""),91.86)</f>
        <v>91.86</v>
      </c>
      <c r="E2103" s="1">
        <f>IFERROR(__xludf.DUMMYFUNCTION("""COMPUTED_VALUE"""),91.99)</f>
        <v>91.99</v>
      </c>
      <c r="F2103" s="1">
        <f>IFERROR(__xludf.DUMMYFUNCTION("""COMPUTED_VALUE"""),713428.0)</f>
        <v>713428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IFERROR(__xludf.DUMMYFUNCTION("""COMPUTED_VALUE"""),92.34)</f>
        <v>92.34</v>
      </c>
      <c r="C2104" s="1">
        <f>IFERROR(__xludf.DUMMYFUNCTION("""COMPUTED_VALUE"""),95.0)</f>
        <v>95</v>
      </c>
      <c r="D2104" s="1">
        <f>IFERROR(__xludf.DUMMYFUNCTION("""COMPUTED_VALUE"""),92.17)</f>
        <v>92.17</v>
      </c>
      <c r="E2104" s="1">
        <f>IFERROR(__xludf.DUMMYFUNCTION("""COMPUTED_VALUE"""),94.4)</f>
        <v>94.4</v>
      </c>
      <c r="F2104" s="1">
        <f>IFERROR(__xludf.DUMMYFUNCTION("""COMPUTED_VALUE"""),1193984.0)</f>
        <v>1193984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IFERROR(__xludf.DUMMYFUNCTION("""COMPUTED_VALUE"""),95.0)</f>
        <v>95</v>
      </c>
      <c r="C2105" s="1">
        <f>IFERROR(__xludf.DUMMYFUNCTION("""COMPUTED_VALUE"""),95.38)</f>
        <v>95.38</v>
      </c>
      <c r="D2105" s="1">
        <f>IFERROR(__xludf.DUMMYFUNCTION("""COMPUTED_VALUE"""),92.32)</f>
        <v>92.32</v>
      </c>
      <c r="E2105" s="1">
        <f>IFERROR(__xludf.DUMMYFUNCTION("""COMPUTED_VALUE"""),93.25)</f>
        <v>93.25</v>
      </c>
      <c r="F2105" s="1">
        <f>IFERROR(__xludf.DUMMYFUNCTION("""COMPUTED_VALUE"""),566914.0)</f>
        <v>566914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IFERROR(__xludf.DUMMYFUNCTION("""COMPUTED_VALUE"""),93.5)</f>
        <v>93.5</v>
      </c>
      <c r="C2106" s="1">
        <f>IFERROR(__xludf.DUMMYFUNCTION("""COMPUTED_VALUE"""),94.92)</f>
        <v>94.92</v>
      </c>
      <c r="D2106" s="1">
        <f>IFERROR(__xludf.DUMMYFUNCTION("""COMPUTED_VALUE"""),93.34)</f>
        <v>93.34</v>
      </c>
      <c r="E2106" s="1">
        <f>IFERROR(__xludf.DUMMYFUNCTION("""COMPUTED_VALUE"""),93.52)</f>
        <v>93.52</v>
      </c>
      <c r="F2106" s="1">
        <f>IFERROR(__xludf.DUMMYFUNCTION("""COMPUTED_VALUE"""),478555.0)</f>
        <v>478555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IFERROR(__xludf.DUMMYFUNCTION("""COMPUTED_VALUE"""),93.4)</f>
        <v>93.4</v>
      </c>
      <c r="C2107" s="1">
        <f>IFERROR(__xludf.DUMMYFUNCTION("""COMPUTED_VALUE"""),93.82)</f>
        <v>93.82</v>
      </c>
      <c r="D2107" s="1">
        <f>IFERROR(__xludf.DUMMYFUNCTION("""COMPUTED_VALUE"""),92.51)</f>
        <v>92.51</v>
      </c>
      <c r="E2107" s="1">
        <f>IFERROR(__xludf.DUMMYFUNCTION("""COMPUTED_VALUE"""),93.21)</f>
        <v>93.21</v>
      </c>
      <c r="F2107" s="1">
        <f>IFERROR(__xludf.DUMMYFUNCTION("""COMPUTED_VALUE"""),606657.0)</f>
        <v>606657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IFERROR(__xludf.DUMMYFUNCTION("""COMPUTED_VALUE"""),93.16)</f>
        <v>93.16</v>
      </c>
      <c r="C2108" s="1">
        <f>IFERROR(__xludf.DUMMYFUNCTION("""COMPUTED_VALUE"""),94.35)</f>
        <v>94.35</v>
      </c>
      <c r="D2108" s="1">
        <f>IFERROR(__xludf.DUMMYFUNCTION("""COMPUTED_VALUE"""),92.67)</f>
        <v>92.67</v>
      </c>
      <c r="E2108" s="1">
        <f>IFERROR(__xludf.DUMMYFUNCTION("""COMPUTED_VALUE"""),93.2)</f>
        <v>93.2</v>
      </c>
      <c r="F2108" s="1">
        <f>IFERROR(__xludf.DUMMYFUNCTION("""COMPUTED_VALUE"""),998654.0)</f>
        <v>998654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IFERROR(__xludf.DUMMYFUNCTION("""COMPUTED_VALUE"""),92.82)</f>
        <v>92.82</v>
      </c>
      <c r="C2109" s="1">
        <f>IFERROR(__xludf.DUMMYFUNCTION("""COMPUTED_VALUE"""),94.45)</f>
        <v>94.45</v>
      </c>
      <c r="D2109" s="1">
        <f>IFERROR(__xludf.DUMMYFUNCTION("""COMPUTED_VALUE"""),92.5)</f>
        <v>92.5</v>
      </c>
      <c r="E2109" s="1">
        <f>IFERROR(__xludf.DUMMYFUNCTION("""COMPUTED_VALUE"""),93.66)</f>
        <v>93.66</v>
      </c>
      <c r="F2109" s="1">
        <f>IFERROR(__xludf.DUMMYFUNCTION("""COMPUTED_VALUE"""),1070913.0)</f>
        <v>1070913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IFERROR(__xludf.DUMMYFUNCTION("""COMPUTED_VALUE"""),93.83)</f>
        <v>93.83</v>
      </c>
      <c r="C2110" s="1">
        <f>IFERROR(__xludf.DUMMYFUNCTION("""COMPUTED_VALUE"""),94.68)</f>
        <v>94.68</v>
      </c>
      <c r="D2110" s="1">
        <f>IFERROR(__xludf.DUMMYFUNCTION("""COMPUTED_VALUE"""),93.44)</f>
        <v>93.44</v>
      </c>
      <c r="E2110" s="1">
        <f>IFERROR(__xludf.DUMMYFUNCTION("""COMPUTED_VALUE"""),94.04)</f>
        <v>94.04</v>
      </c>
      <c r="F2110" s="1">
        <f>IFERROR(__xludf.DUMMYFUNCTION("""COMPUTED_VALUE"""),812936.0)</f>
        <v>812936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IFERROR(__xludf.DUMMYFUNCTION("""COMPUTED_VALUE"""),95.5)</f>
        <v>95.5</v>
      </c>
      <c r="C2111" s="1">
        <f>IFERROR(__xludf.DUMMYFUNCTION("""COMPUTED_VALUE"""),98.67)</f>
        <v>98.67</v>
      </c>
      <c r="D2111" s="1">
        <f>IFERROR(__xludf.DUMMYFUNCTION("""COMPUTED_VALUE"""),95.46)</f>
        <v>95.46</v>
      </c>
      <c r="E2111" s="1">
        <f>IFERROR(__xludf.DUMMYFUNCTION("""COMPUTED_VALUE"""),95.91)</f>
        <v>95.91</v>
      </c>
      <c r="F2111" s="1">
        <f>IFERROR(__xludf.DUMMYFUNCTION("""COMPUTED_VALUE"""),1570392.0)</f>
        <v>1570392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IFERROR(__xludf.DUMMYFUNCTION("""COMPUTED_VALUE"""),96.0)</f>
        <v>96</v>
      </c>
      <c r="C2112" s="1">
        <f>IFERROR(__xludf.DUMMYFUNCTION("""COMPUTED_VALUE"""),97.78)</f>
        <v>97.78</v>
      </c>
      <c r="D2112" s="1">
        <f>IFERROR(__xludf.DUMMYFUNCTION("""COMPUTED_VALUE"""),95.83)</f>
        <v>95.83</v>
      </c>
      <c r="E2112" s="1">
        <f>IFERROR(__xludf.DUMMYFUNCTION("""COMPUTED_VALUE"""),96.49)</f>
        <v>96.49</v>
      </c>
      <c r="F2112" s="1">
        <f>IFERROR(__xludf.DUMMYFUNCTION("""COMPUTED_VALUE"""),1096891.0)</f>
        <v>1096891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IFERROR(__xludf.DUMMYFUNCTION("""COMPUTED_VALUE"""),96.6)</f>
        <v>96.6</v>
      </c>
      <c r="C2113" s="1">
        <f>IFERROR(__xludf.DUMMYFUNCTION("""COMPUTED_VALUE"""),102.13)</f>
        <v>102.13</v>
      </c>
      <c r="D2113" s="1">
        <f>IFERROR(__xludf.DUMMYFUNCTION("""COMPUTED_VALUE"""),96.49)</f>
        <v>96.49</v>
      </c>
      <c r="E2113" s="1">
        <f>IFERROR(__xludf.DUMMYFUNCTION("""COMPUTED_VALUE"""),101.33)</f>
        <v>101.33</v>
      </c>
      <c r="F2113" s="1">
        <f>IFERROR(__xludf.DUMMYFUNCTION("""COMPUTED_VALUE"""),2171268.0)</f>
        <v>2171268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IFERROR(__xludf.DUMMYFUNCTION("""COMPUTED_VALUE"""),100.31)</f>
        <v>100.31</v>
      </c>
      <c r="C2114" s="1">
        <f>IFERROR(__xludf.DUMMYFUNCTION("""COMPUTED_VALUE"""),105.0)</f>
        <v>105</v>
      </c>
      <c r="D2114" s="1">
        <f>IFERROR(__xludf.DUMMYFUNCTION("""COMPUTED_VALUE"""),100.02)</f>
        <v>100.02</v>
      </c>
      <c r="E2114" s="1">
        <f>IFERROR(__xludf.DUMMYFUNCTION("""COMPUTED_VALUE"""),104.3)</f>
        <v>104.3</v>
      </c>
      <c r="F2114" s="1">
        <f>IFERROR(__xludf.DUMMYFUNCTION("""COMPUTED_VALUE"""),2735887.0)</f>
        <v>2735887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IFERROR(__xludf.DUMMYFUNCTION("""COMPUTED_VALUE"""),104.27)</f>
        <v>104.27</v>
      </c>
      <c r="C2115" s="1">
        <f>IFERROR(__xludf.DUMMYFUNCTION("""COMPUTED_VALUE"""),105.66)</f>
        <v>105.66</v>
      </c>
      <c r="D2115" s="1">
        <f>IFERROR(__xludf.DUMMYFUNCTION("""COMPUTED_VALUE"""),100.12)</f>
        <v>100.12</v>
      </c>
      <c r="E2115" s="1">
        <f>IFERROR(__xludf.DUMMYFUNCTION("""COMPUTED_VALUE"""),100.68)</f>
        <v>100.68</v>
      </c>
      <c r="F2115" s="1">
        <f>IFERROR(__xludf.DUMMYFUNCTION("""COMPUTED_VALUE"""),1280077.0)</f>
        <v>1280077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IFERROR(__xludf.DUMMYFUNCTION("""COMPUTED_VALUE"""),97.66)</f>
        <v>97.66</v>
      </c>
      <c r="C2116" s="1">
        <f>IFERROR(__xludf.DUMMYFUNCTION("""COMPUTED_VALUE"""),99.76)</f>
        <v>99.76</v>
      </c>
      <c r="D2116" s="1">
        <f>IFERROR(__xludf.DUMMYFUNCTION("""COMPUTED_VALUE"""),96.7)</f>
        <v>96.7</v>
      </c>
      <c r="E2116" s="1">
        <f>IFERROR(__xludf.DUMMYFUNCTION("""COMPUTED_VALUE"""),98.27)</f>
        <v>98.27</v>
      </c>
      <c r="F2116" s="1">
        <f>IFERROR(__xludf.DUMMYFUNCTION("""COMPUTED_VALUE"""),1812499.0)</f>
        <v>1812499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IFERROR(__xludf.DUMMYFUNCTION("""COMPUTED_VALUE"""),98.67)</f>
        <v>98.67</v>
      </c>
      <c r="C2117" s="1">
        <f>IFERROR(__xludf.DUMMYFUNCTION("""COMPUTED_VALUE"""),100.16)</f>
        <v>100.16</v>
      </c>
      <c r="D2117" s="1">
        <f>IFERROR(__xludf.DUMMYFUNCTION("""COMPUTED_VALUE"""),97.18)</f>
        <v>97.18</v>
      </c>
      <c r="E2117" s="1">
        <f>IFERROR(__xludf.DUMMYFUNCTION("""COMPUTED_VALUE"""),97.63)</f>
        <v>97.63</v>
      </c>
      <c r="F2117" s="1">
        <f>IFERROR(__xludf.DUMMYFUNCTION("""COMPUTED_VALUE"""),932255.0)</f>
        <v>932255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IFERROR(__xludf.DUMMYFUNCTION("""COMPUTED_VALUE"""),97.86)</f>
        <v>97.86</v>
      </c>
      <c r="C2118" s="1">
        <f>IFERROR(__xludf.DUMMYFUNCTION("""COMPUTED_VALUE"""),101.2)</f>
        <v>101.2</v>
      </c>
      <c r="D2118" s="1">
        <f>IFERROR(__xludf.DUMMYFUNCTION("""COMPUTED_VALUE"""),97.86)</f>
        <v>97.86</v>
      </c>
      <c r="E2118" s="1">
        <f>IFERROR(__xludf.DUMMYFUNCTION("""COMPUTED_VALUE"""),99.47)</f>
        <v>99.47</v>
      </c>
      <c r="F2118" s="1">
        <f>IFERROR(__xludf.DUMMYFUNCTION("""COMPUTED_VALUE"""),1937581.0)</f>
        <v>1937581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IFERROR(__xludf.DUMMYFUNCTION("""COMPUTED_VALUE"""),99.42)</f>
        <v>99.42</v>
      </c>
      <c r="C2119" s="1">
        <f>IFERROR(__xludf.DUMMYFUNCTION("""COMPUTED_VALUE"""),102.05)</f>
        <v>102.05</v>
      </c>
      <c r="D2119" s="1">
        <f>IFERROR(__xludf.DUMMYFUNCTION("""COMPUTED_VALUE"""),98.53)</f>
        <v>98.53</v>
      </c>
      <c r="E2119" s="1">
        <f>IFERROR(__xludf.DUMMYFUNCTION("""COMPUTED_VALUE"""),101.4)</f>
        <v>101.4</v>
      </c>
      <c r="F2119" s="1">
        <f>IFERROR(__xludf.DUMMYFUNCTION("""COMPUTED_VALUE"""),1018608.0)</f>
        <v>1018608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IFERROR(__xludf.DUMMYFUNCTION("""COMPUTED_VALUE"""),102.01)</f>
        <v>102.01</v>
      </c>
      <c r="C2120" s="1">
        <f>IFERROR(__xludf.DUMMYFUNCTION("""COMPUTED_VALUE"""),103.49)</f>
        <v>103.49</v>
      </c>
      <c r="D2120" s="1">
        <f>IFERROR(__xludf.DUMMYFUNCTION("""COMPUTED_VALUE"""),98.83)</f>
        <v>98.83</v>
      </c>
      <c r="E2120" s="1">
        <f>IFERROR(__xludf.DUMMYFUNCTION("""COMPUTED_VALUE"""),101.05)</f>
        <v>101.05</v>
      </c>
      <c r="F2120" s="1">
        <f>IFERROR(__xludf.DUMMYFUNCTION("""COMPUTED_VALUE"""),1415842.0)</f>
        <v>1415842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IFERROR(__xludf.DUMMYFUNCTION("""COMPUTED_VALUE"""),101.35)</f>
        <v>101.35</v>
      </c>
      <c r="C2121" s="1">
        <f>IFERROR(__xludf.DUMMYFUNCTION("""COMPUTED_VALUE"""),103.78)</f>
        <v>103.78</v>
      </c>
      <c r="D2121" s="1">
        <f>IFERROR(__xludf.DUMMYFUNCTION("""COMPUTED_VALUE"""),100.74)</f>
        <v>100.74</v>
      </c>
      <c r="E2121" s="1">
        <f>IFERROR(__xludf.DUMMYFUNCTION("""COMPUTED_VALUE"""),102.53)</f>
        <v>102.53</v>
      </c>
      <c r="F2121" s="1">
        <f>IFERROR(__xludf.DUMMYFUNCTION("""COMPUTED_VALUE"""),1166076.0)</f>
        <v>1166076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IFERROR(__xludf.DUMMYFUNCTION("""COMPUTED_VALUE"""),103.18)</f>
        <v>103.18</v>
      </c>
      <c r="C2122" s="1">
        <f>IFERROR(__xludf.DUMMYFUNCTION("""COMPUTED_VALUE"""),105.02)</f>
        <v>105.02</v>
      </c>
      <c r="D2122" s="1">
        <f>IFERROR(__xludf.DUMMYFUNCTION("""COMPUTED_VALUE"""),102.86)</f>
        <v>102.86</v>
      </c>
      <c r="E2122" s="1">
        <f>IFERROR(__xludf.DUMMYFUNCTION("""COMPUTED_VALUE"""),104.41)</f>
        <v>104.41</v>
      </c>
      <c r="F2122" s="1">
        <f>IFERROR(__xludf.DUMMYFUNCTION("""COMPUTED_VALUE"""),1442678.0)</f>
        <v>1442678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IFERROR(__xludf.DUMMYFUNCTION("""COMPUTED_VALUE"""),104.68)</f>
        <v>104.68</v>
      </c>
      <c r="C2123" s="1">
        <f>IFERROR(__xludf.DUMMYFUNCTION("""COMPUTED_VALUE"""),104.96)</f>
        <v>104.96</v>
      </c>
      <c r="D2123" s="1">
        <f>IFERROR(__xludf.DUMMYFUNCTION("""COMPUTED_VALUE"""),102.76)</f>
        <v>102.76</v>
      </c>
      <c r="E2123" s="1">
        <f>IFERROR(__xludf.DUMMYFUNCTION("""COMPUTED_VALUE"""),104.33)</f>
        <v>104.33</v>
      </c>
      <c r="F2123" s="1">
        <f>IFERROR(__xludf.DUMMYFUNCTION("""COMPUTED_VALUE"""),950999.0)</f>
        <v>950999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IFERROR(__xludf.DUMMYFUNCTION("""COMPUTED_VALUE"""),104.04)</f>
        <v>104.04</v>
      </c>
      <c r="C2124" s="1">
        <f>IFERROR(__xludf.DUMMYFUNCTION("""COMPUTED_VALUE"""),105.54)</f>
        <v>105.54</v>
      </c>
      <c r="D2124" s="1">
        <f>IFERROR(__xludf.DUMMYFUNCTION("""COMPUTED_VALUE"""),102.75)</f>
        <v>102.75</v>
      </c>
      <c r="E2124" s="1">
        <f>IFERROR(__xludf.DUMMYFUNCTION("""COMPUTED_VALUE"""),105.0)</f>
        <v>105</v>
      </c>
      <c r="F2124" s="1">
        <f>IFERROR(__xludf.DUMMYFUNCTION("""COMPUTED_VALUE"""),993753.0)</f>
        <v>993753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IFERROR(__xludf.DUMMYFUNCTION("""COMPUTED_VALUE"""),105.12)</f>
        <v>105.12</v>
      </c>
      <c r="C2125" s="1">
        <f>IFERROR(__xludf.DUMMYFUNCTION("""COMPUTED_VALUE"""),106.17)</f>
        <v>106.17</v>
      </c>
      <c r="D2125" s="1">
        <f>IFERROR(__xludf.DUMMYFUNCTION("""COMPUTED_VALUE"""),103.69)</f>
        <v>103.69</v>
      </c>
      <c r="E2125" s="1">
        <f>IFERROR(__xludf.DUMMYFUNCTION("""COMPUTED_VALUE"""),105.4)</f>
        <v>105.4</v>
      </c>
      <c r="F2125" s="1">
        <f>IFERROR(__xludf.DUMMYFUNCTION("""COMPUTED_VALUE"""),1251991.0)</f>
        <v>1251991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IFERROR(__xludf.DUMMYFUNCTION("""COMPUTED_VALUE"""),105.72)</f>
        <v>105.72</v>
      </c>
      <c r="C2126" s="1">
        <f>IFERROR(__xludf.DUMMYFUNCTION("""COMPUTED_VALUE"""),108.24)</f>
        <v>108.24</v>
      </c>
      <c r="D2126" s="1">
        <f>IFERROR(__xludf.DUMMYFUNCTION("""COMPUTED_VALUE"""),105.05)</f>
        <v>105.05</v>
      </c>
      <c r="E2126" s="1">
        <f>IFERROR(__xludf.DUMMYFUNCTION("""COMPUTED_VALUE"""),106.27)</f>
        <v>106.27</v>
      </c>
      <c r="F2126" s="1">
        <f>IFERROR(__xludf.DUMMYFUNCTION("""COMPUTED_VALUE"""),1406028.0)</f>
        <v>1406028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IFERROR(__xludf.DUMMYFUNCTION("""COMPUTED_VALUE"""),106.51)</f>
        <v>106.51</v>
      </c>
      <c r="C2127" s="1">
        <f>IFERROR(__xludf.DUMMYFUNCTION("""COMPUTED_VALUE"""),106.97)</f>
        <v>106.97</v>
      </c>
      <c r="D2127" s="1">
        <f>IFERROR(__xludf.DUMMYFUNCTION("""COMPUTED_VALUE"""),100.05)</f>
        <v>100.05</v>
      </c>
      <c r="E2127" s="1">
        <f>IFERROR(__xludf.DUMMYFUNCTION("""COMPUTED_VALUE"""),102.82)</f>
        <v>102.82</v>
      </c>
      <c r="F2127" s="1">
        <f>IFERROR(__xludf.DUMMYFUNCTION("""COMPUTED_VALUE"""),2873204.0)</f>
        <v>2873204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IFERROR(__xludf.DUMMYFUNCTION("""COMPUTED_VALUE"""),102.31)</f>
        <v>102.31</v>
      </c>
      <c r="C2128" s="1">
        <f>IFERROR(__xludf.DUMMYFUNCTION("""COMPUTED_VALUE"""),104.32)</f>
        <v>104.32</v>
      </c>
      <c r="D2128" s="1">
        <f>IFERROR(__xludf.DUMMYFUNCTION("""COMPUTED_VALUE"""),102.0)</f>
        <v>102</v>
      </c>
      <c r="E2128" s="1">
        <f>IFERROR(__xludf.DUMMYFUNCTION("""COMPUTED_VALUE"""),103.99)</f>
        <v>103.99</v>
      </c>
      <c r="F2128" s="1">
        <f>IFERROR(__xludf.DUMMYFUNCTION("""COMPUTED_VALUE"""),1485567.0)</f>
        <v>1485567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IFERROR(__xludf.DUMMYFUNCTION("""COMPUTED_VALUE"""),104.0)</f>
        <v>104</v>
      </c>
      <c r="C2129" s="1">
        <f>IFERROR(__xludf.DUMMYFUNCTION("""COMPUTED_VALUE"""),104.67)</f>
        <v>104.67</v>
      </c>
      <c r="D2129" s="1">
        <f>IFERROR(__xludf.DUMMYFUNCTION("""COMPUTED_VALUE"""),102.58)</f>
        <v>102.58</v>
      </c>
      <c r="E2129" s="1">
        <f>IFERROR(__xludf.DUMMYFUNCTION("""COMPUTED_VALUE"""),103.81)</f>
        <v>103.81</v>
      </c>
      <c r="F2129" s="1">
        <f>IFERROR(__xludf.DUMMYFUNCTION("""COMPUTED_VALUE"""),2053629.0)</f>
        <v>2053629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IFERROR(__xludf.DUMMYFUNCTION("""COMPUTED_VALUE"""),102.37)</f>
        <v>102.37</v>
      </c>
      <c r="C2130" s="1">
        <f>IFERROR(__xludf.DUMMYFUNCTION("""COMPUTED_VALUE"""),105.18)</f>
        <v>105.18</v>
      </c>
      <c r="D2130" s="1">
        <f>IFERROR(__xludf.DUMMYFUNCTION("""COMPUTED_VALUE"""),101.01)</f>
        <v>101.01</v>
      </c>
      <c r="E2130" s="1">
        <f>IFERROR(__xludf.DUMMYFUNCTION("""COMPUTED_VALUE"""),104.97)</f>
        <v>104.97</v>
      </c>
      <c r="F2130" s="1">
        <f>IFERROR(__xludf.DUMMYFUNCTION("""COMPUTED_VALUE"""),588645.0)</f>
        <v>588645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IFERROR(__xludf.DUMMYFUNCTION("""COMPUTED_VALUE"""),102.43)</f>
        <v>102.43</v>
      </c>
      <c r="C2131" s="1">
        <f>IFERROR(__xludf.DUMMYFUNCTION("""COMPUTED_VALUE"""),105.79)</f>
        <v>105.79</v>
      </c>
      <c r="D2131" s="1">
        <f>IFERROR(__xludf.DUMMYFUNCTION("""COMPUTED_VALUE"""),102.3)</f>
        <v>102.3</v>
      </c>
      <c r="E2131" s="1">
        <f>IFERROR(__xludf.DUMMYFUNCTION("""COMPUTED_VALUE"""),105.69)</f>
        <v>105.69</v>
      </c>
      <c r="F2131" s="1">
        <f>IFERROR(__xludf.DUMMYFUNCTION("""COMPUTED_VALUE"""),1015798.0)</f>
        <v>1015798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IFERROR(__xludf.DUMMYFUNCTION("""COMPUTED_VALUE"""),106.64)</f>
        <v>106.64</v>
      </c>
      <c r="C2132" s="1">
        <f>IFERROR(__xludf.DUMMYFUNCTION("""COMPUTED_VALUE"""),106.72)</f>
        <v>106.72</v>
      </c>
      <c r="D2132" s="1">
        <f>IFERROR(__xludf.DUMMYFUNCTION("""COMPUTED_VALUE"""),103.49)</f>
        <v>103.49</v>
      </c>
      <c r="E2132" s="1">
        <f>IFERROR(__xludf.DUMMYFUNCTION("""COMPUTED_VALUE"""),103.88)</f>
        <v>103.88</v>
      </c>
      <c r="F2132" s="1">
        <f>IFERROR(__xludf.DUMMYFUNCTION("""COMPUTED_VALUE"""),971369.0)</f>
        <v>971369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IFERROR(__xludf.DUMMYFUNCTION("""COMPUTED_VALUE"""),103.87)</f>
        <v>103.87</v>
      </c>
      <c r="C2133" s="1">
        <f>IFERROR(__xludf.DUMMYFUNCTION("""COMPUTED_VALUE"""),104.11)</f>
        <v>104.11</v>
      </c>
      <c r="D2133" s="1">
        <f>IFERROR(__xludf.DUMMYFUNCTION("""COMPUTED_VALUE"""),101.46)</f>
        <v>101.46</v>
      </c>
      <c r="E2133" s="1">
        <f>IFERROR(__xludf.DUMMYFUNCTION("""COMPUTED_VALUE"""),102.53)</f>
        <v>102.53</v>
      </c>
      <c r="F2133" s="1">
        <f>IFERROR(__xludf.DUMMYFUNCTION("""COMPUTED_VALUE"""),864416.0)</f>
        <v>864416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IFERROR(__xludf.DUMMYFUNCTION("""COMPUTED_VALUE"""),103.6)</f>
        <v>103.6</v>
      </c>
      <c r="C2134" s="1">
        <f>IFERROR(__xludf.DUMMYFUNCTION("""COMPUTED_VALUE"""),103.9)</f>
        <v>103.9</v>
      </c>
      <c r="D2134" s="1">
        <f>IFERROR(__xludf.DUMMYFUNCTION("""COMPUTED_VALUE"""),99.25)</f>
        <v>99.25</v>
      </c>
      <c r="E2134" s="1">
        <f>IFERROR(__xludf.DUMMYFUNCTION("""COMPUTED_VALUE"""),100.92)</f>
        <v>100.92</v>
      </c>
      <c r="F2134" s="1">
        <f>IFERROR(__xludf.DUMMYFUNCTION("""COMPUTED_VALUE"""),1561966.0)</f>
        <v>1561966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IFERROR(__xludf.DUMMYFUNCTION("""COMPUTED_VALUE"""),99.17)</f>
        <v>99.17</v>
      </c>
      <c r="C2135" s="1">
        <f>IFERROR(__xludf.DUMMYFUNCTION("""COMPUTED_VALUE"""),99.54)</f>
        <v>99.54</v>
      </c>
      <c r="D2135" s="1">
        <f>IFERROR(__xludf.DUMMYFUNCTION("""COMPUTED_VALUE"""),94.58)</f>
        <v>94.58</v>
      </c>
      <c r="E2135" s="1">
        <f>IFERROR(__xludf.DUMMYFUNCTION("""COMPUTED_VALUE"""),95.45)</f>
        <v>95.45</v>
      </c>
      <c r="F2135" s="1">
        <f>IFERROR(__xludf.DUMMYFUNCTION("""COMPUTED_VALUE"""),2099969.0)</f>
        <v>2099969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IFERROR(__xludf.DUMMYFUNCTION("""COMPUTED_VALUE"""),96.72)</f>
        <v>96.72</v>
      </c>
      <c r="C2136" s="1">
        <f>IFERROR(__xludf.DUMMYFUNCTION("""COMPUTED_VALUE"""),97.11)</f>
        <v>97.11</v>
      </c>
      <c r="D2136" s="1">
        <f>IFERROR(__xludf.DUMMYFUNCTION("""COMPUTED_VALUE"""),94.9)</f>
        <v>94.9</v>
      </c>
      <c r="E2136" s="1">
        <f>IFERROR(__xludf.DUMMYFUNCTION("""COMPUTED_VALUE"""),95.13)</f>
        <v>95.13</v>
      </c>
      <c r="F2136" s="1">
        <f>IFERROR(__xludf.DUMMYFUNCTION("""COMPUTED_VALUE"""),1172528.0)</f>
        <v>1172528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IFERROR(__xludf.DUMMYFUNCTION("""COMPUTED_VALUE"""),94.55)</f>
        <v>94.55</v>
      </c>
      <c r="C2137" s="1">
        <f>IFERROR(__xludf.DUMMYFUNCTION("""COMPUTED_VALUE"""),95.69)</f>
        <v>95.69</v>
      </c>
      <c r="D2137" s="1">
        <f>IFERROR(__xludf.DUMMYFUNCTION("""COMPUTED_VALUE"""),92.35)</f>
        <v>92.35</v>
      </c>
      <c r="E2137" s="1">
        <f>IFERROR(__xludf.DUMMYFUNCTION("""COMPUTED_VALUE"""),92.65)</f>
        <v>92.65</v>
      </c>
      <c r="F2137" s="1">
        <f>IFERROR(__xludf.DUMMYFUNCTION("""COMPUTED_VALUE"""),1604111.0)</f>
        <v>1604111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IFERROR(__xludf.DUMMYFUNCTION("""COMPUTED_VALUE"""),92.6)</f>
        <v>92.6</v>
      </c>
      <c r="C2138" s="1">
        <f>IFERROR(__xludf.DUMMYFUNCTION("""COMPUTED_VALUE"""),93.96)</f>
        <v>93.96</v>
      </c>
      <c r="D2138" s="1">
        <f>IFERROR(__xludf.DUMMYFUNCTION("""COMPUTED_VALUE"""),90.88)</f>
        <v>90.88</v>
      </c>
      <c r="E2138" s="1">
        <f>IFERROR(__xludf.DUMMYFUNCTION("""COMPUTED_VALUE"""),93.88)</f>
        <v>93.88</v>
      </c>
      <c r="F2138" s="1">
        <f>IFERROR(__xludf.DUMMYFUNCTION("""COMPUTED_VALUE"""),1529395.0)</f>
        <v>1529395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IFERROR(__xludf.DUMMYFUNCTION("""COMPUTED_VALUE"""),94.94)</f>
        <v>94.94</v>
      </c>
      <c r="C2139" s="1">
        <f>IFERROR(__xludf.DUMMYFUNCTION("""COMPUTED_VALUE"""),96.53)</f>
        <v>96.53</v>
      </c>
      <c r="D2139" s="1">
        <f>IFERROR(__xludf.DUMMYFUNCTION("""COMPUTED_VALUE"""),93.35)</f>
        <v>93.35</v>
      </c>
      <c r="E2139" s="1">
        <f>IFERROR(__xludf.DUMMYFUNCTION("""COMPUTED_VALUE"""),94.66)</f>
        <v>94.66</v>
      </c>
      <c r="F2139" s="1">
        <f>IFERROR(__xludf.DUMMYFUNCTION("""COMPUTED_VALUE"""),1568505.0)</f>
        <v>1568505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IFERROR(__xludf.DUMMYFUNCTION("""COMPUTED_VALUE"""),92.52)</f>
        <v>92.52</v>
      </c>
      <c r="C2140" s="1">
        <f>IFERROR(__xludf.DUMMYFUNCTION("""COMPUTED_VALUE"""),94.42)</f>
        <v>94.42</v>
      </c>
      <c r="D2140" s="1">
        <f>IFERROR(__xludf.DUMMYFUNCTION("""COMPUTED_VALUE"""),92.33)</f>
        <v>92.33</v>
      </c>
      <c r="E2140" s="1">
        <f>IFERROR(__xludf.DUMMYFUNCTION("""COMPUTED_VALUE"""),94.42)</f>
        <v>94.42</v>
      </c>
      <c r="F2140" s="1">
        <f>IFERROR(__xludf.DUMMYFUNCTION("""COMPUTED_VALUE"""),1000542.0)</f>
        <v>1000542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IFERROR(__xludf.DUMMYFUNCTION("""COMPUTED_VALUE"""),95.5)</f>
        <v>95.5</v>
      </c>
      <c r="C2141" s="1">
        <f>IFERROR(__xludf.DUMMYFUNCTION("""COMPUTED_VALUE"""),95.5)</f>
        <v>95.5</v>
      </c>
      <c r="D2141" s="1">
        <f>IFERROR(__xludf.DUMMYFUNCTION("""COMPUTED_VALUE"""),93.26)</f>
        <v>93.26</v>
      </c>
      <c r="E2141" s="1">
        <f>IFERROR(__xludf.DUMMYFUNCTION("""COMPUTED_VALUE"""),94.58)</f>
        <v>94.58</v>
      </c>
      <c r="F2141" s="1">
        <f>IFERROR(__xludf.DUMMYFUNCTION("""COMPUTED_VALUE"""),452404.0)</f>
        <v>452404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IFERROR(__xludf.DUMMYFUNCTION("""COMPUTED_VALUE"""),94.7)</f>
        <v>94.7</v>
      </c>
      <c r="C2142" s="1">
        <f>IFERROR(__xludf.DUMMYFUNCTION("""COMPUTED_VALUE"""),95.45)</f>
        <v>95.45</v>
      </c>
      <c r="D2142" s="1">
        <f>IFERROR(__xludf.DUMMYFUNCTION("""COMPUTED_VALUE"""),90.9)</f>
        <v>90.9</v>
      </c>
      <c r="E2142" s="1">
        <f>IFERROR(__xludf.DUMMYFUNCTION("""COMPUTED_VALUE"""),91.71)</f>
        <v>91.71</v>
      </c>
      <c r="F2142" s="1">
        <f>IFERROR(__xludf.DUMMYFUNCTION("""COMPUTED_VALUE"""),1409521.0)</f>
        <v>1409521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IFERROR(__xludf.DUMMYFUNCTION("""COMPUTED_VALUE"""),92.28)</f>
        <v>92.28</v>
      </c>
      <c r="C2143" s="1">
        <f>IFERROR(__xludf.DUMMYFUNCTION("""COMPUTED_VALUE"""),94.75)</f>
        <v>94.75</v>
      </c>
      <c r="D2143" s="1">
        <f>IFERROR(__xludf.DUMMYFUNCTION("""COMPUTED_VALUE"""),91.67)</f>
        <v>91.67</v>
      </c>
      <c r="E2143" s="1">
        <f>IFERROR(__xludf.DUMMYFUNCTION("""COMPUTED_VALUE"""),94.46)</f>
        <v>94.46</v>
      </c>
      <c r="F2143" s="1">
        <f>IFERROR(__xludf.DUMMYFUNCTION("""COMPUTED_VALUE"""),799441.0)</f>
        <v>799441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IFERROR(__xludf.DUMMYFUNCTION("""COMPUTED_VALUE"""),95.27)</f>
        <v>95.27</v>
      </c>
      <c r="C2144" s="1">
        <f>IFERROR(__xludf.DUMMYFUNCTION("""COMPUTED_VALUE"""),97.17)</f>
        <v>97.17</v>
      </c>
      <c r="D2144" s="1">
        <f>IFERROR(__xludf.DUMMYFUNCTION("""COMPUTED_VALUE"""),94.93)</f>
        <v>94.93</v>
      </c>
      <c r="E2144" s="1">
        <f>IFERROR(__xludf.DUMMYFUNCTION("""COMPUTED_VALUE"""),96.32)</f>
        <v>96.32</v>
      </c>
      <c r="F2144" s="1">
        <f>IFERROR(__xludf.DUMMYFUNCTION("""COMPUTED_VALUE"""),1006172.0)</f>
        <v>1006172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IFERROR(__xludf.DUMMYFUNCTION("""COMPUTED_VALUE"""),96.47)</f>
        <v>96.47</v>
      </c>
      <c r="C2145" s="1">
        <f>IFERROR(__xludf.DUMMYFUNCTION("""COMPUTED_VALUE"""),97.97)</f>
        <v>97.97</v>
      </c>
      <c r="D2145" s="1">
        <f>IFERROR(__xludf.DUMMYFUNCTION("""COMPUTED_VALUE"""),95.05)</f>
        <v>95.05</v>
      </c>
      <c r="E2145" s="1">
        <f>IFERROR(__xludf.DUMMYFUNCTION("""COMPUTED_VALUE"""),95.23)</f>
        <v>95.23</v>
      </c>
      <c r="F2145" s="1">
        <f>IFERROR(__xludf.DUMMYFUNCTION("""COMPUTED_VALUE"""),779848.0)</f>
        <v>779848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IFERROR(__xludf.DUMMYFUNCTION("""COMPUTED_VALUE"""),93.2)</f>
        <v>93.2</v>
      </c>
      <c r="C2146" s="1">
        <f>IFERROR(__xludf.DUMMYFUNCTION("""COMPUTED_VALUE"""),97.49)</f>
        <v>97.49</v>
      </c>
      <c r="D2146" s="1">
        <f>IFERROR(__xludf.DUMMYFUNCTION("""COMPUTED_VALUE"""),93.2)</f>
        <v>93.2</v>
      </c>
      <c r="E2146" s="1">
        <f>IFERROR(__xludf.DUMMYFUNCTION("""COMPUTED_VALUE"""),95.38)</f>
        <v>95.38</v>
      </c>
      <c r="F2146" s="1">
        <f>IFERROR(__xludf.DUMMYFUNCTION("""COMPUTED_VALUE"""),966141.0)</f>
        <v>966141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IFERROR(__xludf.DUMMYFUNCTION("""COMPUTED_VALUE"""),96.54)</f>
        <v>96.54</v>
      </c>
      <c r="C2147" s="1">
        <f>IFERROR(__xludf.DUMMYFUNCTION("""COMPUTED_VALUE"""),98.77)</f>
        <v>98.77</v>
      </c>
      <c r="D2147" s="1">
        <f>IFERROR(__xludf.DUMMYFUNCTION("""COMPUTED_VALUE"""),95.98)</f>
        <v>95.98</v>
      </c>
      <c r="E2147" s="1">
        <f>IFERROR(__xludf.DUMMYFUNCTION("""COMPUTED_VALUE"""),98.13)</f>
        <v>98.13</v>
      </c>
      <c r="F2147" s="1">
        <f>IFERROR(__xludf.DUMMYFUNCTION("""COMPUTED_VALUE"""),784732.0)</f>
        <v>784732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IFERROR(__xludf.DUMMYFUNCTION("""COMPUTED_VALUE"""),98.6)</f>
        <v>98.6</v>
      </c>
      <c r="C2148" s="1">
        <f>IFERROR(__xludf.DUMMYFUNCTION("""COMPUTED_VALUE"""),99.17)</f>
        <v>99.17</v>
      </c>
      <c r="D2148" s="1">
        <f>IFERROR(__xludf.DUMMYFUNCTION("""COMPUTED_VALUE"""),96.87)</f>
        <v>96.87</v>
      </c>
      <c r="E2148" s="1">
        <f>IFERROR(__xludf.DUMMYFUNCTION("""COMPUTED_VALUE"""),97.14)</f>
        <v>97.14</v>
      </c>
      <c r="F2148" s="1">
        <f>IFERROR(__xludf.DUMMYFUNCTION("""COMPUTED_VALUE"""),826840.0)</f>
        <v>826840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IFERROR(__xludf.DUMMYFUNCTION("""COMPUTED_VALUE"""),97.16)</f>
        <v>97.16</v>
      </c>
      <c r="C2149" s="1">
        <f>IFERROR(__xludf.DUMMYFUNCTION("""COMPUTED_VALUE"""),97.61)</f>
        <v>97.61</v>
      </c>
      <c r="D2149" s="1">
        <f>IFERROR(__xludf.DUMMYFUNCTION("""COMPUTED_VALUE"""),94.22)</f>
        <v>94.22</v>
      </c>
      <c r="E2149" s="1">
        <f>IFERROR(__xludf.DUMMYFUNCTION("""COMPUTED_VALUE"""),95.38)</f>
        <v>95.38</v>
      </c>
      <c r="F2149" s="1">
        <f>IFERROR(__xludf.DUMMYFUNCTION("""COMPUTED_VALUE"""),1091300.0)</f>
        <v>1091300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IFERROR(__xludf.DUMMYFUNCTION("""COMPUTED_VALUE"""),95.23)</f>
        <v>95.23</v>
      </c>
      <c r="C2150" s="1">
        <f>IFERROR(__xludf.DUMMYFUNCTION("""COMPUTED_VALUE"""),96.59)</f>
        <v>96.59</v>
      </c>
      <c r="D2150" s="1">
        <f>IFERROR(__xludf.DUMMYFUNCTION("""COMPUTED_VALUE"""),94.27)</f>
        <v>94.27</v>
      </c>
      <c r="E2150" s="1">
        <f>IFERROR(__xludf.DUMMYFUNCTION("""COMPUTED_VALUE"""),96.09)</f>
        <v>96.09</v>
      </c>
      <c r="F2150" s="1">
        <f>IFERROR(__xludf.DUMMYFUNCTION("""COMPUTED_VALUE"""),1041933.0)</f>
        <v>1041933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IFERROR(__xludf.DUMMYFUNCTION("""COMPUTED_VALUE"""),97.26)</f>
        <v>97.26</v>
      </c>
      <c r="C2151" s="1">
        <f>IFERROR(__xludf.DUMMYFUNCTION("""COMPUTED_VALUE"""),99.47)</f>
        <v>99.47</v>
      </c>
      <c r="D2151" s="1">
        <f>IFERROR(__xludf.DUMMYFUNCTION("""COMPUTED_VALUE"""),95.09)</f>
        <v>95.09</v>
      </c>
      <c r="E2151" s="1">
        <f>IFERROR(__xludf.DUMMYFUNCTION("""COMPUTED_VALUE"""),97.09)</f>
        <v>97.09</v>
      </c>
      <c r="F2151" s="1">
        <f>IFERROR(__xludf.DUMMYFUNCTION("""COMPUTED_VALUE"""),934987.0)</f>
        <v>934987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IFERROR(__xludf.DUMMYFUNCTION("""COMPUTED_VALUE"""),97.32)</f>
        <v>97.32</v>
      </c>
      <c r="C2152" s="1">
        <f>IFERROR(__xludf.DUMMYFUNCTION("""COMPUTED_VALUE"""),97.51)</f>
        <v>97.51</v>
      </c>
      <c r="D2152" s="1">
        <f>IFERROR(__xludf.DUMMYFUNCTION("""COMPUTED_VALUE"""),93.81)</f>
        <v>93.81</v>
      </c>
      <c r="E2152" s="1">
        <f>IFERROR(__xludf.DUMMYFUNCTION("""COMPUTED_VALUE"""),93.96)</f>
        <v>93.96</v>
      </c>
      <c r="F2152" s="1">
        <f>IFERROR(__xludf.DUMMYFUNCTION("""COMPUTED_VALUE"""),978536.0)</f>
        <v>978536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IFERROR(__xludf.DUMMYFUNCTION("""COMPUTED_VALUE"""),96.3)</f>
        <v>96.3</v>
      </c>
      <c r="C2153" s="1">
        <f>IFERROR(__xludf.DUMMYFUNCTION("""COMPUTED_VALUE"""),96.94)</f>
        <v>96.94</v>
      </c>
      <c r="D2153" s="1">
        <f>IFERROR(__xludf.DUMMYFUNCTION("""COMPUTED_VALUE"""),92.41)</f>
        <v>92.41</v>
      </c>
      <c r="E2153" s="1">
        <f>IFERROR(__xludf.DUMMYFUNCTION("""COMPUTED_VALUE"""),93.3)</f>
        <v>93.3</v>
      </c>
      <c r="F2153" s="1">
        <f>IFERROR(__xludf.DUMMYFUNCTION("""COMPUTED_VALUE"""),1729666.0)</f>
        <v>1729666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IFERROR(__xludf.DUMMYFUNCTION("""COMPUTED_VALUE"""),93.3)</f>
        <v>93.3</v>
      </c>
      <c r="C2154" s="1">
        <f>IFERROR(__xludf.DUMMYFUNCTION("""COMPUTED_VALUE"""),93.76)</f>
        <v>93.76</v>
      </c>
      <c r="D2154" s="1">
        <f>IFERROR(__xludf.DUMMYFUNCTION("""COMPUTED_VALUE"""),91.52)</f>
        <v>91.52</v>
      </c>
      <c r="E2154" s="1">
        <f>IFERROR(__xludf.DUMMYFUNCTION("""COMPUTED_VALUE"""),91.99)</f>
        <v>91.99</v>
      </c>
      <c r="F2154" s="1">
        <f>IFERROR(__xludf.DUMMYFUNCTION("""COMPUTED_VALUE"""),2448147.0)</f>
        <v>2448147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IFERROR(__xludf.DUMMYFUNCTION("""COMPUTED_VALUE"""),96.0)</f>
        <v>96</v>
      </c>
      <c r="C2155" s="1">
        <f>IFERROR(__xludf.DUMMYFUNCTION("""COMPUTED_VALUE"""),96.7)</f>
        <v>96.7</v>
      </c>
      <c r="D2155" s="1">
        <f>IFERROR(__xludf.DUMMYFUNCTION("""COMPUTED_VALUE"""),88.12)</f>
        <v>88.12</v>
      </c>
      <c r="E2155" s="1">
        <f>IFERROR(__xludf.DUMMYFUNCTION("""COMPUTED_VALUE"""),90.66)</f>
        <v>90.66</v>
      </c>
      <c r="F2155" s="1">
        <f>IFERROR(__xludf.DUMMYFUNCTION("""COMPUTED_VALUE"""),4124009.0)</f>
        <v>4124009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IFERROR(__xludf.DUMMYFUNCTION("""COMPUTED_VALUE"""),91.07)</f>
        <v>91.07</v>
      </c>
      <c r="C2156" s="1">
        <f>IFERROR(__xludf.DUMMYFUNCTION("""COMPUTED_VALUE"""),94.18)</f>
        <v>94.18</v>
      </c>
      <c r="D2156" s="1">
        <f>IFERROR(__xludf.DUMMYFUNCTION("""COMPUTED_VALUE"""),89.89)</f>
        <v>89.89</v>
      </c>
      <c r="E2156" s="1">
        <f>IFERROR(__xludf.DUMMYFUNCTION("""COMPUTED_VALUE"""),91.1)</f>
        <v>91.1</v>
      </c>
      <c r="F2156" s="1">
        <f>IFERROR(__xludf.DUMMYFUNCTION("""COMPUTED_VALUE"""),1697310.0)</f>
        <v>1697310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IFERROR(__xludf.DUMMYFUNCTION("""COMPUTED_VALUE"""),88.33)</f>
        <v>88.33</v>
      </c>
      <c r="C2157" s="1">
        <f>IFERROR(__xludf.DUMMYFUNCTION("""COMPUTED_VALUE"""),90.78)</f>
        <v>90.78</v>
      </c>
      <c r="D2157" s="1">
        <f>IFERROR(__xludf.DUMMYFUNCTION("""COMPUTED_VALUE"""),87.21)</f>
        <v>87.21</v>
      </c>
      <c r="E2157" s="1">
        <f>IFERROR(__xludf.DUMMYFUNCTION("""COMPUTED_VALUE"""),89.53)</f>
        <v>89.53</v>
      </c>
      <c r="F2157" s="1">
        <f>IFERROR(__xludf.DUMMYFUNCTION("""COMPUTED_VALUE"""),1624017.0)</f>
        <v>1624017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IFERROR(__xludf.DUMMYFUNCTION("""COMPUTED_VALUE"""),90.11)</f>
        <v>90.11</v>
      </c>
      <c r="C2158" s="1">
        <f>IFERROR(__xludf.DUMMYFUNCTION("""COMPUTED_VALUE"""),90.75)</f>
        <v>90.75</v>
      </c>
      <c r="D2158" s="1">
        <f>IFERROR(__xludf.DUMMYFUNCTION("""COMPUTED_VALUE"""),88.61)</f>
        <v>88.61</v>
      </c>
      <c r="E2158" s="1">
        <f>IFERROR(__xludf.DUMMYFUNCTION("""COMPUTED_VALUE"""),89.67)</f>
        <v>89.67</v>
      </c>
      <c r="F2158" s="1">
        <f>IFERROR(__xludf.DUMMYFUNCTION("""COMPUTED_VALUE"""),1676528.0)</f>
        <v>1676528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IFERROR(__xludf.DUMMYFUNCTION("""COMPUTED_VALUE"""),89.24)</f>
        <v>89.24</v>
      </c>
      <c r="C2159" s="1">
        <f>IFERROR(__xludf.DUMMYFUNCTION("""COMPUTED_VALUE"""),90.11)</f>
        <v>90.11</v>
      </c>
      <c r="D2159" s="1">
        <f>IFERROR(__xludf.DUMMYFUNCTION("""COMPUTED_VALUE"""),86.9)</f>
        <v>86.9</v>
      </c>
      <c r="E2159" s="1">
        <f>IFERROR(__xludf.DUMMYFUNCTION("""COMPUTED_VALUE"""),87.95)</f>
        <v>87.95</v>
      </c>
      <c r="F2159" s="1">
        <f>IFERROR(__xludf.DUMMYFUNCTION("""COMPUTED_VALUE"""),1605127.0)</f>
        <v>1605127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IFERROR(__xludf.DUMMYFUNCTION("""COMPUTED_VALUE"""),89.0)</f>
        <v>89</v>
      </c>
      <c r="C2160" s="1">
        <f>IFERROR(__xludf.DUMMYFUNCTION("""COMPUTED_VALUE"""),89.31)</f>
        <v>89.31</v>
      </c>
      <c r="D2160" s="1">
        <f>IFERROR(__xludf.DUMMYFUNCTION("""COMPUTED_VALUE"""),85.34)</f>
        <v>85.34</v>
      </c>
      <c r="E2160" s="1">
        <f>IFERROR(__xludf.DUMMYFUNCTION("""COMPUTED_VALUE"""),86.04)</f>
        <v>86.04</v>
      </c>
      <c r="F2160" s="1">
        <f>IFERROR(__xludf.DUMMYFUNCTION("""COMPUTED_VALUE"""),2049817.0)</f>
        <v>2049817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IFERROR(__xludf.DUMMYFUNCTION("""COMPUTED_VALUE"""),85.5)</f>
        <v>85.5</v>
      </c>
      <c r="C2161" s="1">
        <f>IFERROR(__xludf.DUMMYFUNCTION("""COMPUTED_VALUE"""),87.87)</f>
        <v>87.87</v>
      </c>
      <c r="D2161" s="1">
        <f>IFERROR(__xludf.DUMMYFUNCTION("""COMPUTED_VALUE"""),85.01)</f>
        <v>85.01</v>
      </c>
      <c r="E2161" s="1">
        <f>IFERROR(__xludf.DUMMYFUNCTION("""COMPUTED_VALUE"""),86.63)</f>
        <v>86.63</v>
      </c>
      <c r="F2161" s="1">
        <f>IFERROR(__xludf.DUMMYFUNCTION("""COMPUTED_VALUE"""),2153828.0)</f>
        <v>2153828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IFERROR(__xludf.DUMMYFUNCTION("""COMPUTED_VALUE"""),86.0)</f>
        <v>86</v>
      </c>
      <c r="C2162" s="1">
        <f>IFERROR(__xludf.DUMMYFUNCTION("""COMPUTED_VALUE"""),86.19)</f>
        <v>86.19</v>
      </c>
      <c r="D2162" s="1">
        <f>IFERROR(__xludf.DUMMYFUNCTION("""COMPUTED_VALUE"""),82.1)</f>
        <v>82.1</v>
      </c>
      <c r="E2162" s="1">
        <f>IFERROR(__xludf.DUMMYFUNCTION("""COMPUTED_VALUE"""),84.28)</f>
        <v>84.28</v>
      </c>
      <c r="F2162" s="1">
        <f>IFERROR(__xludf.DUMMYFUNCTION("""COMPUTED_VALUE"""),3359152.0)</f>
        <v>3359152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IFERROR(__xludf.DUMMYFUNCTION("""COMPUTED_VALUE"""),84.81)</f>
        <v>84.81</v>
      </c>
      <c r="C2163" s="1">
        <f>IFERROR(__xludf.DUMMYFUNCTION("""COMPUTED_VALUE"""),86.56)</f>
        <v>86.56</v>
      </c>
      <c r="D2163" s="1">
        <f>IFERROR(__xludf.DUMMYFUNCTION("""COMPUTED_VALUE"""),84.38)</f>
        <v>84.38</v>
      </c>
      <c r="E2163" s="1">
        <f>IFERROR(__xludf.DUMMYFUNCTION("""COMPUTED_VALUE"""),85.24)</f>
        <v>85.24</v>
      </c>
      <c r="F2163" s="1">
        <f>IFERROR(__xludf.DUMMYFUNCTION("""COMPUTED_VALUE"""),1751059.0)</f>
        <v>1751059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IFERROR(__xludf.DUMMYFUNCTION("""COMPUTED_VALUE"""),85.25)</f>
        <v>85.25</v>
      </c>
      <c r="C2164" s="1">
        <f>IFERROR(__xludf.DUMMYFUNCTION("""COMPUTED_VALUE"""),87.34)</f>
        <v>87.34</v>
      </c>
      <c r="D2164" s="1">
        <f>IFERROR(__xludf.DUMMYFUNCTION("""COMPUTED_VALUE"""),85.25)</f>
        <v>85.25</v>
      </c>
      <c r="E2164" s="1">
        <f>IFERROR(__xludf.DUMMYFUNCTION("""COMPUTED_VALUE"""),86.8)</f>
        <v>86.8</v>
      </c>
      <c r="F2164" s="1">
        <f>IFERROR(__xludf.DUMMYFUNCTION("""COMPUTED_VALUE"""),1376815.0)</f>
        <v>1376815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IFERROR(__xludf.DUMMYFUNCTION("""COMPUTED_VALUE"""),87.71)</f>
        <v>87.71</v>
      </c>
      <c r="C2165" s="1">
        <f>IFERROR(__xludf.DUMMYFUNCTION("""COMPUTED_VALUE"""),88.73)</f>
        <v>88.73</v>
      </c>
      <c r="D2165" s="1">
        <f>IFERROR(__xludf.DUMMYFUNCTION("""COMPUTED_VALUE"""),87.05)</f>
        <v>87.05</v>
      </c>
      <c r="E2165" s="1">
        <f>IFERROR(__xludf.DUMMYFUNCTION("""COMPUTED_VALUE"""),87.16)</f>
        <v>87.16</v>
      </c>
      <c r="F2165" s="1">
        <f>IFERROR(__xludf.DUMMYFUNCTION("""COMPUTED_VALUE"""),1476847.0)</f>
        <v>1476847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IFERROR(__xludf.DUMMYFUNCTION("""COMPUTED_VALUE"""),87.43)</f>
        <v>87.43</v>
      </c>
      <c r="C2166" s="1">
        <f>IFERROR(__xludf.DUMMYFUNCTION("""COMPUTED_VALUE"""),87.99)</f>
        <v>87.99</v>
      </c>
      <c r="D2166" s="1">
        <f>IFERROR(__xludf.DUMMYFUNCTION("""COMPUTED_VALUE"""),85.67)</f>
        <v>85.67</v>
      </c>
      <c r="E2166" s="1">
        <f>IFERROR(__xludf.DUMMYFUNCTION("""COMPUTED_VALUE"""),86.1)</f>
        <v>86.1</v>
      </c>
      <c r="F2166" s="1">
        <f>IFERROR(__xludf.DUMMYFUNCTION("""COMPUTED_VALUE"""),766598.0)</f>
        <v>766598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IFERROR(__xludf.DUMMYFUNCTION("""COMPUTED_VALUE"""),86.32)</f>
        <v>86.32</v>
      </c>
      <c r="C2167" s="1">
        <f>IFERROR(__xludf.DUMMYFUNCTION("""COMPUTED_VALUE"""),87.78)</f>
        <v>87.78</v>
      </c>
      <c r="D2167" s="1">
        <f>IFERROR(__xludf.DUMMYFUNCTION("""COMPUTED_VALUE"""),86.32)</f>
        <v>86.32</v>
      </c>
      <c r="E2167" s="1">
        <f>IFERROR(__xludf.DUMMYFUNCTION("""COMPUTED_VALUE"""),86.8)</f>
        <v>86.8</v>
      </c>
      <c r="F2167" s="1">
        <f>IFERROR(__xludf.DUMMYFUNCTION("""COMPUTED_VALUE"""),1199313.0)</f>
        <v>1199313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IFERROR(__xludf.DUMMYFUNCTION("""COMPUTED_VALUE"""),86.37)</f>
        <v>86.37</v>
      </c>
      <c r="C2168" s="1">
        <f>IFERROR(__xludf.DUMMYFUNCTION("""COMPUTED_VALUE"""),87.66)</f>
        <v>87.66</v>
      </c>
      <c r="D2168" s="1">
        <f>IFERROR(__xludf.DUMMYFUNCTION("""COMPUTED_VALUE"""),85.99)</f>
        <v>85.99</v>
      </c>
      <c r="E2168" s="1">
        <f>IFERROR(__xludf.DUMMYFUNCTION("""COMPUTED_VALUE"""),86.99)</f>
        <v>86.99</v>
      </c>
      <c r="F2168" s="1">
        <f>IFERROR(__xludf.DUMMYFUNCTION("""COMPUTED_VALUE"""),1209147.0)</f>
        <v>1209147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IFERROR(__xludf.DUMMYFUNCTION("""COMPUTED_VALUE"""),83.32)</f>
        <v>83.32</v>
      </c>
      <c r="C2169" s="1">
        <f>IFERROR(__xludf.DUMMYFUNCTION("""COMPUTED_VALUE"""),86.67)</f>
        <v>86.67</v>
      </c>
      <c r="D2169" s="1">
        <f>IFERROR(__xludf.DUMMYFUNCTION("""COMPUTED_VALUE"""),83.32)</f>
        <v>83.32</v>
      </c>
      <c r="E2169" s="1">
        <f>IFERROR(__xludf.DUMMYFUNCTION("""COMPUTED_VALUE"""),85.25)</f>
        <v>85.25</v>
      </c>
      <c r="F2169" s="1">
        <f>IFERROR(__xludf.DUMMYFUNCTION("""COMPUTED_VALUE"""),1431118.0)</f>
        <v>1431118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IFERROR(__xludf.DUMMYFUNCTION("""COMPUTED_VALUE"""),85.18)</f>
        <v>85.18</v>
      </c>
      <c r="C2170" s="1">
        <f>IFERROR(__xludf.DUMMYFUNCTION("""COMPUTED_VALUE"""),85.49)</f>
        <v>85.49</v>
      </c>
      <c r="D2170" s="1">
        <f>IFERROR(__xludf.DUMMYFUNCTION("""COMPUTED_VALUE"""),84.11)</f>
        <v>84.11</v>
      </c>
      <c r="E2170" s="1">
        <f>IFERROR(__xludf.DUMMYFUNCTION("""COMPUTED_VALUE"""),85.09)</f>
        <v>85.09</v>
      </c>
      <c r="F2170" s="1">
        <f>IFERROR(__xludf.DUMMYFUNCTION("""COMPUTED_VALUE"""),1147839.0)</f>
        <v>1147839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IFERROR(__xludf.DUMMYFUNCTION("""COMPUTED_VALUE"""),82.9)</f>
        <v>82.9</v>
      </c>
      <c r="C2171" s="1">
        <f>IFERROR(__xludf.DUMMYFUNCTION("""COMPUTED_VALUE"""),83.75)</f>
        <v>83.75</v>
      </c>
      <c r="D2171" s="1">
        <f>IFERROR(__xludf.DUMMYFUNCTION("""COMPUTED_VALUE"""),81.46)</f>
        <v>81.46</v>
      </c>
      <c r="E2171" s="1">
        <f>IFERROR(__xludf.DUMMYFUNCTION("""COMPUTED_VALUE"""),82.14)</f>
        <v>82.14</v>
      </c>
      <c r="F2171" s="1">
        <f>IFERROR(__xludf.DUMMYFUNCTION("""COMPUTED_VALUE"""),1464487.0)</f>
        <v>1464487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IFERROR(__xludf.DUMMYFUNCTION("""COMPUTED_VALUE"""),83.0)</f>
        <v>83</v>
      </c>
      <c r="C2172" s="1">
        <f>IFERROR(__xludf.DUMMYFUNCTION("""COMPUTED_VALUE"""),85.27)</f>
        <v>85.27</v>
      </c>
      <c r="D2172" s="1">
        <f>IFERROR(__xludf.DUMMYFUNCTION("""COMPUTED_VALUE"""),82.89)</f>
        <v>82.89</v>
      </c>
      <c r="E2172" s="1">
        <f>IFERROR(__xludf.DUMMYFUNCTION("""COMPUTED_VALUE"""),85.0)</f>
        <v>85</v>
      </c>
      <c r="F2172" s="1">
        <f>IFERROR(__xludf.DUMMYFUNCTION("""COMPUTED_VALUE"""),1289982.0)</f>
        <v>1289982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IFERROR(__xludf.DUMMYFUNCTION("""COMPUTED_VALUE"""),84.22)</f>
        <v>84.22</v>
      </c>
      <c r="C2173" s="1">
        <f>IFERROR(__xludf.DUMMYFUNCTION("""COMPUTED_VALUE"""),84.74)</f>
        <v>84.74</v>
      </c>
      <c r="D2173" s="1">
        <f>IFERROR(__xludf.DUMMYFUNCTION("""COMPUTED_VALUE"""),82.21)</f>
        <v>82.21</v>
      </c>
      <c r="E2173" s="1">
        <f>IFERROR(__xludf.DUMMYFUNCTION("""COMPUTED_VALUE"""),83.37)</f>
        <v>83.37</v>
      </c>
      <c r="F2173" s="1">
        <f>IFERROR(__xludf.DUMMYFUNCTION("""COMPUTED_VALUE"""),1094010.0)</f>
        <v>1094010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IFERROR(__xludf.DUMMYFUNCTION("""COMPUTED_VALUE"""),84.1)</f>
        <v>84.1</v>
      </c>
      <c r="C2174" s="1">
        <f>IFERROR(__xludf.DUMMYFUNCTION("""COMPUTED_VALUE"""),86.68)</f>
        <v>86.68</v>
      </c>
      <c r="D2174" s="1">
        <f>IFERROR(__xludf.DUMMYFUNCTION("""COMPUTED_VALUE"""),84.0)</f>
        <v>84</v>
      </c>
      <c r="E2174" s="1">
        <f>IFERROR(__xludf.DUMMYFUNCTION("""COMPUTED_VALUE"""),86.06)</f>
        <v>86.06</v>
      </c>
      <c r="F2174" s="1">
        <f>IFERROR(__xludf.DUMMYFUNCTION("""COMPUTED_VALUE"""),1660001.0)</f>
        <v>1660001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IFERROR(__xludf.DUMMYFUNCTION("""COMPUTED_VALUE"""),85.76)</f>
        <v>85.76</v>
      </c>
      <c r="C2175" s="1">
        <f>IFERROR(__xludf.DUMMYFUNCTION("""COMPUTED_VALUE"""),86.06)</f>
        <v>86.06</v>
      </c>
      <c r="D2175" s="1">
        <f>IFERROR(__xludf.DUMMYFUNCTION("""COMPUTED_VALUE"""),77.84)</f>
        <v>77.84</v>
      </c>
      <c r="E2175" s="1">
        <f>IFERROR(__xludf.DUMMYFUNCTION("""COMPUTED_VALUE"""),79.05)</f>
        <v>79.05</v>
      </c>
      <c r="F2175" s="1">
        <f>IFERROR(__xludf.DUMMYFUNCTION("""COMPUTED_VALUE"""),5948032.0)</f>
        <v>5948032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IFERROR(__xludf.DUMMYFUNCTION("""COMPUTED_VALUE"""),78.14)</f>
        <v>78.14</v>
      </c>
      <c r="C2176" s="1">
        <f>IFERROR(__xludf.DUMMYFUNCTION("""COMPUTED_VALUE"""),80.31)</f>
        <v>80.31</v>
      </c>
      <c r="D2176" s="1">
        <f>IFERROR(__xludf.DUMMYFUNCTION("""COMPUTED_VALUE"""),77.5)</f>
        <v>77.5</v>
      </c>
      <c r="E2176" s="1">
        <f>IFERROR(__xludf.DUMMYFUNCTION("""COMPUTED_VALUE"""),80.26)</f>
        <v>80.26</v>
      </c>
      <c r="F2176" s="1">
        <f>IFERROR(__xludf.DUMMYFUNCTION("""COMPUTED_VALUE"""),2713860.0)</f>
        <v>2713860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IFERROR(__xludf.DUMMYFUNCTION("""COMPUTED_VALUE"""),80.0)</f>
        <v>80</v>
      </c>
      <c r="C2177" s="1">
        <f>IFERROR(__xludf.DUMMYFUNCTION("""COMPUTED_VALUE"""),80.03)</f>
        <v>80.03</v>
      </c>
      <c r="D2177" s="1">
        <f>IFERROR(__xludf.DUMMYFUNCTION("""COMPUTED_VALUE"""),75.77)</f>
        <v>75.77</v>
      </c>
      <c r="E2177" s="1">
        <f>IFERROR(__xludf.DUMMYFUNCTION("""COMPUTED_VALUE"""),75.93)</f>
        <v>75.93</v>
      </c>
      <c r="F2177" s="1">
        <f>IFERROR(__xludf.DUMMYFUNCTION("""COMPUTED_VALUE"""),4048587.0)</f>
        <v>4048587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IFERROR(__xludf.DUMMYFUNCTION("""COMPUTED_VALUE"""),75.97)</f>
        <v>75.97</v>
      </c>
      <c r="C2178" s="1">
        <f>IFERROR(__xludf.DUMMYFUNCTION("""COMPUTED_VALUE"""),76.62)</f>
        <v>76.62</v>
      </c>
      <c r="D2178" s="1">
        <f>IFERROR(__xludf.DUMMYFUNCTION("""COMPUTED_VALUE"""),73.51)</f>
        <v>73.51</v>
      </c>
      <c r="E2178" s="1">
        <f>IFERROR(__xludf.DUMMYFUNCTION("""COMPUTED_VALUE"""),75.22)</f>
        <v>75.22</v>
      </c>
      <c r="F2178" s="1">
        <f>IFERROR(__xludf.DUMMYFUNCTION("""COMPUTED_VALUE"""),3660139.0)</f>
        <v>3660139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IFERROR(__xludf.DUMMYFUNCTION("""COMPUTED_VALUE"""),76.18)</f>
        <v>76.18</v>
      </c>
      <c r="C2179" s="1">
        <f>IFERROR(__xludf.DUMMYFUNCTION("""COMPUTED_VALUE"""),77.0)</f>
        <v>77</v>
      </c>
      <c r="D2179" s="1">
        <f>IFERROR(__xludf.DUMMYFUNCTION("""COMPUTED_VALUE"""),75.13)</f>
        <v>75.13</v>
      </c>
      <c r="E2179" s="1">
        <f>IFERROR(__xludf.DUMMYFUNCTION("""COMPUTED_VALUE"""),76.84)</f>
        <v>76.84</v>
      </c>
      <c r="F2179" s="1">
        <f>IFERROR(__xludf.DUMMYFUNCTION("""COMPUTED_VALUE"""),2687472.0)</f>
        <v>2687472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IFERROR(__xludf.DUMMYFUNCTION("""COMPUTED_VALUE"""),77.1)</f>
        <v>77.1</v>
      </c>
      <c r="C2180" s="1">
        <f>IFERROR(__xludf.DUMMYFUNCTION("""COMPUTED_VALUE"""),78.04)</f>
        <v>78.04</v>
      </c>
      <c r="D2180" s="1">
        <f>IFERROR(__xludf.DUMMYFUNCTION("""COMPUTED_VALUE"""),76.2)</f>
        <v>76.2</v>
      </c>
      <c r="E2180" s="1">
        <f>IFERROR(__xludf.DUMMYFUNCTION("""COMPUTED_VALUE"""),76.99)</f>
        <v>76.99</v>
      </c>
      <c r="F2180" s="1">
        <f>IFERROR(__xludf.DUMMYFUNCTION("""COMPUTED_VALUE"""),2146200.0)</f>
        <v>2146200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IFERROR(__xludf.DUMMYFUNCTION("""COMPUTED_VALUE"""),77.77)</f>
        <v>77.77</v>
      </c>
      <c r="C2181" s="1">
        <f>IFERROR(__xludf.DUMMYFUNCTION("""COMPUTED_VALUE"""),81.75)</f>
        <v>81.75</v>
      </c>
      <c r="D2181" s="1">
        <f>IFERROR(__xludf.DUMMYFUNCTION("""COMPUTED_VALUE"""),77.51)</f>
        <v>77.51</v>
      </c>
      <c r="E2181" s="1">
        <f>IFERROR(__xludf.DUMMYFUNCTION("""COMPUTED_VALUE"""),80.28)</f>
        <v>80.28</v>
      </c>
      <c r="F2181" s="1">
        <f>IFERROR(__xludf.DUMMYFUNCTION("""COMPUTED_VALUE"""),2203360.0)</f>
        <v>2203360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IFERROR(__xludf.DUMMYFUNCTION("""COMPUTED_VALUE"""),79.94)</f>
        <v>79.94</v>
      </c>
      <c r="C2182" s="1">
        <f>IFERROR(__xludf.DUMMYFUNCTION("""COMPUTED_VALUE"""),81.16)</f>
        <v>81.16</v>
      </c>
      <c r="D2182" s="1">
        <f>IFERROR(__xludf.DUMMYFUNCTION("""COMPUTED_VALUE"""),78.78)</f>
        <v>78.78</v>
      </c>
      <c r="E2182" s="1">
        <f>IFERROR(__xludf.DUMMYFUNCTION("""COMPUTED_VALUE"""),79.33)</f>
        <v>79.33</v>
      </c>
      <c r="F2182" s="1">
        <f>IFERROR(__xludf.DUMMYFUNCTION("""COMPUTED_VALUE"""),1195191.0)</f>
        <v>1195191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IFERROR(__xludf.DUMMYFUNCTION("""COMPUTED_VALUE"""),78.66)</f>
        <v>78.66</v>
      </c>
      <c r="C2183" s="1">
        <f>IFERROR(__xludf.DUMMYFUNCTION("""COMPUTED_VALUE"""),79.61)</f>
        <v>79.61</v>
      </c>
      <c r="D2183" s="1">
        <f>IFERROR(__xludf.DUMMYFUNCTION("""COMPUTED_VALUE"""),78.27)</f>
        <v>78.27</v>
      </c>
      <c r="E2183" s="1">
        <f>IFERROR(__xludf.DUMMYFUNCTION("""COMPUTED_VALUE"""),78.6)</f>
        <v>78.6</v>
      </c>
      <c r="F2183" s="1">
        <f>IFERROR(__xludf.DUMMYFUNCTION("""COMPUTED_VALUE"""),1649075.0)</f>
        <v>1649075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IFERROR(__xludf.DUMMYFUNCTION("""COMPUTED_VALUE"""),77.77)</f>
        <v>77.77</v>
      </c>
      <c r="C2184" s="1">
        <f>IFERROR(__xludf.DUMMYFUNCTION("""COMPUTED_VALUE"""),77.97)</f>
        <v>77.97</v>
      </c>
      <c r="D2184" s="1">
        <f>IFERROR(__xludf.DUMMYFUNCTION("""COMPUTED_VALUE"""),75.22)</f>
        <v>75.22</v>
      </c>
      <c r="E2184" s="1">
        <f>IFERROR(__xludf.DUMMYFUNCTION("""COMPUTED_VALUE"""),75.53)</f>
        <v>75.53</v>
      </c>
      <c r="F2184" s="1">
        <f>IFERROR(__xludf.DUMMYFUNCTION("""COMPUTED_VALUE"""),2002881.0)</f>
        <v>2002881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IFERROR(__xludf.DUMMYFUNCTION("""COMPUTED_VALUE"""),73.85)</f>
        <v>73.85</v>
      </c>
      <c r="C2185" s="1">
        <f>IFERROR(__xludf.DUMMYFUNCTION("""COMPUTED_VALUE"""),74.62)</f>
        <v>74.62</v>
      </c>
      <c r="D2185" s="1">
        <f>IFERROR(__xludf.DUMMYFUNCTION("""COMPUTED_VALUE"""),71.6)</f>
        <v>71.6</v>
      </c>
      <c r="E2185" s="1">
        <f>IFERROR(__xludf.DUMMYFUNCTION("""COMPUTED_VALUE"""),72.2)</f>
        <v>72.2</v>
      </c>
      <c r="F2185" s="1">
        <f>IFERROR(__xludf.DUMMYFUNCTION("""COMPUTED_VALUE"""),2279489.0)</f>
        <v>2279489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IFERROR(__xludf.DUMMYFUNCTION("""COMPUTED_VALUE"""),72.5)</f>
        <v>72.5</v>
      </c>
      <c r="C2186" s="1">
        <f>IFERROR(__xludf.DUMMYFUNCTION("""COMPUTED_VALUE"""),73.95)</f>
        <v>73.95</v>
      </c>
      <c r="D2186" s="1">
        <f>IFERROR(__xludf.DUMMYFUNCTION("""COMPUTED_VALUE"""),70.61)</f>
        <v>70.61</v>
      </c>
      <c r="E2186" s="1">
        <f>IFERROR(__xludf.DUMMYFUNCTION("""COMPUTED_VALUE"""),70.74)</f>
        <v>70.74</v>
      </c>
      <c r="F2186" s="1">
        <f>IFERROR(__xludf.DUMMYFUNCTION("""COMPUTED_VALUE"""),2085636.0)</f>
        <v>2085636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IFERROR(__xludf.DUMMYFUNCTION("""COMPUTED_VALUE"""),70.0)</f>
        <v>70</v>
      </c>
      <c r="C2187" s="1">
        <f>IFERROR(__xludf.DUMMYFUNCTION("""COMPUTED_VALUE"""),72.97)</f>
        <v>72.97</v>
      </c>
      <c r="D2187" s="1">
        <f>IFERROR(__xludf.DUMMYFUNCTION("""COMPUTED_VALUE"""),70.0)</f>
        <v>70</v>
      </c>
      <c r="E2187" s="1">
        <f>IFERROR(__xludf.DUMMYFUNCTION("""COMPUTED_VALUE"""),72.34)</f>
        <v>72.34</v>
      </c>
      <c r="F2187" s="1">
        <f>IFERROR(__xludf.DUMMYFUNCTION("""COMPUTED_VALUE"""),1946742.0)</f>
        <v>1946742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IFERROR(__xludf.DUMMYFUNCTION("""COMPUTED_VALUE"""),72.41)</f>
        <v>72.41</v>
      </c>
      <c r="C2188" s="1">
        <f>IFERROR(__xludf.DUMMYFUNCTION("""COMPUTED_VALUE"""),72.41)</f>
        <v>72.41</v>
      </c>
      <c r="D2188" s="1">
        <f>IFERROR(__xludf.DUMMYFUNCTION("""COMPUTED_VALUE"""),69.57)</f>
        <v>69.57</v>
      </c>
      <c r="E2188" s="1">
        <f>IFERROR(__xludf.DUMMYFUNCTION("""COMPUTED_VALUE"""),70.05)</f>
        <v>70.05</v>
      </c>
      <c r="F2188" s="1">
        <f>IFERROR(__xludf.DUMMYFUNCTION("""COMPUTED_VALUE"""),1985228.0)</f>
        <v>1985228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IFERROR(__xludf.DUMMYFUNCTION("""COMPUTED_VALUE"""),68.41)</f>
        <v>68.41</v>
      </c>
      <c r="C2189" s="1">
        <f>IFERROR(__xludf.DUMMYFUNCTION("""COMPUTED_VALUE"""),71.87)</f>
        <v>71.87</v>
      </c>
      <c r="D2189" s="1">
        <f>IFERROR(__xludf.DUMMYFUNCTION("""COMPUTED_VALUE"""),67.85)</f>
        <v>67.85</v>
      </c>
      <c r="E2189" s="1">
        <f>IFERROR(__xludf.DUMMYFUNCTION("""COMPUTED_VALUE"""),71.77)</f>
        <v>71.77</v>
      </c>
      <c r="F2189" s="1">
        <f>IFERROR(__xludf.DUMMYFUNCTION("""COMPUTED_VALUE"""),1830514.0)</f>
        <v>1830514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IFERROR(__xludf.DUMMYFUNCTION("""COMPUTED_VALUE"""),70.97)</f>
        <v>70.97</v>
      </c>
      <c r="C2190" s="1">
        <f>IFERROR(__xludf.DUMMYFUNCTION("""COMPUTED_VALUE"""),71.12)</f>
        <v>71.12</v>
      </c>
      <c r="D2190" s="1">
        <f>IFERROR(__xludf.DUMMYFUNCTION("""COMPUTED_VALUE"""),67.87)</f>
        <v>67.87</v>
      </c>
      <c r="E2190" s="1">
        <f>IFERROR(__xludf.DUMMYFUNCTION("""COMPUTED_VALUE"""),69.79)</f>
        <v>69.79</v>
      </c>
      <c r="F2190" s="1">
        <f>IFERROR(__xludf.DUMMYFUNCTION("""COMPUTED_VALUE"""),2799904.0)</f>
        <v>2799904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IFERROR(__xludf.DUMMYFUNCTION("""COMPUTED_VALUE"""),69.1)</f>
        <v>69.1</v>
      </c>
      <c r="C2191" s="1">
        <f>IFERROR(__xludf.DUMMYFUNCTION("""COMPUTED_VALUE"""),71.85)</f>
        <v>71.85</v>
      </c>
      <c r="D2191" s="1">
        <f>IFERROR(__xludf.DUMMYFUNCTION("""COMPUTED_VALUE"""),68.68)</f>
        <v>68.68</v>
      </c>
      <c r="E2191" s="1">
        <f>IFERROR(__xludf.DUMMYFUNCTION("""COMPUTED_VALUE"""),69.02)</f>
        <v>69.02</v>
      </c>
      <c r="F2191" s="1">
        <f>IFERROR(__xludf.DUMMYFUNCTION("""COMPUTED_VALUE"""),3220604.0)</f>
        <v>3220604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IFERROR(__xludf.DUMMYFUNCTION("""COMPUTED_VALUE"""),70.22)</f>
        <v>70.22</v>
      </c>
      <c r="C2192" s="1">
        <f>IFERROR(__xludf.DUMMYFUNCTION("""COMPUTED_VALUE"""),71.95)</f>
        <v>71.95</v>
      </c>
      <c r="D2192" s="1">
        <f>IFERROR(__xludf.DUMMYFUNCTION("""COMPUTED_VALUE"""),69.47)</f>
        <v>69.47</v>
      </c>
      <c r="E2192" s="1">
        <f>IFERROR(__xludf.DUMMYFUNCTION("""COMPUTED_VALUE"""),69.51)</f>
        <v>69.51</v>
      </c>
      <c r="F2192" s="1">
        <f>IFERROR(__xludf.DUMMYFUNCTION("""COMPUTED_VALUE"""),2451386.0)</f>
        <v>2451386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IFERROR(__xludf.DUMMYFUNCTION("""COMPUTED_VALUE"""),69.3)</f>
        <v>69.3</v>
      </c>
      <c r="C2193" s="1">
        <f>IFERROR(__xludf.DUMMYFUNCTION("""COMPUTED_VALUE"""),70.37)</f>
        <v>70.37</v>
      </c>
      <c r="D2193" s="1">
        <f>IFERROR(__xludf.DUMMYFUNCTION("""COMPUTED_VALUE"""),68.69)</f>
        <v>68.69</v>
      </c>
      <c r="E2193" s="1">
        <f>IFERROR(__xludf.DUMMYFUNCTION("""COMPUTED_VALUE"""),68.76)</f>
        <v>68.76</v>
      </c>
      <c r="F2193" s="1">
        <f>IFERROR(__xludf.DUMMYFUNCTION("""COMPUTED_VALUE"""),1139240.0)</f>
        <v>1139240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IFERROR(__xludf.DUMMYFUNCTION("""COMPUTED_VALUE"""),68.54)</f>
        <v>68.54</v>
      </c>
      <c r="C2194" s="1">
        <f>IFERROR(__xludf.DUMMYFUNCTION("""COMPUTED_VALUE"""),69.45)</f>
        <v>69.45</v>
      </c>
      <c r="D2194" s="1">
        <f>IFERROR(__xludf.DUMMYFUNCTION("""COMPUTED_VALUE"""),67.23)</f>
        <v>67.23</v>
      </c>
      <c r="E2194" s="1">
        <f>IFERROR(__xludf.DUMMYFUNCTION("""COMPUTED_VALUE"""),67.58)</f>
        <v>67.58</v>
      </c>
      <c r="F2194" s="1">
        <f>IFERROR(__xludf.DUMMYFUNCTION("""COMPUTED_VALUE"""),3075792.0)</f>
        <v>3075792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IFERROR(__xludf.DUMMYFUNCTION("""COMPUTED_VALUE"""),68.67)</f>
        <v>68.67</v>
      </c>
      <c r="C2195" s="1">
        <f>IFERROR(__xludf.DUMMYFUNCTION("""COMPUTED_VALUE"""),71.99)</f>
        <v>71.99</v>
      </c>
      <c r="D2195" s="1">
        <f>IFERROR(__xludf.DUMMYFUNCTION("""COMPUTED_VALUE"""),68.54)</f>
        <v>68.54</v>
      </c>
      <c r="E2195" s="1">
        <f>IFERROR(__xludf.DUMMYFUNCTION("""COMPUTED_VALUE"""),71.69)</f>
        <v>71.69</v>
      </c>
      <c r="F2195" s="1">
        <f>IFERROR(__xludf.DUMMYFUNCTION("""COMPUTED_VALUE"""),3918559.0)</f>
        <v>3918559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IFERROR(__xludf.DUMMYFUNCTION("""COMPUTED_VALUE"""),72.37)</f>
        <v>72.37</v>
      </c>
      <c r="C2196" s="1">
        <f>IFERROR(__xludf.DUMMYFUNCTION("""COMPUTED_VALUE"""),77.56)</f>
        <v>77.56</v>
      </c>
      <c r="D2196" s="1">
        <f>IFERROR(__xludf.DUMMYFUNCTION("""COMPUTED_VALUE"""),72.06)</f>
        <v>72.06</v>
      </c>
      <c r="E2196" s="1">
        <f>IFERROR(__xludf.DUMMYFUNCTION("""COMPUTED_VALUE"""),73.11)</f>
        <v>73.11</v>
      </c>
      <c r="F2196" s="1">
        <f>IFERROR(__xludf.DUMMYFUNCTION("""COMPUTED_VALUE"""),2210564.0)</f>
        <v>2210564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IFERROR(__xludf.DUMMYFUNCTION("""COMPUTED_VALUE"""),75.88)</f>
        <v>75.88</v>
      </c>
      <c r="C2197" s="1">
        <f>IFERROR(__xludf.DUMMYFUNCTION("""COMPUTED_VALUE"""),78.57)</f>
        <v>78.57</v>
      </c>
      <c r="D2197" s="1">
        <f>IFERROR(__xludf.DUMMYFUNCTION("""COMPUTED_VALUE"""),74.68)</f>
        <v>74.68</v>
      </c>
      <c r="E2197" s="1">
        <f>IFERROR(__xludf.DUMMYFUNCTION("""COMPUTED_VALUE"""),75.69)</f>
        <v>75.69</v>
      </c>
      <c r="F2197" s="1">
        <f>IFERROR(__xludf.DUMMYFUNCTION("""COMPUTED_VALUE"""),2621875.0)</f>
        <v>2621875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IFERROR(__xludf.DUMMYFUNCTION("""COMPUTED_VALUE"""),73.96)</f>
        <v>73.96</v>
      </c>
      <c r="C2198" s="1">
        <f>IFERROR(__xludf.DUMMYFUNCTION("""COMPUTED_VALUE"""),74.91)</f>
        <v>74.91</v>
      </c>
      <c r="D2198" s="1">
        <f>IFERROR(__xludf.DUMMYFUNCTION("""COMPUTED_VALUE"""),72.91)</f>
        <v>72.91</v>
      </c>
      <c r="E2198" s="1">
        <f>IFERROR(__xludf.DUMMYFUNCTION("""COMPUTED_VALUE"""),72.98)</f>
        <v>72.98</v>
      </c>
      <c r="F2198" s="1">
        <f>IFERROR(__xludf.DUMMYFUNCTION("""COMPUTED_VALUE"""),703028.0)</f>
        <v>703028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IFERROR(__xludf.DUMMYFUNCTION("""COMPUTED_VALUE"""),73.63)</f>
        <v>73.63</v>
      </c>
      <c r="C2199" s="1">
        <f>IFERROR(__xludf.DUMMYFUNCTION("""COMPUTED_VALUE"""),74.6)</f>
        <v>74.6</v>
      </c>
      <c r="D2199" s="1">
        <f>IFERROR(__xludf.DUMMYFUNCTION("""COMPUTED_VALUE"""),72.98)</f>
        <v>72.98</v>
      </c>
      <c r="E2199" s="1">
        <f>IFERROR(__xludf.DUMMYFUNCTION("""COMPUTED_VALUE"""),73.62)</f>
        <v>73.62</v>
      </c>
      <c r="F2199" s="1">
        <f>IFERROR(__xludf.DUMMYFUNCTION("""COMPUTED_VALUE"""),388309.0)</f>
        <v>388309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IFERROR(__xludf.DUMMYFUNCTION("""COMPUTED_VALUE"""),73.98)</f>
        <v>73.98</v>
      </c>
      <c r="C2200" s="1">
        <f>IFERROR(__xludf.DUMMYFUNCTION("""COMPUTED_VALUE"""),74.65)</f>
        <v>74.65</v>
      </c>
      <c r="D2200" s="1">
        <f>IFERROR(__xludf.DUMMYFUNCTION("""COMPUTED_VALUE"""),73.19)</f>
        <v>73.19</v>
      </c>
      <c r="E2200" s="1">
        <f>IFERROR(__xludf.DUMMYFUNCTION("""COMPUTED_VALUE"""),73.56)</f>
        <v>73.56</v>
      </c>
      <c r="F2200" s="1">
        <f>IFERROR(__xludf.DUMMYFUNCTION("""COMPUTED_VALUE"""),717135.0)</f>
        <v>717135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IFERROR(__xludf.DUMMYFUNCTION("""COMPUTED_VALUE"""),73.48)</f>
        <v>73.48</v>
      </c>
      <c r="C2201" s="1">
        <f>IFERROR(__xludf.DUMMYFUNCTION("""COMPUTED_VALUE"""),74.26)</f>
        <v>74.26</v>
      </c>
      <c r="D2201" s="1">
        <f>IFERROR(__xludf.DUMMYFUNCTION("""COMPUTED_VALUE"""),72.93)</f>
        <v>72.93</v>
      </c>
      <c r="E2201" s="1">
        <f>IFERROR(__xludf.DUMMYFUNCTION("""COMPUTED_VALUE"""),73.26)</f>
        <v>73.26</v>
      </c>
      <c r="F2201" s="1">
        <f>IFERROR(__xludf.DUMMYFUNCTION("""COMPUTED_VALUE"""),779219.0)</f>
        <v>779219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IFERROR(__xludf.DUMMYFUNCTION("""COMPUTED_VALUE"""),72.66)</f>
        <v>72.66</v>
      </c>
      <c r="C2202" s="1">
        <f>IFERROR(__xludf.DUMMYFUNCTION("""COMPUTED_VALUE"""),74.21)</f>
        <v>74.21</v>
      </c>
      <c r="D2202" s="1">
        <f>IFERROR(__xludf.DUMMYFUNCTION("""COMPUTED_VALUE"""),72.66)</f>
        <v>72.66</v>
      </c>
      <c r="E2202" s="1">
        <f>IFERROR(__xludf.DUMMYFUNCTION("""COMPUTED_VALUE"""),74.01)</f>
        <v>74.01</v>
      </c>
      <c r="F2202" s="1">
        <f>IFERROR(__xludf.DUMMYFUNCTION("""COMPUTED_VALUE"""),1160024.0)</f>
        <v>1160024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IFERROR(__xludf.DUMMYFUNCTION("""COMPUTED_VALUE"""),74.39)</f>
        <v>74.39</v>
      </c>
      <c r="C2203" s="1">
        <f>IFERROR(__xludf.DUMMYFUNCTION("""COMPUTED_VALUE"""),74.78)</f>
        <v>74.78</v>
      </c>
      <c r="D2203" s="1">
        <f>IFERROR(__xludf.DUMMYFUNCTION("""COMPUTED_VALUE"""),70.91)</f>
        <v>70.91</v>
      </c>
      <c r="E2203" s="1">
        <f>IFERROR(__xludf.DUMMYFUNCTION("""COMPUTED_VALUE"""),71.04)</f>
        <v>71.04</v>
      </c>
      <c r="F2203" s="1">
        <f>IFERROR(__xludf.DUMMYFUNCTION("""COMPUTED_VALUE"""),926826.0)</f>
        <v>926826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IFERROR(__xludf.DUMMYFUNCTION("""COMPUTED_VALUE"""),68.18)</f>
        <v>68.18</v>
      </c>
      <c r="C2204" s="1">
        <f>IFERROR(__xludf.DUMMYFUNCTION("""COMPUTED_VALUE"""),69.47)</f>
        <v>69.47</v>
      </c>
      <c r="D2204" s="1">
        <f>IFERROR(__xludf.DUMMYFUNCTION("""COMPUTED_VALUE"""),64.36)</f>
        <v>64.36</v>
      </c>
      <c r="E2204" s="1">
        <f>IFERROR(__xludf.DUMMYFUNCTION("""COMPUTED_VALUE"""),65.46)</f>
        <v>65.46</v>
      </c>
      <c r="F2204" s="1">
        <f>IFERROR(__xludf.DUMMYFUNCTION("""COMPUTED_VALUE"""),4262067.0)</f>
        <v>4262067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IFERROR(__xludf.DUMMYFUNCTION("""COMPUTED_VALUE"""),65.93)</f>
        <v>65.93</v>
      </c>
      <c r="C2205" s="1">
        <f>IFERROR(__xludf.DUMMYFUNCTION("""COMPUTED_VALUE"""),65.94)</f>
        <v>65.94</v>
      </c>
      <c r="D2205" s="1">
        <f>IFERROR(__xludf.DUMMYFUNCTION("""COMPUTED_VALUE"""),63.67)</f>
        <v>63.67</v>
      </c>
      <c r="E2205" s="1">
        <f>IFERROR(__xludf.DUMMYFUNCTION("""COMPUTED_VALUE"""),63.75)</f>
        <v>63.75</v>
      </c>
      <c r="F2205" s="1">
        <f>IFERROR(__xludf.DUMMYFUNCTION("""COMPUTED_VALUE"""),3062243.0)</f>
        <v>3062243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IFERROR(__xludf.DUMMYFUNCTION("""COMPUTED_VALUE"""),63.58)</f>
        <v>63.58</v>
      </c>
      <c r="C2206" s="1">
        <f>IFERROR(__xludf.DUMMYFUNCTION("""COMPUTED_VALUE"""),63.58)</f>
        <v>63.58</v>
      </c>
      <c r="D2206" s="1">
        <f>IFERROR(__xludf.DUMMYFUNCTION("""COMPUTED_VALUE"""),61.32)</f>
        <v>61.32</v>
      </c>
      <c r="E2206" s="1">
        <f>IFERROR(__xludf.DUMMYFUNCTION("""COMPUTED_VALUE"""),62.15)</f>
        <v>62.15</v>
      </c>
      <c r="F2206" s="1">
        <f>IFERROR(__xludf.DUMMYFUNCTION("""COMPUTED_VALUE"""),2624379.0)</f>
        <v>2624379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IFERROR(__xludf.DUMMYFUNCTION("""COMPUTED_VALUE"""),62.59)</f>
        <v>62.59</v>
      </c>
      <c r="C2207" s="1">
        <f>IFERROR(__xludf.DUMMYFUNCTION("""COMPUTED_VALUE"""),64.57)</f>
        <v>64.57</v>
      </c>
      <c r="D2207" s="1">
        <f>IFERROR(__xludf.DUMMYFUNCTION("""COMPUTED_VALUE"""),61.05)</f>
        <v>61.05</v>
      </c>
      <c r="E2207" s="1">
        <f>IFERROR(__xludf.DUMMYFUNCTION("""COMPUTED_VALUE"""),61.46)</f>
        <v>61.46</v>
      </c>
      <c r="F2207" s="1">
        <f>IFERROR(__xludf.DUMMYFUNCTION("""COMPUTED_VALUE"""),2812177.0)</f>
        <v>2812177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IFERROR(__xludf.DUMMYFUNCTION("""COMPUTED_VALUE"""),60.41)</f>
        <v>60.41</v>
      </c>
      <c r="C2208" s="1">
        <f>IFERROR(__xludf.DUMMYFUNCTION("""COMPUTED_VALUE"""),61.47)</f>
        <v>61.47</v>
      </c>
      <c r="D2208" s="1">
        <f>IFERROR(__xludf.DUMMYFUNCTION("""COMPUTED_VALUE"""),59.7)</f>
        <v>59.7</v>
      </c>
      <c r="E2208" s="1">
        <f>IFERROR(__xludf.DUMMYFUNCTION("""COMPUTED_VALUE"""),60.75)</f>
        <v>60.75</v>
      </c>
      <c r="F2208" s="1">
        <f>IFERROR(__xludf.DUMMYFUNCTION("""COMPUTED_VALUE"""),1407892.0)</f>
        <v>1407892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IFERROR(__xludf.DUMMYFUNCTION("""COMPUTED_VALUE"""),60.83)</f>
        <v>60.83</v>
      </c>
      <c r="C2209" s="1">
        <f>IFERROR(__xludf.DUMMYFUNCTION("""COMPUTED_VALUE"""),63.3)</f>
        <v>63.3</v>
      </c>
      <c r="D2209" s="1">
        <f>IFERROR(__xludf.DUMMYFUNCTION("""COMPUTED_VALUE"""),60.46)</f>
        <v>60.46</v>
      </c>
      <c r="E2209" s="1">
        <f>IFERROR(__xludf.DUMMYFUNCTION("""COMPUTED_VALUE"""),63.04)</f>
        <v>63.04</v>
      </c>
      <c r="F2209" s="1">
        <f>IFERROR(__xludf.DUMMYFUNCTION("""COMPUTED_VALUE"""),2233903.0)</f>
        <v>2233903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IFERROR(__xludf.DUMMYFUNCTION("""COMPUTED_VALUE"""),62.39)</f>
        <v>62.39</v>
      </c>
      <c r="C2210" s="1">
        <f>IFERROR(__xludf.DUMMYFUNCTION("""COMPUTED_VALUE"""),62.79)</f>
        <v>62.79</v>
      </c>
      <c r="D2210" s="1">
        <f>IFERROR(__xludf.DUMMYFUNCTION("""COMPUTED_VALUE"""),58.96)</f>
        <v>58.96</v>
      </c>
      <c r="E2210" s="1">
        <f>IFERROR(__xludf.DUMMYFUNCTION("""COMPUTED_VALUE"""),59.04)</f>
        <v>59.04</v>
      </c>
      <c r="F2210" s="1">
        <f>IFERROR(__xludf.DUMMYFUNCTION("""COMPUTED_VALUE"""),1876228.0)</f>
        <v>1876228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IFERROR(__xludf.DUMMYFUNCTION("""COMPUTED_VALUE"""),59.0)</f>
        <v>59</v>
      </c>
      <c r="C2211" s="1">
        <f>IFERROR(__xludf.DUMMYFUNCTION("""COMPUTED_VALUE"""),60.12)</f>
        <v>60.12</v>
      </c>
      <c r="D2211" s="1">
        <f>IFERROR(__xludf.DUMMYFUNCTION("""COMPUTED_VALUE"""),58.17)</f>
        <v>58.17</v>
      </c>
      <c r="E2211" s="1">
        <f>IFERROR(__xludf.DUMMYFUNCTION("""COMPUTED_VALUE"""),58.57)</f>
        <v>58.57</v>
      </c>
      <c r="F2211" s="1">
        <f>IFERROR(__xludf.DUMMYFUNCTION("""COMPUTED_VALUE"""),1414270.0)</f>
        <v>1414270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IFERROR(__xludf.DUMMYFUNCTION("""COMPUTED_VALUE"""),60.34)</f>
        <v>60.34</v>
      </c>
      <c r="C2212" s="1">
        <f>IFERROR(__xludf.DUMMYFUNCTION("""COMPUTED_VALUE"""),62.41)</f>
        <v>62.41</v>
      </c>
      <c r="D2212" s="1">
        <f>IFERROR(__xludf.DUMMYFUNCTION("""COMPUTED_VALUE"""),60.34)</f>
        <v>60.34</v>
      </c>
      <c r="E2212" s="1">
        <f>IFERROR(__xludf.DUMMYFUNCTION("""COMPUTED_VALUE"""),61.54)</f>
        <v>61.54</v>
      </c>
      <c r="F2212" s="1">
        <f>IFERROR(__xludf.DUMMYFUNCTION("""COMPUTED_VALUE"""),1676101.0)</f>
        <v>1676101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IFERROR(__xludf.DUMMYFUNCTION("""COMPUTED_VALUE"""),60.91)</f>
        <v>60.91</v>
      </c>
      <c r="C2213" s="1">
        <f>IFERROR(__xludf.DUMMYFUNCTION("""COMPUTED_VALUE"""),62.11)</f>
        <v>62.11</v>
      </c>
      <c r="D2213" s="1">
        <f>IFERROR(__xludf.DUMMYFUNCTION("""COMPUTED_VALUE"""),60.11)</f>
        <v>60.11</v>
      </c>
      <c r="E2213" s="1">
        <f>IFERROR(__xludf.DUMMYFUNCTION("""COMPUTED_VALUE"""),61.6)</f>
        <v>61.6</v>
      </c>
      <c r="F2213" s="1">
        <f>IFERROR(__xludf.DUMMYFUNCTION("""COMPUTED_VALUE"""),1157911.0)</f>
        <v>1157911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IFERROR(__xludf.DUMMYFUNCTION("""COMPUTED_VALUE"""),62.41)</f>
        <v>62.41</v>
      </c>
      <c r="C2214" s="1">
        <f>IFERROR(__xludf.DUMMYFUNCTION("""COMPUTED_VALUE"""),64.49)</f>
        <v>64.49</v>
      </c>
      <c r="D2214" s="1">
        <f>IFERROR(__xludf.DUMMYFUNCTION("""COMPUTED_VALUE"""),61.7)</f>
        <v>61.7</v>
      </c>
      <c r="E2214" s="1">
        <f>IFERROR(__xludf.DUMMYFUNCTION("""COMPUTED_VALUE"""),64.42)</f>
        <v>64.42</v>
      </c>
      <c r="F2214" s="1">
        <f>IFERROR(__xludf.DUMMYFUNCTION("""COMPUTED_VALUE"""),1084342.0)</f>
        <v>1084342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IFERROR(__xludf.DUMMYFUNCTION("""COMPUTED_VALUE"""),64.47)</f>
        <v>64.47</v>
      </c>
      <c r="C2215" s="1">
        <f>IFERROR(__xludf.DUMMYFUNCTION("""COMPUTED_VALUE"""),64.47)</f>
        <v>64.47</v>
      </c>
      <c r="D2215" s="1">
        <f>IFERROR(__xludf.DUMMYFUNCTION("""COMPUTED_VALUE"""),62.72)</f>
        <v>62.72</v>
      </c>
      <c r="E2215" s="1">
        <f>IFERROR(__xludf.DUMMYFUNCTION("""COMPUTED_VALUE"""),63.21)</f>
        <v>63.21</v>
      </c>
      <c r="F2215" s="1">
        <f>IFERROR(__xludf.DUMMYFUNCTION("""COMPUTED_VALUE"""),1490556.0)</f>
        <v>1490556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IFERROR(__xludf.DUMMYFUNCTION("""COMPUTED_VALUE"""),63.01)</f>
        <v>63.01</v>
      </c>
      <c r="C2216" s="1">
        <f>IFERROR(__xludf.DUMMYFUNCTION("""COMPUTED_VALUE"""),63.78)</f>
        <v>63.78</v>
      </c>
      <c r="D2216" s="1">
        <f>IFERROR(__xludf.DUMMYFUNCTION("""COMPUTED_VALUE"""),60.25)</f>
        <v>60.25</v>
      </c>
      <c r="E2216" s="1">
        <f>IFERROR(__xludf.DUMMYFUNCTION("""COMPUTED_VALUE"""),61.46)</f>
        <v>61.46</v>
      </c>
      <c r="F2216" s="1">
        <f>IFERROR(__xludf.DUMMYFUNCTION("""COMPUTED_VALUE"""),2004801.0)</f>
        <v>2004801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IFERROR(__xludf.DUMMYFUNCTION("""COMPUTED_VALUE"""),62.47)</f>
        <v>62.47</v>
      </c>
      <c r="C2217" s="1">
        <f>IFERROR(__xludf.DUMMYFUNCTION("""COMPUTED_VALUE"""),63.6)</f>
        <v>63.6</v>
      </c>
      <c r="D2217" s="1">
        <f>IFERROR(__xludf.DUMMYFUNCTION("""COMPUTED_VALUE"""),60.88)</f>
        <v>60.88</v>
      </c>
      <c r="E2217" s="1">
        <f>IFERROR(__xludf.DUMMYFUNCTION("""COMPUTED_VALUE"""),61.07)</f>
        <v>61.07</v>
      </c>
      <c r="F2217" s="1">
        <f>IFERROR(__xludf.DUMMYFUNCTION("""COMPUTED_VALUE"""),1498734.0)</f>
        <v>1498734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IFERROR(__xludf.DUMMYFUNCTION("""COMPUTED_VALUE"""),64.82)</f>
        <v>64.82</v>
      </c>
      <c r="C2218" s="1">
        <f>IFERROR(__xludf.DUMMYFUNCTION("""COMPUTED_VALUE"""),65.55)</f>
        <v>65.55</v>
      </c>
      <c r="D2218" s="1">
        <f>IFERROR(__xludf.DUMMYFUNCTION("""COMPUTED_VALUE"""),62.57)</f>
        <v>62.57</v>
      </c>
      <c r="E2218" s="1">
        <f>IFERROR(__xludf.DUMMYFUNCTION("""COMPUTED_VALUE"""),62.84)</f>
        <v>62.84</v>
      </c>
      <c r="F2218" s="1">
        <f>IFERROR(__xludf.DUMMYFUNCTION("""COMPUTED_VALUE"""),3790070.0)</f>
        <v>3790070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IFERROR(__xludf.DUMMYFUNCTION("""COMPUTED_VALUE"""),53.26)</f>
        <v>53.26</v>
      </c>
      <c r="C2219" s="1">
        <f>IFERROR(__xludf.DUMMYFUNCTION("""COMPUTED_VALUE"""),55.73)</f>
        <v>55.73</v>
      </c>
      <c r="D2219" s="1">
        <f>IFERROR(__xludf.DUMMYFUNCTION("""COMPUTED_VALUE"""),51.77)</f>
        <v>51.77</v>
      </c>
      <c r="E2219" s="1">
        <f>IFERROR(__xludf.DUMMYFUNCTION("""COMPUTED_VALUE"""),52.75)</f>
        <v>52.75</v>
      </c>
      <c r="F2219" s="1">
        <f>IFERROR(__xludf.DUMMYFUNCTION("""COMPUTED_VALUE"""),9701075.0)</f>
        <v>9701075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IFERROR(__xludf.DUMMYFUNCTION("""COMPUTED_VALUE"""),53.28)</f>
        <v>53.28</v>
      </c>
      <c r="C2220" s="1">
        <f>IFERROR(__xludf.DUMMYFUNCTION("""COMPUTED_VALUE"""),53.41)</f>
        <v>53.41</v>
      </c>
      <c r="D2220" s="1">
        <f>IFERROR(__xludf.DUMMYFUNCTION("""COMPUTED_VALUE"""),51.21)</f>
        <v>51.21</v>
      </c>
      <c r="E2220" s="1">
        <f>IFERROR(__xludf.DUMMYFUNCTION("""COMPUTED_VALUE"""),51.26)</f>
        <v>51.26</v>
      </c>
      <c r="F2220" s="1">
        <f>IFERROR(__xludf.DUMMYFUNCTION("""COMPUTED_VALUE"""),3951159.0)</f>
        <v>3951159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IFERROR(__xludf.DUMMYFUNCTION("""COMPUTED_VALUE"""),51.94)</f>
        <v>51.94</v>
      </c>
      <c r="C2221" s="1">
        <f>IFERROR(__xludf.DUMMYFUNCTION("""COMPUTED_VALUE"""),55.02)</f>
        <v>55.02</v>
      </c>
      <c r="D2221" s="1">
        <f>IFERROR(__xludf.DUMMYFUNCTION("""COMPUTED_VALUE"""),51.5)</f>
        <v>51.5</v>
      </c>
      <c r="E2221" s="1">
        <f>IFERROR(__xludf.DUMMYFUNCTION("""COMPUTED_VALUE"""),54.22)</f>
        <v>54.22</v>
      </c>
      <c r="F2221" s="1">
        <f>IFERROR(__xludf.DUMMYFUNCTION("""COMPUTED_VALUE"""),5084791.0)</f>
        <v>5084791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IFERROR(__xludf.DUMMYFUNCTION("""COMPUTED_VALUE"""),53.15)</f>
        <v>53.15</v>
      </c>
      <c r="C2222" s="1">
        <f>IFERROR(__xludf.DUMMYFUNCTION("""COMPUTED_VALUE"""),58.22)</f>
        <v>58.22</v>
      </c>
      <c r="D2222" s="1">
        <f>IFERROR(__xludf.DUMMYFUNCTION("""COMPUTED_VALUE"""),52.36)</f>
        <v>52.36</v>
      </c>
      <c r="E2222" s="1">
        <f>IFERROR(__xludf.DUMMYFUNCTION("""COMPUTED_VALUE"""),56.86)</f>
        <v>56.86</v>
      </c>
      <c r="F2222" s="1">
        <f>IFERROR(__xludf.DUMMYFUNCTION("""COMPUTED_VALUE"""),3701146.0)</f>
        <v>3701146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IFERROR(__xludf.DUMMYFUNCTION("""COMPUTED_VALUE"""),56.5)</f>
        <v>56.5</v>
      </c>
      <c r="C2223" s="1">
        <f>IFERROR(__xludf.DUMMYFUNCTION("""COMPUTED_VALUE"""),56.94)</f>
        <v>56.94</v>
      </c>
      <c r="D2223" s="1">
        <f>IFERROR(__xludf.DUMMYFUNCTION("""COMPUTED_VALUE"""),55.17)</f>
        <v>55.17</v>
      </c>
      <c r="E2223" s="1">
        <f>IFERROR(__xludf.DUMMYFUNCTION("""COMPUTED_VALUE"""),55.75)</f>
        <v>55.75</v>
      </c>
      <c r="F2223" s="1">
        <f>IFERROR(__xludf.DUMMYFUNCTION("""COMPUTED_VALUE"""),2398782.0)</f>
        <v>2398782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IFERROR(__xludf.DUMMYFUNCTION("""COMPUTED_VALUE"""),55.58)</f>
        <v>55.58</v>
      </c>
      <c r="C2224" s="1">
        <f>IFERROR(__xludf.DUMMYFUNCTION("""COMPUTED_VALUE"""),57.44)</f>
        <v>57.44</v>
      </c>
      <c r="D2224" s="1">
        <f>IFERROR(__xludf.DUMMYFUNCTION("""COMPUTED_VALUE"""),54.9)</f>
        <v>54.9</v>
      </c>
      <c r="E2224" s="1">
        <f>IFERROR(__xludf.DUMMYFUNCTION("""COMPUTED_VALUE"""),56.9)</f>
        <v>56.9</v>
      </c>
      <c r="F2224" s="1">
        <f>IFERROR(__xludf.DUMMYFUNCTION("""COMPUTED_VALUE"""),1921287.0)</f>
        <v>1921287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IFERROR(__xludf.DUMMYFUNCTION("""COMPUTED_VALUE"""),57.86)</f>
        <v>57.86</v>
      </c>
      <c r="C2225" s="1">
        <f>IFERROR(__xludf.DUMMYFUNCTION("""COMPUTED_VALUE"""),59.5)</f>
        <v>59.5</v>
      </c>
      <c r="D2225" s="1">
        <f>IFERROR(__xludf.DUMMYFUNCTION("""COMPUTED_VALUE"""),57.36)</f>
        <v>57.36</v>
      </c>
      <c r="E2225" s="1">
        <f>IFERROR(__xludf.DUMMYFUNCTION("""COMPUTED_VALUE"""),58.51)</f>
        <v>58.51</v>
      </c>
      <c r="F2225" s="1">
        <f>IFERROR(__xludf.DUMMYFUNCTION("""COMPUTED_VALUE"""),1908832.0)</f>
        <v>1908832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IFERROR(__xludf.DUMMYFUNCTION("""COMPUTED_VALUE"""),58.0)</f>
        <v>58</v>
      </c>
      <c r="C2226" s="1">
        <f>IFERROR(__xludf.DUMMYFUNCTION("""COMPUTED_VALUE"""),63.28)</f>
        <v>63.28</v>
      </c>
      <c r="D2226" s="1">
        <f>IFERROR(__xludf.DUMMYFUNCTION("""COMPUTED_VALUE"""),58.0)</f>
        <v>58</v>
      </c>
      <c r="E2226" s="1">
        <f>IFERROR(__xludf.DUMMYFUNCTION("""COMPUTED_VALUE"""),62.48)</f>
        <v>62.48</v>
      </c>
      <c r="F2226" s="1">
        <f>IFERROR(__xludf.DUMMYFUNCTION("""COMPUTED_VALUE"""),3307474.0)</f>
        <v>3307474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IFERROR(__xludf.DUMMYFUNCTION("""COMPUTED_VALUE"""),63.68)</f>
        <v>63.68</v>
      </c>
      <c r="C2227" s="1">
        <f>IFERROR(__xludf.DUMMYFUNCTION("""COMPUTED_VALUE"""),64.94)</f>
        <v>64.94</v>
      </c>
      <c r="D2227" s="1">
        <f>IFERROR(__xludf.DUMMYFUNCTION("""COMPUTED_VALUE"""),61.97)</f>
        <v>61.97</v>
      </c>
      <c r="E2227" s="1">
        <f>IFERROR(__xludf.DUMMYFUNCTION("""COMPUTED_VALUE"""),62.03)</f>
        <v>62.03</v>
      </c>
      <c r="F2227" s="1">
        <f>IFERROR(__xludf.DUMMYFUNCTION("""COMPUTED_VALUE"""),3040464.0)</f>
        <v>3040464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IFERROR(__xludf.DUMMYFUNCTION("""COMPUTED_VALUE"""),61.45)</f>
        <v>61.45</v>
      </c>
      <c r="C2228" s="1">
        <f>IFERROR(__xludf.DUMMYFUNCTION("""COMPUTED_VALUE"""),61.91)</f>
        <v>61.91</v>
      </c>
      <c r="D2228" s="1">
        <f>IFERROR(__xludf.DUMMYFUNCTION("""COMPUTED_VALUE"""),60.24)</f>
        <v>60.24</v>
      </c>
      <c r="E2228" s="1">
        <f>IFERROR(__xludf.DUMMYFUNCTION("""COMPUTED_VALUE"""),60.55)</f>
        <v>60.55</v>
      </c>
      <c r="F2228" s="1">
        <f>IFERROR(__xludf.DUMMYFUNCTION("""COMPUTED_VALUE"""),1173174.0)</f>
        <v>1173174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IFERROR(__xludf.DUMMYFUNCTION("""COMPUTED_VALUE"""),61.6)</f>
        <v>61.6</v>
      </c>
      <c r="C2229" s="1">
        <f>IFERROR(__xludf.DUMMYFUNCTION("""COMPUTED_VALUE"""),61.66)</f>
        <v>61.66</v>
      </c>
      <c r="D2229" s="1">
        <f>IFERROR(__xludf.DUMMYFUNCTION("""COMPUTED_VALUE"""),59.86)</f>
        <v>59.86</v>
      </c>
      <c r="E2229" s="1">
        <f>IFERROR(__xludf.DUMMYFUNCTION("""COMPUTED_VALUE"""),60.63)</f>
        <v>60.63</v>
      </c>
      <c r="F2229" s="1">
        <f>IFERROR(__xludf.DUMMYFUNCTION("""COMPUTED_VALUE"""),998687.0)</f>
        <v>998687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IFERROR(__xludf.DUMMYFUNCTION("""COMPUTED_VALUE"""),61.04)</f>
        <v>61.04</v>
      </c>
      <c r="C2230" s="1">
        <f>IFERROR(__xludf.DUMMYFUNCTION("""COMPUTED_VALUE"""),61.72)</f>
        <v>61.72</v>
      </c>
      <c r="D2230" s="1">
        <f>IFERROR(__xludf.DUMMYFUNCTION("""COMPUTED_VALUE"""),60.7)</f>
        <v>60.7</v>
      </c>
      <c r="E2230" s="1">
        <f>IFERROR(__xludf.DUMMYFUNCTION("""COMPUTED_VALUE"""),61.17)</f>
        <v>61.17</v>
      </c>
      <c r="F2230" s="1">
        <f>IFERROR(__xludf.DUMMYFUNCTION("""COMPUTED_VALUE"""),878251.0)</f>
        <v>878251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IFERROR(__xludf.DUMMYFUNCTION("""COMPUTED_VALUE"""),59.95)</f>
        <v>59.95</v>
      </c>
      <c r="C2231" s="1">
        <f>IFERROR(__xludf.DUMMYFUNCTION("""COMPUTED_VALUE"""),61.17)</f>
        <v>61.17</v>
      </c>
      <c r="D2231" s="1">
        <f>IFERROR(__xludf.DUMMYFUNCTION("""COMPUTED_VALUE"""),59.85)</f>
        <v>59.85</v>
      </c>
      <c r="E2231" s="1">
        <f>IFERROR(__xludf.DUMMYFUNCTION("""COMPUTED_VALUE"""),60.52)</f>
        <v>60.52</v>
      </c>
      <c r="F2231" s="1">
        <f>IFERROR(__xludf.DUMMYFUNCTION("""COMPUTED_VALUE"""),1442825.0)</f>
        <v>1442825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IFERROR(__xludf.DUMMYFUNCTION("""COMPUTED_VALUE"""),59.42)</f>
        <v>59.42</v>
      </c>
      <c r="C2232" s="1">
        <f>IFERROR(__xludf.DUMMYFUNCTION("""COMPUTED_VALUE"""),59.72)</f>
        <v>59.72</v>
      </c>
      <c r="D2232" s="1">
        <f>IFERROR(__xludf.DUMMYFUNCTION("""COMPUTED_VALUE"""),57.09)</f>
        <v>57.09</v>
      </c>
      <c r="E2232" s="1">
        <f>IFERROR(__xludf.DUMMYFUNCTION("""COMPUTED_VALUE"""),57.4)</f>
        <v>57.4</v>
      </c>
      <c r="F2232" s="1">
        <f>IFERROR(__xludf.DUMMYFUNCTION("""COMPUTED_VALUE"""),1802720.0)</f>
        <v>1802720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IFERROR(__xludf.DUMMYFUNCTION("""COMPUTED_VALUE"""),57.46)</f>
        <v>57.46</v>
      </c>
      <c r="C2233" s="1">
        <f>IFERROR(__xludf.DUMMYFUNCTION("""COMPUTED_VALUE"""),58.37)</f>
        <v>58.37</v>
      </c>
      <c r="D2233" s="1">
        <f>IFERROR(__xludf.DUMMYFUNCTION("""COMPUTED_VALUE"""),56.27)</f>
        <v>56.27</v>
      </c>
      <c r="E2233" s="1">
        <f>IFERROR(__xludf.DUMMYFUNCTION("""COMPUTED_VALUE"""),57.21)</f>
        <v>57.21</v>
      </c>
      <c r="F2233" s="1">
        <f>IFERROR(__xludf.DUMMYFUNCTION("""COMPUTED_VALUE"""),1495962.0)</f>
        <v>1495962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IFERROR(__xludf.DUMMYFUNCTION("""COMPUTED_VALUE"""),58.0)</f>
        <v>58</v>
      </c>
      <c r="C2234" s="1">
        <f>IFERROR(__xludf.DUMMYFUNCTION("""COMPUTED_VALUE"""),59.33)</f>
        <v>59.33</v>
      </c>
      <c r="D2234" s="1">
        <f>IFERROR(__xludf.DUMMYFUNCTION("""COMPUTED_VALUE"""),57.13)</f>
        <v>57.13</v>
      </c>
      <c r="E2234" s="1">
        <f>IFERROR(__xludf.DUMMYFUNCTION("""COMPUTED_VALUE"""),58.26)</f>
        <v>58.26</v>
      </c>
      <c r="F2234" s="1">
        <f>IFERROR(__xludf.DUMMYFUNCTION("""COMPUTED_VALUE"""),1347841.0)</f>
        <v>1347841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IFERROR(__xludf.DUMMYFUNCTION("""COMPUTED_VALUE"""),58.55)</f>
        <v>58.55</v>
      </c>
      <c r="C2235" s="1">
        <f>IFERROR(__xludf.DUMMYFUNCTION("""COMPUTED_VALUE"""),59.5)</f>
        <v>59.5</v>
      </c>
      <c r="D2235" s="1">
        <f>IFERROR(__xludf.DUMMYFUNCTION("""COMPUTED_VALUE"""),58.14)</f>
        <v>58.14</v>
      </c>
      <c r="E2235" s="1">
        <f>IFERROR(__xludf.DUMMYFUNCTION("""COMPUTED_VALUE"""),58.27)</f>
        <v>58.27</v>
      </c>
      <c r="F2235" s="1">
        <f>IFERROR(__xludf.DUMMYFUNCTION("""COMPUTED_VALUE"""),2010968.0)</f>
        <v>2010968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IFERROR(__xludf.DUMMYFUNCTION("""COMPUTED_VALUE"""),58.07)</f>
        <v>58.07</v>
      </c>
      <c r="C2236" s="1">
        <f>IFERROR(__xludf.DUMMYFUNCTION("""COMPUTED_VALUE"""),60.07)</f>
        <v>60.07</v>
      </c>
      <c r="D2236" s="1">
        <f>IFERROR(__xludf.DUMMYFUNCTION("""COMPUTED_VALUE"""),57.31)</f>
        <v>57.31</v>
      </c>
      <c r="E2236" s="1">
        <f>IFERROR(__xludf.DUMMYFUNCTION("""COMPUTED_VALUE"""),58.82)</f>
        <v>58.82</v>
      </c>
      <c r="F2236" s="1">
        <f>IFERROR(__xludf.DUMMYFUNCTION("""COMPUTED_VALUE"""),2399030.0)</f>
        <v>2399030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IFERROR(__xludf.DUMMYFUNCTION("""COMPUTED_VALUE"""),58.43)</f>
        <v>58.43</v>
      </c>
      <c r="C2237" s="1">
        <f>IFERROR(__xludf.DUMMYFUNCTION("""COMPUTED_VALUE"""),58.51)</f>
        <v>58.51</v>
      </c>
      <c r="D2237" s="1">
        <f>IFERROR(__xludf.DUMMYFUNCTION("""COMPUTED_VALUE"""),55.13)</f>
        <v>55.13</v>
      </c>
      <c r="E2237" s="1">
        <f>IFERROR(__xludf.DUMMYFUNCTION("""COMPUTED_VALUE"""),55.68)</f>
        <v>55.68</v>
      </c>
      <c r="F2237" s="1">
        <f>IFERROR(__xludf.DUMMYFUNCTION("""COMPUTED_VALUE"""),1467737.0)</f>
        <v>1467737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IFERROR(__xludf.DUMMYFUNCTION("""COMPUTED_VALUE"""),55.62)</f>
        <v>55.62</v>
      </c>
      <c r="C2238" s="1">
        <f>IFERROR(__xludf.DUMMYFUNCTION("""COMPUTED_VALUE"""),56.26)</f>
        <v>56.26</v>
      </c>
      <c r="D2238" s="1">
        <f>IFERROR(__xludf.DUMMYFUNCTION("""COMPUTED_VALUE"""),54.55)</f>
        <v>54.55</v>
      </c>
      <c r="E2238" s="1">
        <f>IFERROR(__xludf.DUMMYFUNCTION("""COMPUTED_VALUE"""),54.83)</f>
        <v>54.83</v>
      </c>
      <c r="F2238" s="1">
        <f>IFERROR(__xludf.DUMMYFUNCTION("""COMPUTED_VALUE"""),1277373.0)</f>
        <v>1277373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IFERROR(__xludf.DUMMYFUNCTION("""COMPUTED_VALUE"""),53.02)</f>
        <v>53.02</v>
      </c>
      <c r="C2239" s="1">
        <f>IFERROR(__xludf.DUMMYFUNCTION("""COMPUTED_VALUE"""),53.84)</f>
        <v>53.84</v>
      </c>
      <c r="D2239" s="1">
        <f>IFERROR(__xludf.DUMMYFUNCTION("""COMPUTED_VALUE"""),52.06)</f>
        <v>52.06</v>
      </c>
      <c r="E2239" s="1">
        <f>IFERROR(__xludf.DUMMYFUNCTION("""COMPUTED_VALUE"""),52.88)</f>
        <v>52.88</v>
      </c>
      <c r="F2239" s="1">
        <f>IFERROR(__xludf.DUMMYFUNCTION("""COMPUTED_VALUE"""),2210448.0)</f>
        <v>2210448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IFERROR(__xludf.DUMMYFUNCTION("""COMPUTED_VALUE"""),53.76)</f>
        <v>53.76</v>
      </c>
      <c r="C2240" s="1">
        <f>IFERROR(__xludf.DUMMYFUNCTION("""COMPUTED_VALUE"""),55.66)</f>
        <v>55.66</v>
      </c>
      <c r="D2240" s="1">
        <f>IFERROR(__xludf.DUMMYFUNCTION("""COMPUTED_VALUE"""),53.76)</f>
        <v>53.76</v>
      </c>
      <c r="E2240" s="1">
        <f>IFERROR(__xludf.DUMMYFUNCTION("""COMPUTED_VALUE"""),54.54)</f>
        <v>54.54</v>
      </c>
      <c r="F2240" s="1">
        <f>IFERROR(__xludf.DUMMYFUNCTION("""COMPUTED_VALUE"""),2174347.0)</f>
        <v>2174347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IFERROR(__xludf.DUMMYFUNCTION("""COMPUTED_VALUE"""),53.82)</f>
        <v>53.82</v>
      </c>
      <c r="C2241" s="1">
        <f>IFERROR(__xludf.DUMMYFUNCTION("""COMPUTED_VALUE"""),54.5)</f>
        <v>54.5</v>
      </c>
      <c r="D2241" s="1">
        <f>IFERROR(__xludf.DUMMYFUNCTION("""COMPUTED_VALUE"""),52.52)</f>
        <v>52.52</v>
      </c>
      <c r="E2241" s="1">
        <f>IFERROR(__xludf.DUMMYFUNCTION("""COMPUTED_VALUE"""),52.94)</f>
        <v>52.94</v>
      </c>
      <c r="F2241" s="1">
        <f>IFERROR(__xludf.DUMMYFUNCTION("""COMPUTED_VALUE"""),1639650.0)</f>
        <v>1639650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IFERROR(__xludf.DUMMYFUNCTION("""COMPUTED_VALUE"""),53.74)</f>
        <v>53.74</v>
      </c>
      <c r="C2242" s="1">
        <f>IFERROR(__xludf.DUMMYFUNCTION("""COMPUTED_VALUE"""),55.4)</f>
        <v>55.4</v>
      </c>
      <c r="D2242" s="1">
        <f>IFERROR(__xludf.DUMMYFUNCTION("""COMPUTED_VALUE"""),53.54)</f>
        <v>53.54</v>
      </c>
      <c r="E2242" s="1">
        <f>IFERROR(__xludf.DUMMYFUNCTION("""COMPUTED_VALUE"""),54.21)</f>
        <v>54.21</v>
      </c>
      <c r="F2242" s="1">
        <f>IFERROR(__xludf.DUMMYFUNCTION("""COMPUTED_VALUE"""),1246025.0)</f>
        <v>1246025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IFERROR(__xludf.DUMMYFUNCTION("""COMPUTED_VALUE"""),53.88)</f>
        <v>53.88</v>
      </c>
      <c r="C2243" s="1">
        <f>IFERROR(__xludf.DUMMYFUNCTION("""COMPUTED_VALUE"""),54.54)</f>
        <v>54.54</v>
      </c>
      <c r="D2243" s="1">
        <f>IFERROR(__xludf.DUMMYFUNCTION("""COMPUTED_VALUE"""),53.34)</f>
        <v>53.34</v>
      </c>
      <c r="E2243" s="1">
        <f>IFERROR(__xludf.DUMMYFUNCTION("""COMPUTED_VALUE"""),54.17)</f>
        <v>54.17</v>
      </c>
      <c r="F2243" s="1">
        <f>IFERROR(__xludf.DUMMYFUNCTION("""COMPUTED_VALUE"""),2478025.0)</f>
        <v>2478025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IFERROR(__xludf.DUMMYFUNCTION("""COMPUTED_VALUE"""),55.07)</f>
        <v>55.07</v>
      </c>
      <c r="C2244" s="1">
        <f>IFERROR(__xludf.DUMMYFUNCTION("""COMPUTED_VALUE"""),56.92)</f>
        <v>56.92</v>
      </c>
      <c r="D2244" s="1">
        <f>IFERROR(__xludf.DUMMYFUNCTION("""COMPUTED_VALUE"""),54.92)</f>
        <v>54.92</v>
      </c>
      <c r="E2244" s="1">
        <f>IFERROR(__xludf.DUMMYFUNCTION("""COMPUTED_VALUE"""),56.56)</f>
        <v>56.56</v>
      </c>
      <c r="F2244" s="1">
        <f>IFERROR(__xludf.DUMMYFUNCTION("""COMPUTED_VALUE"""),1954385.0)</f>
        <v>1954385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IFERROR(__xludf.DUMMYFUNCTION("""COMPUTED_VALUE"""),56.11)</f>
        <v>56.11</v>
      </c>
      <c r="C2245" s="1">
        <f>IFERROR(__xludf.DUMMYFUNCTION("""COMPUTED_VALUE"""),56.56)</f>
        <v>56.56</v>
      </c>
      <c r="D2245" s="1">
        <f>IFERROR(__xludf.DUMMYFUNCTION("""COMPUTED_VALUE"""),54.41)</f>
        <v>54.41</v>
      </c>
      <c r="E2245" s="1">
        <f>IFERROR(__xludf.DUMMYFUNCTION("""COMPUTED_VALUE"""),55.96)</f>
        <v>55.96</v>
      </c>
      <c r="F2245" s="1">
        <f>IFERROR(__xludf.DUMMYFUNCTION("""COMPUTED_VALUE"""),1589180.0)</f>
        <v>1589180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IFERROR(__xludf.DUMMYFUNCTION("""COMPUTED_VALUE"""),56.06)</f>
        <v>56.06</v>
      </c>
      <c r="C2246" s="1">
        <f>IFERROR(__xludf.DUMMYFUNCTION("""COMPUTED_VALUE"""),58.91)</f>
        <v>58.91</v>
      </c>
      <c r="D2246" s="1">
        <f>IFERROR(__xludf.DUMMYFUNCTION("""COMPUTED_VALUE"""),55.96)</f>
        <v>55.96</v>
      </c>
      <c r="E2246" s="1">
        <f>IFERROR(__xludf.DUMMYFUNCTION("""COMPUTED_VALUE"""),57.16)</f>
        <v>57.16</v>
      </c>
      <c r="F2246" s="1">
        <f>IFERROR(__xludf.DUMMYFUNCTION("""COMPUTED_VALUE"""),2390206.0)</f>
        <v>2390206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IFERROR(__xludf.DUMMYFUNCTION("""COMPUTED_VALUE"""),59.65)</f>
        <v>59.65</v>
      </c>
      <c r="C2247" s="1">
        <f>IFERROR(__xludf.DUMMYFUNCTION("""COMPUTED_VALUE"""),62.83)</f>
        <v>62.83</v>
      </c>
      <c r="D2247" s="1">
        <f>IFERROR(__xludf.DUMMYFUNCTION("""COMPUTED_VALUE"""),59.24)</f>
        <v>59.24</v>
      </c>
      <c r="E2247" s="1">
        <f>IFERROR(__xludf.DUMMYFUNCTION("""COMPUTED_VALUE"""),61.0)</f>
        <v>61</v>
      </c>
      <c r="F2247" s="1">
        <f>IFERROR(__xludf.DUMMYFUNCTION("""COMPUTED_VALUE"""),3952136.0)</f>
        <v>3952136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IFERROR(__xludf.DUMMYFUNCTION("""COMPUTED_VALUE"""),60.49)</f>
        <v>60.49</v>
      </c>
      <c r="C2248" s="1">
        <f>IFERROR(__xludf.DUMMYFUNCTION("""COMPUTED_VALUE"""),61.25)</f>
        <v>61.25</v>
      </c>
      <c r="D2248" s="1">
        <f>IFERROR(__xludf.DUMMYFUNCTION("""COMPUTED_VALUE"""),59.32)</f>
        <v>59.32</v>
      </c>
      <c r="E2248" s="1">
        <f>IFERROR(__xludf.DUMMYFUNCTION("""COMPUTED_VALUE"""),59.95)</f>
        <v>59.95</v>
      </c>
      <c r="F2248" s="1">
        <f>IFERROR(__xludf.DUMMYFUNCTION("""COMPUTED_VALUE"""),2462056.0)</f>
        <v>2462056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IFERROR(__xludf.DUMMYFUNCTION("""COMPUTED_VALUE"""),57.68)</f>
        <v>57.68</v>
      </c>
      <c r="C2249" s="1">
        <f>IFERROR(__xludf.DUMMYFUNCTION("""COMPUTED_VALUE"""),60.0)</f>
        <v>60</v>
      </c>
      <c r="D2249" s="1">
        <f>IFERROR(__xludf.DUMMYFUNCTION("""COMPUTED_VALUE"""),57.55)</f>
        <v>57.55</v>
      </c>
      <c r="E2249" s="1">
        <f>IFERROR(__xludf.DUMMYFUNCTION("""COMPUTED_VALUE"""),59.63)</f>
        <v>59.63</v>
      </c>
      <c r="F2249" s="1">
        <f>IFERROR(__xludf.DUMMYFUNCTION("""COMPUTED_VALUE"""),2461916.0)</f>
        <v>2461916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IFERROR(__xludf.DUMMYFUNCTION("""COMPUTED_VALUE"""),58.81)</f>
        <v>58.81</v>
      </c>
      <c r="C2250" s="1">
        <f>IFERROR(__xludf.DUMMYFUNCTION("""COMPUTED_VALUE"""),60.93)</f>
        <v>60.93</v>
      </c>
      <c r="D2250" s="1">
        <f>IFERROR(__xludf.DUMMYFUNCTION("""COMPUTED_VALUE"""),57.25)</f>
        <v>57.25</v>
      </c>
      <c r="E2250" s="1">
        <f>IFERROR(__xludf.DUMMYFUNCTION("""COMPUTED_VALUE"""),57.5)</f>
        <v>57.5</v>
      </c>
      <c r="F2250" s="1">
        <f>IFERROR(__xludf.DUMMYFUNCTION("""COMPUTED_VALUE"""),1074822.0)</f>
        <v>1074822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IFERROR(__xludf.DUMMYFUNCTION("""COMPUTED_VALUE"""),55.45)</f>
        <v>55.45</v>
      </c>
      <c r="C2251" s="1">
        <f>IFERROR(__xludf.DUMMYFUNCTION("""COMPUTED_VALUE"""),55.74)</f>
        <v>55.74</v>
      </c>
      <c r="D2251" s="1">
        <f>IFERROR(__xludf.DUMMYFUNCTION("""COMPUTED_VALUE"""),53.36)</f>
        <v>53.36</v>
      </c>
      <c r="E2251" s="1">
        <f>IFERROR(__xludf.DUMMYFUNCTION("""COMPUTED_VALUE"""),54.97)</f>
        <v>54.97</v>
      </c>
      <c r="F2251" s="1">
        <f>IFERROR(__xludf.DUMMYFUNCTION("""COMPUTED_VALUE"""),2424929.0)</f>
        <v>2424929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IFERROR(__xludf.DUMMYFUNCTION("""COMPUTED_VALUE"""),56.0)</f>
        <v>56</v>
      </c>
      <c r="C2252" s="1">
        <f>IFERROR(__xludf.DUMMYFUNCTION("""COMPUTED_VALUE"""),56.36)</f>
        <v>56.36</v>
      </c>
      <c r="D2252" s="1">
        <f>IFERROR(__xludf.DUMMYFUNCTION("""COMPUTED_VALUE"""),53.67)</f>
        <v>53.67</v>
      </c>
      <c r="E2252" s="1">
        <f>IFERROR(__xludf.DUMMYFUNCTION("""COMPUTED_VALUE"""),54.51)</f>
        <v>54.51</v>
      </c>
      <c r="F2252" s="1">
        <f>IFERROR(__xludf.DUMMYFUNCTION("""COMPUTED_VALUE"""),3138981.0)</f>
        <v>3138981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IFERROR(__xludf.DUMMYFUNCTION("""COMPUTED_VALUE"""),55.63)</f>
        <v>55.63</v>
      </c>
      <c r="C2253" s="1">
        <f>IFERROR(__xludf.DUMMYFUNCTION("""COMPUTED_VALUE"""),57.69)</f>
        <v>57.69</v>
      </c>
      <c r="D2253" s="1">
        <f>IFERROR(__xludf.DUMMYFUNCTION("""COMPUTED_VALUE"""),55.29)</f>
        <v>55.29</v>
      </c>
      <c r="E2253" s="1">
        <f>IFERROR(__xludf.DUMMYFUNCTION("""COMPUTED_VALUE"""),56.92)</f>
        <v>56.92</v>
      </c>
      <c r="F2253" s="1">
        <f>IFERROR(__xludf.DUMMYFUNCTION("""COMPUTED_VALUE"""),1600684.0)</f>
        <v>1600684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IFERROR(__xludf.DUMMYFUNCTION("""COMPUTED_VALUE"""),57.41)</f>
        <v>57.41</v>
      </c>
      <c r="C2254" s="1">
        <f>IFERROR(__xludf.DUMMYFUNCTION("""COMPUTED_VALUE"""),58.05)</f>
        <v>58.05</v>
      </c>
      <c r="D2254" s="1">
        <f>IFERROR(__xludf.DUMMYFUNCTION("""COMPUTED_VALUE"""),56.0)</f>
        <v>56</v>
      </c>
      <c r="E2254" s="1">
        <f>IFERROR(__xludf.DUMMYFUNCTION("""COMPUTED_VALUE"""),56.35)</f>
        <v>56.35</v>
      </c>
      <c r="F2254" s="1">
        <f>IFERROR(__xludf.DUMMYFUNCTION("""COMPUTED_VALUE"""),1811182.0)</f>
        <v>1811182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IFERROR(__xludf.DUMMYFUNCTION("""COMPUTED_VALUE"""),55.5)</f>
        <v>55.5</v>
      </c>
      <c r="C2255" s="1">
        <f>IFERROR(__xludf.DUMMYFUNCTION("""COMPUTED_VALUE"""),57.46)</f>
        <v>57.46</v>
      </c>
      <c r="D2255" s="1">
        <f>IFERROR(__xludf.DUMMYFUNCTION("""COMPUTED_VALUE"""),54.57)</f>
        <v>54.57</v>
      </c>
      <c r="E2255" s="1">
        <f>IFERROR(__xludf.DUMMYFUNCTION("""COMPUTED_VALUE"""),56.69)</f>
        <v>56.69</v>
      </c>
      <c r="F2255" s="1">
        <f>IFERROR(__xludf.DUMMYFUNCTION("""COMPUTED_VALUE"""),1298974.0)</f>
        <v>1298974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IFERROR(__xludf.DUMMYFUNCTION("""COMPUTED_VALUE"""),56.16)</f>
        <v>56.16</v>
      </c>
      <c r="C2256" s="1">
        <f>IFERROR(__xludf.DUMMYFUNCTION("""COMPUTED_VALUE"""),57.17)</f>
        <v>57.17</v>
      </c>
      <c r="D2256" s="1">
        <f>IFERROR(__xludf.DUMMYFUNCTION("""COMPUTED_VALUE"""),55.6)</f>
        <v>55.6</v>
      </c>
      <c r="E2256" s="1">
        <f>IFERROR(__xludf.DUMMYFUNCTION("""COMPUTED_VALUE"""),55.86)</f>
        <v>55.86</v>
      </c>
      <c r="F2256" s="1">
        <f>IFERROR(__xludf.DUMMYFUNCTION("""COMPUTED_VALUE"""),1367273.0)</f>
        <v>1367273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IFERROR(__xludf.DUMMYFUNCTION("""COMPUTED_VALUE"""),56.18)</f>
        <v>56.18</v>
      </c>
      <c r="C2257" s="1">
        <f>IFERROR(__xludf.DUMMYFUNCTION("""COMPUTED_VALUE"""),56.75)</f>
        <v>56.75</v>
      </c>
      <c r="D2257" s="1">
        <f>IFERROR(__xludf.DUMMYFUNCTION("""COMPUTED_VALUE"""),55.12)</f>
        <v>55.12</v>
      </c>
      <c r="E2257" s="1">
        <f>IFERROR(__xludf.DUMMYFUNCTION("""COMPUTED_VALUE"""),55.14)</f>
        <v>55.14</v>
      </c>
      <c r="F2257" s="1">
        <f>IFERROR(__xludf.DUMMYFUNCTION("""COMPUTED_VALUE"""),1567644.0)</f>
        <v>1567644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IFERROR(__xludf.DUMMYFUNCTION("""COMPUTED_VALUE"""),56.08)</f>
        <v>56.08</v>
      </c>
      <c r="C2258" s="1">
        <f>IFERROR(__xludf.DUMMYFUNCTION("""COMPUTED_VALUE"""),56.26)</f>
        <v>56.26</v>
      </c>
      <c r="D2258" s="1">
        <f>IFERROR(__xludf.DUMMYFUNCTION("""COMPUTED_VALUE"""),53.25)</f>
        <v>53.25</v>
      </c>
      <c r="E2258" s="1">
        <f>IFERROR(__xludf.DUMMYFUNCTION("""COMPUTED_VALUE"""),53.49)</f>
        <v>53.49</v>
      </c>
      <c r="F2258" s="1">
        <f>IFERROR(__xludf.DUMMYFUNCTION("""COMPUTED_VALUE"""),1153318.0)</f>
        <v>1153318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IFERROR(__xludf.DUMMYFUNCTION("""COMPUTED_VALUE"""),53.13)</f>
        <v>53.13</v>
      </c>
      <c r="C2259" s="1">
        <f>IFERROR(__xludf.DUMMYFUNCTION("""COMPUTED_VALUE"""),53.56)</f>
        <v>53.56</v>
      </c>
      <c r="D2259" s="1">
        <f>IFERROR(__xludf.DUMMYFUNCTION("""COMPUTED_VALUE"""),51.79)</f>
        <v>51.79</v>
      </c>
      <c r="E2259" s="1">
        <f>IFERROR(__xludf.DUMMYFUNCTION("""COMPUTED_VALUE"""),52.83)</f>
        <v>52.83</v>
      </c>
      <c r="F2259" s="1">
        <f>IFERROR(__xludf.DUMMYFUNCTION("""COMPUTED_VALUE"""),741561.0)</f>
        <v>741561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IFERROR(__xludf.DUMMYFUNCTION("""COMPUTED_VALUE"""),53.07)</f>
        <v>53.07</v>
      </c>
      <c r="C2260" s="1">
        <f>IFERROR(__xludf.DUMMYFUNCTION("""COMPUTED_VALUE"""),53.72)</f>
        <v>53.72</v>
      </c>
      <c r="D2260" s="1">
        <f>IFERROR(__xludf.DUMMYFUNCTION("""COMPUTED_VALUE"""),51.15)</f>
        <v>51.15</v>
      </c>
      <c r="E2260" s="1">
        <f>IFERROR(__xludf.DUMMYFUNCTION("""COMPUTED_VALUE"""),51.45)</f>
        <v>51.45</v>
      </c>
      <c r="F2260" s="1">
        <f>IFERROR(__xludf.DUMMYFUNCTION("""COMPUTED_VALUE"""),1716146.0)</f>
        <v>1716146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IFERROR(__xludf.DUMMYFUNCTION("""COMPUTED_VALUE"""),51.26)</f>
        <v>51.26</v>
      </c>
      <c r="C2261" s="1">
        <f>IFERROR(__xludf.DUMMYFUNCTION("""COMPUTED_VALUE"""),51.5)</f>
        <v>51.5</v>
      </c>
      <c r="D2261" s="1">
        <f>IFERROR(__xludf.DUMMYFUNCTION("""COMPUTED_VALUE"""),50.3)</f>
        <v>50.3</v>
      </c>
      <c r="E2261" s="1">
        <f>IFERROR(__xludf.DUMMYFUNCTION("""COMPUTED_VALUE"""),50.49)</f>
        <v>50.49</v>
      </c>
      <c r="F2261" s="1">
        <f>IFERROR(__xludf.DUMMYFUNCTION("""COMPUTED_VALUE"""),1137689.0)</f>
        <v>1137689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IFERROR(__xludf.DUMMYFUNCTION("""COMPUTED_VALUE"""),50.98)</f>
        <v>50.98</v>
      </c>
      <c r="C2262" s="1">
        <f>IFERROR(__xludf.DUMMYFUNCTION("""COMPUTED_VALUE"""),53.6)</f>
        <v>53.6</v>
      </c>
      <c r="D2262" s="1">
        <f>IFERROR(__xludf.DUMMYFUNCTION("""COMPUTED_VALUE"""),50.98)</f>
        <v>50.98</v>
      </c>
      <c r="E2262" s="1">
        <f>IFERROR(__xludf.DUMMYFUNCTION("""COMPUTED_VALUE"""),53.47)</f>
        <v>53.47</v>
      </c>
      <c r="F2262" s="1">
        <f>IFERROR(__xludf.DUMMYFUNCTION("""COMPUTED_VALUE"""),701254.0)</f>
        <v>701254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IFERROR(__xludf.DUMMYFUNCTION("""COMPUTED_VALUE"""),52.64)</f>
        <v>52.64</v>
      </c>
      <c r="C2263" s="1">
        <f>IFERROR(__xludf.DUMMYFUNCTION("""COMPUTED_VALUE"""),54.38)</f>
        <v>54.38</v>
      </c>
      <c r="D2263" s="1">
        <f>IFERROR(__xludf.DUMMYFUNCTION("""COMPUTED_VALUE"""),52.63)</f>
        <v>52.63</v>
      </c>
      <c r="E2263" s="1">
        <f>IFERROR(__xludf.DUMMYFUNCTION("""COMPUTED_VALUE"""),54.26)</f>
        <v>54.26</v>
      </c>
      <c r="F2263" s="1">
        <f>IFERROR(__xludf.DUMMYFUNCTION("""COMPUTED_VALUE"""),896774.0)</f>
        <v>896774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IFERROR(__xludf.DUMMYFUNCTION("""COMPUTED_VALUE"""),54.25)</f>
        <v>54.25</v>
      </c>
      <c r="C2264" s="1">
        <f>IFERROR(__xludf.DUMMYFUNCTION("""COMPUTED_VALUE"""),55.44)</f>
        <v>55.44</v>
      </c>
      <c r="D2264" s="1">
        <f>IFERROR(__xludf.DUMMYFUNCTION("""COMPUTED_VALUE"""),53.97)</f>
        <v>53.97</v>
      </c>
      <c r="E2264" s="1">
        <f>IFERROR(__xludf.DUMMYFUNCTION("""COMPUTED_VALUE"""),54.86)</f>
        <v>54.86</v>
      </c>
      <c r="F2264" s="1">
        <f>IFERROR(__xludf.DUMMYFUNCTION("""COMPUTED_VALUE"""),817171.0)</f>
        <v>817171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IFERROR(__xludf.DUMMYFUNCTION("""COMPUTED_VALUE"""),55.02)</f>
        <v>55.02</v>
      </c>
      <c r="C2265" s="1">
        <f>IFERROR(__xludf.DUMMYFUNCTION("""COMPUTED_VALUE"""),55.92)</f>
        <v>55.92</v>
      </c>
      <c r="D2265" s="1">
        <f>IFERROR(__xludf.DUMMYFUNCTION("""COMPUTED_VALUE"""),54.23)</f>
        <v>54.23</v>
      </c>
      <c r="E2265" s="1">
        <f>IFERROR(__xludf.DUMMYFUNCTION("""COMPUTED_VALUE"""),54.81)</f>
        <v>54.81</v>
      </c>
      <c r="F2265" s="1">
        <f>IFERROR(__xludf.DUMMYFUNCTION("""COMPUTED_VALUE"""),1016689.0)</f>
        <v>1016689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IFERROR(__xludf.DUMMYFUNCTION("""COMPUTED_VALUE"""),53.86)</f>
        <v>53.86</v>
      </c>
      <c r="C2266" s="1">
        <f>IFERROR(__xludf.DUMMYFUNCTION("""COMPUTED_VALUE"""),55.65)</f>
        <v>55.65</v>
      </c>
      <c r="D2266" s="1">
        <f>IFERROR(__xludf.DUMMYFUNCTION("""COMPUTED_VALUE"""),53.75)</f>
        <v>53.75</v>
      </c>
      <c r="E2266" s="1">
        <f>IFERROR(__xludf.DUMMYFUNCTION("""COMPUTED_VALUE"""),55.31)</f>
        <v>55.31</v>
      </c>
      <c r="F2266" s="1">
        <f>IFERROR(__xludf.DUMMYFUNCTION("""COMPUTED_VALUE"""),1073520.0)</f>
        <v>1073520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IFERROR(__xludf.DUMMYFUNCTION("""COMPUTED_VALUE"""),54.62)</f>
        <v>54.62</v>
      </c>
      <c r="C2267" s="1">
        <f>IFERROR(__xludf.DUMMYFUNCTION("""COMPUTED_VALUE"""),54.73)</f>
        <v>54.73</v>
      </c>
      <c r="D2267" s="1">
        <f>IFERROR(__xludf.DUMMYFUNCTION("""COMPUTED_VALUE"""),53.62)</f>
        <v>53.62</v>
      </c>
      <c r="E2267" s="1">
        <f>IFERROR(__xludf.DUMMYFUNCTION("""COMPUTED_VALUE"""),53.95)</f>
        <v>53.95</v>
      </c>
      <c r="F2267" s="1">
        <f>IFERROR(__xludf.DUMMYFUNCTION("""COMPUTED_VALUE"""),1505280.0)</f>
        <v>1505280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IFERROR(__xludf.DUMMYFUNCTION("""COMPUTED_VALUE"""),54.83)</f>
        <v>54.83</v>
      </c>
      <c r="C2268" s="1">
        <f>IFERROR(__xludf.DUMMYFUNCTION("""COMPUTED_VALUE"""),57.08)</f>
        <v>57.08</v>
      </c>
      <c r="D2268" s="1">
        <f>IFERROR(__xludf.DUMMYFUNCTION("""COMPUTED_VALUE"""),54.7)</f>
        <v>54.7</v>
      </c>
      <c r="E2268" s="1">
        <f>IFERROR(__xludf.DUMMYFUNCTION("""COMPUTED_VALUE"""),56.57)</f>
        <v>56.57</v>
      </c>
      <c r="F2268" s="1">
        <f>IFERROR(__xludf.DUMMYFUNCTION("""COMPUTED_VALUE"""),1009908.0)</f>
        <v>1009908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IFERROR(__xludf.DUMMYFUNCTION("""COMPUTED_VALUE"""),56.65)</f>
        <v>56.65</v>
      </c>
      <c r="C2269" s="1">
        <f>IFERROR(__xludf.DUMMYFUNCTION("""COMPUTED_VALUE"""),58.93)</f>
        <v>58.93</v>
      </c>
      <c r="D2269" s="1">
        <f>IFERROR(__xludf.DUMMYFUNCTION("""COMPUTED_VALUE"""),56.26)</f>
        <v>56.26</v>
      </c>
      <c r="E2269" s="1">
        <f>IFERROR(__xludf.DUMMYFUNCTION("""COMPUTED_VALUE"""),58.62)</f>
        <v>58.62</v>
      </c>
      <c r="F2269" s="1">
        <f>IFERROR(__xludf.DUMMYFUNCTION("""COMPUTED_VALUE"""),2141843.0)</f>
        <v>2141843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IFERROR(__xludf.DUMMYFUNCTION("""COMPUTED_VALUE"""),59.21)</f>
        <v>59.21</v>
      </c>
      <c r="C2270" s="1">
        <f>IFERROR(__xludf.DUMMYFUNCTION("""COMPUTED_VALUE"""),59.5)</f>
        <v>59.5</v>
      </c>
      <c r="D2270" s="1">
        <f>IFERROR(__xludf.DUMMYFUNCTION("""COMPUTED_VALUE"""),57.6)</f>
        <v>57.6</v>
      </c>
      <c r="E2270" s="1">
        <f>IFERROR(__xludf.DUMMYFUNCTION("""COMPUTED_VALUE"""),58.74)</f>
        <v>58.74</v>
      </c>
      <c r="F2270" s="1">
        <f>IFERROR(__xludf.DUMMYFUNCTION("""COMPUTED_VALUE"""),1405598.0)</f>
        <v>1405598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IFERROR(__xludf.DUMMYFUNCTION("""COMPUTED_VALUE"""),59.84)</f>
        <v>59.84</v>
      </c>
      <c r="C2271" s="1">
        <f>IFERROR(__xludf.DUMMYFUNCTION("""COMPUTED_VALUE"""),63.98)</f>
        <v>63.98</v>
      </c>
      <c r="D2271" s="1">
        <f>IFERROR(__xludf.DUMMYFUNCTION("""COMPUTED_VALUE"""),59.83)</f>
        <v>59.83</v>
      </c>
      <c r="E2271" s="1">
        <f>IFERROR(__xludf.DUMMYFUNCTION("""COMPUTED_VALUE"""),62.98)</f>
        <v>62.98</v>
      </c>
      <c r="F2271" s="1">
        <f>IFERROR(__xludf.DUMMYFUNCTION("""COMPUTED_VALUE"""),2237894.0)</f>
        <v>2237894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IFERROR(__xludf.DUMMYFUNCTION("""COMPUTED_VALUE"""),62.48)</f>
        <v>62.48</v>
      </c>
      <c r="C2272" s="1">
        <f>IFERROR(__xludf.DUMMYFUNCTION("""COMPUTED_VALUE"""),64.03)</f>
        <v>64.03</v>
      </c>
      <c r="D2272" s="1">
        <f>IFERROR(__xludf.DUMMYFUNCTION("""COMPUTED_VALUE"""),61.13)</f>
        <v>61.13</v>
      </c>
      <c r="E2272" s="1">
        <f>IFERROR(__xludf.DUMMYFUNCTION("""COMPUTED_VALUE"""),61.99)</f>
        <v>61.99</v>
      </c>
      <c r="F2272" s="1">
        <f>IFERROR(__xludf.DUMMYFUNCTION("""COMPUTED_VALUE"""),2195046.0)</f>
        <v>2195046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IFERROR(__xludf.DUMMYFUNCTION("""COMPUTED_VALUE"""),60.84)</f>
        <v>60.84</v>
      </c>
      <c r="C2273" s="1">
        <f>IFERROR(__xludf.DUMMYFUNCTION("""COMPUTED_VALUE"""),61.42)</f>
        <v>61.42</v>
      </c>
      <c r="D2273" s="1">
        <f>IFERROR(__xludf.DUMMYFUNCTION("""COMPUTED_VALUE"""),59.07)</f>
        <v>59.07</v>
      </c>
      <c r="E2273" s="1">
        <f>IFERROR(__xludf.DUMMYFUNCTION("""COMPUTED_VALUE"""),60.69)</f>
        <v>60.69</v>
      </c>
      <c r="F2273" s="1">
        <f>IFERROR(__xludf.DUMMYFUNCTION("""COMPUTED_VALUE"""),1588989.0)</f>
        <v>1588989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IFERROR(__xludf.DUMMYFUNCTION("""COMPUTED_VALUE"""),59.79)</f>
        <v>59.79</v>
      </c>
      <c r="C2274" s="1">
        <f>IFERROR(__xludf.DUMMYFUNCTION("""COMPUTED_VALUE"""),60.83)</f>
        <v>60.83</v>
      </c>
      <c r="D2274" s="1">
        <f>IFERROR(__xludf.DUMMYFUNCTION("""COMPUTED_VALUE"""),58.76)</f>
        <v>58.76</v>
      </c>
      <c r="E2274" s="1">
        <f>IFERROR(__xludf.DUMMYFUNCTION("""COMPUTED_VALUE"""),60.28)</f>
        <v>60.28</v>
      </c>
      <c r="F2274" s="1">
        <f>IFERROR(__xludf.DUMMYFUNCTION("""COMPUTED_VALUE"""),838218.0)</f>
        <v>838218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IFERROR(__xludf.DUMMYFUNCTION("""COMPUTED_VALUE"""),60.83)</f>
        <v>60.83</v>
      </c>
      <c r="C2275" s="1">
        <f>IFERROR(__xludf.DUMMYFUNCTION("""COMPUTED_VALUE"""),63.7)</f>
        <v>63.7</v>
      </c>
      <c r="D2275" s="1">
        <f>IFERROR(__xludf.DUMMYFUNCTION("""COMPUTED_VALUE"""),60.66)</f>
        <v>60.66</v>
      </c>
      <c r="E2275" s="1">
        <f>IFERROR(__xludf.DUMMYFUNCTION("""COMPUTED_VALUE"""),62.92)</f>
        <v>62.92</v>
      </c>
      <c r="F2275" s="1">
        <f>IFERROR(__xludf.DUMMYFUNCTION("""COMPUTED_VALUE"""),1853964.0)</f>
        <v>1853964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IFERROR(__xludf.DUMMYFUNCTION("""COMPUTED_VALUE"""),63.0)</f>
        <v>63</v>
      </c>
      <c r="C2276" s="1">
        <f>IFERROR(__xludf.DUMMYFUNCTION("""COMPUTED_VALUE"""),64.79)</f>
        <v>64.79</v>
      </c>
      <c r="D2276" s="1">
        <f>IFERROR(__xludf.DUMMYFUNCTION("""COMPUTED_VALUE"""),62.72)</f>
        <v>62.72</v>
      </c>
      <c r="E2276" s="1">
        <f>IFERROR(__xludf.DUMMYFUNCTION("""COMPUTED_VALUE"""),63.83)</f>
        <v>63.83</v>
      </c>
      <c r="F2276" s="1">
        <f>IFERROR(__xludf.DUMMYFUNCTION("""COMPUTED_VALUE"""),1897376.0)</f>
        <v>1897376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IFERROR(__xludf.DUMMYFUNCTION("""COMPUTED_VALUE"""),63.31)</f>
        <v>63.31</v>
      </c>
      <c r="C2277" s="1">
        <f>IFERROR(__xludf.DUMMYFUNCTION("""COMPUTED_VALUE"""),64.98)</f>
        <v>64.98</v>
      </c>
      <c r="D2277" s="1">
        <f>IFERROR(__xludf.DUMMYFUNCTION("""COMPUTED_VALUE"""),63.31)</f>
        <v>63.31</v>
      </c>
      <c r="E2277" s="1">
        <f>IFERROR(__xludf.DUMMYFUNCTION("""COMPUTED_VALUE"""),64.17)</f>
        <v>64.17</v>
      </c>
      <c r="F2277" s="1">
        <f>IFERROR(__xludf.DUMMYFUNCTION("""COMPUTED_VALUE"""),1168224.0)</f>
        <v>1168224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IFERROR(__xludf.DUMMYFUNCTION("""COMPUTED_VALUE"""),64.5)</f>
        <v>64.5</v>
      </c>
      <c r="C2278" s="1">
        <f>IFERROR(__xludf.DUMMYFUNCTION("""COMPUTED_VALUE"""),67.79)</f>
        <v>67.79</v>
      </c>
      <c r="D2278" s="1">
        <f>IFERROR(__xludf.DUMMYFUNCTION("""COMPUTED_VALUE"""),63.51)</f>
        <v>63.51</v>
      </c>
      <c r="E2278" s="1">
        <f>IFERROR(__xludf.DUMMYFUNCTION("""COMPUTED_VALUE"""),65.9)</f>
        <v>65.9</v>
      </c>
      <c r="F2278" s="1">
        <f>IFERROR(__xludf.DUMMYFUNCTION("""COMPUTED_VALUE"""),2124811.0)</f>
        <v>2124811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IFERROR(__xludf.DUMMYFUNCTION("""COMPUTED_VALUE"""),70.7)</f>
        <v>70.7</v>
      </c>
      <c r="C2279" s="1">
        <f>IFERROR(__xludf.DUMMYFUNCTION("""COMPUTED_VALUE"""),77.85)</f>
        <v>77.85</v>
      </c>
      <c r="D2279" s="1">
        <f>IFERROR(__xludf.DUMMYFUNCTION("""COMPUTED_VALUE"""),69.11)</f>
        <v>69.11</v>
      </c>
      <c r="E2279" s="1">
        <f>IFERROR(__xludf.DUMMYFUNCTION("""COMPUTED_VALUE"""),71.03)</f>
        <v>71.03</v>
      </c>
      <c r="F2279" s="1">
        <f>IFERROR(__xludf.DUMMYFUNCTION("""COMPUTED_VALUE"""),5426023.0)</f>
        <v>5426023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IFERROR(__xludf.DUMMYFUNCTION("""COMPUTED_VALUE"""),72.0)</f>
        <v>72</v>
      </c>
      <c r="C2280" s="1">
        <f>IFERROR(__xludf.DUMMYFUNCTION("""COMPUTED_VALUE"""),74.88)</f>
        <v>74.88</v>
      </c>
      <c r="D2280" s="1">
        <f>IFERROR(__xludf.DUMMYFUNCTION("""COMPUTED_VALUE"""),71.67)</f>
        <v>71.67</v>
      </c>
      <c r="E2280" s="1">
        <f>IFERROR(__xludf.DUMMYFUNCTION("""COMPUTED_VALUE"""),72.81)</f>
        <v>72.81</v>
      </c>
      <c r="F2280" s="1">
        <f>IFERROR(__xludf.DUMMYFUNCTION("""COMPUTED_VALUE"""),3550384.0)</f>
        <v>3550384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IFERROR(__xludf.DUMMYFUNCTION("""COMPUTED_VALUE"""),72.81)</f>
        <v>72.81</v>
      </c>
      <c r="C2281" s="1">
        <f>IFERROR(__xludf.DUMMYFUNCTION("""COMPUTED_VALUE"""),75.46)</f>
        <v>75.46</v>
      </c>
      <c r="D2281" s="1">
        <f>IFERROR(__xludf.DUMMYFUNCTION("""COMPUTED_VALUE"""),72.25)</f>
        <v>72.25</v>
      </c>
      <c r="E2281" s="1">
        <f>IFERROR(__xludf.DUMMYFUNCTION("""COMPUTED_VALUE"""),73.98)</f>
        <v>73.98</v>
      </c>
      <c r="F2281" s="1">
        <f>IFERROR(__xludf.DUMMYFUNCTION("""COMPUTED_VALUE"""),1773050.0)</f>
        <v>1773050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IFERROR(__xludf.DUMMYFUNCTION("""COMPUTED_VALUE"""),75.35)</f>
        <v>75.35</v>
      </c>
      <c r="C2282" s="1">
        <f>IFERROR(__xludf.DUMMYFUNCTION("""COMPUTED_VALUE"""),78.99)</f>
        <v>78.99</v>
      </c>
      <c r="D2282" s="1">
        <f>IFERROR(__xludf.DUMMYFUNCTION("""COMPUTED_VALUE"""),75.33)</f>
        <v>75.33</v>
      </c>
      <c r="E2282" s="1">
        <f>IFERROR(__xludf.DUMMYFUNCTION("""COMPUTED_VALUE"""),77.49)</f>
        <v>77.49</v>
      </c>
      <c r="F2282" s="1">
        <f>IFERROR(__xludf.DUMMYFUNCTION("""COMPUTED_VALUE"""),2890617.0)</f>
        <v>2890617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IFERROR(__xludf.DUMMYFUNCTION("""COMPUTED_VALUE"""),76.0)</f>
        <v>76</v>
      </c>
      <c r="C2283" s="1">
        <f>IFERROR(__xludf.DUMMYFUNCTION("""COMPUTED_VALUE"""),76.35)</f>
        <v>76.35</v>
      </c>
      <c r="D2283" s="1">
        <f>IFERROR(__xludf.DUMMYFUNCTION("""COMPUTED_VALUE"""),73.31)</f>
        <v>73.31</v>
      </c>
      <c r="E2283" s="1">
        <f>IFERROR(__xludf.DUMMYFUNCTION("""COMPUTED_VALUE"""),75.78)</f>
        <v>75.78</v>
      </c>
      <c r="F2283" s="1">
        <f>IFERROR(__xludf.DUMMYFUNCTION("""COMPUTED_VALUE"""),1412182.0)</f>
        <v>1412182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IFERROR(__xludf.DUMMYFUNCTION("""COMPUTED_VALUE"""),74.95)</f>
        <v>74.95</v>
      </c>
      <c r="C2284" s="1">
        <f>IFERROR(__xludf.DUMMYFUNCTION("""COMPUTED_VALUE"""),76.0)</f>
        <v>76</v>
      </c>
      <c r="D2284" s="1">
        <f>IFERROR(__xludf.DUMMYFUNCTION("""COMPUTED_VALUE"""),72.73)</f>
        <v>72.73</v>
      </c>
      <c r="E2284" s="1">
        <f>IFERROR(__xludf.DUMMYFUNCTION("""COMPUTED_VALUE"""),75.09)</f>
        <v>75.09</v>
      </c>
      <c r="F2284" s="1">
        <f>IFERROR(__xludf.DUMMYFUNCTION("""COMPUTED_VALUE"""),2525459.0)</f>
        <v>2525459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IFERROR(__xludf.DUMMYFUNCTION("""COMPUTED_VALUE"""),75.74)</f>
        <v>75.74</v>
      </c>
      <c r="C2285" s="1">
        <f>IFERROR(__xludf.DUMMYFUNCTION("""COMPUTED_VALUE"""),77.76)</f>
        <v>77.76</v>
      </c>
      <c r="D2285" s="1">
        <f>IFERROR(__xludf.DUMMYFUNCTION("""COMPUTED_VALUE"""),74.69)</f>
        <v>74.69</v>
      </c>
      <c r="E2285" s="1">
        <f>IFERROR(__xludf.DUMMYFUNCTION("""COMPUTED_VALUE"""),75.58)</f>
        <v>75.58</v>
      </c>
      <c r="F2285" s="1">
        <f>IFERROR(__xludf.DUMMYFUNCTION("""COMPUTED_VALUE"""),1640156.0)</f>
        <v>1640156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IFERROR(__xludf.DUMMYFUNCTION("""COMPUTED_VALUE"""),76.36)</f>
        <v>76.36</v>
      </c>
      <c r="C2286" s="1">
        <f>IFERROR(__xludf.DUMMYFUNCTION("""COMPUTED_VALUE"""),79.64)</f>
        <v>79.64</v>
      </c>
      <c r="D2286" s="1">
        <f>IFERROR(__xludf.DUMMYFUNCTION("""COMPUTED_VALUE"""),76.36)</f>
        <v>76.36</v>
      </c>
      <c r="E2286" s="1">
        <f>IFERROR(__xludf.DUMMYFUNCTION("""COMPUTED_VALUE"""),77.04)</f>
        <v>77.04</v>
      </c>
      <c r="F2286" s="1">
        <f>IFERROR(__xludf.DUMMYFUNCTION("""COMPUTED_VALUE"""),2083383.0)</f>
        <v>2083383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IFERROR(__xludf.DUMMYFUNCTION("""COMPUTED_VALUE"""),76.49)</f>
        <v>76.49</v>
      </c>
      <c r="C2287" s="1">
        <f>IFERROR(__xludf.DUMMYFUNCTION("""COMPUTED_VALUE"""),77.0)</f>
        <v>77</v>
      </c>
      <c r="D2287" s="1">
        <f>IFERROR(__xludf.DUMMYFUNCTION("""COMPUTED_VALUE"""),75.2)</f>
        <v>75.2</v>
      </c>
      <c r="E2287" s="1">
        <f>IFERROR(__xludf.DUMMYFUNCTION("""COMPUTED_VALUE"""),75.7)</f>
        <v>75.7</v>
      </c>
      <c r="F2287" s="1">
        <f>IFERROR(__xludf.DUMMYFUNCTION("""COMPUTED_VALUE"""),1359856.0)</f>
        <v>1359856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IFERROR(__xludf.DUMMYFUNCTION("""COMPUTED_VALUE"""),75.48)</f>
        <v>75.48</v>
      </c>
      <c r="C2288" s="1">
        <f>IFERROR(__xludf.DUMMYFUNCTION("""COMPUTED_VALUE"""),77.07)</f>
        <v>77.07</v>
      </c>
      <c r="D2288" s="1">
        <f>IFERROR(__xludf.DUMMYFUNCTION("""COMPUTED_VALUE"""),74.5)</f>
        <v>74.5</v>
      </c>
      <c r="E2288" s="1">
        <f>IFERROR(__xludf.DUMMYFUNCTION("""COMPUTED_VALUE"""),76.79)</f>
        <v>76.79</v>
      </c>
      <c r="F2288" s="1">
        <f>IFERROR(__xludf.DUMMYFUNCTION("""COMPUTED_VALUE"""),1024995.0)</f>
        <v>1024995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IFERROR(__xludf.DUMMYFUNCTION("""COMPUTED_VALUE"""),76.95)</f>
        <v>76.95</v>
      </c>
      <c r="C2289" s="1">
        <f>IFERROR(__xludf.DUMMYFUNCTION("""COMPUTED_VALUE"""),79.01)</f>
        <v>79.01</v>
      </c>
      <c r="D2289" s="1">
        <f>IFERROR(__xludf.DUMMYFUNCTION("""COMPUTED_VALUE"""),76.95)</f>
        <v>76.95</v>
      </c>
      <c r="E2289" s="1">
        <f>IFERROR(__xludf.DUMMYFUNCTION("""COMPUTED_VALUE"""),78.66)</f>
        <v>78.66</v>
      </c>
      <c r="F2289" s="1">
        <f>IFERROR(__xludf.DUMMYFUNCTION("""COMPUTED_VALUE"""),1060599.0)</f>
        <v>1060599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IFERROR(__xludf.DUMMYFUNCTION("""COMPUTED_VALUE"""),78.4)</f>
        <v>78.4</v>
      </c>
      <c r="C2290" s="1">
        <f>IFERROR(__xludf.DUMMYFUNCTION("""COMPUTED_VALUE"""),79.02)</f>
        <v>79.02</v>
      </c>
      <c r="D2290" s="1">
        <f>IFERROR(__xludf.DUMMYFUNCTION("""COMPUTED_VALUE"""),77.96)</f>
        <v>77.96</v>
      </c>
      <c r="E2290" s="1">
        <f>IFERROR(__xludf.DUMMYFUNCTION("""COMPUTED_VALUE"""),78.63)</f>
        <v>78.63</v>
      </c>
      <c r="F2290" s="1">
        <f>IFERROR(__xludf.DUMMYFUNCTION("""COMPUTED_VALUE"""),1113184.0)</f>
        <v>1113184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IFERROR(__xludf.DUMMYFUNCTION("""COMPUTED_VALUE"""),77.57)</f>
        <v>77.57</v>
      </c>
      <c r="C2291" s="1">
        <f>IFERROR(__xludf.DUMMYFUNCTION("""COMPUTED_VALUE"""),77.94)</f>
        <v>77.94</v>
      </c>
      <c r="D2291" s="1">
        <f>IFERROR(__xludf.DUMMYFUNCTION("""COMPUTED_VALUE"""),76.18)</f>
        <v>76.18</v>
      </c>
      <c r="E2291" s="1">
        <f>IFERROR(__xludf.DUMMYFUNCTION("""COMPUTED_VALUE"""),76.82)</f>
        <v>76.82</v>
      </c>
      <c r="F2291" s="1">
        <f>IFERROR(__xludf.DUMMYFUNCTION("""COMPUTED_VALUE"""),766180.0)</f>
        <v>766180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IFERROR(__xludf.DUMMYFUNCTION("""COMPUTED_VALUE"""),76.23)</f>
        <v>76.23</v>
      </c>
      <c r="C2292" s="1">
        <f>IFERROR(__xludf.DUMMYFUNCTION("""COMPUTED_VALUE"""),78.0)</f>
        <v>78</v>
      </c>
      <c r="D2292" s="1">
        <f>IFERROR(__xludf.DUMMYFUNCTION("""COMPUTED_VALUE"""),75.81)</f>
        <v>75.81</v>
      </c>
      <c r="E2292" s="1">
        <f>IFERROR(__xludf.DUMMYFUNCTION("""COMPUTED_VALUE"""),77.6)</f>
        <v>77.6</v>
      </c>
      <c r="F2292" s="1">
        <f>IFERROR(__xludf.DUMMYFUNCTION("""COMPUTED_VALUE"""),1307986.0)</f>
        <v>1307986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IFERROR(__xludf.DUMMYFUNCTION("""COMPUTED_VALUE"""),76.75)</f>
        <v>76.75</v>
      </c>
      <c r="C2293" s="1">
        <f>IFERROR(__xludf.DUMMYFUNCTION("""COMPUTED_VALUE"""),79.69)</f>
        <v>79.69</v>
      </c>
      <c r="D2293" s="1">
        <f>IFERROR(__xludf.DUMMYFUNCTION("""COMPUTED_VALUE"""),76.66)</f>
        <v>76.66</v>
      </c>
      <c r="E2293" s="1">
        <f>IFERROR(__xludf.DUMMYFUNCTION("""COMPUTED_VALUE"""),79.01)</f>
        <v>79.01</v>
      </c>
      <c r="F2293" s="1">
        <f>IFERROR(__xludf.DUMMYFUNCTION("""COMPUTED_VALUE"""),1397005.0)</f>
        <v>1397005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IFERROR(__xludf.DUMMYFUNCTION("""COMPUTED_VALUE"""),79.68)</f>
        <v>79.68</v>
      </c>
      <c r="C2294" s="1">
        <f>IFERROR(__xludf.DUMMYFUNCTION("""COMPUTED_VALUE"""),80.44)</f>
        <v>80.44</v>
      </c>
      <c r="D2294" s="1">
        <f>IFERROR(__xludf.DUMMYFUNCTION("""COMPUTED_VALUE"""),76.66)</f>
        <v>76.66</v>
      </c>
      <c r="E2294" s="1">
        <f>IFERROR(__xludf.DUMMYFUNCTION("""COMPUTED_VALUE"""),77.44)</f>
        <v>77.44</v>
      </c>
      <c r="F2294" s="1">
        <f>IFERROR(__xludf.DUMMYFUNCTION("""COMPUTED_VALUE"""),1956480.0)</f>
        <v>1956480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IFERROR(__xludf.DUMMYFUNCTION("""COMPUTED_VALUE"""),77.86)</f>
        <v>77.86</v>
      </c>
      <c r="C2295" s="1">
        <f>IFERROR(__xludf.DUMMYFUNCTION("""COMPUTED_VALUE"""),79.09)</f>
        <v>79.09</v>
      </c>
      <c r="D2295" s="1">
        <f>IFERROR(__xludf.DUMMYFUNCTION("""COMPUTED_VALUE"""),77.23)</f>
        <v>77.23</v>
      </c>
      <c r="E2295" s="1">
        <f>IFERROR(__xludf.DUMMYFUNCTION("""COMPUTED_VALUE"""),78.74)</f>
        <v>78.74</v>
      </c>
      <c r="F2295" s="1">
        <f>IFERROR(__xludf.DUMMYFUNCTION("""COMPUTED_VALUE"""),1378915.0)</f>
        <v>1378915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IFERROR(__xludf.DUMMYFUNCTION("""COMPUTED_VALUE"""),78.07)</f>
        <v>78.07</v>
      </c>
      <c r="C2296" s="1">
        <f>IFERROR(__xludf.DUMMYFUNCTION("""COMPUTED_VALUE"""),78.07)</f>
        <v>78.07</v>
      </c>
      <c r="D2296" s="1">
        <f>IFERROR(__xludf.DUMMYFUNCTION("""COMPUTED_VALUE"""),75.74)</f>
        <v>75.74</v>
      </c>
      <c r="E2296" s="1">
        <f>IFERROR(__xludf.DUMMYFUNCTION("""COMPUTED_VALUE"""),77.07)</f>
        <v>77.07</v>
      </c>
      <c r="F2296" s="1">
        <f>IFERROR(__xludf.DUMMYFUNCTION("""COMPUTED_VALUE"""),1076065.0)</f>
        <v>1076065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IFERROR(__xludf.DUMMYFUNCTION("""COMPUTED_VALUE"""),76.92)</f>
        <v>76.92</v>
      </c>
      <c r="C2297" s="1">
        <f>IFERROR(__xludf.DUMMYFUNCTION("""COMPUTED_VALUE"""),77.65)</f>
        <v>77.65</v>
      </c>
      <c r="D2297" s="1">
        <f>IFERROR(__xludf.DUMMYFUNCTION("""COMPUTED_VALUE"""),75.27)</f>
        <v>75.27</v>
      </c>
      <c r="E2297" s="1">
        <f>IFERROR(__xludf.DUMMYFUNCTION("""COMPUTED_VALUE"""),77.53)</f>
        <v>77.53</v>
      </c>
      <c r="F2297" s="1">
        <f>IFERROR(__xludf.DUMMYFUNCTION("""COMPUTED_VALUE"""),1238425.0)</f>
        <v>1238425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IFERROR(__xludf.DUMMYFUNCTION("""COMPUTED_VALUE"""),77.13)</f>
        <v>77.13</v>
      </c>
      <c r="C2298" s="1">
        <f>IFERROR(__xludf.DUMMYFUNCTION("""COMPUTED_VALUE"""),77.59)</f>
        <v>77.59</v>
      </c>
      <c r="D2298" s="1">
        <f>IFERROR(__xludf.DUMMYFUNCTION("""COMPUTED_VALUE"""),75.74)</f>
        <v>75.74</v>
      </c>
      <c r="E2298" s="1">
        <f>IFERROR(__xludf.DUMMYFUNCTION("""COMPUTED_VALUE"""),76.82)</f>
        <v>76.82</v>
      </c>
      <c r="F2298" s="1">
        <f>IFERROR(__xludf.DUMMYFUNCTION("""COMPUTED_VALUE"""),855664.0)</f>
        <v>855664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IFERROR(__xludf.DUMMYFUNCTION("""COMPUTED_VALUE"""),77.38)</f>
        <v>77.38</v>
      </c>
      <c r="C2299" s="1">
        <f>IFERROR(__xludf.DUMMYFUNCTION("""COMPUTED_VALUE"""),80.63)</f>
        <v>80.63</v>
      </c>
      <c r="D2299" s="1">
        <f>IFERROR(__xludf.DUMMYFUNCTION("""COMPUTED_VALUE"""),77.03)</f>
        <v>77.03</v>
      </c>
      <c r="E2299" s="1">
        <f>IFERROR(__xludf.DUMMYFUNCTION("""COMPUTED_VALUE"""),79.28)</f>
        <v>79.28</v>
      </c>
      <c r="F2299" s="1">
        <f>IFERROR(__xludf.DUMMYFUNCTION("""COMPUTED_VALUE"""),1994572.0)</f>
        <v>1994572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IFERROR(__xludf.DUMMYFUNCTION("""COMPUTED_VALUE"""),78.8)</f>
        <v>78.8</v>
      </c>
      <c r="C2300" s="1">
        <f>IFERROR(__xludf.DUMMYFUNCTION("""COMPUTED_VALUE"""),78.8)</f>
        <v>78.8</v>
      </c>
      <c r="D2300" s="1">
        <f>IFERROR(__xludf.DUMMYFUNCTION("""COMPUTED_VALUE"""),73.63)</f>
        <v>73.63</v>
      </c>
      <c r="E2300" s="1">
        <f>IFERROR(__xludf.DUMMYFUNCTION("""COMPUTED_VALUE"""),78.38)</f>
        <v>78.38</v>
      </c>
      <c r="F2300" s="1">
        <f>IFERROR(__xludf.DUMMYFUNCTION("""COMPUTED_VALUE"""),1957739.0)</f>
        <v>1957739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IFERROR(__xludf.DUMMYFUNCTION("""COMPUTED_VALUE"""),78.92)</f>
        <v>78.92</v>
      </c>
      <c r="C2301" s="1">
        <f>IFERROR(__xludf.DUMMYFUNCTION("""COMPUTED_VALUE"""),80.63)</f>
        <v>80.63</v>
      </c>
      <c r="D2301" s="1">
        <f>IFERROR(__xludf.DUMMYFUNCTION("""COMPUTED_VALUE"""),78.03)</f>
        <v>78.03</v>
      </c>
      <c r="E2301" s="1">
        <f>IFERROR(__xludf.DUMMYFUNCTION("""COMPUTED_VALUE"""),80.61)</f>
        <v>80.61</v>
      </c>
      <c r="F2301" s="1">
        <f>IFERROR(__xludf.DUMMYFUNCTION("""COMPUTED_VALUE"""),1495684.0)</f>
        <v>1495684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IFERROR(__xludf.DUMMYFUNCTION("""COMPUTED_VALUE"""),82.96)</f>
        <v>82.96</v>
      </c>
      <c r="C2302" s="1">
        <f>IFERROR(__xludf.DUMMYFUNCTION("""COMPUTED_VALUE"""),84.94)</f>
        <v>84.94</v>
      </c>
      <c r="D2302" s="1">
        <f>IFERROR(__xludf.DUMMYFUNCTION("""COMPUTED_VALUE"""),81.7)</f>
        <v>81.7</v>
      </c>
      <c r="E2302" s="1">
        <f>IFERROR(__xludf.DUMMYFUNCTION("""COMPUTED_VALUE"""),82.38)</f>
        <v>82.38</v>
      </c>
      <c r="F2302" s="1">
        <f>IFERROR(__xludf.DUMMYFUNCTION("""COMPUTED_VALUE"""),1554011.0)</f>
        <v>1554011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IFERROR(__xludf.DUMMYFUNCTION("""COMPUTED_VALUE"""),81.88)</f>
        <v>81.88</v>
      </c>
      <c r="C2303" s="1">
        <f>IFERROR(__xludf.DUMMYFUNCTION("""COMPUTED_VALUE"""),84.14)</f>
        <v>84.14</v>
      </c>
      <c r="D2303" s="1">
        <f>IFERROR(__xludf.DUMMYFUNCTION("""COMPUTED_VALUE"""),81.05)</f>
        <v>81.05</v>
      </c>
      <c r="E2303" s="1">
        <f>IFERROR(__xludf.DUMMYFUNCTION("""COMPUTED_VALUE"""),83.71)</f>
        <v>83.71</v>
      </c>
      <c r="F2303" s="1">
        <f>IFERROR(__xludf.DUMMYFUNCTION("""COMPUTED_VALUE"""),1323300.0)</f>
        <v>1323300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IFERROR(__xludf.DUMMYFUNCTION("""COMPUTED_VALUE"""),82.86)</f>
        <v>82.86</v>
      </c>
      <c r="C2304" s="1">
        <f>IFERROR(__xludf.DUMMYFUNCTION("""COMPUTED_VALUE"""),84.02)</f>
        <v>84.02</v>
      </c>
      <c r="D2304" s="1">
        <f>IFERROR(__xludf.DUMMYFUNCTION("""COMPUTED_VALUE"""),81.63)</f>
        <v>81.63</v>
      </c>
      <c r="E2304" s="1">
        <f>IFERROR(__xludf.DUMMYFUNCTION("""COMPUTED_VALUE"""),81.63)</f>
        <v>81.63</v>
      </c>
      <c r="F2304" s="1">
        <f>IFERROR(__xludf.DUMMYFUNCTION("""COMPUTED_VALUE"""),2048964.0)</f>
        <v>2048964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IFERROR(__xludf.DUMMYFUNCTION("""COMPUTED_VALUE"""),81.89)</f>
        <v>81.89</v>
      </c>
      <c r="C2305" s="1">
        <f>IFERROR(__xludf.DUMMYFUNCTION("""COMPUTED_VALUE"""),83.21)</f>
        <v>83.21</v>
      </c>
      <c r="D2305" s="1">
        <f>IFERROR(__xludf.DUMMYFUNCTION("""COMPUTED_VALUE"""),81.7)</f>
        <v>81.7</v>
      </c>
      <c r="E2305" s="1">
        <f>IFERROR(__xludf.DUMMYFUNCTION("""COMPUTED_VALUE"""),82.06)</f>
        <v>82.06</v>
      </c>
      <c r="F2305" s="1">
        <f>IFERROR(__xludf.DUMMYFUNCTION("""COMPUTED_VALUE"""),1114594.0)</f>
        <v>1114594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IFERROR(__xludf.DUMMYFUNCTION("""COMPUTED_VALUE"""),82.33)</f>
        <v>82.33</v>
      </c>
      <c r="C2306" s="1">
        <f>IFERROR(__xludf.DUMMYFUNCTION("""COMPUTED_VALUE"""),83.8)</f>
        <v>83.8</v>
      </c>
      <c r="D2306" s="1">
        <f>IFERROR(__xludf.DUMMYFUNCTION("""COMPUTED_VALUE"""),81.69)</f>
        <v>81.69</v>
      </c>
      <c r="E2306" s="1">
        <f>IFERROR(__xludf.DUMMYFUNCTION("""COMPUTED_VALUE"""),82.77)</f>
        <v>82.77</v>
      </c>
      <c r="F2306" s="1">
        <f>IFERROR(__xludf.DUMMYFUNCTION("""COMPUTED_VALUE"""),725605.0)</f>
        <v>725605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IFERROR(__xludf.DUMMYFUNCTION("""COMPUTED_VALUE"""),83.11)</f>
        <v>83.11</v>
      </c>
      <c r="C2307" s="1">
        <f>IFERROR(__xludf.DUMMYFUNCTION("""COMPUTED_VALUE"""),83.81)</f>
        <v>83.81</v>
      </c>
      <c r="D2307" s="1">
        <f>IFERROR(__xludf.DUMMYFUNCTION("""COMPUTED_VALUE"""),81.33)</f>
        <v>81.33</v>
      </c>
      <c r="E2307" s="1">
        <f>IFERROR(__xludf.DUMMYFUNCTION("""COMPUTED_VALUE"""),82.83)</f>
        <v>82.83</v>
      </c>
      <c r="F2307" s="1">
        <f>IFERROR(__xludf.DUMMYFUNCTION("""COMPUTED_VALUE"""),1030140.0)</f>
        <v>1030140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IFERROR(__xludf.DUMMYFUNCTION("""COMPUTED_VALUE"""),82.58)</f>
        <v>82.58</v>
      </c>
      <c r="C2308" s="1">
        <f>IFERROR(__xludf.DUMMYFUNCTION("""COMPUTED_VALUE"""),83.74)</f>
        <v>83.74</v>
      </c>
      <c r="D2308" s="1">
        <f>IFERROR(__xludf.DUMMYFUNCTION("""COMPUTED_VALUE"""),81.69)</f>
        <v>81.69</v>
      </c>
      <c r="E2308" s="1">
        <f>IFERROR(__xludf.DUMMYFUNCTION("""COMPUTED_VALUE"""),83.0)</f>
        <v>83</v>
      </c>
      <c r="F2308" s="1">
        <f>IFERROR(__xludf.DUMMYFUNCTION("""COMPUTED_VALUE"""),875625.0)</f>
        <v>875625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IFERROR(__xludf.DUMMYFUNCTION("""COMPUTED_VALUE"""),83.0)</f>
        <v>83</v>
      </c>
      <c r="C2309" s="1">
        <f>IFERROR(__xludf.DUMMYFUNCTION("""COMPUTED_VALUE"""),83.91)</f>
        <v>83.91</v>
      </c>
      <c r="D2309" s="1">
        <f>IFERROR(__xludf.DUMMYFUNCTION("""COMPUTED_VALUE"""),81.64)</f>
        <v>81.64</v>
      </c>
      <c r="E2309" s="1">
        <f>IFERROR(__xludf.DUMMYFUNCTION("""COMPUTED_VALUE"""),82.2)</f>
        <v>82.2</v>
      </c>
      <c r="F2309" s="1">
        <f>IFERROR(__xludf.DUMMYFUNCTION("""COMPUTED_VALUE"""),1059871.0)</f>
        <v>1059871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IFERROR(__xludf.DUMMYFUNCTION("""COMPUTED_VALUE"""),81.37)</f>
        <v>81.37</v>
      </c>
      <c r="C2310" s="1">
        <f>IFERROR(__xludf.DUMMYFUNCTION("""COMPUTED_VALUE"""),81.67)</f>
        <v>81.67</v>
      </c>
      <c r="D2310" s="1">
        <f>IFERROR(__xludf.DUMMYFUNCTION("""COMPUTED_VALUE"""),78.19)</f>
        <v>78.19</v>
      </c>
      <c r="E2310" s="1">
        <f>IFERROR(__xludf.DUMMYFUNCTION("""COMPUTED_VALUE"""),79.45)</f>
        <v>79.45</v>
      </c>
      <c r="F2310" s="1">
        <f>IFERROR(__xludf.DUMMYFUNCTION("""COMPUTED_VALUE"""),1413803.0)</f>
        <v>1413803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IFERROR(__xludf.DUMMYFUNCTION("""COMPUTED_VALUE"""),76.24)</f>
        <v>76.24</v>
      </c>
      <c r="C2311" s="1">
        <f>IFERROR(__xludf.DUMMYFUNCTION("""COMPUTED_VALUE"""),79.23)</f>
        <v>79.23</v>
      </c>
      <c r="D2311" s="1">
        <f>IFERROR(__xludf.DUMMYFUNCTION("""COMPUTED_VALUE"""),74.5)</f>
        <v>74.5</v>
      </c>
      <c r="E2311" s="1">
        <f>IFERROR(__xludf.DUMMYFUNCTION("""COMPUTED_VALUE"""),79.02)</f>
        <v>79.02</v>
      </c>
      <c r="F2311" s="1">
        <f>IFERROR(__xludf.DUMMYFUNCTION("""COMPUTED_VALUE"""),1430188.0)</f>
        <v>1430188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IFERROR(__xludf.DUMMYFUNCTION("""COMPUTED_VALUE"""),79.66)</f>
        <v>79.66</v>
      </c>
      <c r="C2312" s="1">
        <f>IFERROR(__xludf.DUMMYFUNCTION("""COMPUTED_VALUE"""),81.68)</f>
        <v>81.68</v>
      </c>
      <c r="D2312" s="1">
        <f>IFERROR(__xludf.DUMMYFUNCTION("""COMPUTED_VALUE"""),79.46)</f>
        <v>79.46</v>
      </c>
      <c r="E2312" s="1">
        <f>IFERROR(__xludf.DUMMYFUNCTION("""COMPUTED_VALUE"""),81.43)</f>
        <v>81.43</v>
      </c>
      <c r="F2312" s="1">
        <f>IFERROR(__xludf.DUMMYFUNCTION("""COMPUTED_VALUE"""),764783.0)</f>
        <v>764783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IFERROR(__xludf.DUMMYFUNCTION("""COMPUTED_VALUE"""),81.0)</f>
        <v>81</v>
      </c>
      <c r="C2313" s="1">
        <f>IFERROR(__xludf.DUMMYFUNCTION("""COMPUTED_VALUE"""),81.85)</f>
        <v>81.85</v>
      </c>
      <c r="D2313" s="1">
        <f>IFERROR(__xludf.DUMMYFUNCTION("""COMPUTED_VALUE"""),77.25)</f>
        <v>77.25</v>
      </c>
      <c r="E2313" s="1">
        <f>IFERROR(__xludf.DUMMYFUNCTION("""COMPUTED_VALUE"""),78.55)</f>
        <v>78.55</v>
      </c>
      <c r="F2313" s="1">
        <f>IFERROR(__xludf.DUMMYFUNCTION("""COMPUTED_VALUE"""),1928875.0)</f>
        <v>1928875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IFERROR(__xludf.DUMMYFUNCTION("""COMPUTED_VALUE"""),79.07)</f>
        <v>79.07</v>
      </c>
      <c r="C2314" s="1">
        <f>IFERROR(__xludf.DUMMYFUNCTION("""COMPUTED_VALUE"""),79.8)</f>
        <v>79.8</v>
      </c>
      <c r="D2314" s="1">
        <f>IFERROR(__xludf.DUMMYFUNCTION("""COMPUTED_VALUE"""),77.16)</f>
        <v>77.16</v>
      </c>
      <c r="E2314" s="1">
        <f>IFERROR(__xludf.DUMMYFUNCTION("""COMPUTED_VALUE"""),77.25)</f>
        <v>77.25</v>
      </c>
      <c r="F2314" s="1">
        <f>IFERROR(__xludf.DUMMYFUNCTION("""COMPUTED_VALUE"""),1691794.0)</f>
        <v>1691794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IFERROR(__xludf.DUMMYFUNCTION("""COMPUTED_VALUE"""),75.93)</f>
        <v>75.93</v>
      </c>
      <c r="C2315" s="1">
        <f>IFERROR(__xludf.DUMMYFUNCTION("""COMPUTED_VALUE"""),77.18)</f>
        <v>77.18</v>
      </c>
      <c r="D2315" s="1">
        <f>IFERROR(__xludf.DUMMYFUNCTION("""COMPUTED_VALUE"""),75.19)</f>
        <v>75.19</v>
      </c>
      <c r="E2315" s="1">
        <f>IFERROR(__xludf.DUMMYFUNCTION("""COMPUTED_VALUE"""),76.07)</f>
        <v>76.07</v>
      </c>
      <c r="F2315" s="1">
        <f>IFERROR(__xludf.DUMMYFUNCTION("""COMPUTED_VALUE"""),1669800.0)</f>
        <v>1669800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IFERROR(__xludf.DUMMYFUNCTION("""COMPUTED_VALUE"""),76.71)</f>
        <v>76.71</v>
      </c>
      <c r="C2316" s="1">
        <f>IFERROR(__xludf.DUMMYFUNCTION("""COMPUTED_VALUE"""),79.17)</f>
        <v>79.17</v>
      </c>
      <c r="D2316" s="1">
        <f>IFERROR(__xludf.DUMMYFUNCTION("""COMPUTED_VALUE"""),76.66)</f>
        <v>76.66</v>
      </c>
      <c r="E2316" s="1">
        <f>IFERROR(__xludf.DUMMYFUNCTION("""COMPUTED_VALUE"""),77.09)</f>
        <v>77.09</v>
      </c>
      <c r="F2316" s="1">
        <f>IFERROR(__xludf.DUMMYFUNCTION("""COMPUTED_VALUE"""),1417161.0)</f>
        <v>1417161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IFERROR(__xludf.DUMMYFUNCTION("""COMPUTED_VALUE"""),77.57)</f>
        <v>77.57</v>
      </c>
      <c r="C2317" s="1">
        <f>IFERROR(__xludf.DUMMYFUNCTION("""COMPUTED_VALUE"""),79.18)</f>
        <v>79.18</v>
      </c>
      <c r="D2317" s="1">
        <f>IFERROR(__xludf.DUMMYFUNCTION("""COMPUTED_VALUE"""),77.29)</f>
        <v>77.29</v>
      </c>
      <c r="E2317" s="1">
        <f>IFERROR(__xludf.DUMMYFUNCTION("""COMPUTED_VALUE"""),79.09)</f>
        <v>79.09</v>
      </c>
      <c r="F2317" s="1">
        <f>IFERROR(__xludf.DUMMYFUNCTION("""COMPUTED_VALUE"""),869567.0)</f>
        <v>869567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IFERROR(__xludf.DUMMYFUNCTION("""COMPUTED_VALUE"""),78.9)</f>
        <v>78.9</v>
      </c>
      <c r="C2318" s="1">
        <f>IFERROR(__xludf.DUMMYFUNCTION("""COMPUTED_VALUE"""),81.25)</f>
        <v>81.25</v>
      </c>
      <c r="D2318" s="1">
        <f>IFERROR(__xludf.DUMMYFUNCTION("""COMPUTED_VALUE"""),78.4)</f>
        <v>78.4</v>
      </c>
      <c r="E2318" s="1">
        <f>IFERROR(__xludf.DUMMYFUNCTION("""COMPUTED_VALUE"""),80.6)</f>
        <v>80.6</v>
      </c>
      <c r="F2318" s="1">
        <f>IFERROR(__xludf.DUMMYFUNCTION("""COMPUTED_VALUE"""),1109532.0)</f>
        <v>1109532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IFERROR(__xludf.DUMMYFUNCTION("""COMPUTED_VALUE"""),80.26)</f>
        <v>80.26</v>
      </c>
      <c r="C2319" s="1">
        <f>IFERROR(__xludf.DUMMYFUNCTION("""COMPUTED_VALUE"""),81.8)</f>
        <v>81.8</v>
      </c>
      <c r="D2319" s="1">
        <f>IFERROR(__xludf.DUMMYFUNCTION("""COMPUTED_VALUE"""),80.07)</f>
        <v>80.07</v>
      </c>
      <c r="E2319" s="1">
        <f>IFERROR(__xludf.DUMMYFUNCTION("""COMPUTED_VALUE"""),81.33)</f>
        <v>81.33</v>
      </c>
      <c r="F2319" s="1">
        <f>IFERROR(__xludf.DUMMYFUNCTION("""COMPUTED_VALUE"""),608655.0)</f>
        <v>608655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IFERROR(__xludf.DUMMYFUNCTION("""COMPUTED_VALUE"""),80.55)</f>
        <v>80.55</v>
      </c>
      <c r="C2320" s="1">
        <f>IFERROR(__xludf.DUMMYFUNCTION("""COMPUTED_VALUE"""),81.5)</f>
        <v>81.5</v>
      </c>
      <c r="D2320" s="1">
        <f>IFERROR(__xludf.DUMMYFUNCTION("""COMPUTED_VALUE"""),79.84)</f>
        <v>79.84</v>
      </c>
      <c r="E2320" s="1">
        <f>IFERROR(__xludf.DUMMYFUNCTION("""COMPUTED_VALUE"""),81.37)</f>
        <v>81.37</v>
      </c>
      <c r="F2320" s="1">
        <f>IFERROR(__xludf.DUMMYFUNCTION("""COMPUTED_VALUE"""),605567.0)</f>
        <v>605567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IFERROR(__xludf.DUMMYFUNCTION("""COMPUTED_VALUE"""),80.67)</f>
        <v>80.67</v>
      </c>
      <c r="C2321" s="1">
        <f>IFERROR(__xludf.DUMMYFUNCTION("""COMPUTED_VALUE"""),81.54)</f>
        <v>81.54</v>
      </c>
      <c r="D2321" s="1">
        <f>IFERROR(__xludf.DUMMYFUNCTION("""COMPUTED_VALUE"""),78.68)</f>
        <v>78.68</v>
      </c>
      <c r="E2321" s="1">
        <f>IFERROR(__xludf.DUMMYFUNCTION("""COMPUTED_VALUE"""),79.51)</f>
        <v>79.51</v>
      </c>
      <c r="F2321" s="1">
        <f>IFERROR(__xludf.DUMMYFUNCTION("""COMPUTED_VALUE"""),823220.0)</f>
        <v>823220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IFERROR(__xludf.DUMMYFUNCTION("""COMPUTED_VALUE"""),80.31)</f>
        <v>80.31</v>
      </c>
      <c r="C2322" s="1">
        <f>IFERROR(__xludf.DUMMYFUNCTION("""COMPUTED_VALUE"""),83.73)</f>
        <v>83.73</v>
      </c>
      <c r="D2322" s="1">
        <f>IFERROR(__xludf.DUMMYFUNCTION("""COMPUTED_VALUE"""),80.13)</f>
        <v>80.13</v>
      </c>
      <c r="E2322" s="1">
        <f>IFERROR(__xludf.DUMMYFUNCTION("""COMPUTED_VALUE"""),82.78)</f>
        <v>82.78</v>
      </c>
      <c r="F2322" s="1">
        <f>IFERROR(__xludf.DUMMYFUNCTION("""COMPUTED_VALUE"""),1910194.0)</f>
        <v>1910194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IFERROR(__xludf.DUMMYFUNCTION("""COMPUTED_VALUE"""),82.78)</f>
        <v>82.78</v>
      </c>
      <c r="C2323" s="1">
        <f>IFERROR(__xludf.DUMMYFUNCTION("""COMPUTED_VALUE"""),86.79)</f>
        <v>86.79</v>
      </c>
      <c r="D2323" s="1">
        <f>IFERROR(__xludf.DUMMYFUNCTION("""COMPUTED_VALUE"""),82.78)</f>
        <v>82.78</v>
      </c>
      <c r="E2323" s="1">
        <f>IFERROR(__xludf.DUMMYFUNCTION("""COMPUTED_VALUE"""),84.09)</f>
        <v>84.09</v>
      </c>
      <c r="F2323" s="1">
        <f>IFERROR(__xludf.DUMMYFUNCTION("""COMPUTED_VALUE"""),1666579.0)</f>
        <v>1666579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IFERROR(__xludf.DUMMYFUNCTION("""COMPUTED_VALUE"""),84.59)</f>
        <v>84.59</v>
      </c>
      <c r="C2324" s="1">
        <f>IFERROR(__xludf.DUMMYFUNCTION("""COMPUTED_VALUE"""),85.68)</f>
        <v>85.68</v>
      </c>
      <c r="D2324" s="1">
        <f>IFERROR(__xludf.DUMMYFUNCTION("""COMPUTED_VALUE"""),82.72)</f>
        <v>82.72</v>
      </c>
      <c r="E2324" s="1">
        <f>IFERROR(__xludf.DUMMYFUNCTION("""COMPUTED_VALUE"""),84.82)</f>
        <v>84.82</v>
      </c>
      <c r="F2324" s="1">
        <f>IFERROR(__xludf.DUMMYFUNCTION("""COMPUTED_VALUE"""),1337696.0)</f>
        <v>1337696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IFERROR(__xludf.DUMMYFUNCTION("""COMPUTED_VALUE"""),84.6)</f>
        <v>84.6</v>
      </c>
      <c r="C2325" s="1">
        <f>IFERROR(__xludf.DUMMYFUNCTION("""COMPUTED_VALUE"""),87.81)</f>
        <v>87.81</v>
      </c>
      <c r="D2325" s="1">
        <f>IFERROR(__xludf.DUMMYFUNCTION("""COMPUTED_VALUE"""),84.6)</f>
        <v>84.6</v>
      </c>
      <c r="E2325" s="1">
        <f>IFERROR(__xludf.DUMMYFUNCTION("""COMPUTED_VALUE"""),86.27)</f>
        <v>86.27</v>
      </c>
      <c r="F2325" s="1">
        <f>IFERROR(__xludf.DUMMYFUNCTION("""COMPUTED_VALUE"""),1675721.0)</f>
        <v>1675721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IFERROR(__xludf.DUMMYFUNCTION("""COMPUTED_VALUE"""),87.4)</f>
        <v>87.4</v>
      </c>
      <c r="C2326" s="1">
        <f>IFERROR(__xludf.DUMMYFUNCTION("""COMPUTED_VALUE"""),90.86)</f>
        <v>90.86</v>
      </c>
      <c r="D2326" s="1">
        <f>IFERROR(__xludf.DUMMYFUNCTION("""COMPUTED_VALUE"""),87.36)</f>
        <v>87.36</v>
      </c>
      <c r="E2326" s="1">
        <f>IFERROR(__xludf.DUMMYFUNCTION("""COMPUTED_VALUE"""),90.09)</f>
        <v>90.09</v>
      </c>
      <c r="F2326" s="1">
        <f>IFERROR(__xludf.DUMMYFUNCTION("""COMPUTED_VALUE"""),2150729.0)</f>
        <v>2150729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IFERROR(__xludf.DUMMYFUNCTION("""COMPUTED_VALUE"""),90.78)</f>
        <v>90.78</v>
      </c>
      <c r="C2327" s="1">
        <f>IFERROR(__xludf.DUMMYFUNCTION("""COMPUTED_VALUE"""),91.65)</f>
        <v>91.65</v>
      </c>
      <c r="D2327" s="1">
        <f>IFERROR(__xludf.DUMMYFUNCTION("""COMPUTED_VALUE"""),88.01)</f>
        <v>88.01</v>
      </c>
      <c r="E2327" s="1">
        <f>IFERROR(__xludf.DUMMYFUNCTION("""COMPUTED_VALUE"""),89.04)</f>
        <v>89.04</v>
      </c>
      <c r="F2327" s="1">
        <f>IFERROR(__xludf.DUMMYFUNCTION("""COMPUTED_VALUE"""),2400557.0)</f>
        <v>2400557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IFERROR(__xludf.DUMMYFUNCTION("""COMPUTED_VALUE"""),89.17)</f>
        <v>89.17</v>
      </c>
      <c r="C2328" s="1">
        <f>IFERROR(__xludf.DUMMYFUNCTION("""COMPUTED_VALUE"""),89.6)</f>
        <v>89.6</v>
      </c>
      <c r="D2328" s="1">
        <f>IFERROR(__xludf.DUMMYFUNCTION("""COMPUTED_VALUE"""),87.42)</f>
        <v>87.42</v>
      </c>
      <c r="E2328" s="1">
        <f>IFERROR(__xludf.DUMMYFUNCTION("""COMPUTED_VALUE"""),88.42)</f>
        <v>88.42</v>
      </c>
      <c r="F2328" s="1">
        <f>IFERROR(__xludf.DUMMYFUNCTION("""COMPUTED_VALUE"""),1211435.0)</f>
        <v>1211435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IFERROR(__xludf.DUMMYFUNCTION("""COMPUTED_VALUE"""),89.42)</f>
        <v>89.42</v>
      </c>
      <c r="C2329" s="1">
        <f>IFERROR(__xludf.DUMMYFUNCTION("""COMPUTED_VALUE"""),90.09)</f>
        <v>90.09</v>
      </c>
      <c r="D2329" s="1">
        <f>IFERROR(__xludf.DUMMYFUNCTION("""COMPUTED_VALUE"""),88.32)</f>
        <v>88.32</v>
      </c>
      <c r="E2329" s="1">
        <f>IFERROR(__xludf.DUMMYFUNCTION("""COMPUTED_VALUE"""),88.43)</f>
        <v>88.43</v>
      </c>
      <c r="F2329" s="1">
        <f>IFERROR(__xludf.DUMMYFUNCTION("""COMPUTED_VALUE"""),1106589.0)</f>
        <v>1106589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IFERROR(__xludf.DUMMYFUNCTION("""COMPUTED_VALUE"""),88.83)</f>
        <v>88.83</v>
      </c>
      <c r="C2330" s="1">
        <f>IFERROR(__xludf.DUMMYFUNCTION("""COMPUTED_VALUE"""),89.33)</f>
        <v>89.33</v>
      </c>
      <c r="D2330" s="1">
        <f>IFERROR(__xludf.DUMMYFUNCTION("""COMPUTED_VALUE"""),87.58)</f>
        <v>87.58</v>
      </c>
      <c r="E2330" s="1">
        <f>IFERROR(__xludf.DUMMYFUNCTION("""COMPUTED_VALUE"""),88.79)</f>
        <v>88.79</v>
      </c>
      <c r="F2330" s="1">
        <f>IFERROR(__xludf.DUMMYFUNCTION("""COMPUTED_VALUE"""),1443972.0)</f>
        <v>1443972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IFERROR(__xludf.DUMMYFUNCTION("""COMPUTED_VALUE"""),89.0)</f>
        <v>89</v>
      </c>
      <c r="C2331" s="1">
        <f>IFERROR(__xludf.DUMMYFUNCTION("""COMPUTED_VALUE"""),90.18)</f>
        <v>90.18</v>
      </c>
      <c r="D2331" s="1">
        <f>IFERROR(__xludf.DUMMYFUNCTION("""COMPUTED_VALUE"""),88.53)</f>
        <v>88.53</v>
      </c>
      <c r="E2331" s="1">
        <f>IFERROR(__xludf.DUMMYFUNCTION("""COMPUTED_VALUE"""),88.94)</f>
        <v>88.94</v>
      </c>
      <c r="F2331" s="1">
        <f>IFERROR(__xludf.DUMMYFUNCTION("""COMPUTED_VALUE"""),1089583.0)</f>
        <v>1089583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IFERROR(__xludf.DUMMYFUNCTION("""COMPUTED_VALUE"""),88.94)</f>
        <v>88.94</v>
      </c>
      <c r="C2332" s="1">
        <f>IFERROR(__xludf.DUMMYFUNCTION("""COMPUTED_VALUE"""),89.85)</f>
        <v>89.85</v>
      </c>
      <c r="D2332" s="1">
        <f>IFERROR(__xludf.DUMMYFUNCTION("""COMPUTED_VALUE"""),88.29)</f>
        <v>88.29</v>
      </c>
      <c r="E2332" s="1">
        <f>IFERROR(__xludf.DUMMYFUNCTION("""COMPUTED_VALUE"""),89.25)</f>
        <v>89.25</v>
      </c>
      <c r="F2332" s="1">
        <f>IFERROR(__xludf.DUMMYFUNCTION("""COMPUTED_VALUE"""),1444795.0)</f>
        <v>1444795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IFERROR(__xludf.DUMMYFUNCTION("""COMPUTED_VALUE"""),89.0)</f>
        <v>89</v>
      </c>
      <c r="C2333" s="1">
        <f>IFERROR(__xludf.DUMMYFUNCTION("""COMPUTED_VALUE"""),92.19)</f>
        <v>92.19</v>
      </c>
      <c r="D2333" s="1">
        <f>IFERROR(__xludf.DUMMYFUNCTION("""COMPUTED_VALUE"""),89.0)</f>
        <v>89</v>
      </c>
      <c r="E2333" s="1">
        <f>IFERROR(__xludf.DUMMYFUNCTION("""COMPUTED_VALUE"""),90.99)</f>
        <v>90.99</v>
      </c>
      <c r="F2333" s="1">
        <f>IFERROR(__xludf.DUMMYFUNCTION("""COMPUTED_VALUE"""),1356827.0)</f>
        <v>1356827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IFERROR(__xludf.DUMMYFUNCTION("""COMPUTED_VALUE"""),90.76)</f>
        <v>90.76</v>
      </c>
      <c r="C2334" s="1">
        <f>IFERROR(__xludf.DUMMYFUNCTION("""COMPUTED_VALUE"""),90.98)</f>
        <v>90.98</v>
      </c>
      <c r="D2334" s="1">
        <f>IFERROR(__xludf.DUMMYFUNCTION("""COMPUTED_VALUE"""),89.84)</f>
        <v>89.84</v>
      </c>
      <c r="E2334" s="1">
        <f>IFERROR(__xludf.DUMMYFUNCTION("""COMPUTED_VALUE"""),90.67)</f>
        <v>90.67</v>
      </c>
      <c r="F2334" s="1">
        <f>IFERROR(__xludf.DUMMYFUNCTION("""COMPUTED_VALUE"""),977928.0)</f>
        <v>977928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IFERROR(__xludf.DUMMYFUNCTION("""COMPUTED_VALUE"""),90.67)</f>
        <v>90.67</v>
      </c>
      <c r="C2335" s="1">
        <f>IFERROR(__xludf.DUMMYFUNCTION("""COMPUTED_VALUE"""),90.68)</f>
        <v>90.68</v>
      </c>
      <c r="D2335" s="1">
        <f>IFERROR(__xludf.DUMMYFUNCTION("""COMPUTED_VALUE"""),89.12)</f>
        <v>89.12</v>
      </c>
      <c r="E2335" s="1">
        <f>IFERROR(__xludf.DUMMYFUNCTION("""COMPUTED_VALUE"""),90.59)</f>
        <v>90.59</v>
      </c>
      <c r="F2335" s="1">
        <f>IFERROR(__xludf.DUMMYFUNCTION("""COMPUTED_VALUE"""),628448.0)</f>
        <v>628448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IFERROR(__xludf.DUMMYFUNCTION("""COMPUTED_VALUE"""),91.27)</f>
        <v>91.27</v>
      </c>
      <c r="C2336" s="1">
        <f>IFERROR(__xludf.DUMMYFUNCTION("""COMPUTED_VALUE"""),93.28)</f>
        <v>93.28</v>
      </c>
      <c r="D2336" s="1">
        <f>IFERROR(__xludf.DUMMYFUNCTION("""COMPUTED_VALUE"""),90.1)</f>
        <v>90.1</v>
      </c>
      <c r="E2336" s="1">
        <f>IFERROR(__xludf.DUMMYFUNCTION("""COMPUTED_VALUE"""),90.87)</f>
        <v>90.87</v>
      </c>
      <c r="F2336" s="1">
        <f>IFERROR(__xludf.DUMMYFUNCTION("""COMPUTED_VALUE"""),904502.0)</f>
        <v>904502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IFERROR(__xludf.DUMMYFUNCTION("""COMPUTED_VALUE"""),91.0)</f>
        <v>91</v>
      </c>
      <c r="C2337" s="1">
        <f>IFERROR(__xludf.DUMMYFUNCTION("""COMPUTED_VALUE"""),91.98)</f>
        <v>91.98</v>
      </c>
      <c r="D2337" s="1">
        <f>IFERROR(__xludf.DUMMYFUNCTION("""COMPUTED_VALUE"""),88.38)</f>
        <v>88.38</v>
      </c>
      <c r="E2337" s="1">
        <f>IFERROR(__xludf.DUMMYFUNCTION("""COMPUTED_VALUE"""),89.43)</f>
        <v>89.43</v>
      </c>
      <c r="F2337" s="1">
        <f>IFERROR(__xludf.DUMMYFUNCTION("""COMPUTED_VALUE"""),2201998.0)</f>
        <v>2201998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IFERROR(__xludf.DUMMYFUNCTION("""COMPUTED_VALUE"""),91.6)</f>
        <v>91.6</v>
      </c>
      <c r="C2338" s="1">
        <f>IFERROR(__xludf.DUMMYFUNCTION("""COMPUTED_VALUE"""),92.37)</f>
        <v>92.37</v>
      </c>
      <c r="D2338" s="1">
        <f>IFERROR(__xludf.DUMMYFUNCTION("""COMPUTED_VALUE"""),89.91)</f>
        <v>89.91</v>
      </c>
      <c r="E2338" s="1">
        <f>IFERROR(__xludf.DUMMYFUNCTION("""COMPUTED_VALUE"""),89.99)</f>
        <v>89.99</v>
      </c>
      <c r="F2338" s="1">
        <f>IFERROR(__xludf.DUMMYFUNCTION("""COMPUTED_VALUE"""),1323420.0)</f>
        <v>1323420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IFERROR(__xludf.DUMMYFUNCTION("""COMPUTED_VALUE"""),90.47)</f>
        <v>90.47</v>
      </c>
      <c r="C2339" s="1">
        <f>IFERROR(__xludf.DUMMYFUNCTION("""COMPUTED_VALUE"""),90.55)</f>
        <v>90.55</v>
      </c>
      <c r="D2339" s="1">
        <f>IFERROR(__xludf.DUMMYFUNCTION("""COMPUTED_VALUE"""),88.68)</f>
        <v>88.68</v>
      </c>
      <c r="E2339" s="1">
        <f>IFERROR(__xludf.DUMMYFUNCTION("""COMPUTED_VALUE"""),89.73)</f>
        <v>89.73</v>
      </c>
      <c r="F2339" s="1">
        <f>IFERROR(__xludf.DUMMYFUNCTION("""COMPUTED_VALUE"""),3188797.0)</f>
        <v>3188797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IFERROR(__xludf.DUMMYFUNCTION("""COMPUTED_VALUE"""),88.68)</f>
        <v>88.68</v>
      </c>
      <c r="C2340" s="1">
        <f>IFERROR(__xludf.DUMMYFUNCTION("""COMPUTED_VALUE"""),90.04)</f>
        <v>90.04</v>
      </c>
      <c r="D2340" s="1">
        <f>IFERROR(__xludf.DUMMYFUNCTION("""COMPUTED_VALUE"""),86.87)</f>
        <v>86.87</v>
      </c>
      <c r="E2340" s="1">
        <f>IFERROR(__xludf.DUMMYFUNCTION("""COMPUTED_VALUE"""),89.99)</f>
        <v>89.99</v>
      </c>
      <c r="F2340" s="1">
        <f>IFERROR(__xludf.DUMMYFUNCTION("""COMPUTED_VALUE"""),1273445.0)</f>
        <v>1273445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IFERROR(__xludf.DUMMYFUNCTION("""COMPUTED_VALUE"""),90.13)</f>
        <v>90.13</v>
      </c>
      <c r="C2341" s="1">
        <f>IFERROR(__xludf.DUMMYFUNCTION("""COMPUTED_VALUE"""),91.97)</f>
        <v>91.97</v>
      </c>
      <c r="D2341" s="1">
        <f>IFERROR(__xludf.DUMMYFUNCTION("""COMPUTED_VALUE"""),90.13)</f>
        <v>90.13</v>
      </c>
      <c r="E2341" s="1">
        <f>IFERROR(__xludf.DUMMYFUNCTION("""COMPUTED_VALUE"""),90.42)</f>
        <v>90.42</v>
      </c>
      <c r="F2341" s="1">
        <f>IFERROR(__xludf.DUMMYFUNCTION("""COMPUTED_VALUE"""),1374656.0)</f>
        <v>1374656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IFERROR(__xludf.DUMMYFUNCTION("""COMPUTED_VALUE"""),86.75)</f>
        <v>86.75</v>
      </c>
      <c r="C2342" s="1">
        <f>IFERROR(__xludf.DUMMYFUNCTION("""COMPUTED_VALUE"""),93.72)</f>
        <v>93.72</v>
      </c>
      <c r="D2342" s="1">
        <f>IFERROR(__xludf.DUMMYFUNCTION("""COMPUTED_VALUE"""),86.75)</f>
        <v>86.75</v>
      </c>
      <c r="E2342" s="1">
        <f>IFERROR(__xludf.DUMMYFUNCTION("""COMPUTED_VALUE"""),92.97)</f>
        <v>92.97</v>
      </c>
      <c r="F2342" s="1">
        <f>IFERROR(__xludf.DUMMYFUNCTION("""COMPUTED_VALUE"""),2168166.0)</f>
        <v>2168166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IFERROR(__xludf.DUMMYFUNCTION("""COMPUTED_VALUE"""),93.88)</f>
        <v>93.88</v>
      </c>
      <c r="C2343" s="1">
        <f>IFERROR(__xludf.DUMMYFUNCTION("""COMPUTED_VALUE"""),95.0)</f>
        <v>95</v>
      </c>
      <c r="D2343" s="1">
        <f>IFERROR(__xludf.DUMMYFUNCTION("""COMPUTED_VALUE"""),90.06)</f>
        <v>90.06</v>
      </c>
      <c r="E2343" s="1">
        <f>IFERROR(__xludf.DUMMYFUNCTION("""COMPUTED_VALUE"""),90.34)</f>
        <v>90.34</v>
      </c>
      <c r="F2343" s="1">
        <f>IFERROR(__xludf.DUMMYFUNCTION("""COMPUTED_VALUE"""),1488526.0)</f>
        <v>1488526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IFERROR(__xludf.DUMMYFUNCTION("""COMPUTED_VALUE"""),89.87)</f>
        <v>89.87</v>
      </c>
      <c r="C2344" s="1">
        <f>IFERROR(__xludf.DUMMYFUNCTION("""COMPUTED_VALUE"""),92.54)</f>
        <v>92.54</v>
      </c>
      <c r="D2344" s="1">
        <f>IFERROR(__xludf.DUMMYFUNCTION("""COMPUTED_VALUE"""),89.11)</f>
        <v>89.11</v>
      </c>
      <c r="E2344" s="1">
        <f>IFERROR(__xludf.DUMMYFUNCTION("""COMPUTED_VALUE"""),92.25)</f>
        <v>92.25</v>
      </c>
      <c r="F2344" s="1">
        <f>IFERROR(__xludf.DUMMYFUNCTION("""COMPUTED_VALUE"""),986376.0)</f>
        <v>986376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IFERROR(__xludf.DUMMYFUNCTION("""COMPUTED_VALUE"""),92.91)</f>
        <v>92.91</v>
      </c>
      <c r="C2345" s="1">
        <f>IFERROR(__xludf.DUMMYFUNCTION("""COMPUTED_VALUE"""),95.94)</f>
        <v>95.94</v>
      </c>
      <c r="D2345" s="1">
        <f>IFERROR(__xludf.DUMMYFUNCTION("""COMPUTED_VALUE"""),92.91)</f>
        <v>92.91</v>
      </c>
      <c r="E2345" s="1">
        <f>IFERROR(__xludf.DUMMYFUNCTION("""COMPUTED_VALUE"""),94.54)</f>
        <v>94.54</v>
      </c>
      <c r="F2345" s="1">
        <f>IFERROR(__xludf.DUMMYFUNCTION("""COMPUTED_VALUE"""),2108644.0)</f>
        <v>2108644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IFERROR(__xludf.DUMMYFUNCTION("""COMPUTED_VALUE"""),94.54)</f>
        <v>94.54</v>
      </c>
      <c r="C2346" s="1">
        <f>IFERROR(__xludf.DUMMYFUNCTION("""COMPUTED_VALUE"""),95.35)</f>
        <v>95.35</v>
      </c>
      <c r="D2346" s="1">
        <f>IFERROR(__xludf.DUMMYFUNCTION("""COMPUTED_VALUE"""),94.19)</f>
        <v>94.19</v>
      </c>
      <c r="E2346" s="1">
        <f>IFERROR(__xludf.DUMMYFUNCTION("""COMPUTED_VALUE"""),94.26)</f>
        <v>94.26</v>
      </c>
      <c r="F2346" s="1">
        <f>IFERROR(__xludf.DUMMYFUNCTION("""COMPUTED_VALUE"""),1070158.0)</f>
        <v>1070158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IFERROR(__xludf.DUMMYFUNCTION("""COMPUTED_VALUE"""),94.27)</f>
        <v>94.27</v>
      </c>
      <c r="C2347" s="1">
        <f>IFERROR(__xludf.DUMMYFUNCTION("""COMPUTED_VALUE"""),96.3)</f>
        <v>96.3</v>
      </c>
      <c r="D2347" s="1">
        <f>IFERROR(__xludf.DUMMYFUNCTION("""COMPUTED_VALUE"""),94.11)</f>
        <v>94.11</v>
      </c>
      <c r="E2347" s="1">
        <f>IFERROR(__xludf.DUMMYFUNCTION("""COMPUTED_VALUE"""),95.46)</f>
        <v>95.46</v>
      </c>
      <c r="F2347" s="1">
        <f>IFERROR(__xludf.DUMMYFUNCTION("""COMPUTED_VALUE"""),1245373.0)</f>
        <v>1245373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IFERROR(__xludf.DUMMYFUNCTION("""COMPUTED_VALUE"""),96.11)</f>
        <v>96.11</v>
      </c>
      <c r="C2348" s="1">
        <f>IFERROR(__xludf.DUMMYFUNCTION("""COMPUTED_VALUE"""),96.66)</f>
        <v>96.66</v>
      </c>
      <c r="D2348" s="1">
        <f>IFERROR(__xludf.DUMMYFUNCTION("""COMPUTED_VALUE"""),93.71)</f>
        <v>93.71</v>
      </c>
      <c r="E2348" s="1">
        <f>IFERROR(__xludf.DUMMYFUNCTION("""COMPUTED_VALUE"""),93.85)</f>
        <v>93.85</v>
      </c>
      <c r="F2348" s="1">
        <f>IFERROR(__xludf.DUMMYFUNCTION("""COMPUTED_VALUE"""),1152664.0)</f>
        <v>1152664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IFERROR(__xludf.DUMMYFUNCTION("""COMPUTED_VALUE"""),93.97)</f>
        <v>93.97</v>
      </c>
      <c r="C2349" s="1">
        <f>IFERROR(__xludf.DUMMYFUNCTION("""COMPUTED_VALUE"""),97.99)</f>
        <v>97.99</v>
      </c>
      <c r="D2349" s="1">
        <f>IFERROR(__xludf.DUMMYFUNCTION("""COMPUTED_VALUE"""),93.97)</f>
        <v>93.97</v>
      </c>
      <c r="E2349" s="1">
        <f>IFERROR(__xludf.DUMMYFUNCTION("""COMPUTED_VALUE"""),95.74)</f>
        <v>95.74</v>
      </c>
      <c r="F2349" s="1">
        <f>IFERROR(__xludf.DUMMYFUNCTION("""COMPUTED_VALUE"""),1493554.0)</f>
        <v>1493554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IFERROR(__xludf.DUMMYFUNCTION("""COMPUTED_VALUE"""),96.0)</f>
        <v>96</v>
      </c>
      <c r="C2350" s="1">
        <f>IFERROR(__xludf.DUMMYFUNCTION("""COMPUTED_VALUE"""),97.22)</f>
        <v>97.22</v>
      </c>
      <c r="D2350" s="1">
        <f>IFERROR(__xludf.DUMMYFUNCTION("""COMPUTED_VALUE"""),95.02)</f>
        <v>95.02</v>
      </c>
      <c r="E2350" s="1">
        <f>IFERROR(__xludf.DUMMYFUNCTION("""COMPUTED_VALUE"""),95.31)</f>
        <v>95.31</v>
      </c>
      <c r="F2350" s="1">
        <f>IFERROR(__xludf.DUMMYFUNCTION("""COMPUTED_VALUE"""),1407277.0)</f>
        <v>1407277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IFERROR(__xludf.DUMMYFUNCTION("""COMPUTED_VALUE"""),91.98)</f>
        <v>91.98</v>
      </c>
      <c r="C2351" s="1">
        <f>IFERROR(__xludf.DUMMYFUNCTION("""COMPUTED_VALUE"""),92.9)</f>
        <v>92.9</v>
      </c>
      <c r="D2351" s="1">
        <f>IFERROR(__xludf.DUMMYFUNCTION("""COMPUTED_VALUE"""),90.39)</f>
        <v>90.39</v>
      </c>
      <c r="E2351" s="1">
        <f>IFERROR(__xludf.DUMMYFUNCTION("""COMPUTED_VALUE"""),92.0)</f>
        <v>92</v>
      </c>
      <c r="F2351" s="1">
        <f>IFERROR(__xludf.DUMMYFUNCTION("""COMPUTED_VALUE"""),1532186.0)</f>
        <v>1532186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IFERROR(__xludf.DUMMYFUNCTION("""COMPUTED_VALUE"""),91.0)</f>
        <v>91</v>
      </c>
      <c r="C2352" s="1">
        <f>IFERROR(__xludf.DUMMYFUNCTION("""COMPUTED_VALUE"""),91.37)</f>
        <v>91.37</v>
      </c>
      <c r="D2352" s="1">
        <f>IFERROR(__xludf.DUMMYFUNCTION("""COMPUTED_VALUE"""),86.76)</f>
        <v>86.76</v>
      </c>
      <c r="E2352" s="1">
        <f>IFERROR(__xludf.DUMMYFUNCTION("""COMPUTED_VALUE"""),88.46)</f>
        <v>88.46</v>
      </c>
      <c r="F2352" s="1">
        <f>IFERROR(__xludf.DUMMYFUNCTION("""COMPUTED_VALUE"""),2064693.0)</f>
        <v>2064693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IFERROR(__xludf.DUMMYFUNCTION("""COMPUTED_VALUE"""),88.35)</f>
        <v>88.35</v>
      </c>
      <c r="C2353" s="1">
        <f>IFERROR(__xludf.DUMMYFUNCTION("""COMPUTED_VALUE"""),90.86)</f>
        <v>90.86</v>
      </c>
      <c r="D2353" s="1">
        <f>IFERROR(__xludf.DUMMYFUNCTION("""COMPUTED_VALUE"""),87.31)</f>
        <v>87.31</v>
      </c>
      <c r="E2353" s="1">
        <f>IFERROR(__xludf.DUMMYFUNCTION("""COMPUTED_VALUE"""),90.85)</f>
        <v>90.85</v>
      </c>
      <c r="F2353" s="1">
        <f>IFERROR(__xludf.DUMMYFUNCTION("""COMPUTED_VALUE"""),1418030.0)</f>
        <v>1418030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IFERROR(__xludf.DUMMYFUNCTION("""COMPUTED_VALUE"""),88.82)</f>
        <v>88.82</v>
      </c>
      <c r="C2354" s="1">
        <f>IFERROR(__xludf.DUMMYFUNCTION("""COMPUTED_VALUE"""),88.82)</f>
        <v>88.82</v>
      </c>
      <c r="D2354" s="1">
        <f>IFERROR(__xludf.DUMMYFUNCTION("""COMPUTED_VALUE"""),85.42)</f>
        <v>85.42</v>
      </c>
      <c r="E2354" s="1">
        <f>IFERROR(__xludf.DUMMYFUNCTION("""COMPUTED_VALUE"""),88.15)</f>
        <v>88.15</v>
      </c>
      <c r="F2354" s="1">
        <f>IFERROR(__xludf.DUMMYFUNCTION("""COMPUTED_VALUE"""),2018469.0)</f>
        <v>2018469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IFERROR(__xludf.DUMMYFUNCTION("""COMPUTED_VALUE"""),88.54)</f>
        <v>88.54</v>
      </c>
      <c r="C2355" s="1">
        <f>IFERROR(__xludf.DUMMYFUNCTION("""COMPUTED_VALUE"""),89.96)</f>
        <v>89.96</v>
      </c>
      <c r="D2355" s="1">
        <f>IFERROR(__xludf.DUMMYFUNCTION("""COMPUTED_VALUE"""),86.29)</f>
        <v>86.29</v>
      </c>
      <c r="E2355" s="1">
        <f>IFERROR(__xludf.DUMMYFUNCTION("""COMPUTED_VALUE"""),88.01)</f>
        <v>88.01</v>
      </c>
      <c r="F2355" s="1">
        <f>IFERROR(__xludf.DUMMYFUNCTION("""COMPUTED_VALUE"""),1190360.0)</f>
        <v>1190360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IFERROR(__xludf.DUMMYFUNCTION("""COMPUTED_VALUE"""),85.54)</f>
        <v>85.54</v>
      </c>
      <c r="C2356" s="1">
        <f>IFERROR(__xludf.DUMMYFUNCTION("""COMPUTED_VALUE"""),85.65)</f>
        <v>85.65</v>
      </c>
      <c r="D2356" s="1">
        <f>IFERROR(__xludf.DUMMYFUNCTION("""COMPUTED_VALUE"""),81.31)</f>
        <v>81.31</v>
      </c>
      <c r="E2356" s="1">
        <f>IFERROR(__xludf.DUMMYFUNCTION("""COMPUTED_VALUE"""),81.93)</f>
        <v>81.93</v>
      </c>
      <c r="F2356" s="1">
        <f>IFERROR(__xludf.DUMMYFUNCTION("""COMPUTED_VALUE"""),2020778.0)</f>
        <v>2020778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IFERROR(__xludf.DUMMYFUNCTION("""COMPUTED_VALUE"""),82.75)</f>
        <v>82.75</v>
      </c>
      <c r="C2357" s="1">
        <f>IFERROR(__xludf.DUMMYFUNCTION("""COMPUTED_VALUE"""),85.09)</f>
        <v>85.09</v>
      </c>
      <c r="D2357" s="1">
        <f>IFERROR(__xludf.DUMMYFUNCTION("""COMPUTED_VALUE"""),82.14)</f>
        <v>82.14</v>
      </c>
      <c r="E2357" s="1">
        <f>IFERROR(__xludf.DUMMYFUNCTION("""COMPUTED_VALUE"""),84.03)</f>
        <v>84.03</v>
      </c>
      <c r="F2357" s="1">
        <f>IFERROR(__xludf.DUMMYFUNCTION("""COMPUTED_VALUE"""),1388059.0)</f>
        <v>1388059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IFERROR(__xludf.DUMMYFUNCTION("""COMPUTED_VALUE"""),84.1)</f>
        <v>84.1</v>
      </c>
      <c r="C2358" s="1">
        <f>IFERROR(__xludf.DUMMYFUNCTION("""COMPUTED_VALUE"""),87.37)</f>
        <v>87.37</v>
      </c>
      <c r="D2358" s="1">
        <f>IFERROR(__xludf.DUMMYFUNCTION("""COMPUTED_VALUE"""),83.66)</f>
        <v>83.66</v>
      </c>
      <c r="E2358" s="1">
        <f>IFERROR(__xludf.DUMMYFUNCTION("""COMPUTED_VALUE"""),85.6)</f>
        <v>85.6</v>
      </c>
      <c r="F2358" s="1">
        <f>IFERROR(__xludf.DUMMYFUNCTION("""COMPUTED_VALUE"""),1625214.0)</f>
        <v>1625214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IFERROR(__xludf.DUMMYFUNCTION("""COMPUTED_VALUE"""),86.01)</f>
        <v>86.01</v>
      </c>
      <c r="C2359" s="1">
        <f>IFERROR(__xludf.DUMMYFUNCTION("""COMPUTED_VALUE"""),87.27)</f>
        <v>87.27</v>
      </c>
      <c r="D2359" s="1">
        <f>IFERROR(__xludf.DUMMYFUNCTION("""COMPUTED_VALUE"""),85.73)</f>
        <v>85.73</v>
      </c>
      <c r="E2359" s="1">
        <f>IFERROR(__xludf.DUMMYFUNCTION("""COMPUTED_VALUE"""),85.87)</f>
        <v>85.87</v>
      </c>
      <c r="F2359" s="1">
        <f>IFERROR(__xludf.DUMMYFUNCTION("""COMPUTED_VALUE"""),1354934.0)</f>
        <v>1354934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IFERROR(__xludf.DUMMYFUNCTION("""COMPUTED_VALUE"""),84.6)</f>
        <v>84.6</v>
      </c>
      <c r="C2360" s="1">
        <f>IFERROR(__xludf.DUMMYFUNCTION("""COMPUTED_VALUE"""),85.33)</f>
        <v>85.33</v>
      </c>
      <c r="D2360" s="1">
        <f>IFERROR(__xludf.DUMMYFUNCTION("""COMPUTED_VALUE"""),83.21)</f>
        <v>83.21</v>
      </c>
      <c r="E2360" s="1">
        <f>IFERROR(__xludf.DUMMYFUNCTION("""COMPUTED_VALUE"""),84.66)</f>
        <v>84.66</v>
      </c>
      <c r="F2360" s="1">
        <f>IFERROR(__xludf.DUMMYFUNCTION("""COMPUTED_VALUE"""),1013513.0)</f>
        <v>1013513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IFERROR(__xludf.DUMMYFUNCTION("""COMPUTED_VALUE"""),83.62)</f>
        <v>83.62</v>
      </c>
      <c r="C2361" s="1">
        <f>IFERROR(__xludf.DUMMYFUNCTION("""COMPUTED_VALUE"""),83.94)</f>
        <v>83.94</v>
      </c>
      <c r="D2361" s="1">
        <f>IFERROR(__xludf.DUMMYFUNCTION("""COMPUTED_VALUE"""),81.66)</f>
        <v>81.66</v>
      </c>
      <c r="E2361" s="1">
        <f>IFERROR(__xludf.DUMMYFUNCTION("""COMPUTED_VALUE"""),83.12)</f>
        <v>83.12</v>
      </c>
      <c r="F2361" s="1">
        <f>IFERROR(__xludf.DUMMYFUNCTION("""COMPUTED_VALUE"""),1600298.0)</f>
        <v>1600298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IFERROR(__xludf.DUMMYFUNCTION("""COMPUTED_VALUE"""),83.5)</f>
        <v>83.5</v>
      </c>
      <c r="C2362" s="1">
        <f>IFERROR(__xludf.DUMMYFUNCTION("""COMPUTED_VALUE"""),85.5)</f>
        <v>85.5</v>
      </c>
      <c r="D2362" s="1">
        <f>IFERROR(__xludf.DUMMYFUNCTION("""COMPUTED_VALUE"""),82.75)</f>
        <v>82.75</v>
      </c>
      <c r="E2362" s="1">
        <f>IFERROR(__xludf.DUMMYFUNCTION("""COMPUTED_VALUE"""),84.52)</f>
        <v>84.52</v>
      </c>
      <c r="F2362" s="1">
        <f>IFERROR(__xludf.DUMMYFUNCTION("""COMPUTED_VALUE"""),1211790.0)</f>
        <v>1211790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IFERROR(__xludf.DUMMYFUNCTION("""COMPUTED_VALUE"""),84.14)</f>
        <v>84.14</v>
      </c>
      <c r="C2363" s="1">
        <f>IFERROR(__xludf.DUMMYFUNCTION("""COMPUTED_VALUE"""),85.53)</f>
        <v>85.53</v>
      </c>
      <c r="D2363" s="1">
        <f>IFERROR(__xludf.DUMMYFUNCTION("""COMPUTED_VALUE"""),82.01)</f>
        <v>82.01</v>
      </c>
      <c r="E2363" s="1">
        <f>IFERROR(__xludf.DUMMYFUNCTION("""COMPUTED_VALUE"""),82.84)</f>
        <v>82.84</v>
      </c>
      <c r="F2363" s="1">
        <f>IFERROR(__xludf.DUMMYFUNCTION("""COMPUTED_VALUE"""),1056143.0)</f>
        <v>1056143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IFERROR(__xludf.DUMMYFUNCTION("""COMPUTED_VALUE"""),81.09)</f>
        <v>81.09</v>
      </c>
      <c r="C2364" s="1">
        <f>IFERROR(__xludf.DUMMYFUNCTION("""COMPUTED_VALUE"""),82.0)</f>
        <v>82</v>
      </c>
      <c r="D2364" s="1">
        <f>IFERROR(__xludf.DUMMYFUNCTION("""COMPUTED_VALUE"""),80.18)</f>
        <v>80.18</v>
      </c>
      <c r="E2364" s="1">
        <f>IFERROR(__xludf.DUMMYFUNCTION("""COMPUTED_VALUE"""),81.17)</f>
        <v>81.17</v>
      </c>
      <c r="F2364" s="1">
        <f>IFERROR(__xludf.DUMMYFUNCTION("""COMPUTED_VALUE"""),1210935.0)</f>
        <v>1210935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IFERROR(__xludf.DUMMYFUNCTION("""COMPUTED_VALUE"""),81.75)</f>
        <v>81.75</v>
      </c>
      <c r="C2365" s="1">
        <f>IFERROR(__xludf.DUMMYFUNCTION("""COMPUTED_VALUE"""),81.99)</f>
        <v>81.99</v>
      </c>
      <c r="D2365" s="1">
        <f>IFERROR(__xludf.DUMMYFUNCTION("""COMPUTED_VALUE"""),81.03)</f>
        <v>81.03</v>
      </c>
      <c r="E2365" s="1">
        <f>IFERROR(__xludf.DUMMYFUNCTION("""COMPUTED_VALUE"""),81.54)</f>
        <v>81.54</v>
      </c>
      <c r="F2365" s="1">
        <f>IFERROR(__xludf.DUMMYFUNCTION("""COMPUTED_VALUE"""),1003973.0)</f>
        <v>1003973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IFERROR(__xludf.DUMMYFUNCTION("""COMPUTED_VALUE"""),82.27)</f>
        <v>82.27</v>
      </c>
      <c r="C2366" s="1">
        <f>IFERROR(__xludf.DUMMYFUNCTION("""COMPUTED_VALUE"""),85.42)</f>
        <v>85.42</v>
      </c>
      <c r="D2366" s="1">
        <f>IFERROR(__xludf.DUMMYFUNCTION("""COMPUTED_VALUE"""),82.22)</f>
        <v>82.22</v>
      </c>
      <c r="E2366" s="1">
        <f>IFERROR(__xludf.DUMMYFUNCTION("""COMPUTED_VALUE"""),82.77)</f>
        <v>82.77</v>
      </c>
      <c r="F2366" s="1">
        <f>IFERROR(__xludf.DUMMYFUNCTION("""COMPUTED_VALUE"""),2240915.0)</f>
        <v>2240915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IFERROR(__xludf.DUMMYFUNCTION("""COMPUTED_VALUE"""),82.26)</f>
        <v>82.26</v>
      </c>
      <c r="C2367" s="1">
        <f>IFERROR(__xludf.DUMMYFUNCTION("""COMPUTED_VALUE"""),83.98)</f>
        <v>83.98</v>
      </c>
      <c r="D2367" s="1">
        <f>IFERROR(__xludf.DUMMYFUNCTION("""COMPUTED_VALUE"""),81.9)</f>
        <v>81.9</v>
      </c>
      <c r="E2367" s="1">
        <f>IFERROR(__xludf.DUMMYFUNCTION("""COMPUTED_VALUE"""),83.19)</f>
        <v>83.19</v>
      </c>
      <c r="F2367" s="1">
        <f>IFERROR(__xludf.DUMMYFUNCTION("""COMPUTED_VALUE"""),943266.0)</f>
        <v>943266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IFERROR(__xludf.DUMMYFUNCTION("""COMPUTED_VALUE"""),83.59)</f>
        <v>83.59</v>
      </c>
      <c r="C2368" s="1">
        <f>IFERROR(__xludf.DUMMYFUNCTION("""COMPUTED_VALUE"""),85.24)</f>
        <v>85.24</v>
      </c>
      <c r="D2368" s="1">
        <f>IFERROR(__xludf.DUMMYFUNCTION("""COMPUTED_VALUE"""),83.56)</f>
        <v>83.56</v>
      </c>
      <c r="E2368" s="1">
        <f>IFERROR(__xludf.DUMMYFUNCTION("""COMPUTED_VALUE"""),84.11)</f>
        <v>84.11</v>
      </c>
      <c r="F2368" s="1">
        <f>IFERROR(__xludf.DUMMYFUNCTION("""COMPUTED_VALUE"""),962216.0)</f>
        <v>962216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IFERROR(__xludf.DUMMYFUNCTION("""COMPUTED_VALUE"""),83.82)</f>
        <v>83.82</v>
      </c>
      <c r="C2369" s="1">
        <f>IFERROR(__xludf.DUMMYFUNCTION("""COMPUTED_VALUE"""),86.32)</f>
        <v>86.32</v>
      </c>
      <c r="D2369" s="1">
        <f>IFERROR(__xludf.DUMMYFUNCTION("""COMPUTED_VALUE"""),83.37)</f>
        <v>83.37</v>
      </c>
      <c r="E2369" s="1">
        <f>IFERROR(__xludf.DUMMYFUNCTION("""COMPUTED_VALUE"""),85.65)</f>
        <v>85.65</v>
      </c>
      <c r="F2369" s="1">
        <f>IFERROR(__xludf.DUMMYFUNCTION("""COMPUTED_VALUE"""),1147530.0)</f>
        <v>1147530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IFERROR(__xludf.DUMMYFUNCTION("""COMPUTED_VALUE"""),85.65)</f>
        <v>85.65</v>
      </c>
      <c r="C2370" s="1">
        <f>IFERROR(__xludf.DUMMYFUNCTION("""COMPUTED_VALUE"""),88.53)</f>
        <v>88.53</v>
      </c>
      <c r="D2370" s="1">
        <f>IFERROR(__xludf.DUMMYFUNCTION("""COMPUTED_VALUE"""),85.12)</f>
        <v>85.12</v>
      </c>
      <c r="E2370" s="1">
        <f>IFERROR(__xludf.DUMMYFUNCTION("""COMPUTED_VALUE"""),87.98)</f>
        <v>87.98</v>
      </c>
      <c r="F2370" s="1">
        <f>IFERROR(__xludf.DUMMYFUNCTION("""COMPUTED_VALUE"""),1790886.0)</f>
        <v>1790886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IFERROR(__xludf.DUMMYFUNCTION("""COMPUTED_VALUE"""),88.09)</f>
        <v>88.09</v>
      </c>
      <c r="C2371" s="1">
        <f>IFERROR(__xludf.DUMMYFUNCTION("""COMPUTED_VALUE"""),91.11)</f>
        <v>91.11</v>
      </c>
      <c r="D2371" s="1">
        <f>IFERROR(__xludf.DUMMYFUNCTION("""COMPUTED_VALUE"""),87.51)</f>
        <v>87.51</v>
      </c>
      <c r="E2371" s="1">
        <f>IFERROR(__xludf.DUMMYFUNCTION("""COMPUTED_VALUE"""),90.89)</f>
        <v>90.89</v>
      </c>
      <c r="F2371" s="1">
        <f>IFERROR(__xludf.DUMMYFUNCTION("""COMPUTED_VALUE"""),1811658.0)</f>
        <v>1811658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IFERROR(__xludf.DUMMYFUNCTION("""COMPUTED_VALUE"""),91.55)</f>
        <v>91.55</v>
      </c>
      <c r="C2372" s="1">
        <f>IFERROR(__xludf.DUMMYFUNCTION("""COMPUTED_VALUE"""),91.57)</f>
        <v>91.57</v>
      </c>
      <c r="D2372" s="1">
        <f>IFERROR(__xludf.DUMMYFUNCTION("""COMPUTED_VALUE"""),86.92)</f>
        <v>86.92</v>
      </c>
      <c r="E2372" s="1">
        <f>IFERROR(__xludf.DUMMYFUNCTION("""COMPUTED_VALUE"""),88.5)</f>
        <v>88.5</v>
      </c>
      <c r="F2372" s="1">
        <f>IFERROR(__xludf.DUMMYFUNCTION("""COMPUTED_VALUE"""),1243535.0)</f>
        <v>1243535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IFERROR(__xludf.DUMMYFUNCTION("""COMPUTED_VALUE"""),88.12)</f>
        <v>88.12</v>
      </c>
      <c r="C2373" s="1">
        <f>IFERROR(__xludf.DUMMYFUNCTION("""COMPUTED_VALUE"""),88.5)</f>
        <v>88.5</v>
      </c>
      <c r="D2373" s="1">
        <f>IFERROR(__xludf.DUMMYFUNCTION("""COMPUTED_VALUE"""),87.01)</f>
        <v>87.01</v>
      </c>
      <c r="E2373" s="1">
        <f>IFERROR(__xludf.DUMMYFUNCTION("""COMPUTED_VALUE"""),88.0)</f>
        <v>88</v>
      </c>
      <c r="F2373" s="1">
        <f>IFERROR(__xludf.DUMMYFUNCTION("""COMPUTED_VALUE"""),1006139.0)</f>
        <v>1006139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IFERROR(__xludf.DUMMYFUNCTION("""COMPUTED_VALUE"""),88.8)</f>
        <v>88.8</v>
      </c>
      <c r="C2374" s="1">
        <f>IFERROR(__xludf.DUMMYFUNCTION("""COMPUTED_VALUE"""),90.31)</f>
        <v>90.31</v>
      </c>
      <c r="D2374" s="1">
        <f>IFERROR(__xludf.DUMMYFUNCTION("""COMPUTED_VALUE"""),88.26)</f>
        <v>88.26</v>
      </c>
      <c r="E2374" s="1">
        <f>IFERROR(__xludf.DUMMYFUNCTION("""COMPUTED_VALUE"""),89.29)</f>
        <v>89.29</v>
      </c>
      <c r="F2374" s="1">
        <f>IFERROR(__xludf.DUMMYFUNCTION("""COMPUTED_VALUE"""),888316.0)</f>
        <v>888316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IFERROR(__xludf.DUMMYFUNCTION("""COMPUTED_VALUE"""),90.3)</f>
        <v>90.3</v>
      </c>
      <c r="C2375" s="1">
        <f>IFERROR(__xludf.DUMMYFUNCTION("""COMPUTED_VALUE"""),91.64)</f>
        <v>91.64</v>
      </c>
      <c r="D2375" s="1">
        <f>IFERROR(__xludf.DUMMYFUNCTION("""COMPUTED_VALUE"""),89.3)</f>
        <v>89.3</v>
      </c>
      <c r="E2375" s="1">
        <f>IFERROR(__xludf.DUMMYFUNCTION("""COMPUTED_VALUE"""),89.44)</f>
        <v>89.44</v>
      </c>
      <c r="F2375" s="1">
        <f>IFERROR(__xludf.DUMMYFUNCTION("""COMPUTED_VALUE"""),948843.0)</f>
        <v>948843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IFERROR(__xludf.DUMMYFUNCTION("""COMPUTED_VALUE"""),91.3)</f>
        <v>91.3</v>
      </c>
      <c r="C2376" s="1">
        <f>IFERROR(__xludf.DUMMYFUNCTION("""COMPUTED_VALUE"""),92.85)</f>
        <v>92.85</v>
      </c>
      <c r="D2376" s="1">
        <f>IFERROR(__xludf.DUMMYFUNCTION("""COMPUTED_VALUE"""),90.16)</f>
        <v>90.16</v>
      </c>
      <c r="E2376" s="1">
        <f>IFERROR(__xludf.DUMMYFUNCTION("""COMPUTED_VALUE"""),91.35)</f>
        <v>91.35</v>
      </c>
      <c r="F2376" s="1">
        <f>IFERROR(__xludf.DUMMYFUNCTION("""COMPUTED_VALUE"""),844926.0)</f>
        <v>844926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IFERROR(__xludf.DUMMYFUNCTION("""COMPUTED_VALUE"""),90.26)</f>
        <v>90.26</v>
      </c>
      <c r="C2377" s="1">
        <f>IFERROR(__xludf.DUMMYFUNCTION("""COMPUTED_VALUE"""),90.7)</f>
        <v>90.7</v>
      </c>
      <c r="D2377" s="1">
        <f>IFERROR(__xludf.DUMMYFUNCTION("""COMPUTED_VALUE"""),88.67)</f>
        <v>88.67</v>
      </c>
      <c r="E2377" s="1">
        <f>IFERROR(__xludf.DUMMYFUNCTION("""COMPUTED_VALUE"""),89.6)</f>
        <v>89.6</v>
      </c>
      <c r="F2377" s="1">
        <f>IFERROR(__xludf.DUMMYFUNCTION("""COMPUTED_VALUE"""),723414.0)</f>
        <v>723414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IFERROR(__xludf.DUMMYFUNCTION("""COMPUTED_VALUE"""),90.14)</f>
        <v>90.14</v>
      </c>
      <c r="C2378" s="1">
        <f>IFERROR(__xludf.DUMMYFUNCTION("""COMPUTED_VALUE"""),90.53)</f>
        <v>90.53</v>
      </c>
      <c r="D2378" s="1">
        <f>IFERROR(__xludf.DUMMYFUNCTION("""COMPUTED_VALUE"""),89.43)</f>
        <v>89.43</v>
      </c>
      <c r="E2378" s="1">
        <f>IFERROR(__xludf.DUMMYFUNCTION("""COMPUTED_VALUE"""),90.19)</f>
        <v>90.19</v>
      </c>
      <c r="F2378" s="1">
        <f>IFERROR(__xludf.DUMMYFUNCTION("""COMPUTED_VALUE"""),668201.0)</f>
        <v>668201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IFERROR(__xludf.DUMMYFUNCTION("""COMPUTED_VALUE"""),89.87)</f>
        <v>89.87</v>
      </c>
      <c r="C2379" s="1">
        <f>IFERROR(__xludf.DUMMYFUNCTION("""COMPUTED_VALUE"""),90.82)</f>
        <v>90.82</v>
      </c>
      <c r="D2379" s="1">
        <f>IFERROR(__xludf.DUMMYFUNCTION("""COMPUTED_VALUE"""),89.15)</f>
        <v>89.15</v>
      </c>
      <c r="E2379" s="1">
        <f>IFERROR(__xludf.DUMMYFUNCTION("""COMPUTED_VALUE"""),90.76)</f>
        <v>90.76</v>
      </c>
      <c r="F2379" s="1">
        <f>IFERROR(__xludf.DUMMYFUNCTION("""COMPUTED_VALUE"""),646375.0)</f>
        <v>646375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IFERROR(__xludf.DUMMYFUNCTION("""COMPUTED_VALUE"""),90.69)</f>
        <v>90.69</v>
      </c>
      <c r="C2380" s="1">
        <f>IFERROR(__xludf.DUMMYFUNCTION("""COMPUTED_VALUE"""),90.73)</f>
        <v>90.73</v>
      </c>
      <c r="D2380" s="1">
        <f>IFERROR(__xludf.DUMMYFUNCTION("""COMPUTED_VALUE"""),87.06)</f>
        <v>87.06</v>
      </c>
      <c r="E2380" s="1">
        <f>IFERROR(__xludf.DUMMYFUNCTION("""COMPUTED_VALUE"""),89.17)</f>
        <v>89.17</v>
      </c>
      <c r="F2380" s="1">
        <f>IFERROR(__xludf.DUMMYFUNCTION("""COMPUTED_VALUE"""),573209.0)</f>
        <v>573209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IFERROR(__xludf.DUMMYFUNCTION("""COMPUTED_VALUE"""),90.33)</f>
        <v>90.33</v>
      </c>
      <c r="C2381" s="1">
        <f>IFERROR(__xludf.DUMMYFUNCTION("""COMPUTED_VALUE"""),92.68)</f>
        <v>92.68</v>
      </c>
      <c r="D2381" s="1">
        <f>IFERROR(__xludf.DUMMYFUNCTION("""COMPUTED_VALUE"""),89.35)</f>
        <v>89.35</v>
      </c>
      <c r="E2381" s="1">
        <f>IFERROR(__xludf.DUMMYFUNCTION("""COMPUTED_VALUE"""),91.59)</f>
        <v>91.59</v>
      </c>
      <c r="F2381" s="1">
        <f>IFERROR(__xludf.DUMMYFUNCTION("""COMPUTED_VALUE"""),860646.0)</f>
        <v>860646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IFERROR(__xludf.DUMMYFUNCTION("""COMPUTED_VALUE"""),92.57)</f>
        <v>92.57</v>
      </c>
      <c r="C2382" s="1">
        <f>IFERROR(__xludf.DUMMYFUNCTION("""COMPUTED_VALUE"""),93.69)</f>
        <v>93.69</v>
      </c>
      <c r="D2382" s="1">
        <f>IFERROR(__xludf.DUMMYFUNCTION("""COMPUTED_VALUE"""),91.52)</f>
        <v>91.52</v>
      </c>
      <c r="E2382" s="1">
        <f>IFERROR(__xludf.DUMMYFUNCTION("""COMPUTED_VALUE"""),93.41)</f>
        <v>93.41</v>
      </c>
      <c r="F2382" s="1">
        <f>IFERROR(__xludf.DUMMYFUNCTION("""COMPUTED_VALUE"""),1083288.0)</f>
        <v>1083288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IFERROR(__xludf.DUMMYFUNCTION("""COMPUTED_VALUE"""),94.69)</f>
        <v>94.69</v>
      </c>
      <c r="C2383" s="1">
        <f>IFERROR(__xludf.DUMMYFUNCTION("""COMPUTED_VALUE"""),95.95)</f>
        <v>95.95</v>
      </c>
      <c r="D2383" s="1">
        <f>IFERROR(__xludf.DUMMYFUNCTION("""COMPUTED_VALUE"""),93.34)</f>
        <v>93.34</v>
      </c>
      <c r="E2383" s="1">
        <f>IFERROR(__xludf.DUMMYFUNCTION("""COMPUTED_VALUE"""),93.48)</f>
        <v>93.48</v>
      </c>
      <c r="F2383" s="1">
        <f>IFERROR(__xludf.DUMMYFUNCTION("""COMPUTED_VALUE"""),1533982.0)</f>
        <v>1533982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IFERROR(__xludf.DUMMYFUNCTION("""COMPUTED_VALUE"""),93.24)</f>
        <v>93.24</v>
      </c>
      <c r="C2384" s="1">
        <f>IFERROR(__xludf.DUMMYFUNCTION("""COMPUTED_VALUE"""),94.85)</f>
        <v>94.85</v>
      </c>
      <c r="D2384" s="1">
        <f>IFERROR(__xludf.DUMMYFUNCTION("""COMPUTED_VALUE"""),92.09)</f>
        <v>92.09</v>
      </c>
      <c r="E2384" s="1">
        <f>IFERROR(__xludf.DUMMYFUNCTION("""COMPUTED_VALUE"""),94.6)</f>
        <v>94.6</v>
      </c>
      <c r="F2384" s="1">
        <f>IFERROR(__xludf.DUMMYFUNCTION("""COMPUTED_VALUE"""),973368.0)</f>
        <v>973368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IFERROR(__xludf.DUMMYFUNCTION("""COMPUTED_VALUE"""),94.99)</f>
        <v>94.99</v>
      </c>
      <c r="C2385" s="1">
        <f>IFERROR(__xludf.DUMMYFUNCTION("""COMPUTED_VALUE"""),95.29)</f>
        <v>95.29</v>
      </c>
      <c r="D2385" s="1">
        <f>IFERROR(__xludf.DUMMYFUNCTION("""COMPUTED_VALUE"""),92.4)</f>
        <v>92.4</v>
      </c>
      <c r="E2385" s="1">
        <f>IFERROR(__xludf.DUMMYFUNCTION("""COMPUTED_VALUE"""),93.67)</f>
        <v>93.67</v>
      </c>
      <c r="F2385" s="1">
        <f>IFERROR(__xludf.DUMMYFUNCTION("""COMPUTED_VALUE"""),987814.0)</f>
        <v>987814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IFERROR(__xludf.DUMMYFUNCTION("""COMPUTED_VALUE"""),92.62)</f>
        <v>92.62</v>
      </c>
      <c r="C2386" s="1">
        <f>IFERROR(__xludf.DUMMYFUNCTION("""COMPUTED_VALUE"""),93.6)</f>
        <v>93.6</v>
      </c>
      <c r="D2386" s="1">
        <f>IFERROR(__xludf.DUMMYFUNCTION("""COMPUTED_VALUE"""),90.82)</f>
        <v>90.82</v>
      </c>
      <c r="E2386" s="1">
        <f>IFERROR(__xludf.DUMMYFUNCTION("""COMPUTED_VALUE"""),91.35)</f>
        <v>91.35</v>
      </c>
      <c r="F2386" s="1">
        <f>IFERROR(__xludf.DUMMYFUNCTION("""COMPUTED_VALUE"""),1142419.0)</f>
        <v>1142419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IFERROR(__xludf.DUMMYFUNCTION("""COMPUTED_VALUE"""),92.27)</f>
        <v>92.27</v>
      </c>
      <c r="C2387" s="1">
        <f>IFERROR(__xludf.DUMMYFUNCTION("""COMPUTED_VALUE"""),96.16)</f>
        <v>96.16</v>
      </c>
      <c r="D2387" s="1">
        <f>IFERROR(__xludf.DUMMYFUNCTION("""COMPUTED_VALUE"""),91.92)</f>
        <v>91.92</v>
      </c>
      <c r="E2387" s="1">
        <f>IFERROR(__xludf.DUMMYFUNCTION("""COMPUTED_VALUE"""),95.62)</f>
        <v>95.62</v>
      </c>
      <c r="F2387" s="1">
        <f>IFERROR(__xludf.DUMMYFUNCTION("""COMPUTED_VALUE"""),1747210.0)</f>
        <v>1747210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IFERROR(__xludf.DUMMYFUNCTION("""COMPUTED_VALUE"""),96.25)</f>
        <v>96.25</v>
      </c>
      <c r="C2388" s="1">
        <f>IFERROR(__xludf.DUMMYFUNCTION("""COMPUTED_VALUE"""),97.83)</f>
        <v>97.83</v>
      </c>
      <c r="D2388" s="1">
        <f>IFERROR(__xludf.DUMMYFUNCTION("""COMPUTED_VALUE"""),94.53)</f>
        <v>94.53</v>
      </c>
      <c r="E2388" s="1">
        <f>IFERROR(__xludf.DUMMYFUNCTION("""COMPUTED_VALUE"""),95.75)</f>
        <v>95.75</v>
      </c>
      <c r="F2388" s="1">
        <f>IFERROR(__xludf.DUMMYFUNCTION("""COMPUTED_VALUE"""),1179857.0)</f>
        <v>1179857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IFERROR(__xludf.DUMMYFUNCTION("""COMPUTED_VALUE"""),95.74)</f>
        <v>95.74</v>
      </c>
      <c r="C2389" s="1">
        <f>IFERROR(__xludf.DUMMYFUNCTION("""COMPUTED_VALUE"""),96.77)</f>
        <v>96.77</v>
      </c>
      <c r="D2389" s="1">
        <f>IFERROR(__xludf.DUMMYFUNCTION("""COMPUTED_VALUE"""),95.04)</f>
        <v>95.04</v>
      </c>
      <c r="E2389" s="1">
        <f>IFERROR(__xludf.DUMMYFUNCTION("""COMPUTED_VALUE"""),96.58)</f>
        <v>96.58</v>
      </c>
      <c r="F2389" s="1">
        <f>IFERROR(__xludf.DUMMYFUNCTION("""COMPUTED_VALUE"""),964809.0)</f>
        <v>964809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IFERROR(__xludf.DUMMYFUNCTION("""COMPUTED_VALUE"""),99.56)</f>
        <v>99.56</v>
      </c>
      <c r="C2390" s="1">
        <f>IFERROR(__xludf.DUMMYFUNCTION("""COMPUTED_VALUE"""),101.46)</f>
        <v>101.46</v>
      </c>
      <c r="D2390" s="1">
        <f>IFERROR(__xludf.DUMMYFUNCTION("""COMPUTED_VALUE"""),97.55)</f>
        <v>97.55</v>
      </c>
      <c r="E2390" s="1">
        <f>IFERROR(__xludf.DUMMYFUNCTION("""COMPUTED_VALUE"""),98.42)</f>
        <v>98.42</v>
      </c>
      <c r="F2390" s="1">
        <f>IFERROR(__xludf.DUMMYFUNCTION("""COMPUTED_VALUE"""),1663765.0)</f>
        <v>1663765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IFERROR(__xludf.DUMMYFUNCTION("""COMPUTED_VALUE"""),98.27)</f>
        <v>98.27</v>
      </c>
      <c r="C2391" s="1">
        <f>IFERROR(__xludf.DUMMYFUNCTION("""COMPUTED_VALUE"""),98.96)</f>
        <v>98.96</v>
      </c>
      <c r="D2391" s="1">
        <f>IFERROR(__xludf.DUMMYFUNCTION("""COMPUTED_VALUE"""),96.73)</f>
        <v>96.73</v>
      </c>
      <c r="E2391" s="1">
        <f>IFERROR(__xludf.DUMMYFUNCTION("""COMPUTED_VALUE"""),97.92)</f>
        <v>97.92</v>
      </c>
      <c r="F2391" s="1">
        <f>IFERROR(__xludf.DUMMYFUNCTION("""COMPUTED_VALUE"""),1610677.0)</f>
        <v>1610677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IFERROR(__xludf.DUMMYFUNCTION("""COMPUTED_VALUE"""),97.86)</f>
        <v>97.86</v>
      </c>
      <c r="C2392" s="1">
        <f>IFERROR(__xludf.DUMMYFUNCTION("""COMPUTED_VALUE"""),97.97)</f>
        <v>97.97</v>
      </c>
      <c r="D2392" s="1">
        <f>IFERROR(__xludf.DUMMYFUNCTION("""COMPUTED_VALUE"""),96.2)</f>
        <v>96.2</v>
      </c>
      <c r="E2392" s="1">
        <f>IFERROR(__xludf.DUMMYFUNCTION("""COMPUTED_VALUE"""),97.08)</f>
        <v>97.08</v>
      </c>
      <c r="F2392" s="1">
        <f>IFERROR(__xludf.DUMMYFUNCTION("""COMPUTED_VALUE"""),472503.0)</f>
        <v>472503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IFERROR(__xludf.DUMMYFUNCTION("""COMPUTED_VALUE"""),97.08)</f>
        <v>97.08</v>
      </c>
      <c r="C2393" s="1">
        <f>IFERROR(__xludf.DUMMYFUNCTION("""COMPUTED_VALUE"""),97.31)</f>
        <v>97.31</v>
      </c>
      <c r="D2393" s="1">
        <f>IFERROR(__xludf.DUMMYFUNCTION("""COMPUTED_VALUE"""),95.62)</f>
        <v>95.62</v>
      </c>
      <c r="E2393" s="1">
        <f>IFERROR(__xludf.DUMMYFUNCTION("""COMPUTED_VALUE"""),95.88)</f>
        <v>95.88</v>
      </c>
      <c r="F2393" s="1">
        <f>IFERROR(__xludf.DUMMYFUNCTION("""COMPUTED_VALUE"""),842799.0)</f>
        <v>842799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IFERROR(__xludf.DUMMYFUNCTION("""COMPUTED_VALUE"""),95.43)</f>
        <v>95.43</v>
      </c>
      <c r="C2394" s="1">
        <f>IFERROR(__xludf.DUMMYFUNCTION("""COMPUTED_VALUE"""),95.48)</f>
        <v>95.48</v>
      </c>
      <c r="D2394" s="1">
        <f>IFERROR(__xludf.DUMMYFUNCTION("""COMPUTED_VALUE"""),90.8)</f>
        <v>90.8</v>
      </c>
      <c r="E2394" s="1">
        <f>IFERROR(__xludf.DUMMYFUNCTION("""COMPUTED_VALUE"""),90.99)</f>
        <v>90.99</v>
      </c>
      <c r="F2394" s="1">
        <f>IFERROR(__xludf.DUMMYFUNCTION("""COMPUTED_VALUE"""),1770765.0)</f>
        <v>1770765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IFERROR(__xludf.DUMMYFUNCTION("""COMPUTED_VALUE"""),90.85)</f>
        <v>90.85</v>
      </c>
      <c r="C2395" s="1">
        <f>IFERROR(__xludf.DUMMYFUNCTION("""COMPUTED_VALUE"""),93.33)</f>
        <v>93.33</v>
      </c>
      <c r="D2395" s="1">
        <f>IFERROR(__xludf.DUMMYFUNCTION("""COMPUTED_VALUE"""),90.42)</f>
        <v>90.42</v>
      </c>
      <c r="E2395" s="1">
        <f>IFERROR(__xludf.DUMMYFUNCTION("""COMPUTED_VALUE"""),93.3)</f>
        <v>93.3</v>
      </c>
      <c r="F2395" s="1">
        <f>IFERROR(__xludf.DUMMYFUNCTION("""COMPUTED_VALUE"""),1303118.0)</f>
        <v>1303118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IFERROR(__xludf.DUMMYFUNCTION("""COMPUTED_VALUE"""),93.3)</f>
        <v>93.3</v>
      </c>
      <c r="C2396" s="1">
        <f>IFERROR(__xludf.DUMMYFUNCTION("""COMPUTED_VALUE"""),93.75)</f>
        <v>93.75</v>
      </c>
      <c r="D2396" s="1">
        <f>IFERROR(__xludf.DUMMYFUNCTION("""COMPUTED_VALUE"""),90.27)</f>
        <v>90.27</v>
      </c>
      <c r="E2396" s="1">
        <f>IFERROR(__xludf.DUMMYFUNCTION("""COMPUTED_VALUE"""),90.53)</f>
        <v>90.53</v>
      </c>
      <c r="F2396" s="1">
        <f>IFERROR(__xludf.DUMMYFUNCTION("""COMPUTED_VALUE"""),938382.0)</f>
        <v>938382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IFERROR(__xludf.DUMMYFUNCTION("""COMPUTED_VALUE"""),90.98)</f>
        <v>90.98</v>
      </c>
      <c r="C2397" s="1">
        <f>IFERROR(__xludf.DUMMYFUNCTION("""COMPUTED_VALUE"""),92.16)</f>
        <v>92.16</v>
      </c>
      <c r="D2397" s="1">
        <f>IFERROR(__xludf.DUMMYFUNCTION("""COMPUTED_VALUE"""),89.88)</f>
        <v>89.88</v>
      </c>
      <c r="E2397" s="1">
        <f>IFERROR(__xludf.DUMMYFUNCTION("""COMPUTED_VALUE"""),92.03)</f>
        <v>92.03</v>
      </c>
      <c r="F2397" s="1">
        <f>IFERROR(__xludf.DUMMYFUNCTION("""COMPUTED_VALUE"""),740596.0)</f>
        <v>740596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IFERROR(__xludf.DUMMYFUNCTION("""COMPUTED_VALUE"""),92.7)</f>
        <v>92.7</v>
      </c>
      <c r="C2398" s="1">
        <f>IFERROR(__xludf.DUMMYFUNCTION("""COMPUTED_VALUE"""),94.6)</f>
        <v>94.6</v>
      </c>
      <c r="D2398" s="1">
        <f>IFERROR(__xludf.DUMMYFUNCTION("""COMPUTED_VALUE"""),91.98)</f>
        <v>91.98</v>
      </c>
      <c r="E2398" s="1">
        <f>IFERROR(__xludf.DUMMYFUNCTION("""COMPUTED_VALUE"""),92.82)</f>
        <v>92.82</v>
      </c>
      <c r="F2398" s="1">
        <f>IFERROR(__xludf.DUMMYFUNCTION("""COMPUTED_VALUE"""),1253200.0)</f>
        <v>1253200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IFERROR(__xludf.DUMMYFUNCTION("""COMPUTED_VALUE"""),94.73)</f>
        <v>94.73</v>
      </c>
      <c r="C2399" s="1">
        <f>IFERROR(__xludf.DUMMYFUNCTION("""COMPUTED_VALUE"""),97.8)</f>
        <v>97.8</v>
      </c>
      <c r="D2399" s="1">
        <f>IFERROR(__xludf.DUMMYFUNCTION("""COMPUTED_VALUE"""),94.48)</f>
        <v>94.48</v>
      </c>
      <c r="E2399" s="1">
        <f>IFERROR(__xludf.DUMMYFUNCTION("""COMPUTED_VALUE"""),94.88)</f>
        <v>94.88</v>
      </c>
      <c r="F2399" s="1">
        <f>IFERROR(__xludf.DUMMYFUNCTION("""COMPUTED_VALUE"""),1069576.0)</f>
        <v>1069576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IFERROR(__xludf.DUMMYFUNCTION("""COMPUTED_VALUE"""),94.96)</f>
        <v>94.96</v>
      </c>
      <c r="C2400" s="1">
        <f>IFERROR(__xludf.DUMMYFUNCTION("""COMPUTED_VALUE"""),98.09)</f>
        <v>98.09</v>
      </c>
      <c r="D2400" s="1">
        <f>IFERROR(__xludf.DUMMYFUNCTION("""COMPUTED_VALUE"""),94.6)</f>
        <v>94.6</v>
      </c>
      <c r="E2400" s="1">
        <f>IFERROR(__xludf.DUMMYFUNCTION("""COMPUTED_VALUE"""),96.41)</f>
        <v>96.41</v>
      </c>
      <c r="F2400" s="1">
        <f>IFERROR(__xludf.DUMMYFUNCTION("""COMPUTED_VALUE"""),977014.0)</f>
        <v>977014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IFERROR(__xludf.DUMMYFUNCTION("""COMPUTED_VALUE"""),96.85)</f>
        <v>96.85</v>
      </c>
      <c r="C2401" s="1">
        <f>IFERROR(__xludf.DUMMYFUNCTION("""COMPUTED_VALUE"""),96.93)</f>
        <v>96.93</v>
      </c>
      <c r="D2401" s="1">
        <f>IFERROR(__xludf.DUMMYFUNCTION("""COMPUTED_VALUE"""),95.77)</f>
        <v>95.77</v>
      </c>
      <c r="E2401" s="1">
        <f>IFERROR(__xludf.DUMMYFUNCTION("""COMPUTED_VALUE"""),95.87)</f>
        <v>95.87</v>
      </c>
      <c r="F2401" s="1">
        <f>IFERROR(__xludf.DUMMYFUNCTION("""COMPUTED_VALUE"""),627971.0)</f>
        <v>627971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IFERROR(__xludf.DUMMYFUNCTION("""COMPUTED_VALUE"""),95.8)</f>
        <v>95.8</v>
      </c>
      <c r="C2402" s="1">
        <f>IFERROR(__xludf.DUMMYFUNCTION("""COMPUTED_VALUE"""),97.41)</f>
        <v>97.41</v>
      </c>
      <c r="D2402" s="1">
        <f>IFERROR(__xludf.DUMMYFUNCTION("""COMPUTED_VALUE"""),94.89)</f>
        <v>94.89</v>
      </c>
      <c r="E2402" s="1">
        <f>IFERROR(__xludf.DUMMYFUNCTION("""COMPUTED_VALUE"""),96.74)</f>
        <v>96.74</v>
      </c>
      <c r="F2402" s="1">
        <f>IFERROR(__xludf.DUMMYFUNCTION("""COMPUTED_VALUE"""),728038.0)</f>
        <v>728038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IFERROR(__xludf.DUMMYFUNCTION("""COMPUTED_VALUE"""),97.84)</f>
        <v>97.84</v>
      </c>
      <c r="C2403" s="1">
        <f>IFERROR(__xludf.DUMMYFUNCTION("""COMPUTED_VALUE"""),98.87)</f>
        <v>98.87</v>
      </c>
      <c r="D2403" s="1">
        <f>IFERROR(__xludf.DUMMYFUNCTION("""COMPUTED_VALUE"""),96.99)</f>
        <v>96.99</v>
      </c>
      <c r="E2403" s="1">
        <f>IFERROR(__xludf.DUMMYFUNCTION("""COMPUTED_VALUE"""),97.0)</f>
        <v>97</v>
      </c>
      <c r="F2403" s="1">
        <f>IFERROR(__xludf.DUMMYFUNCTION("""COMPUTED_VALUE"""),1010505.0)</f>
        <v>1010505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IFERROR(__xludf.DUMMYFUNCTION("""COMPUTED_VALUE"""),97.56)</f>
        <v>97.56</v>
      </c>
      <c r="C2404" s="1">
        <f>IFERROR(__xludf.DUMMYFUNCTION("""COMPUTED_VALUE"""),98.4)</f>
        <v>98.4</v>
      </c>
      <c r="D2404" s="1">
        <f>IFERROR(__xludf.DUMMYFUNCTION("""COMPUTED_VALUE"""),96.88)</f>
        <v>96.88</v>
      </c>
      <c r="E2404" s="1">
        <f>IFERROR(__xludf.DUMMYFUNCTION("""COMPUTED_VALUE"""),98.29)</f>
        <v>98.29</v>
      </c>
      <c r="F2404" s="1">
        <f>IFERROR(__xludf.DUMMYFUNCTION("""COMPUTED_VALUE"""),1262634.0)</f>
        <v>1262634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IFERROR(__xludf.DUMMYFUNCTION("""COMPUTED_VALUE"""),105.0)</f>
        <v>105</v>
      </c>
      <c r="C2405" s="1">
        <f>IFERROR(__xludf.DUMMYFUNCTION("""COMPUTED_VALUE"""),109.9)</f>
        <v>109.9</v>
      </c>
      <c r="D2405" s="1">
        <f>IFERROR(__xludf.DUMMYFUNCTION("""COMPUTED_VALUE"""),104.5)</f>
        <v>104.5</v>
      </c>
      <c r="E2405" s="1">
        <f>IFERROR(__xludf.DUMMYFUNCTION("""COMPUTED_VALUE"""),107.32)</f>
        <v>107.32</v>
      </c>
      <c r="F2405" s="1">
        <f>IFERROR(__xludf.DUMMYFUNCTION("""COMPUTED_VALUE"""),3958749.0)</f>
        <v>3958749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IFERROR(__xludf.DUMMYFUNCTION("""COMPUTED_VALUE"""),105.94)</f>
        <v>105.94</v>
      </c>
      <c r="C2406" s="1">
        <f>IFERROR(__xludf.DUMMYFUNCTION("""COMPUTED_VALUE"""),108.87)</f>
        <v>108.87</v>
      </c>
      <c r="D2406" s="1">
        <f>IFERROR(__xludf.DUMMYFUNCTION("""COMPUTED_VALUE"""),105.73)</f>
        <v>105.73</v>
      </c>
      <c r="E2406" s="1">
        <f>IFERROR(__xludf.DUMMYFUNCTION("""COMPUTED_VALUE"""),107.14)</f>
        <v>107.14</v>
      </c>
      <c r="F2406" s="1">
        <f>IFERROR(__xludf.DUMMYFUNCTION("""COMPUTED_VALUE"""),1622322.0)</f>
        <v>1622322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IFERROR(__xludf.DUMMYFUNCTION("""COMPUTED_VALUE"""),106.25)</f>
        <v>106.25</v>
      </c>
      <c r="C2407" s="1">
        <f>IFERROR(__xludf.DUMMYFUNCTION("""COMPUTED_VALUE"""),107.98)</f>
        <v>107.98</v>
      </c>
      <c r="D2407" s="1">
        <f>IFERROR(__xludf.DUMMYFUNCTION("""COMPUTED_VALUE"""),104.68)</f>
        <v>104.68</v>
      </c>
      <c r="E2407" s="1">
        <f>IFERROR(__xludf.DUMMYFUNCTION("""COMPUTED_VALUE"""),107.93)</f>
        <v>107.93</v>
      </c>
      <c r="F2407" s="1">
        <f>IFERROR(__xludf.DUMMYFUNCTION("""COMPUTED_VALUE"""),2473152.0)</f>
        <v>2473152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IFERROR(__xludf.DUMMYFUNCTION("""COMPUTED_VALUE"""),107.0)</f>
        <v>107</v>
      </c>
      <c r="C2408" s="1">
        <f>IFERROR(__xludf.DUMMYFUNCTION("""COMPUTED_VALUE"""),107.49)</f>
        <v>107.49</v>
      </c>
      <c r="D2408" s="1">
        <f>IFERROR(__xludf.DUMMYFUNCTION("""COMPUTED_VALUE"""),104.71)</f>
        <v>104.71</v>
      </c>
      <c r="E2408" s="1">
        <f>IFERROR(__xludf.DUMMYFUNCTION("""COMPUTED_VALUE"""),105.0)</f>
        <v>105</v>
      </c>
      <c r="F2408" s="1">
        <f>IFERROR(__xludf.DUMMYFUNCTION("""COMPUTED_VALUE"""),1460520.0)</f>
        <v>1460520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IFERROR(__xludf.DUMMYFUNCTION("""COMPUTED_VALUE"""),104.5)</f>
        <v>104.5</v>
      </c>
      <c r="C2409" s="1">
        <f>IFERROR(__xludf.DUMMYFUNCTION("""COMPUTED_VALUE"""),105.19)</f>
        <v>105.19</v>
      </c>
      <c r="D2409" s="1">
        <f>IFERROR(__xludf.DUMMYFUNCTION("""COMPUTED_VALUE"""),103.85)</f>
        <v>103.85</v>
      </c>
      <c r="E2409" s="1">
        <f>IFERROR(__xludf.DUMMYFUNCTION("""COMPUTED_VALUE"""),105.0)</f>
        <v>105</v>
      </c>
      <c r="F2409" s="1">
        <f>IFERROR(__xludf.DUMMYFUNCTION("""COMPUTED_VALUE"""),1187762.0)</f>
        <v>1187762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IFERROR(__xludf.DUMMYFUNCTION("""COMPUTED_VALUE"""),104.0)</f>
        <v>104</v>
      </c>
      <c r="C2410" s="1">
        <f>IFERROR(__xludf.DUMMYFUNCTION("""COMPUTED_VALUE"""),105.32)</f>
        <v>105.32</v>
      </c>
      <c r="D2410" s="1">
        <f>IFERROR(__xludf.DUMMYFUNCTION("""COMPUTED_VALUE"""),103.41)</f>
        <v>103.41</v>
      </c>
      <c r="E2410" s="1">
        <f>IFERROR(__xludf.DUMMYFUNCTION("""COMPUTED_VALUE"""),104.94)</f>
        <v>104.94</v>
      </c>
      <c r="F2410" s="1">
        <f>IFERROR(__xludf.DUMMYFUNCTION("""COMPUTED_VALUE"""),663804.0)</f>
        <v>663804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IFERROR(__xludf.DUMMYFUNCTION("""COMPUTED_VALUE"""),105.0)</f>
        <v>105</v>
      </c>
      <c r="C2411" s="1">
        <f>IFERROR(__xludf.DUMMYFUNCTION("""COMPUTED_VALUE"""),105.68)</f>
        <v>105.68</v>
      </c>
      <c r="D2411" s="1">
        <f>IFERROR(__xludf.DUMMYFUNCTION("""COMPUTED_VALUE"""),102.99)</f>
        <v>102.99</v>
      </c>
      <c r="E2411" s="1">
        <f>IFERROR(__xludf.DUMMYFUNCTION("""COMPUTED_VALUE"""),104.31)</f>
        <v>104.31</v>
      </c>
      <c r="F2411" s="1">
        <f>IFERROR(__xludf.DUMMYFUNCTION("""COMPUTED_VALUE"""),956239.0)</f>
        <v>956239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IFERROR(__xludf.DUMMYFUNCTION("""COMPUTED_VALUE"""),104.67)</f>
        <v>104.67</v>
      </c>
      <c r="C2412" s="1">
        <f>IFERROR(__xludf.DUMMYFUNCTION("""COMPUTED_VALUE"""),108.0)</f>
        <v>108</v>
      </c>
      <c r="D2412" s="1">
        <f>IFERROR(__xludf.DUMMYFUNCTION("""COMPUTED_VALUE"""),103.31)</f>
        <v>103.31</v>
      </c>
      <c r="E2412" s="1">
        <f>IFERROR(__xludf.DUMMYFUNCTION("""COMPUTED_VALUE"""),103.85)</f>
        <v>103.85</v>
      </c>
      <c r="F2412" s="1">
        <f>IFERROR(__xludf.DUMMYFUNCTION("""COMPUTED_VALUE"""),1582069.0)</f>
        <v>1582069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IFERROR(__xludf.DUMMYFUNCTION("""COMPUTED_VALUE"""),102.35)</f>
        <v>102.35</v>
      </c>
      <c r="C2413" s="1">
        <f>IFERROR(__xludf.DUMMYFUNCTION("""COMPUTED_VALUE"""),104.89)</f>
        <v>104.89</v>
      </c>
      <c r="D2413" s="1">
        <f>IFERROR(__xludf.DUMMYFUNCTION("""COMPUTED_VALUE"""),101.01)</f>
        <v>101.01</v>
      </c>
      <c r="E2413" s="1">
        <f>IFERROR(__xludf.DUMMYFUNCTION("""COMPUTED_VALUE"""),103.17)</f>
        <v>103.17</v>
      </c>
      <c r="F2413" s="1">
        <f>IFERROR(__xludf.DUMMYFUNCTION("""COMPUTED_VALUE"""),1185380.0)</f>
        <v>1185380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IFERROR(__xludf.DUMMYFUNCTION("""COMPUTED_VALUE"""),99.0)</f>
        <v>99</v>
      </c>
      <c r="C2414" s="1">
        <f>IFERROR(__xludf.DUMMYFUNCTION("""COMPUTED_VALUE"""),100.47)</f>
        <v>100.47</v>
      </c>
      <c r="D2414" s="1">
        <f>IFERROR(__xludf.DUMMYFUNCTION("""COMPUTED_VALUE"""),97.5)</f>
        <v>97.5</v>
      </c>
      <c r="E2414" s="1">
        <f>IFERROR(__xludf.DUMMYFUNCTION("""COMPUTED_VALUE"""),99.03)</f>
        <v>99.03</v>
      </c>
      <c r="F2414" s="1">
        <f>IFERROR(__xludf.DUMMYFUNCTION("""COMPUTED_VALUE"""),2467870.0)</f>
        <v>2467870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IFERROR(__xludf.DUMMYFUNCTION("""COMPUTED_VALUE"""),99.82)</f>
        <v>99.82</v>
      </c>
      <c r="C2415" s="1">
        <f>IFERROR(__xludf.DUMMYFUNCTION("""COMPUTED_VALUE"""),100.99)</f>
        <v>100.99</v>
      </c>
      <c r="D2415" s="1">
        <f>IFERROR(__xludf.DUMMYFUNCTION("""COMPUTED_VALUE"""),99.61)</f>
        <v>99.61</v>
      </c>
      <c r="E2415" s="1">
        <f>IFERROR(__xludf.DUMMYFUNCTION("""COMPUTED_VALUE"""),100.47)</f>
        <v>100.47</v>
      </c>
      <c r="F2415" s="1">
        <f>IFERROR(__xludf.DUMMYFUNCTION("""COMPUTED_VALUE"""),1113749.0)</f>
        <v>1113749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IFERROR(__xludf.DUMMYFUNCTION("""COMPUTED_VALUE"""),99.81)</f>
        <v>99.81</v>
      </c>
      <c r="C2416" s="1">
        <f>IFERROR(__xludf.DUMMYFUNCTION("""COMPUTED_VALUE"""),102.69)</f>
        <v>102.69</v>
      </c>
      <c r="D2416" s="1">
        <f>IFERROR(__xludf.DUMMYFUNCTION("""COMPUTED_VALUE"""),98.54)</f>
        <v>98.54</v>
      </c>
      <c r="E2416" s="1">
        <f>IFERROR(__xludf.DUMMYFUNCTION("""COMPUTED_VALUE"""),102.1)</f>
        <v>102.1</v>
      </c>
      <c r="F2416" s="1">
        <f>IFERROR(__xludf.DUMMYFUNCTION("""COMPUTED_VALUE"""),867157.0)</f>
        <v>867157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IFERROR(__xludf.DUMMYFUNCTION("""COMPUTED_VALUE"""),103.39)</f>
        <v>103.39</v>
      </c>
      <c r="C2417" s="1">
        <f>IFERROR(__xludf.DUMMYFUNCTION("""COMPUTED_VALUE"""),105.13)</f>
        <v>105.13</v>
      </c>
      <c r="D2417" s="1">
        <f>IFERROR(__xludf.DUMMYFUNCTION("""COMPUTED_VALUE"""),103.01)</f>
        <v>103.01</v>
      </c>
      <c r="E2417" s="1">
        <f>IFERROR(__xludf.DUMMYFUNCTION("""COMPUTED_VALUE"""),104.22)</f>
        <v>104.22</v>
      </c>
      <c r="F2417" s="1">
        <f>IFERROR(__xludf.DUMMYFUNCTION("""COMPUTED_VALUE"""),1306515.0)</f>
        <v>1306515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IFERROR(__xludf.DUMMYFUNCTION("""COMPUTED_VALUE"""),104.0)</f>
        <v>104</v>
      </c>
      <c r="C2418" s="1">
        <f>IFERROR(__xludf.DUMMYFUNCTION("""COMPUTED_VALUE"""),104.8)</f>
        <v>104.8</v>
      </c>
      <c r="D2418" s="1">
        <f>IFERROR(__xludf.DUMMYFUNCTION("""COMPUTED_VALUE"""),103.11)</f>
        <v>103.11</v>
      </c>
      <c r="E2418" s="1">
        <f>IFERROR(__xludf.DUMMYFUNCTION("""COMPUTED_VALUE"""),103.84)</f>
        <v>103.84</v>
      </c>
      <c r="F2418" s="1">
        <f>IFERROR(__xludf.DUMMYFUNCTION("""COMPUTED_VALUE"""),666323.0)</f>
        <v>666323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IFERROR(__xludf.DUMMYFUNCTION("""COMPUTED_VALUE"""),103.01)</f>
        <v>103.01</v>
      </c>
      <c r="C2419" s="1">
        <f>IFERROR(__xludf.DUMMYFUNCTION("""COMPUTED_VALUE"""),103.79)</f>
        <v>103.79</v>
      </c>
      <c r="D2419" s="1">
        <f>IFERROR(__xludf.DUMMYFUNCTION("""COMPUTED_VALUE"""),102.28)</f>
        <v>102.28</v>
      </c>
      <c r="E2419" s="1">
        <f>IFERROR(__xludf.DUMMYFUNCTION("""COMPUTED_VALUE"""),102.42)</f>
        <v>102.42</v>
      </c>
      <c r="F2419" s="1">
        <f>IFERROR(__xludf.DUMMYFUNCTION("""COMPUTED_VALUE"""),426572.0)</f>
        <v>426572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IFERROR(__xludf.DUMMYFUNCTION("""COMPUTED_VALUE"""),101.9)</f>
        <v>101.9</v>
      </c>
      <c r="C2420" s="1">
        <f>IFERROR(__xludf.DUMMYFUNCTION("""COMPUTED_VALUE"""),107.37)</f>
        <v>107.37</v>
      </c>
      <c r="D2420" s="1">
        <f>IFERROR(__xludf.DUMMYFUNCTION("""COMPUTED_VALUE"""),101.08)</f>
        <v>101.08</v>
      </c>
      <c r="E2420" s="1">
        <f>IFERROR(__xludf.DUMMYFUNCTION("""COMPUTED_VALUE"""),105.66)</f>
        <v>105.66</v>
      </c>
      <c r="F2420" s="1">
        <f>IFERROR(__xludf.DUMMYFUNCTION("""COMPUTED_VALUE"""),1215581.0)</f>
        <v>1215581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IFERROR(__xludf.DUMMYFUNCTION("""COMPUTED_VALUE"""),103.5)</f>
        <v>103.5</v>
      </c>
      <c r="C2421" s="1">
        <f>IFERROR(__xludf.DUMMYFUNCTION("""COMPUTED_VALUE"""),104.38)</f>
        <v>104.38</v>
      </c>
      <c r="D2421" s="1">
        <f>IFERROR(__xludf.DUMMYFUNCTION("""COMPUTED_VALUE"""),100.78)</f>
        <v>100.78</v>
      </c>
      <c r="E2421" s="1">
        <f>IFERROR(__xludf.DUMMYFUNCTION("""COMPUTED_VALUE"""),101.67)</f>
        <v>101.67</v>
      </c>
      <c r="F2421" s="1">
        <f>IFERROR(__xludf.DUMMYFUNCTION("""COMPUTED_VALUE"""),1204876.0)</f>
        <v>1204876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IFERROR(__xludf.DUMMYFUNCTION("""COMPUTED_VALUE"""),102.71)</f>
        <v>102.71</v>
      </c>
      <c r="C2422" s="1">
        <f>IFERROR(__xludf.DUMMYFUNCTION("""COMPUTED_VALUE"""),104.98)</f>
        <v>104.98</v>
      </c>
      <c r="D2422" s="1">
        <f>IFERROR(__xludf.DUMMYFUNCTION("""COMPUTED_VALUE"""),102.33)</f>
        <v>102.33</v>
      </c>
      <c r="E2422" s="1">
        <f>IFERROR(__xludf.DUMMYFUNCTION("""COMPUTED_VALUE"""),103.0)</f>
        <v>103</v>
      </c>
      <c r="F2422" s="1">
        <f>IFERROR(__xludf.DUMMYFUNCTION("""COMPUTED_VALUE"""),917630.0)</f>
        <v>917630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IFERROR(__xludf.DUMMYFUNCTION("""COMPUTED_VALUE"""),103.79)</f>
        <v>103.79</v>
      </c>
      <c r="C2423" s="1">
        <f>IFERROR(__xludf.DUMMYFUNCTION("""COMPUTED_VALUE"""),105.18)</f>
        <v>105.18</v>
      </c>
      <c r="D2423" s="1">
        <f>IFERROR(__xludf.DUMMYFUNCTION("""COMPUTED_VALUE"""),103.14)</f>
        <v>103.14</v>
      </c>
      <c r="E2423" s="1">
        <f>IFERROR(__xludf.DUMMYFUNCTION("""COMPUTED_VALUE"""),104.6)</f>
        <v>104.6</v>
      </c>
      <c r="F2423" s="1">
        <f>IFERROR(__xludf.DUMMYFUNCTION("""COMPUTED_VALUE"""),939366.0)</f>
        <v>939366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IFERROR(__xludf.DUMMYFUNCTION("""COMPUTED_VALUE"""),106.4)</f>
        <v>106.4</v>
      </c>
      <c r="C2424" s="1">
        <f>IFERROR(__xludf.DUMMYFUNCTION("""COMPUTED_VALUE"""),107.23)</f>
        <v>107.23</v>
      </c>
      <c r="D2424" s="1">
        <f>IFERROR(__xludf.DUMMYFUNCTION("""COMPUTED_VALUE"""),105.19)</f>
        <v>105.19</v>
      </c>
      <c r="E2424" s="1">
        <f>IFERROR(__xludf.DUMMYFUNCTION("""COMPUTED_VALUE"""),105.25)</f>
        <v>105.25</v>
      </c>
      <c r="F2424" s="1">
        <f>IFERROR(__xludf.DUMMYFUNCTION("""COMPUTED_VALUE"""),752951.0)</f>
        <v>752951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IFERROR(__xludf.DUMMYFUNCTION("""COMPUTED_VALUE"""),105.82)</f>
        <v>105.82</v>
      </c>
      <c r="C2425" s="1">
        <f>IFERROR(__xludf.DUMMYFUNCTION("""COMPUTED_VALUE"""),107.49)</f>
        <v>107.49</v>
      </c>
      <c r="D2425" s="1">
        <f>IFERROR(__xludf.DUMMYFUNCTION("""COMPUTED_VALUE"""),105.05)</f>
        <v>105.05</v>
      </c>
      <c r="E2425" s="1">
        <f>IFERROR(__xludf.DUMMYFUNCTION("""COMPUTED_VALUE"""),107.0)</f>
        <v>107</v>
      </c>
      <c r="F2425" s="1">
        <f>IFERROR(__xludf.DUMMYFUNCTION("""COMPUTED_VALUE"""),1006621.0)</f>
        <v>1006621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IFERROR(__xludf.DUMMYFUNCTION("""COMPUTED_VALUE"""),107.41)</f>
        <v>107.41</v>
      </c>
      <c r="C2426" s="1">
        <f>IFERROR(__xludf.DUMMYFUNCTION("""COMPUTED_VALUE"""),108.33)</f>
        <v>108.33</v>
      </c>
      <c r="D2426" s="1">
        <f>IFERROR(__xludf.DUMMYFUNCTION("""COMPUTED_VALUE"""),106.86)</f>
        <v>106.86</v>
      </c>
      <c r="E2426" s="1">
        <f>IFERROR(__xludf.DUMMYFUNCTION("""COMPUTED_VALUE"""),108.04)</f>
        <v>108.04</v>
      </c>
      <c r="F2426" s="1">
        <f>IFERROR(__xludf.DUMMYFUNCTION("""COMPUTED_VALUE"""),740503.0)</f>
        <v>740503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IFERROR(__xludf.DUMMYFUNCTION("""COMPUTED_VALUE"""),108.0)</f>
        <v>108</v>
      </c>
      <c r="C2427" s="1">
        <f>IFERROR(__xludf.DUMMYFUNCTION("""COMPUTED_VALUE"""),108.13)</f>
        <v>108.13</v>
      </c>
      <c r="D2427" s="1">
        <f>IFERROR(__xludf.DUMMYFUNCTION("""COMPUTED_VALUE"""),104.47)</f>
        <v>104.47</v>
      </c>
      <c r="E2427" s="1">
        <f>IFERROR(__xludf.DUMMYFUNCTION("""COMPUTED_VALUE"""),106.66)</f>
        <v>106.66</v>
      </c>
      <c r="F2427" s="1">
        <f>IFERROR(__xludf.DUMMYFUNCTION("""COMPUTED_VALUE"""),1071173.0)</f>
        <v>1071173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IFERROR(__xludf.DUMMYFUNCTION("""COMPUTED_VALUE"""),106.99)</f>
        <v>106.99</v>
      </c>
      <c r="C2428" s="1">
        <f>IFERROR(__xludf.DUMMYFUNCTION("""COMPUTED_VALUE"""),107.67)</f>
        <v>107.67</v>
      </c>
      <c r="D2428" s="1">
        <f>IFERROR(__xludf.DUMMYFUNCTION("""COMPUTED_VALUE"""),104.63)</f>
        <v>104.63</v>
      </c>
      <c r="E2428" s="1">
        <f>IFERROR(__xludf.DUMMYFUNCTION("""COMPUTED_VALUE"""),104.94)</f>
        <v>104.94</v>
      </c>
      <c r="F2428" s="1">
        <f>IFERROR(__xludf.DUMMYFUNCTION("""COMPUTED_VALUE"""),778328.0)</f>
        <v>778328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IFERROR(__xludf.DUMMYFUNCTION("""COMPUTED_VALUE"""),105.72)</f>
        <v>105.72</v>
      </c>
      <c r="C2429" s="1">
        <f>IFERROR(__xludf.DUMMYFUNCTION("""COMPUTED_VALUE"""),106.93)</f>
        <v>106.93</v>
      </c>
      <c r="D2429" s="1">
        <f>IFERROR(__xludf.DUMMYFUNCTION("""COMPUTED_VALUE"""),105.38)</f>
        <v>105.38</v>
      </c>
      <c r="E2429" s="1">
        <f>IFERROR(__xludf.DUMMYFUNCTION("""COMPUTED_VALUE"""),106.43)</f>
        <v>106.43</v>
      </c>
      <c r="F2429" s="1">
        <f>IFERROR(__xludf.DUMMYFUNCTION("""COMPUTED_VALUE"""),846876.0)</f>
        <v>846876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IFERROR(__xludf.DUMMYFUNCTION("""COMPUTED_VALUE"""),107.33)</f>
        <v>107.33</v>
      </c>
      <c r="C2430" s="1">
        <f>IFERROR(__xludf.DUMMYFUNCTION("""COMPUTED_VALUE"""),108.94)</f>
        <v>108.94</v>
      </c>
      <c r="D2430" s="1">
        <f>IFERROR(__xludf.DUMMYFUNCTION("""COMPUTED_VALUE"""),106.78)</f>
        <v>106.78</v>
      </c>
      <c r="E2430" s="1">
        <f>IFERROR(__xludf.DUMMYFUNCTION("""COMPUTED_VALUE"""),108.42)</f>
        <v>108.42</v>
      </c>
      <c r="F2430" s="1">
        <f>IFERROR(__xludf.DUMMYFUNCTION("""COMPUTED_VALUE"""),1044643.0)</f>
        <v>1044643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IFERROR(__xludf.DUMMYFUNCTION("""COMPUTED_VALUE"""),109.0)</f>
        <v>109</v>
      </c>
      <c r="C2431" s="1">
        <f>IFERROR(__xludf.DUMMYFUNCTION("""COMPUTED_VALUE"""),112.48)</f>
        <v>112.48</v>
      </c>
      <c r="D2431" s="1">
        <f>IFERROR(__xludf.DUMMYFUNCTION("""COMPUTED_VALUE"""),108.14)</f>
        <v>108.14</v>
      </c>
      <c r="E2431" s="1">
        <f>IFERROR(__xludf.DUMMYFUNCTION("""COMPUTED_VALUE"""),111.06)</f>
        <v>111.06</v>
      </c>
      <c r="F2431" s="1">
        <f>IFERROR(__xludf.DUMMYFUNCTION("""COMPUTED_VALUE"""),1595561.0)</f>
        <v>1595561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IFERROR(__xludf.DUMMYFUNCTION("""COMPUTED_VALUE"""),112.26)</f>
        <v>112.26</v>
      </c>
      <c r="C2432" s="1">
        <f>IFERROR(__xludf.DUMMYFUNCTION("""COMPUTED_VALUE"""),113.85)</f>
        <v>113.85</v>
      </c>
      <c r="D2432" s="1">
        <f>IFERROR(__xludf.DUMMYFUNCTION("""COMPUTED_VALUE"""),110.4)</f>
        <v>110.4</v>
      </c>
      <c r="E2432" s="1">
        <f>IFERROR(__xludf.DUMMYFUNCTION("""COMPUTED_VALUE"""),113.49)</f>
        <v>113.49</v>
      </c>
      <c r="F2432" s="1">
        <f>IFERROR(__xludf.DUMMYFUNCTION("""COMPUTED_VALUE"""),1513471.0)</f>
        <v>1513471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IFERROR(__xludf.DUMMYFUNCTION("""COMPUTED_VALUE"""),113.89)</f>
        <v>113.89</v>
      </c>
      <c r="C2433" s="1">
        <f>IFERROR(__xludf.DUMMYFUNCTION("""COMPUTED_VALUE"""),115.88)</f>
        <v>115.88</v>
      </c>
      <c r="D2433" s="1">
        <f>IFERROR(__xludf.DUMMYFUNCTION("""COMPUTED_VALUE"""),112.62)</f>
        <v>112.62</v>
      </c>
      <c r="E2433" s="1">
        <f>IFERROR(__xludf.DUMMYFUNCTION("""COMPUTED_VALUE"""),113.4)</f>
        <v>113.4</v>
      </c>
      <c r="F2433" s="1">
        <f>IFERROR(__xludf.DUMMYFUNCTION("""COMPUTED_VALUE"""),1710848.0)</f>
        <v>1710848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IFERROR(__xludf.DUMMYFUNCTION("""COMPUTED_VALUE"""),109.86)</f>
        <v>109.86</v>
      </c>
      <c r="C2434" s="1">
        <f>IFERROR(__xludf.DUMMYFUNCTION("""COMPUTED_VALUE"""),112.31)</f>
        <v>112.31</v>
      </c>
      <c r="D2434" s="1">
        <f>IFERROR(__xludf.DUMMYFUNCTION("""COMPUTED_VALUE"""),108.63)</f>
        <v>108.63</v>
      </c>
      <c r="E2434" s="1">
        <f>IFERROR(__xludf.DUMMYFUNCTION("""COMPUTED_VALUE"""),109.0)</f>
        <v>109</v>
      </c>
      <c r="F2434" s="1">
        <f>IFERROR(__xludf.DUMMYFUNCTION("""COMPUTED_VALUE"""),1546172.0)</f>
        <v>1546172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IFERROR(__xludf.DUMMYFUNCTION("""COMPUTED_VALUE"""),110.09)</f>
        <v>110.09</v>
      </c>
      <c r="C2435" s="1">
        <f>IFERROR(__xludf.DUMMYFUNCTION("""COMPUTED_VALUE"""),110.64)</f>
        <v>110.64</v>
      </c>
      <c r="D2435" s="1">
        <f>IFERROR(__xludf.DUMMYFUNCTION("""COMPUTED_VALUE"""),107.37)</f>
        <v>107.37</v>
      </c>
      <c r="E2435" s="1">
        <f>IFERROR(__xludf.DUMMYFUNCTION("""COMPUTED_VALUE"""),108.84)</f>
        <v>108.84</v>
      </c>
      <c r="F2435" s="1">
        <f>IFERROR(__xludf.DUMMYFUNCTION("""COMPUTED_VALUE"""),976844.0)</f>
        <v>976844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IFERROR(__xludf.DUMMYFUNCTION("""COMPUTED_VALUE"""),109.51)</f>
        <v>109.51</v>
      </c>
      <c r="C2436" s="1">
        <f>IFERROR(__xludf.DUMMYFUNCTION("""COMPUTED_VALUE"""),112.84)</f>
        <v>112.84</v>
      </c>
      <c r="D2436" s="1">
        <f>IFERROR(__xludf.DUMMYFUNCTION("""COMPUTED_VALUE"""),107.21)</f>
        <v>107.21</v>
      </c>
      <c r="E2436" s="1">
        <f>IFERROR(__xludf.DUMMYFUNCTION("""COMPUTED_VALUE"""),112.77)</f>
        <v>112.77</v>
      </c>
      <c r="F2436" s="1">
        <f>IFERROR(__xludf.DUMMYFUNCTION("""COMPUTED_VALUE"""),1255573.0)</f>
        <v>1255573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IFERROR(__xludf.DUMMYFUNCTION("""COMPUTED_VALUE"""),113.29)</f>
        <v>113.29</v>
      </c>
      <c r="C2437" s="1">
        <f>IFERROR(__xludf.DUMMYFUNCTION("""COMPUTED_VALUE"""),114.18)</f>
        <v>114.18</v>
      </c>
      <c r="D2437" s="1">
        <f>IFERROR(__xludf.DUMMYFUNCTION("""COMPUTED_VALUE"""),112.01)</f>
        <v>112.01</v>
      </c>
      <c r="E2437" s="1">
        <f>IFERROR(__xludf.DUMMYFUNCTION("""COMPUTED_VALUE"""),113.2)</f>
        <v>113.2</v>
      </c>
      <c r="F2437" s="1">
        <f>IFERROR(__xludf.DUMMYFUNCTION("""COMPUTED_VALUE"""),770353.0)</f>
        <v>770353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IFERROR(__xludf.DUMMYFUNCTION("""COMPUTED_VALUE"""),112.0)</f>
        <v>112</v>
      </c>
      <c r="C2438" s="1">
        <f>IFERROR(__xludf.DUMMYFUNCTION("""COMPUTED_VALUE"""),113.71)</f>
        <v>113.71</v>
      </c>
      <c r="D2438" s="1">
        <f>IFERROR(__xludf.DUMMYFUNCTION("""COMPUTED_VALUE"""),111.27)</f>
        <v>111.27</v>
      </c>
      <c r="E2438" s="1">
        <f>IFERROR(__xludf.DUMMYFUNCTION("""COMPUTED_VALUE"""),112.0)</f>
        <v>112</v>
      </c>
      <c r="F2438" s="1">
        <f>IFERROR(__xludf.DUMMYFUNCTION("""COMPUTED_VALUE"""),891311.0)</f>
        <v>891311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IFERROR(__xludf.DUMMYFUNCTION("""COMPUTED_VALUE"""),111.22)</f>
        <v>111.22</v>
      </c>
      <c r="C2439" s="1">
        <f>IFERROR(__xludf.DUMMYFUNCTION("""COMPUTED_VALUE"""),111.78)</f>
        <v>111.78</v>
      </c>
      <c r="D2439" s="1">
        <f>IFERROR(__xludf.DUMMYFUNCTION("""COMPUTED_VALUE"""),104.83)</f>
        <v>104.83</v>
      </c>
      <c r="E2439" s="1">
        <f>IFERROR(__xludf.DUMMYFUNCTION("""COMPUTED_VALUE"""),105.94)</f>
        <v>105.94</v>
      </c>
      <c r="F2439" s="1">
        <f>IFERROR(__xludf.DUMMYFUNCTION("""COMPUTED_VALUE"""),1540498.0)</f>
        <v>1540498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IFERROR(__xludf.DUMMYFUNCTION("""COMPUTED_VALUE"""),106.54)</f>
        <v>106.54</v>
      </c>
      <c r="C2440" s="1">
        <f>IFERROR(__xludf.DUMMYFUNCTION("""COMPUTED_VALUE"""),107.34)</f>
        <v>107.34</v>
      </c>
      <c r="D2440" s="1">
        <f>IFERROR(__xludf.DUMMYFUNCTION("""COMPUTED_VALUE"""),105.25)</f>
        <v>105.25</v>
      </c>
      <c r="E2440" s="1">
        <f>IFERROR(__xludf.DUMMYFUNCTION("""COMPUTED_VALUE"""),106.31)</f>
        <v>106.31</v>
      </c>
      <c r="F2440" s="1">
        <f>IFERROR(__xludf.DUMMYFUNCTION("""COMPUTED_VALUE"""),912058.0)</f>
        <v>912058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IFERROR(__xludf.DUMMYFUNCTION("""COMPUTED_VALUE"""),107.42)</f>
        <v>107.42</v>
      </c>
      <c r="C2441" s="1">
        <f>IFERROR(__xludf.DUMMYFUNCTION("""COMPUTED_VALUE"""),109.99)</f>
        <v>109.99</v>
      </c>
      <c r="D2441" s="1">
        <f>IFERROR(__xludf.DUMMYFUNCTION("""COMPUTED_VALUE"""),107.11)</f>
        <v>107.11</v>
      </c>
      <c r="E2441" s="1">
        <f>IFERROR(__xludf.DUMMYFUNCTION("""COMPUTED_VALUE"""),108.87)</f>
        <v>108.87</v>
      </c>
      <c r="F2441" s="1">
        <f>IFERROR(__xludf.DUMMYFUNCTION("""COMPUTED_VALUE"""),864952.0)</f>
        <v>864952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IFERROR(__xludf.DUMMYFUNCTION("""COMPUTED_VALUE"""),110.0)</f>
        <v>110</v>
      </c>
      <c r="C2442" s="1">
        <f>IFERROR(__xludf.DUMMYFUNCTION("""COMPUTED_VALUE"""),110.95)</f>
        <v>110.95</v>
      </c>
      <c r="D2442" s="1">
        <f>IFERROR(__xludf.DUMMYFUNCTION("""COMPUTED_VALUE"""),108.98)</f>
        <v>108.98</v>
      </c>
      <c r="E2442" s="1">
        <f>IFERROR(__xludf.DUMMYFUNCTION("""COMPUTED_VALUE"""),110.46)</f>
        <v>110.46</v>
      </c>
      <c r="F2442" s="1">
        <f>IFERROR(__xludf.DUMMYFUNCTION("""COMPUTED_VALUE"""),624692.0)</f>
        <v>624692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IFERROR(__xludf.DUMMYFUNCTION("""COMPUTED_VALUE"""),109.61)</f>
        <v>109.61</v>
      </c>
      <c r="C2443" s="1">
        <f>IFERROR(__xludf.DUMMYFUNCTION("""COMPUTED_VALUE"""),111.15)</f>
        <v>111.15</v>
      </c>
      <c r="D2443" s="1">
        <f>IFERROR(__xludf.DUMMYFUNCTION("""COMPUTED_VALUE"""),108.94)</f>
        <v>108.94</v>
      </c>
      <c r="E2443" s="1">
        <f>IFERROR(__xludf.DUMMYFUNCTION("""COMPUTED_VALUE"""),110.11)</f>
        <v>110.11</v>
      </c>
      <c r="F2443" s="1">
        <f>IFERROR(__xludf.DUMMYFUNCTION("""COMPUTED_VALUE"""),598143.0)</f>
        <v>598143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IFERROR(__xludf.DUMMYFUNCTION("""COMPUTED_VALUE"""),109.92)</f>
        <v>109.92</v>
      </c>
      <c r="C2444" s="1">
        <f>IFERROR(__xludf.DUMMYFUNCTION("""COMPUTED_VALUE"""),110.85)</f>
        <v>110.85</v>
      </c>
      <c r="D2444" s="1">
        <f>IFERROR(__xludf.DUMMYFUNCTION("""COMPUTED_VALUE"""),109.14)</f>
        <v>109.14</v>
      </c>
      <c r="E2444" s="1">
        <f>IFERROR(__xludf.DUMMYFUNCTION("""COMPUTED_VALUE"""),110.7)</f>
        <v>110.7</v>
      </c>
      <c r="F2444" s="1">
        <f>IFERROR(__xludf.DUMMYFUNCTION("""COMPUTED_VALUE"""),722899.0)</f>
        <v>722899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IFERROR(__xludf.DUMMYFUNCTION("""COMPUTED_VALUE"""),110.54)</f>
        <v>110.54</v>
      </c>
      <c r="C2445" s="1">
        <f>IFERROR(__xludf.DUMMYFUNCTION("""COMPUTED_VALUE"""),111.4)</f>
        <v>111.4</v>
      </c>
      <c r="D2445" s="1">
        <f>IFERROR(__xludf.DUMMYFUNCTION("""COMPUTED_VALUE"""),109.3)</f>
        <v>109.3</v>
      </c>
      <c r="E2445" s="1">
        <f>IFERROR(__xludf.DUMMYFUNCTION("""COMPUTED_VALUE"""),110.88)</f>
        <v>110.88</v>
      </c>
      <c r="F2445" s="1">
        <f>IFERROR(__xludf.DUMMYFUNCTION("""COMPUTED_VALUE"""),1017498.0)</f>
        <v>1017498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IFERROR(__xludf.DUMMYFUNCTION("""COMPUTED_VALUE"""),111.56)</f>
        <v>111.56</v>
      </c>
      <c r="C2446" s="1">
        <f>IFERROR(__xludf.DUMMYFUNCTION("""COMPUTED_VALUE"""),113.79)</f>
        <v>113.79</v>
      </c>
      <c r="D2446" s="1">
        <f>IFERROR(__xludf.DUMMYFUNCTION("""COMPUTED_VALUE"""),110.16)</f>
        <v>110.16</v>
      </c>
      <c r="E2446" s="1">
        <f>IFERROR(__xludf.DUMMYFUNCTION("""COMPUTED_VALUE"""),113.11)</f>
        <v>113.11</v>
      </c>
      <c r="F2446" s="1">
        <f>IFERROR(__xludf.DUMMYFUNCTION("""COMPUTED_VALUE"""),991205.0)</f>
        <v>991205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IFERROR(__xludf.DUMMYFUNCTION("""COMPUTED_VALUE"""),113.59)</f>
        <v>113.59</v>
      </c>
      <c r="C2447" s="1">
        <f>IFERROR(__xludf.DUMMYFUNCTION("""COMPUTED_VALUE"""),114.28)</f>
        <v>114.28</v>
      </c>
      <c r="D2447" s="1">
        <f>IFERROR(__xludf.DUMMYFUNCTION("""COMPUTED_VALUE"""),110.71)</f>
        <v>110.71</v>
      </c>
      <c r="E2447" s="1">
        <f>IFERROR(__xludf.DUMMYFUNCTION("""COMPUTED_VALUE"""),111.39)</f>
        <v>111.39</v>
      </c>
      <c r="F2447" s="1">
        <f>IFERROR(__xludf.DUMMYFUNCTION("""COMPUTED_VALUE"""),1194684.0)</f>
        <v>1194684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IFERROR(__xludf.DUMMYFUNCTION("""COMPUTED_VALUE"""),112.37)</f>
        <v>112.37</v>
      </c>
      <c r="C2448" s="1">
        <f>IFERROR(__xludf.DUMMYFUNCTION("""COMPUTED_VALUE"""),113.0)</f>
        <v>113</v>
      </c>
      <c r="D2448" s="1">
        <f>IFERROR(__xludf.DUMMYFUNCTION("""COMPUTED_VALUE"""),110.63)</f>
        <v>110.63</v>
      </c>
      <c r="E2448" s="1">
        <f>IFERROR(__xludf.DUMMYFUNCTION("""COMPUTED_VALUE"""),113.0)</f>
        <v>113</v>
      </c>
      <c r="F2448" s="1">
        <f>IFERROR(__xludf.DUMMYFUNCTION("""COMPUTED_VALUE"""),1101268.0)</f>
        <v>1101268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IFERROR(__xludf.DUMMYFUNCTION("""COMPUTED_VALUE"""),113.18)</f>
        <v>113.18</v>
      </c>
      <c r="C2449" s="1">
        <f>IFERROR(__xludf.DUMMYFUNCTION("""COMPUTED_VALUE"""),113.79)</f>
        <v>113.79</v>
      </c>
      <c r="D2449" s="1">
        <f>IFERROR(__xludf.DUMMYFUNCTION("""COMPUTED_VALUE"""),109.04)</f>
        <v>109.04</v>
      </c>
      <c r="E2449" s="1">
        <f>IFERROR(__xludf.DUMMYFUNCTION("""COMPUTED_VALUE"""),111.55)</f>
        <v>111.55</v>
      </c>
      <c r="F2449" s="1">
        <f>IFERROR(__xludf.DUMMYFUNCTION("""COMPUTED_VALUE"""),1899361.0)</f>
        <v>1899361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IFERROR(__xludf.DUMMYFUNCTION("""COMPUTED_VALUE"""),111.18)</f>
        <v>111.18</v>
      </c>
      <c r="C2450" s="1">
        <f>IFERROR(__xludf.DUMMYFUNCTION("""COMPUTED_VALUE"""),112.55)</f>
        <v>112.55</v>
      </c>
      <c r="D2450" s="1">
        <f>IFERROR(__xludf.DUMMYFUNCTION("""COMPUTED_VALUE"""),110.57)</f>
        <v>110.57</v>
      </c>
      <c r="E2450" s="1">
        <f>IFERROR(__xludf.DUMMYFUNCTION("""COMPUTED_VALUE"""),112.08)</f>
        <v>112.08</v>
      </c>
      <c r="F2450" s="1">
        <f>IFERROR(__xludf.DUMMYFUNCTION("""COMPUTED_VALUE"""),956910.0)</f>
        <v>956910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IFERROR(__xludf.DUMMYFUNCTION("""COMPUTED_VALUE"""),112.41)</f>
        <v>112.41</v>
      </c>
      <c r="C2451" s="1">
        <f>IFERROR(__xludf.DUMMYFUNCTION("""COMPUTED_VALUE"""),113.8)</f>
        <v>113.8</v>
      </c>
      <c r="D2451" s="1">
        <f>IFERROR(__xludf.DUMMYFUNCTION("""COMPUTED_VALUE"""),112.12)</f>
        <v>112.12</v>
      </c>
      <c r="E2451" s="1">
        <f>IFERROR(__xludf.DUMMYFUNCTION("""COMPUTED_VALUE"""),113.66)</f>
        <v>113.66</v>
      </c>
      <c r="F2451" s="1">
        <f>IFERROR(__xludf.DUMMYFUNCTION("""COMPUTED_VALUE"""),1696642.0)</f>
        <v>1696642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IFERROR(__xludf.DUMMYFUNCTION("""COMPUTED_VALUE"""),113.84)</f>
        <v>113.84</v>
      </c>
      <c r="C2452" s="1">
        <f>IFERROR(__xludf.DUMMYFUNCTION("""COMPUTED_VALUE"""),115.61)</f>
        <v>115.61</v>
      </c>
      <c r="D2452" s="1">
        <f>IFERROR(__xludf.DUMMYFUNCTION("""COMPUTED_VALUE"""),104.04)</f>
        <v>104.04</v>
      </c>
      <c r="E2452" s="1">
        <f>IFERROR(__xludf.DUMMYFUNCTION("""COMPUTED_VALUE"""),106.21)</f>
        <v>106.21</v>
      </c>
      <c r="F2452" s="1">
        <f>IFERROR(__xludf.DUMMYFUNCTION("""COMPUTED_VALUE"""),2622808.0)</f>
        <v>2622808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IFERROR(__xludf.DUMMYFUNCTION("""COMPUTED_VALUE"""),107.8)</f>
        <v>107.8</v>
      </c>
      <c r="C2453" s="1">
        <f>IFERROR(__xludf.DUMMYFUNCTION("""COMPUTED_VALUE"""),110.96)</f>
        <v>110.96</v>
      </c>
      <c r="D2453" s="1">
        <f>IFERROR(__xludf.DUMMYFUNCTION("""COMPUTED_VALUE"""),106.31)</f>
        <v>106.31</v>
      </c>
      <c r="E2453" s="1">
        <f>IFERROR(__xludf.DUMMYFUNCTION("""COMPUTED_VALUE"""),110.76)</f>
        <v>110.76</v>
      </c>
      <c r="F2453" s="1">
        <f>IFERROR(__xludf.DUMMYFUNCTION("""COMPUTED_VALUE"""),1350644.0)</f>
        <v>1350644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IFERROR(__xludf.DUMMYFUNCTION("""COMPUTED_VALUE"""),110.79)</f>
        <v>110.79</v>
      </c>
      <c r="C2454" s="1">
        <f>IFERROR(__xludf.DUMMYFUNCTION("""COMPUTED_VALUE"""),111.73)</f>
        <v>111.73</v>
      </c>
      <c r="D2454" s="1">
        <f>IFERROR(__xludf.DUMMYFUNCTION("""COMPUTED_VALUE"""),108.78)</f>
        <v>108.78</v>
      </c>
      <c r="E2454" s="1">
        <f>IFERROR(__xludf.DUMMYFUNCTION("""COMPUTED_VALUE"""),111.22)</f>
        <v>111.22</v>
      </c>
      <c r="F2454" s="1">
        <f>IFERROR(__xludf.DUMMYFUNCTION("""COMPUTED_VALUE"""),523747.0)</f>
        <v>523747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IFERROR(__xludf.DUMMYFUNCTION("""COMPUTED_VALUE"""),110.58)</f>
        <v>110.58</v>
      </c>
      <c r="C2455" s="1">
        <f>IFERROR(__xludf.DUMMYFUNCTION("""COMPUTED_VALUE"""),111.16)</f>
        <v>111.16</v>
      </c>
      <c r="D2455" s="1">
        <f>IFERROR(__xludf.DUMMYFUNCTION("""COMPUTED_VALUE"""),108.43)</f>
        <v>108.43</v>
      </c>
      <c r="E2455" s="1">
        <f>IFERROR(__xludf.DUMMYFUNCTION("""COMPUTED_VALUE"""),110.39)</f>
        <v>110.39</v>
      </c>
      <c r="F2455" s="1">
        <f>IFERROR(__xludf.DUMMYFUNCTION("""COMPUTED_VALUE"""),780556.0)</f>
        <v>780556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IFERROR(__xludf.DUMMYFUNCTION("""COMPUTED_VALUE"""),109.24)</f>
        <v>109.24</v>
      </c>
      <c r="C2456" s="1">
        <f>IFERROR(__xludf.DUMMYFUNCTION("""COMPUTED_VALUE"""),113.12)</f>
        <v>113.12</v>
      </c>
      <c r="D2456" s="1">
        <f>IFERROR(__xludf.DUMMYFUNCTION("""COMPUTED_VALUE"""),107.77)</f>
        <v>107.77</v>
      </c>
      <c r="E2456" s="1">
        <f>IFERROR(__xludf.DUMMYFUNCTION("""COMPUTED_VALUE"""),112.91)</f>
        <v>112.91</v>
      </c>
      <c r="F2456" s="1">
        <f>IFERROR(__xludf.DUMMYFUNCTION("""COMPUTED_VALUE"""),1165097.0)</f>
        <v>1165097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IFERROR(__xludf.DUMMYFUNCTION("""COMPUTED_VALUE"""),112.21)</f>
        <v>112.21</v>
      </c>
      <c r="C2457" s="1">
        <f>IFERROR(__xludf.DUMMYFUNCTION("""COMPUTED_VALUE"""),114.14)</f>
        <v>114.14</v>
      </c>
      <c r="D2457" s="1">
        <f>IFERROR(__xludf.DUMMYFUNCTION("""COMPUTED_VALUE"""),111.77)</f>
        <v>111.77</v>
      </c>
      <c r="E2457" s="1">
        <f>IFERROR(__xludf.DUMMYFUNCTION("""COMPUTED_VALUE"""),114.07)</f>
        <v>114.07</v>
      </c>
      <c r="F2457" s="1">
        <f>IFERROR(__xludf.DUMMYFUNCTION("""COMPUTED_VALUE"""),572572.0)</f>
        <v>572572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IFERROR(__xludf.DUMMYFUNCTION("""COMPUTED_VALUE"""),114.08)</f>
        <v>114.08</v>
      </c>
      <c r="C2458" s="1">
        <f>IFERROR(__xludf.DUMMYFUNCTION("""COMPUTED_VALUE"""),114.92)</f>
        <v>114.92</v>
      </c>
      <c r="D2458" s="1">
        <f>IFERROR(__xludf.DUMMYFUNCTION("""COMPUTED_VALUE"""),112.44)</f>
        <v>112.44</v>
      </c>
      <c r="E2458" s="1">
        <f>IFERROR(__xludf.DUMMYFUNCTION("""COMPUTED_VALUE"""),114.25)</f>
        <v>114.25</v>
      </c>
      <c r="F2458" s="1">
        <f>IFERROR(__xludf.DUMMYFUNCTION("""COMPUTED_VALUE"""),623866.0)</f>
        <v>623866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IFERROR(__xludf.DUMMYFUNCTION("""COMPUTED_VALUE"""),112.91)</f>
        <v>112.91</v>
      </c>
      <c r="C2459" s="1">
        <f>IFERROR(__xludf.DUMMYFUNCTION("""COMPUTED_VALUE"""),113.61)</f>
        <v>113.61</v>
      </c>
      <c r="D2459" s="1">
        <f>IFERROR(__xludf.DUMMYFUNCTION("""COMPUTED_VALUE"""),109.33)</f>
        <v>109.33</v>
      </c>
      <c r="E2459" s="1">
        <f>IFERROR(__xludf.DUMMYFUNCTION("""COMPUTED_VALUE"""),109.58)</f>
        <v>109.58</v>
      </c>
      <c r="F2459" s="1">
        <f>IFERROR(__xludf.DUMMYFUNCTION("""COMPUTED_VALUE"""),945791.0)</f>
        <v>945791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IFERROR(__xludf.DUMMYFUNCTION("""COMPUTED_VALUE"""),109.93)</f>
        <v>109.93</v>
      </c>
      <c r="C2460" s="1">
        <f>IFERROR(__xludf.DUMMYFUNCTION("""COMPUTED_VALUE"""),111.27)</f>
        <v>111.27</v>
      </c>
      <c r="D2460" s="1">
        <f>IFERROR(__xludf.DUMMYFUNCTION("""COMPUTED_VALUE"""),108.52)</f>
        <v>108.52</v>
      </c>
      <c r="E2460" s="1">
        <f>IFERROR(__xludf.DUMMYFUNCTION("""COMPUTED_VALUE"""),110.87)</f>
        <v>110.87</v>
      </c>
      <c r="F2460" s="1">
        <f>IFERROR(__xludf.DUMMYFUNCTION("""COMPUTED_VALUE"""),1009396.0)</f>
        <v>1009396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IFERROR(__xludf.DUMMYFUNCTION("""COMPUTED_VALUE"""),110.47)</f>
        <v>110.47</v>
      </c>
      <c r="C2461" s="1">
        <f>IFERROR(__xludf.DUMMYFUNCTION("""COMPUTED_VALUE"""),113.71)</f>
        <v>113.71</v>
      </c>
      <c r="D2461" s="1">
        <f>IFERROR(__xludf.DUMMYFUNCTION("""COMPUTED_VALUE"""),110.25)</f>
        <v>110.25</v>
      </c>
      <c r="E2461" s="1">
        <f>IFERROR(__xludf.DUMMYFUNCTION("""COMPUTED_VALUE"""),112.65)</f>
        <v>112.65</v>
      </c>
      <c r="F2461" s="1">
        <f>IFERROR(__xludf.DUMMYFUNCTION("""COMPUTED_VALUE"""),744885.0)</f>
        <v>744885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IFERROR(__xludf.DUMMYFUNCTION("""COMPUTED_VALUE"""),114.0)</f>
        <v>114</v>
      </c>
      <c r="C2462" s="1">
        <f>IFERROR(__xludf.DUMMYFUNCTION("""COMPUTED_VALUE"""),115.93)</f>
        <v>115.93</v>
      </c>
      <c r="D2462" s="1">
        <f>IFERROR(__xludf.DUMMYFUNCTION("""COMPUTED_VALUE"""),112.44)</f>
        <v>112.44</v>
      </c>
      <c r="E2462" s="1">
        <f>IFERROR(__xludf.DUMMYFUNCTION("""COMPUTED_VALUE"""),112.72)</f>
        <v>112.72</v>
      </c>
      <c r="F2462" s="1">
        <f>IFERROR(__xludf.DUMMYFUNCTION("""COMPUTED_VALUE"""),1330607.0)</f>
        <v>1330607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IFERROR(__xludf.DUMMYFUNCTION("""COMPUTED_VALUE"""),113.66)</f>
        <v>113.66</v>
      </c>
      <c r="C2463" s="1">
        <f>IFERROR(__xludf.DUMMYFUNCTION("""COMPUTED_VALUE"""),115.77)</f>
        <v>115.77</v>
      </c>
      <c r="D2463" s="1">
        <f>IFERROR(__xludf.DUMMYFUNCTION("""COMPUTED_VALUE"""),112.59)</f>
        <v>112.59</v>
      </c>
      <c r="E2463" s="1">
        <f>IFERROR(__xludf.DUMMYFUNCTION("""COMPUTED_VALUE"""),112.88)</f>
        <v>112.88</v>
      </c>
      <c r="F2463" s="1">
        <f>IFERROR(__xludf.DUMMYFUNCTION("""COMPUTED_VALUE"""),610145.0)</f>
        <v>610145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IFERROR(__xludf.DUMMYFUNCTION("""COMPUTED_VALUE"""),113.97)</f>
        <v>113.97</v>
      </c>
      <c r="C2464" s="1">
        <f>IFERROR(__xludf.DUMMYFUNCTION("""COMPUTED_VALUE"""),117.41)</f>
        <v>117.41</v>
      </c>
      <c r="D2464" s="1">
        <f>IFERROR(__xludf.DUMMYFUNCTION("""COMPUTED_VALUE"""),113.61)</f>
        <v>113.61</v>
      </c>
      <c r="E2464" s="1">
        <f>IFERROR(__xludf.DUMMYFUNCTION("""COMPUTED_VALUE"""),116.29)</f>
        <v>116.29</v>
      </c>
      <c r="F2464" s="1">
        <f>IFERROR(__xludf.DUMMYFUNCTION("""COMPUTED_VALUE"""),1452778.0)</f>
        <v>1452778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IFERROR(__xludf.DUMMYFUNCTION("""COMPUTED_VALUE"""),116.37)</f>
        <v>116.37</v>
      </c>
      <c r="C2465" s="1">
        <f>IFERROR(__xludf.DUMMYFUNCTION("""COMPUTED_VALUE"""),116.37)</f>
        <v>116.37</v>
      </c>
      <c r="D2465" s="1">
        <f>IFERROR(__xludf.DUMMYFUNCTION("""COMPUTED_VALUE"""),112.54)</f>
        <v>112.54</v>
      </c>
      <c r="E2465" s="1">
        <f>IFERROR(__xludf.DUMMYFUNCTION("""COMPUTED_VALUE"""),113.74)</f>
        <v>113.74</v>
      </c>
      <c r="F2465" s="1">
        <f>IFERROR(__xludf.DUMMYFUNCTION("""COMPUTED_VALUE"""),1299854.0)</f>
        <v>1299854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IFERROR(__xludf.DUMMYFUNCTION("""COMPUTED_VALUE"""),116.43)</f>
        <v>116.43</v>
      </c>
      <c r="C2466" s="1">
        <f>IFERROR(__xludf.DUMMYFUNCTION("""COMPUTED_VALUE"""),116.81)</f>
        <v>116.81</v>
      </c>
      <c r="D2466" s="1">
        <f>IFERROR(__xludf.DUMMYFUNCTION("""COMPUTED_VALUE"""),113.01)</f>
        <v>113.01</v>
      </c>
      <c r="E2466" s="1">
        <f>IFERROR(__xludf.DUMMYFUNCTION("""COMPUTED_VALUE"""),114.9)</f>
        <v>114.9</v>
      </c>
      <c r="F2466" s="1">
        <f>IFERROR(__xludf.DUMMYFUNCTION("""COMPUTED_VALUE"""),1126621.0)</f>
        <v>1126621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IFERROR(__xludf.DUMMYFUNCTION("""COMPUTED_VALUE"""),114.89)</f>
        <v>114.89</v>
      </c>
      <c r="C2467" s="1">
        <f>IFERROR(__xludf.DUMMYFUNCTION("""COMPUTED_VALUE"""),115.43)</f>
        <v>115.43</v>
      </c>
      <c r="D2467" s="1">
        <f>IFERROR(__xludf.DUMMYFUNCTION("""COMPUTED_VALUE"""),112.18)</f>
        <v>112.18</v>
      </c>
      <c r="E2467" s="1">
        <f>IFERROR(__xludf.DUMMYFUNCTION("""COMPUTED_VALUE"""),113.82)</f>
        <v>113.82</v>
      </c>
      <c r="F2467" s="1">
        <f>IFERROR(__xludf.DUMMYFUNCTION("""COMPUTED_VALUE"""),807345.0)</f>
        <v>807345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IFERROR(__xludf.DUMMYFUNCTION("""COMPUTED_VALUE"""),114.26)</f>
        <v>114.26</v>
      </c>
      <c r="C2468" s="1">
        <f>IFERROR(__xludf.DUMMYFUNCTION("""COMPUTED_VALUE"""),116.84)</f>
        <v>116.84</v>
      </c>
      <c r="D2468" s="1">
        <f>IFERROR(__xludf.DUMMYFUNCTION("""COMPUTED_VALUE"""),114.14)</f>
        <v>114.14</v>
      </c>
      <c r="E2468" s="1">
        <f>IFERROR(__xludf.DUMMYFUNCTION("""COMPUTED_VALUE"""),116.56)</f>
        <v>116.56</v>
      </c>
      <c r="F2468" s="1">
        <f>IFERROR(__xludf.DUMMYFUNCTION("""COMPUTED_VALUE"""),1143255.0)</f>
        <v>1143255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IFERROR(__xludf.DUMMYFUNCTION("""COMPUTED_VALUE"""),119.22)</f>
        <v>119.22</v>
      </c>
      <c r="C2469" s="1">
        <f>IFERROR(__xludf.DUMMYFUNCTION("""COMPUTED_VALUE"""),121.4)</f>
        <v>121.4</v>
      </c>
      <c r="D2469" s="1">
        <f>IFERROR(__xludf.DUMMYFUNCTION("""COMPUTED_VALUE"""),107.86)</f>
        <v>107.86</v>
      </c>
      <c r="E2469" s="1">
        <f>IFERROR(__xludf.DUMMYFUNCTION("""COMPUTED_VALUE"""),108.38)</f>
        <v>108.38</v>
      </c>
      <c r="F2469" s="1">
        <f>IFERROR(__xludf.DUMMYFUNCTION("""COMPUTED_VALUE"""),2726231.0)</f>
        <v>2726231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IFERROR(__xludf.DUMMYFUNCTION("""COMPUTED_VALUE"""),109.47)</f>
        <v>109.47</v>
      </c>
      <c r="C2470" s="1">
        <f>IFERROR(__xludf.DUMMYFUNCTION("""COMPUTED_VALUE"""),112.7)</f>
        <v>112.7</v>
      </c>
      <c r="D2470" s="1">
        <f>IFERROR(__xludf.DUMMYFUNCTION("""COMPUTED_VALUE"""),109.29)</f>
        <v>109.29</v>
      </c>
      <c r="E2470" s="1">
        <f>IFERROR(__xludf.DUMMYFUNCTION("""COMPUTED_VALUE"""),112.43)</f>
        <v>112.43</v>
      </c>
      <c r="F2470" s="1">
        <f>IFERROR(__xludf.DUMMYFUNCTION("""COMPUTED_VALUE"""),1621137.0)</f>
        <v>1621137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IFERROR(__xludf.DUMMYFUNCTION("""COMPUTED_VALUE"""),114.72)</f>
        <v>114.72</v>
      </c>
      <c r="C2471" s="1">
        <f>IFERROR(__xludf.DUMMYFUNCTION("""COMPUTED_VALUE"""),120.89)</f>
        <v>120.89</v>
      </c>
      <c r="D2471" s="1">
        <f>IFERROR(__xludf.DUMMYFUNCTION("""COMPUTED_VALUE"""),114.19)</f>
        <v>114.19</v>
      </c>
      <c r="E2471" s="1">
        <f>IFERROR(__xludf.DUMMYFUNCTION("""COMPUTED_VALUE"""),120.23)</f>
        <v>120.23</v>
      </c>
      <c r="F2471" s="1">
        <f>IFERROR(__xludf.DUMMYFUNCTION("""COMPUTED_VALUE"""),1706034.0)</f>
        <v>1706034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IFERROR(__xludf.DUMMYFUNCTION("""COMPUTED_VALUE"""),119.93)</f>
        <v>119.93</v>
      </c>
      <c r="C2472" s="1">
        <f>IFERROR(__xludf.DUMMYFUNCTION("""COMPUTED_VALUE"""),122.0)</f>
        <v>122</v>
      </c>
      <c r="D2472" s="1">
        <f>IFERROR(__xludf.DUMMYFUNCTION("""COMPUTED_VALUE"""),118.6)</f>
        <v>118.6</v>
      </c>
      <c r="E2472" s="1">
        <f>IFERROR(__xludf.DUMMYFUNCTION("""COMPUTED_VALUE"""),120.9)</f>
        <v>120.9</v>
      </c>
      <c r="F2472" s="1">
        <f>IFERROR(__xludf.DUMMYFUNCTION("""COMPUTED_VALUE"""),1019080.0)</f>
        <v>1019080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IFERROR(__xludf.DUMMYFUNCTION("""COMPUTED_VALUE"""),121.6)</f>
        <v>121.6</v>
      </c>
      <c r="C2473" s="1">
        <f>IFERROR(__xludf.DUMMYFUNCTION("""COMPUTED_VALUE"""),123.0)</f>
        <v>123</v>
      </c>
      <c r="D2473" s="1">
        <f>IFERROR(__xludf.DUMMYFUNCTION("""COMPUTED_VALUE"""),120.38)</f>
        <v>120.38</v>
      </c>
      <c r="E2473" s="1">
        <f>IFERROR(__xludf.DUMMYFUNCTION("""COMPUTED_VALUE"""),121.34)</f>
        <v>121.34</v>
      </c>
      <c r="F2473" s="1">
        <f>IFERROR(__xludf.DUMMYFUNCTION("""COMPUTED_VALUE"""),681761.0)</f>
        <v>681761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IFERROR(__xludf.DUMMYFUNCTION("""COMPUTED_VALUE"""),120.48)</f>
        <v>120.48</v>
      </c>
      <c r="C2474" s="1">
        <f>IFERROR(__xludf.DUMMYFUNCTION("""COMPUTED_VALUE"""),121.06)</f>
        <v>121.06</v>
      </c>
      <c r="D2474" s="1">
        <f>IFERROR(__xludf.DUMMYFUNCTION("""COMPUTED_VALUE"""),118.2)</f>
        <v>118.2</v>
      </c>
      <c r="E2474" s="1">
        <f>IFERROR(__xludf.DUMMYFUNCTION("""COMPUTED_VALUE"""),121.0)</f>
        <v>121</v>
      </c>
      <c r="F2474" s="1">
        <f>IFERROR(__xludf.DUMMYFUNCTION("""COMPUTED_VALUE"""),820439.0)</f>
        <v>820439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IFERROR(__xludf.DUMMYFUNCTION("""COMPUTED_VALUE"""),120.24)</f>
        <v>120.24</v>
      </c>
      <c r="C2475" s="1">
        <f>IFERROR(__xludf.DUMMYFUNCTION("""COMPUTED_VALUE"""),122.65)</f>
        <v>122.65</v>
      </c>
      <c r="D2475" s="1">
        <f>IFERROR(__xludf.DUMMYFUNCTION("""COMPUTED_VALUE"""),119.25)</f>
        <v>119.25</v>
      </c>
      <c r="E2475" s="1">
        <f>IFERROR(__xludf.DUMMYFUNCTION("""COMPUTED_VALUE"""),122.64)</f>
        <v>122.64</v>
      </c>
      <c r="F2475" s="1">
        <f>IFERROR(__xludf.DUMMYFUNCTION("""COMPUTED_VALUE"""),910416.0)</f>
        <v>910416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IFERROR(__xludf.DUMMYFUNCTION("""COMPUTED_VALUE"""),122.66)</f>
        <v>122.66</v>
      </c>
      <c r="C2476" s="1">
        <f>IFERROR(__xludf.DUMMYFUNCTION("""COMPUTED_VALUE"""),123.61)</f>
        <v>123.61</v>
      </c>
      <c r="D2476" s="1">
        <f>IFERROR(__xludf.DUMMYFUNCTION("""COMPUTED_VALUE"""),119.82)</f>
        <v>119.82</v>
      </c>
      <c r="E2476" s="1">
        <f>IFERROR(__xludf.DUMMYFUNCTION("""COMPUTED_VALUE"""),122.06)</f>
        <v>122.06</v>
      </c>
      <c r="F2476" s="1">
        <f>IFERROR(__xludf.DUMMYFUNCTION("""COMPUTED_VALUE"""),1059526.0)</f>
        <v>1059526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IFERROR(__xludf.DUMMYFUNCTION("""COMPUTED_VALUE"""),123.0)</f>
        <v>123</v>
      </c>
      <c r="C2477" s="1">
        <f>IFERROR(__xludf.DUMMYFUNCTION("""COMPUTED_VALUE"""),123.0)</f>
        <v>123</v>
      </c>
      <c r="D2477" s="1">
        <f>IFERROR(__xludf.DUMMYFUNCTION("""COMPUTED_VALUE"""),119.2)</f>
        <v>119.2</v>
      </c>
      <c r="E2477" s="1">
        <f>IFERROR(__xludf.DUMMYFUNCTION("""COMPUTED_VALUE"""),119.62)</f>
        <v>119.62</v>
      </c>
      <c r="F2477" s="1">
        <f>IFERROR(__xludf.DUMMYFUNCTION("""COMPUTED_VALUE"""),635571.0)</f>
        <v>635571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IFERROR(__xludf.DUMMYFUNCTION("""COMPUTED_VALUE"""),121.0)</f>
        <v>121</v>
      </c>
      <c r="C2478" s="1">
        <f>IFERROR(__xludf.DUMMYFUNCTION("""COMPUTED_VALUE"""),121.94)</f>
        <v>121.94</v>
      </c>
      <c r="D2478" s="1">
        <f>IFERROR(__xludf.DUMMYFUNCTION("""COMPUTED_VALUE"""),119.21)</f>
        <v>119.21</v>
      </c>
      <c r="E2478" s="1">
        <f>IFERROR(__xludf.DUMMYFUNCTION("""COMPUTED_VALUE"""),121.93)</f>
        <v>121.93</v>
      </c>
      <c r="F2478" s="1">
        <f>IFERROR(__xludf.DUMMYFUNCTION("""COMPUTED_VALUE"""),1045219.0)</f>
        <v>1045219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IFERROR(__xludf.DUMMYFUNCTION("""COMPUTED_VALUE"""),122.97)</f>
        <v>122.97</v>
      </c>
      <c r="C2479" s="1">
        <f>IFERROR(__xludf.DUMMYFUNCTION("""COMPUTED_VALUE"""),123.29)</f>
        <v>123.29</v>
      </c>
      <c r="D2479" s="1">
        <f>IFERROR(__xludf.DUMMYFUNCTION("""COMPUTED_VALUE"""),119.85)</f>
        <v>119.85</v>
      </c>
      <c r="E2479" s="1">
        <f>IFERROR(__xludf.DUMMYFUNCTION("""COMPUTED_VALUE"""),122.15)</f>
        <v>122.15</v>
      </c>
      <c r="F2479" s="1">
        <f>IFERROR(__xludf.DUMMYFUNCTION("""COMPUTED_VALUE"""),1115481.0)</f>
        <v>1115481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IFERROR(__xludf.DUMMYFUNCTION("""COMPUTED_VALUE"""),122.87)</f>
        <v>122.87</v>
      </c>
      <c r="C2480" s="1">
        <f>IFERROR(__xludf.DUMMYFUNCTION("""COMPUTED_VALUE"""),122.87)</f>
        <v>122.87</v>
      </c>
      <c r="D2480" s="1">
        <f>IFERROR(__xludf.DUMMYFUNCTION("""COMPUTED_VALUE"""),119.75)</f>
        <v>119.75</v>
      </c>
      <c r="E2480" s="1">
        <f>IFERROR(__xludf.DUMMYFUNCTION("""COMPUTED_VALUE"""),120.97)</f>
        <v>120.97</v>
      </c>
      <c r="F2480" s="1">
        <f>IFERROR(__xludf.DUMMYFUNCTION("""COMPUTED_VALUE"""),854331.0)</f>
        <v>854331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IFERROR(__xludf.DUMMYFUNCTION("""COMPUTED_VALUE"""),120.95)</f>
        <v>120.95</v>
      </c>
      <c r="C2481" s="1">
        <f>IFERROR(__xludf.DUMMYFUNCTION("""COMPUTED_VALUE"""),124.4)</f>
        <v>124.4</v>
      </c>
      <c r="D2481" s="1">
        <f>IFERROR(__xludf.DUMMYFUNCTION("""COMPUTED_VALUE"""),120.72)</f>
        <v>120.72</v>
      </c>
      <c r="E2481" s="1">
        <f>IFERROR(__xludf.DUMMYFUNCTION("""COMPUTED_VALUE"""),123.63)</f>
        <v>123.63</v>
      </c>
      <c r="F2481" s="1">
        <f>IFERROR(__xludf.DUMMYFUNCTION("""COMPUTED_VALUE"""),1092164.0)</f>
        <v>1092164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IFERROR(__xludf.DUMMYFUNCTION("""COMPUTED_VALUE"""),122.96)</f>
        <v>122.96</v>
      </c>
      <c r="C2482" s="1">
        <f>IFERROR(__xludf.DUMMYFUNCTION("""COMPUTED_VALUE"""),122.99)</f>
        <v>122.99</v>
      </c>
      <c r="D2482" s="1">
        <f>IFERROR(__xludf.DUMMYFUNCTION("""COMPUTED_VALUE"""),119.47)</f>
        <v>119.47</v>
      </c>
      <c r="E2482" s="1">
        <f>IFERROR(__xludf.DUMMYFUNCTION("""COMPUTED_VALUE"""),120.43)</f>
        <v>120.43</v>
      </c>
      <c r="F2482" s="1">
        <f>IFERROR(__xludf.DUMMYFUNCTION("""COMPUTED_VALUE"""),906909.0)</f>
        <v>906909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IFERROR(__xludf.DUMMYFUNCTION("""COMPUTED_VALUE"""),119.24)</f>
        <v>119.24</v>
      </c>
      <c r="C2483" s="1">
        <f>IFERROR(__xludf.DUMMYFUNCTION("""COMPUTED_VALUE"""),121.06)</f>
        <v>121.06</v>
      </c>
      <c r="D2483" s="1">
        <f>IFERROR(__xludf.DUMMYFUNCTION("""COMPUTED_VALUE"""),118.22)</f>
        <v>118.22</v>
      </c>
      <c r="E2483" s="1">
        <f>IFERROR(__xludf.DUMMYFUNCTION("""COMPUTED_VALUE"""),120.93)</f>
        <v>120.93</v>
      </c>
      <c r="F2483" s="1">
        <f>IFERROR(__xludf.DUMMYFUNCTION("""COMPUTED_VALUE"""),740350.0)</f>
        <v>740350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IFERROR(__xludf.DUMMYFUNCTION("""COMPUTED_VALUE"""),121.0)</f>
        <v>121</v>
      </c>
      <c r="C2484" s="1">
        <f>IFERROR(__xludf.DUMMYFUNCTION("""COMPUTED_VALUE"""),121.89)</f>
        <v>121.89</v>
      </c>
      <c r="D2484" s="1">
        <f>IFERROR(__xludf.DUMMYFUNCTION("""COMPUTED_VALUE"""),118.72)</f>
        <v>118.72</v>
      </c>
      <c r="E2484" s="1">
        <f>IFERROR(__xludf.DUMMYFUNCTION("""COMPUTED_VALUE"""),119.68)</f>
        <v>119.68</v>
      </c>
      <c r="F2484" s="1">
        <f>IFERROR(__xludf.DUMMYFUNCTION("""COMPUTED_VALUE"""),561084.0)</f>
        <v>561084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IFERROR(__xludf.DUMMYFUNCTION("""COMPUTED_VALUE"""),119.66)</f>
        <v>119.66</v>
      </c>
      <c r="C2485" s="1">
        <f>IFERROR(__xludf.DUMMYFUNCTION("""COMPUTED_VALUE"""),122.98)</f>
        <v>122.98</v>
      </c>
      <c r="D2485" s="1">
        <f>IFERROR(__xludf.DUMMYFUNCTION("""COMPUTED_VALUE"""),118.4)</f>
        <v>118.4</v>
      </c>
      <c r="E2485" s="1">
        <f>IFERROR(__xludf.DUMMYFUNCTION("""COMPUTED_VALUE"""),122.44)</f>
        <v>122.44</v>
      </c>
      <c r="F2485" s="1">
        <f>IFERROR(__xludf.DUMMYFUNCTION("""COMPUTED_VALUE"""),1379341.0)</f>
        <v>1379341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IFERROR(__xludf.DUMMYFUNCTION("""COMPUTED_VALUE"""),122.19)</f>
        <v>122.19</v>
      </c>
      <c r="C2486" s="1">
        <f>IFERROR(__xludf.DUMMYFUNCTION("""COMPUTED_VALUE"""),123.95)</f>
        <v>123.95</v>
      </c>
      <c r="D2486" s="1">
        <f>IFERROR(__xludf.DUMMYFUNCTION("""COMPUTED_VALUE"""),120.98)</f>
        <v>120.98</v>
      </c>
      <c r="E2486" s="1">
        <f>IFERROR(__xludf.DUMMYFUNCTION("""COMPUTED_VALUE"""),121.49)</f>
        <v>121.49</v>
      </c>
      <c r="F2486" s="1">
        <f>IFERROR(__xludf.DUMMYFUNCTION("""COMPUTED_VALUE"""),627240.0)</f>
        <v>627240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IFERROR(__xludf.DUMMYFUNCTION("""COMPUTED_VALUE"""),122.54)</f>
        <v>122.54</v>
      </c>
      <c r="C2487" s="1">
        <f>IFERROR(__xludf.DUMMYFUNCTION("""COMPUTED_VALUE"""),123.49)</f>
        <v>123.49</v>
      </c>
      <c r="D2487" s="1">
        <f>IFERROR(__xludf.DUMMYFUNCTION("""COMPUTED_VALUE"""),120.23)</f>
        <v>120.23</v>
      </c>
      <c r="E2487" s="1">
        <f>IFERROR(__xludf.DUMMYFUNCTION("""COMPUTED_VALUE"""),121.47)</f>
        <v>121.47</v>
      </c>
      <c r="F2487" s="1">
        <f>IFERROR(__xludf.DUMMYFUNCTION("""COMPUTED_VALUE"""),752837.0)</f>
        <v>752837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IFERROR(__xludf.DUMMYFUNCTION("""COMPUTED_VALUE"""),121.9)</f>
        <v>121.9</v>
      </c>
      <c r="C2488" s="1">
        <f>IFERROR(__xludf.DUMMYFUNCTION("""COMPUTED_VALUE"""),122.6)</f>
        <v>122.6</v>
      </c>
      <c r="D2488" s="1">
        <f>IFERROR(__xludf.DUMMYFUNCTION("""COMPUTED_VALUE"""),120.66)</f>
        <v>120.66</v>
      </c>
      <c r="E2488" s="1">
        <f>IFERROR(__xludf.DUMMYFUNCTION("""COMPUTED_VALUE"""),122.09)</f>
        <v>122.09</v>
      </c>
      <c r="F2488" s="1">
        <f>IFERROR(__xludf.DUMMYFUNCTION("""COMPUTED_VALUE"""),608996.0)</f>
        <v>608996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IFERROR(__xludf.DUMMYFUNCTION("""COMPUTED_VALUE"""),122.06)</f>
        <v>122.06</v>
      </c>
      <c r="C2489" s="1">
        <f>IFERROR(__xludf.DUMMYFUNCTION("""COMPUTED_VALUE"""),123.0)</f>
        <v>123</v>
      </c>
      <c r="D2489" s="1">
        <f>IFERROR(__xludf.DUMMYFUNCTION("""COMPUTED_VALUE"""),121.36)</f>
        <v>121.36</v>
      </c>
      <c r="E2489" s="1">
        <f>IFERROR(__xludf.DUMMYFUNCTION("""COMPUTED_VALUE"""),121.97)</f>
        <v>121.97</v>
      </c>
      <c r="F2489" s="1">
        <f>IFERROR(__xludf.DUMMYFUNCTION("""COMPUTED_VALUE"""),522968.0)</f>
        <v>522968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IFERROR(__xludf.DUMMYFUNCTION("""COMPUTED_VALUE"""),121.64)</f>
        <v>121.64</v>
      </c>
      <c r="C2490" s="1">
        <f>IFERROR(__xludf.DUMMYFUNCTION("""COMPUTED_VALUE"""),121.97)</f>
        <v>121.97</v>
      </c>
      <c r="D2490" s="1">
        <f>IFERROR(__xludf.DUMMYFUNCTION("""COMPUTED_VALUE"""),117.8)</f>
        <v>117.8</v>
      </c>
      <c r="E2490" s="1">
        <f>IFERROR(__xludf.DUMMYFUNCTION("""COMPUTED_VALUE"""),118.69)</f>
        <v>118.69</v>
      </c>
      <c r="F2490" s="1">
        <f>IFERROR(__xludf.DUMMYFUNCTION("""COMPUTED_VALUE"""),779502.0)</f>
        <v>779502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IFERROR(__xludf.DUMMYFUNCTION("""COMPUTED_VALUE"""),118.45)</f>
        <v>118.45</v>
      </c>
      <c r="C2491" s="1">
        <f>IFERROR(__xludf.DUMMYFUNCTION("""COMPUTED_VALUE"""),120.05)</f>
        <v>120.05</v>
      </c>
      <c r="D2491" s="1">
        <f>IFERROR(__xludf.DUMMYFUNCTION("""COMPUTED_VALUE"""),116.2)</f>
        <v>116.2</v>
      </c>
      <c r="E2491" s="1">
        <f>IFERROR(__xludf.DUMMYFUNCTION("""COMPUTED_VALUE"""),118.26)</f>
        <v>118.26</v>
      </c>
      <c r="F2491" s="1">
        <f>IFERROR(__xludf.DUMMYFUNCTION("""COMPUTED_VALUE"""),616428.0)</f>
        <v>616428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IFERROR(__xludf.DUMMYFUNCTION("""COMPUTED_VALUE"""),118.58)</f>
        <v>118.58</v>
      </c>
      <c r="C2492" s="1">
        <f>IFERROR(__xludf.DUMMYFUNCTION("""COMPUTED_VALUE"""),120.5)</f>
        <v>120.5</v>
      </c>
      <c r="D2492" s="1">
        <f>IFERROR(__xludf.DUMMYFUNCTION("""COMPUTED_VALUE"""),118.29)</f>
        <v>118.29</v>
      </c>
      <c r="E2492" s="1">
        <f>IFERROR(__xludf.DUMMYFUNCTION("""COMPUTED_VALUE"""),119.14)</f>
        <v>119.14</v>
      </c>
      <c r="F2492" s="1">
        <f>IFERROR(__xludf.DUMMYFUNCTION("""COMPUTED_VALUE"""),524257.0)</f>
        <v>524257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IFERROR(__xludf.DUMMYFUNCTION("""COMPUTED_VALUE"""),120.56)</f>
        <v>120.56</v>
      </c>
      <c r="C2493" s="1">
        <f>IFERROR(__xludf.DUMMYFUNCTION("""COMPUTED_VALUE"""),123.2)</f>
        <v>123.2</v>
      </c>
      <c r="D2493" s="1">
        <f>IFERROR(__xludf.DUMMYFUNCTION("""COMPUTED_VALUE"""),120.21)</f>
        <v>120.21</v>
      </c>
      <c r="E2493" s="1">
        <f>IFERROR(__xludf.DUMMYFUNCTION("""COMPUTED_VALUE"""),122.72)</f>
        <v>122.72</v>
      </c>
      <c r="F2493" s="1">
        <f>IFERROR(__xludf.DUMMYFUNCTION("""COMPUTED_VALUE"""),811410.0)</f>
        <v>811410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IFERROR(__xludf.DUMMYFUNCTION("""COMPUTED_VALUE"""),122.74)</f>
        <v>122.74</v>
      </c>
      <c r="C2494" s="1">
        <f>IFERROR(__xludf.DUMMYFUNCTION("""COMPUTED_VALUE"""),124.78)</f>
        <v>124.78</v>
      </c>
      <c r="D2494" s="1">
        <f>IFERROR(__xludf.DUMMYFUNCTION("""COMPUTED_VALUE"""),122.29)</f>
        <v>122.29</v>
      </c>
      <c r="E2494" s="1">
        <f>IFERROR(__xludf.DUMMYFUNCTION("""COMPUTED_VALUE"""),124.4)</f>
        <v>124.4</v>
      </c>
      <c r="F2494" s="1">
        <f>IFERROR(__xludf.DUMMYFUNCTION("""COMPUTED_VALUE"""),1272428.0)</f>
        <v>1272428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IFERROR(__xludf.DUMMYFUNCTION("""COMPUTED_VALUE"""),123.61)</f>
        <v>123.61</v>
      </c>
      <c r="C2495" s="1">
        <f>IFERROR(__xludf.DUMMYFUNCTION("""COMPUTED_VALUE"""),124.34)</f>
        <v>124.34</v>
      </c>
      <c r="D2495" s="1">
        <f>IFERROR(__xludf.DUMMYFUNCTION("""COMPUTED_VALUE"""),121.03)</f>
        <v>121.03</v>
      </c>
      <c r="E2495" s="1">
        <f>IFERROR(__xludf.DUMMYFUNCTION("""COMPUTED_VALUE"""),124.26)</f>
        <v>124.26</v>
      </c>
      <c r="F2495" s="1">
        <f>IFERROR(__xludf.DUMMYFUNCTION("""COMPUTED_VALUE"""),605102.0)</f>
        <v>605102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IFERROR(__xludf.DUMMYFUNCTION("""COMPUTED_VALUE"""),122.88)</f>
        <v>122.88</v>
      </c>
      <c r="C2496" s="1">
        <f>IFERROR(__xludf.DUMMYFUNCTION("""COMPUTED_VALUE"""),123.42)</f>
        <v>123.42</v>
      </c>
      <c r="D2496" s="1">
        <f>IFERROR(__xludf.DUMMYFUNCTION("""COMPUTED_VALUE"""),119.62)</f>
        <v>119.62</v>
      </c>
      <c r="E2496" s="1">
        <f>IFERROR(__xludf.DUMMYFUNCTION("""COMPUTED_VALUE"""),121.08)</f>
        <v>121.08</v>
      </c>
      <c r="F2496" s="1">
        <f>IFERROR(__xludf.DUMMYFUNCTION("""COMPUTED_VALUE"""),617589.0)</f>
        <v>617589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IFERROR(__xludf.DUMMYFUNCTION("""COMPUTED_VALUE"""),121.28)</f>
        <v>121.28</v>
      </c>
      <c r="C2497" s="1">
        <f>IFERROR(__xludf.DUMMYFUNCTION("""COMPUTED_VALUE"""),122.74)</f>
        <v>122.74</v>
      </c>
      <c r="D2497" s="1">
        <f>IFERROR(__xludf.DUMMYFUNCTION("""COMPUTED_VALUE"""),120.57)</f>
        <v>120.57</v>
      </c>
      <c r="E2497" s="1">
        <f>IFERROR(__xludf.DUMMYFUNCTION("""COMPUTED_VALUE"""),122.25)</f>
        <v>122.25</v>
      </c>
      <c r="F2497" s="1">
        <f>IFERROR(__xludf.DUMMYFUNCTION("""COMPUTED_VALUE"""),647474.0)</f>
        <v>647474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IFERROR(__xludf.DUMMYFUNCTION("""COMPUTED_VALUE"""),120.93)</f>
        <v>120.93</v>
      </c>
      <c r="C2498" s="1">
        <f>IFERROR(__xludf.DUMMYFUNCTION("""COMPUTED_VALUE"""),120.93)</f>
        <v>120.93</v>
      </c>
      <c r="D2498" s="1">
        <f>IFERROR(__xludf.DUMMYFUNCTION("""COMPUTED_VALUE"""),116.45)</f>
        <v>116.45</v>
      </c>
      <c r="E2498" s="1">
        <f>IFERROR(__xludf.DUMMYFUNCTION("""COMPUTED_VALUE"""),120.01)</f>
        <v>120.01</v>
      </c>
      <c r="F2498" s="1">
        <f>IFERROR(__xludf.DUMMYFUNCTION("""COMPUTED_VALUE"""),1138042.0)</f>
        <v>1138042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IFERROR(__xludf.DUMMYFUNCTION("""COMPUTED_VALUE"""),120.81)</f>
        <v>120.81</v>
      </c>
      <c r="C2499" s="1">
        <f>IFERROR(__xludf.DUMMYFUNCTION("""COMPUTED_VALUE"""),120.81)</f>
        <v>120.81</v>
      </c>
      <c r="D2499" s="1">
        <f>IFERROR(__xludf.DUMMYFUNCTION("""COMPUTED_VALUE"""),119.37)</f>
        <v>119.37</v>
      </c>
      <c r="E2499" s="1">
        <f>IFERROR(__xludf.DUMMYFUNCTION("""COMPUTED_VALUE"""),119.85)</f>
        <v>119.85</v>
      </c>
      <c r="F2499" s="1">
        <f>IFERROR(__xludf.DUMMYFUNCTION("""COMPUTED_VALUE"""),673089.0)</f>
        <v>673089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IFERROR(__xludf.DUMMYFUNCTION("""COMPUTED_VALUE"""),120.41)</f>
        <v>120.41</v>
      </c>
      <c r="C2500" s="1">
        <f>IFERROR(__xludf.DUMMYFUNCTION("""COMPUTED_VALUE"""),122.09)</f>
        <v>122.09</v>
      </c>
      <c r="D2500" s="1">
        <f>IFERROR(__xludf.DUMMYFUNCTION("""COMPUTED_VALUE"""),119.25)</f>
        <v>119.25</v>
      </c>
      <c r="E2500" s="1">
        <f>IFERROR(__xludf.DUMMYFUNCTION("""COMPUTED_VALUE"""),122.03)</f>
        <v>122.03</v>
      </c>
      <c r="F2500" s="1">
        <f>IFERROR(__xludf.DUMMYFUNCTION("""COMPUTED_VALUE"""),624527.0)</f>
        <v>624527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IFERROR(__xludf.DUMMYFUNCTION("""COMPUTED_VALUE"""),121.12)</f>
        <v>121.12</v>
      </c>
      <c r="C2501" s="1">
        <f>IFERROR(__xludf.DUMMYFUNCTION("""COMPUTED_VALUE"""),122.06)</f>
        <v>122.06</v>
      </c>
      <c r="D2501" s="1">
        <f>IFERROR(__xludf.DUMMYFUNCTION("""COMPUTED_VALUE"""),119.59)</f>
        <v>119.59</v>
      </c>
      <c r="E2501" s="1">
        <f>IFERROR(__xludf.DUMMYFUNCTION("""COMPUTED_VALUE"""),120.79)</f>
        <v>120.79</v>
      </c>
      <c r="F2501" s="1">
        <f>IFERROR(__xludf.DUMMYFUNCTION("""COMPUTED_VALUE"""),630121.0)</f>
        <v>630121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IFERROR(__xludf.DUMMYFUNCTION("""COMPUTED_VALUE"""),121.24)</f>
        <v>121.24</v>
      </c>
      <c r="C2502" s="1">
        <f>IFERROR(__xludf.DUMMYFUNCTION("""COMPUTED_VALUE"""),121.99)</f>
        <v>121.99</v>
      </c>
      <c r="D2502" s="1">
        <f>IFERROR(__xludf.DUMMYFUNCTION("""COMPUTED_VALUE"""),120.68)</f>
        <v>120.68</v>
      </c>
      <c r="E2502" s="1">
        <f>IFERROR(__xludf.DUMMYFUNCTION("""COMPUTED_VALUE"""),120.94)</f>
        <v>120.94</v>
      </c>
      <c r="F2502" s="1">
        <f>IFERROR(__xludf.DUMMYFUNCTION("""COMPUTED_VALUE"""),872631.0)</f>
        <v>872631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IFERROR(__xludf.DUMMYFUNCTION("""COMPUTED_VALUE"""),121.61)</f>
        <v>121.61</v>
      </c>
      <c r="C2503" s="1">
        <f>IFERROR(__xludf.DUMMYFUNCTION("""COMPUTED_VALUE"""),122.0)</f>
        <v>122</v>
      </c>
      <c r="D2503" s="1">
        <f>IFERROR(__xludf.DUMMYFUNCTION("""COMPUTED_VALUE"""),119.57)</f>
        <v>119.57</v>
      </c>
      <c r="E2503" s="1">
        <f>IFERROR(__xludf.DUMMYFUNCTION("""COMPUTED_VALUE"""),120.42)</f>
        <v>120.42</v>
      </c>
      <c r="F2503" s="1">
        <f>IFERROR(__xludf.DUMMYFUNCTION("""COMPUTED_VALUE"""),701017.0)</f>
        <v>701017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IFERROR(__xludf.DUMMYFUNCTION("""COMPUTED_VALUE"""),120.27)</f>
        <v>120.27</v>
      </c>
      <c r="C2504" s="1">
        <f>IFERROR(__xludf.DUMMYFUNCTION("""COMPUTED_VALUE"""),122.16)</f>
        <v>122.16</v>
      </c>
      <c r="D2504" s="1">
        <f>IFERROR(__xludf.DUMMYFUNCTION("""COMPUTED_VALUE"""),120.09)</f>
        <v>120.09</v>
      </c>
      <c r="E2504" s="1">
        <f>IFERROR(__xludf.DUMMYFUNCTION("""COMPUTED_VALUE"""),121.73)</f>
        <v>121.73</v>
      </c>
      <c r="F2504" s="1">
        <f>IFERROR(__xludf.DUMMYFUNCTION("""COMPUTED_VALUE"""),523905.0)</f>
        <v>523905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IFERROR(__xludf.DUMMYFUNCTION("""COMPUTED_VALUE"""),121.96)</f>
        <v>121.96</v>
      </c>
      <c r="C2505" s="1">
        <f>IFERROR(__xludf.DUMMYFUNCTION("""COMPUTED_VALUE"""),123.32)</f>
        <v>123.32</v>
      </c>
      <c r="D2505" s="1">
        <f>IFERROR(__xludf.DUMMYFUNCTION("""COMPUTED_VALUE"""),121.48)</f>
        <v>121.48</v>
      </c>
      <c r="E2505" s="1">
        <f>IFERROR(__xludf.DUMMYFUNCTION("""COMPUTED_VALUE"""),122.33)</f>
        <v>122.33</v>
      </c>
      <c r="F2505" s="1">
        <f>IFERROR(__xludf.DUMMYFUNCTION("""COMPUTED_VALUE"""),509243.0)</f>
        <v>509243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IFERROR(__xludf.DUMMYFUNCTION("""COMPUTED_VALUE"""),122.02)</f>
        <v>122.02</v>
      </c>
      <c r="C2506" s="1">
        <f>IFERROR(__xludf.DUMMYFUNCTION("""COMPUTED_VALUE"""),123.85)</f>
        <v>123.85</v>
      </c>
      <c r="D2506" s="1">
        <f>IFERROR(__xludf.DUMMYFUNCTION("""COMPUTED_VALUE"""),122.02)</f>
        <v>122.02</v>
      </c>
      <c r="E2506" s="1">
        <f>IFERROR(__xludf.DUMMYFUNCTION("""COMPUTED_VALUE"""),123.2)</f>
        <v>123.2</v>
      </c>
      <c r="F2506" s="1">
        <f>IFERROR(__xludf.DUMMYFUNCTION("""COMPUTED_VALUE"""),629322.0)</f>
        <v>629322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IFERROR(__xludf.DUMMYFUNCTION("""COMPUTED_VALUE"""),124.44)</f>
        <v>124.44</v>
      </c>
      <c r="C2507" s="1">
        <f>IFERROR(__xludf.DUMMYFUNCTION("""COMPUTED_VALUE"""),125.0)</f>
        <v>125</v>
      </c>
      <c r="D2507" s="1">
        <f>IFERROR(__xludf.DUMMYFUNCTION("""COMPUTED_VALUE"""),121.76)</f>
        <v>121.76</v>
      </c>
      <c r="E2507" s="1">
        <f>IFERROR(__xludf.DUMMYFUNCTION("""COMPUTED_VALUE"""),122.76)</f>
        <v>122.76</v>
      </c>
      <c r="F2507" s="1">
        <f>IFERROR(__xludf.DUMMYFUNCTION("""COMPUTED_VALUE"""),1245874.0)</f>
        <v>1245874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IFERROR(__xludf.DUMMYFUNCTION("""COMPUTED_VALUE"""),123.63)</f>
        <v>123.63</v>
      </c>
      <c r="C2508" s="1">
        <f>IFERROR(__xludf.DUMMYFUNCTION("""COMPUTED_VALUE"""),125.32)</f>
        <v>125.32</v>
      </c>
      <c r="D2508" s="1">
        <f>IFERROR(__xludf.DUMMYFUNCTION("""COMPUTED_VALUE"""),122.87)</f>
        <v>122.87</v>
      </c>
      <c r="E2508" s="1">
        <f>IFERROR(__xludf.DUMMYFUNCTION("""COMPUTED_VALUE"""),125.06)</f>
        <v>125.06</v>
      </c>
      <c r="F2508" s="1">
        <f>IFERROR(__xludf.DUMMYFUNCTION("""COMPUTED_VALUE"""),990383.0)</f>
        <v>990383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IFERROR(__xludf.DUMMYFUNCTION("""COMPUTED_VALUE"""),124.92)</f>
        <v>124.92</v>
      </c>
      <c r="C2509" s="1">
        <f>IFERROR(__xludf.DUMMYFUNCTION("""COMPUTED_VALUE"""),128.8)</f>
        <v>128.8</v>
      </c>
      <c r="D2509" s="1">
        <f>IFERROR(__xludf.DUMMYFUNCTION("""COMPUTED_VALUE"""),124.81)</f>
        <v>124.81</v>
      </c>
      <c r="E2509" s="1">
        <f>IFERROR(__xludf.DUMMYFUNCTION("""COMPUTED_VALUE"""),127.52)</f>
        <v>127.52</v>
      </c>
      <c r="F2509" s="1">
        <f>IFERROR(__xludf.DUMMYFUNCTION("""COMPUTED_VALUE"""),1015242.0)</f>
        <v>1015242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IFERROR(__xludf.DUMMYFUNCTION("""COMPUTED_VALUE"""),127.5)</f>
        <v>127.5</v>
      </c>
      <c r="C2510" s="1">
        <f>IFERROR(__xludf.DUMMYFUNCTION("""COMPUTED_VALUE"""),128.16)</f>
        <v>128.16</v>
      </c>
      <c r="D2510" s="1">
        <f>IFERROR(__xludf.DUMMYFUNCTION("""COMPUTED_VALUE"""),121.88)</f>
        <v>121.88</v>
      </c>
      <c r="E2510" s="1">
        <f>IFERROR(__xludf.DUMMYFUNCTION("""COMPUTED_VALUE"""),122.98)</f>
        <v>122.98</v>
      </c>
      <c r="F2510" s="1">
        <f>IFERROR(__xludf.DUMMYFUNCTION("""COMPUTED_VALUE"""),1359348.0)</f>
        <v>1359348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IFERROR(__xludf.DUMMYFUNCTION("""COMPUTED_VALUE"""),123.7)</f>
        <v>123.7</v>
      </c>
      <c r="C2511" s="1">
        <f>IFERROR(__xludf.DUMMYFUNCTION("""COMPUTED_VALUE"""),124.36)</f>
        <v>124.36</v>
      </c>
      <c r="D2511" s="1">
        <f>IFERROR(__xludf.DUMMYFUNCTION("""COMPUTED_VALUE"""),121.67)</f>
        <v>121.67</v>
      </c>
      <c r="E2511" s="1">
        <f>IFERROR(__xludf.DUMMYFUNCTION("""COMPUTED_VALUE"""),123.74)</f>
        <v>123.74</v>
      </c>
      <c r="F2511" s="1">
        <f>IFERROR(__xludf.DUMMYFUNCTION("""COMPUTED_VALUE"""),856207.0)</f>
        <v>856207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IFERROR(__xludf.DUMMYFUNCTION("""COMPUTED_VALUE"""),124.83)</f>
        <v>124.83</v>
      </c>
      <c r="C2512" s="1">
        <f>IFERROR(__xludf.DUMMYFUNCTION("""COMPUTED_VALUE"""),125.5)</f>
        <v>125.5</v>
      </c>
      <c r="D2512" s="1">
        <f>IFERROR(__xludf.DUMMYFUNCTION("""COMPUTED_VALUE"""),123.88)</f>
        <v>123.88</v>
      </c>
      <c r="E2512" s="1">
        <f>IFERROR(__xludf.DUMMYFUNCTION("""COMPUTED_VALUE"""),124.96)</f>
        <v>124.96</v>
      </c>
      <c r="F2512" s="1">
        <f>IFERROR(__xludf.DUMMYFUNCTION("""COMPUTED_VALUE"""),813397.0)</f>
        <v>813397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IFERROR(__xludf.DUMMYFUNCTION("""COMPUTED_VALUE"""),124.36)</f>
        <v>124.36</v>
      </c>
      <c r="C2513" s="1">
        <f>IFERROR(__xludf.DUMMYFUNCTION("""COMPUTED_VALUE"""),125.33)</f>
        <v>125.33</v>
      </c>
      <c r="D2513" s="1">
        <f>IFERROR(__xludf.DUMMYFUNCTION("""COMPUTED_VALUE"""),123.22)</f>
        <v>123.22</v>
      </c>
      <c r="E2513" s="1">
        <f>IFERROR(__xludf.DUMMYFUNCTION("""COMPUTED_VALUE"""),124.7)</f>
        <v>124.7</v>
      </c>
      <c r="F2513" s="1">
        <f>IFERROR(__xludf.DUMMYFUNCTION("""COMPUTED_VALUE"""),197436.0)</f>
        <v>197436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IFERROR(__xludf.DUMMYFUNCTION("""COMPUTED_VALUE"""),125.01)</f>
        <v>125.01</v>
      </c>
      <c r="C2514" s="1">
        <f>IFERROR(__xludf.DUMMYFUNCTION("""COMPUTED_VALUE"""),125.99)</f>
        <v>125.99</v>
      </c>
      <c r="D2514" s="1">
        <f>IFERROR(__xludf.DUMMYFUNCTION("""COMPUTED_VALUE"""),124.46)</f>
        <v>124.46</v>
      </c>
      <c r="E2514" s="1">
        <f>IFERROR(__xludf.DUMMYFUNCTION("""COMPUTED_VALUE"""),125.0)</f>
        <v>125</v>
      </c>
      <c r="F2514" s="1">
        <f>IFERROR(__xludf.DUMMYFUNCTION("""COMPUTED_VALUE"""),281769.0)</f>
        <v>281769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IFERROR(__xludf.DUMMYFUNCTION("""COMPUTED_VALUE"""),125.51)</f>
        <v>125.51</v>
      </c>
      <c r="C2515" s="1">
        <f>IFERROR(__xludf.DUMMYFUNCTION("""COMPUTED_VALUE"""),126.7)</f>
        <v>126.7</v>
      </c>
      <c r="D2515" s="1">
        <f>IFERROR(__xludf.DUMMYFUNCTION("""COMPUTED_VALUE"""),123.82)</f>
        <v>123.82</v>
      </c>
      <c r="E2515" s="1">
        <f>IFERROR(__xludf.DUMMYFUNCTION("""COMPUTED_VALUE"""),124.0)</f>
        <v>124</v>
      </c>
      <c r="F2515" s="1">
        <f>IFERROR(__xludf.DUMMYFUNCTION("""COMPUTED_VALUE"""),399006.0)</f>
        <v>399006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IFERROR(__xludf.DUMMYFUNCTION("""COMPUTED_VALUE"""),124.0)</f>
        <v>124</v>
      </c>
      <c r="C2516" s="1">
        <f>IFERROR(__xludf.DUMMYFUNCTION("""COMPUTED_VALUE"""),124.0)</f>
        <v>124</v>
      </c>
      <c r="D2516" s="1">
        <f>IFERROR(__xludf.DUMMYFUNCTION("""COMPUTED_VALUE"""),122.15)</f>
        <v>122.15</v>
      </c>
      <c r="E2516" s="1">
        <f>IFERROR(__xludf.DUMMYFUNCTION("""COMPUTED_VALUE"""),123.0)</f>
        <v>123</v>
      </c>
      <c r="F2516" s="1">
        <f>IFERROR(__xludf.DUMMYFUNCTION("""COMPUTED_VALUE"""),407547.0)</f>
        <v>407547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IFERROR(__xludf.DUMMYFUNCTION("""COMPUTED_VALUE"""),122.48)</f>
        <v>122.48</v>
      </c>
      <c r="C2517" s="1">
        <f>IFERROR(__xludf.DUMMYFUNCTION("""COMPUTED_VALUE"""),123.15)</f>
        <v>123.15</v>
      </c>
      <c r="D2517" s="1">
        <f>IFERROR(__xludf.DUMMYFUNCTION("""COMPUTED_VALUE"""),120.91)</f>
        <v>120.91</v>
      </c>
      <c r="E2517" s="1">
        <f>IFERROR(__xludf.DUMMYFUNCTION("""COMPUTED_VALUE"""),121.25)</f>
        <v>121.25</v>
      </c>
      <c r="F2517" s="1">
        <f>IFERROR(__xludf.DUMMYFUNCTION("""COMPUTED_VALUE"""),539169.0)</f>
        <v>539169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IFERROR(__xludf.DUMMYFUNCTION("""COMPUTED_VALUE"""),124.15)</f>
        <v>124.15</v>
      </c>
      <c r="C2518" s="1">
        <f>IFERROR(__xludf.DUMMYFUNCTION("""COMPUTED_VALUE"""),127.37)</f>
        <v>127.37</v>
      </c>
      <c r="D2518" s="1">
        <f>IFERROR(__xludf.DUMMYFUNCTION("""COMPUTED_VALUE"""),124.15)</f>
        <v>124.15</v>
      </c>
      <c r="E2518" s="1">
        <f>IFERROR(__xludf.DUMMYFUNCTION("""COMPUTED_VALUE"""),127.25)</f>
        <v>127.25</v>
      </c>
      <c r="F2518" s="1">
        <f>IFERROR(__xludf.DUMMYFUNCTION("""COMPUTED_VALUE"""),1084454.0)</f>
        <v>1084454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IFERROR(__xludf.DUMMYFUNCTION("""COMPUTED_VALUE"""),125.49)</f>
        <v>125.49</v>
      </c>
      <c r="C2519" s="1">
        <f>IFERROR(__xludf.DUMMYFUNCTION("""COMPUTED_VALUE"""),128.53)</f>
        <v>128.53</v>
      </c>
      <c r="D2519" s="1">
        <f>IFERROR(__xludf.DUMMYFUNCTION("""COMPUTED_VALUE"""),125.04)</f>
        <v>125.04</v>
      </c>
      <c r="E2519" s="1">
        <f>IFERROR(__xludf.DUMMYFUNCTION("""COMPUTED_VALUE"""),126.16)</f>
        <v>126.16</v>
      </c>
      <c r="F2519" s="1">
        <f>IFERROR(__xludf.DUMMYFUNCTION("""COMPUTED_VALUE"""),561449.0)</f>
        <v>561449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IFERROR(__xludf.DUMMYFUNCTION("""COMPUTED_VALUE"""),125.45)</f>
        <v>125.45</v>
      </c>
      <c r="C2520" s="1">
        <f>IFERROR(__xludf.DUMMYFUNCTION("""COMPUTED_VALUE"""),128.4)</f>
        <v>128.4</v>
      </c>
      <c r="D2520" s="1">
        <f>IFERROR(__xludf.DUMMYFUNCTION("""COMPUTED_VALUE"""),125.45)</f>
        <v>125.45</v>
      </c>
      <c r="E2520" s="1">
        <f>IFERROR(__xludf.DUMMYFUNCTION("""COMPUTED_VALUE"""),128.08)</f>
        <v>128.08</v>
      </c>
      <c r="F2520" s="1">
        <f>IFERROR(__xludf.DUMMYFUNCTION("""COMPUTED_VALUE"""),691654.0)</f>
        <v>691654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IFERROR(__xludf.DUMMYFUNCTION("""COMPUTED_VALUE"""),129.33)</f>
        <v>129.33</v>
      </c>
      <c r="C2521" s="1">
        <f>IFERROR(__xludf.DUMMYFUNCTION("""COMPUTED_VALUE"""),134.34)</f>
        <v>134.34</v>
      </c>
      <c r="D2521" s="1">
        <f>IFERROR(__xludf.DUMMYFUNCTION("""COMPUTED_VALUE"""),128.72)</f>
        <v>128.72</v>
      </c>
      <c r="E2521" s="1">
        <f>IFERROR(__xludf.DUMMYFUNCTION("""COMPUTED_VALUE"""),129.1)</f>
        <v>129.1</v>
      </c>
      <c r="F2521" s="1">
        <f>IFERROR(__xludf.DUMMYFUNCTION("""COMPUTED_VALUE"""),1524618.0)</f>
        <v>1524618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IFERROR(__xludf.DUMMYFUNCTION("""COMPUTED_VALUE"""),129.39)</f>
        <v>129.39</v>
      </c>
      <c r="C2522" s="1">
        <f>IFERROR(__xludf.DUMMYFUNCTION("""COMPUTED_VALUE"""),131.86)</f>
        <v>131.86</v>
      </c>
      <c r="D2522" s="1">
        <f>IFERROR(__xludf.DUMMYFUNCTION("""COMPUTED_VALUE"""),129.31)</f>
        <v>129.31</v>
      </c>
      <c r="E2522" s="1">
        <f>IFERROR(__xludf.DUMMYFUNCTION("""COMPUTED_VALUE"""),130.81)</f>
        <v>130.81</v>
      </c>
      <c r="F2522" s="1">
        <f>IFERROR(__xludf.DUMMYFUNCTION("""COMPUTED_VALUE"""),721188.0)</f>
        <v>721188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IFERROR(__xludf.DUMMYFUNCTION("""COMPUTED_VALUE"""),133.78)</f>
        <v>133.78</v>
      </c>
      <c r="C2523" s="1">
        <f>IFERROR(__xludf.DUMMYFUNCTION("""COMPUTED_VALUE"""),137.17)</f>
        <v>137.17</v>
      </c>
      <c r="D2523" s="1">
        <f>IFERROR(__xludf.DUMMYFUNCTION("""COMPUTED_VALUE"""),132.13)</f>
        <v>132.13</v>
      </c>
      <c r="E2523" s="1">
        <f>IFERROR(__xludf.DUMMYFUNCTION("""COMPUTED_VALUE"""),133.64)</f>
        <v>133.64</v>
      </c>
      <c r="F2523" s="1">
        <f>IFERROR(__xludf.DUMMYFUNCTION("""COMPUTED_VALUE"""),1561240.0)</f>
        <v>1561240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IFERROR(__xludf.DUMMYFUNCTION("""COMPUTED_VALUE"""),133.95)</f>
        <v>133.95</v>
      </c>
      <c r="C2524" s="1">
        <f>IFERROR(__xludf.DUMMYFUNCTION("""COMPUTED_VALUE"""),134.26)</f>
        <v>134.26</v>
      </c>
      <c r="D2524" s="1">
        <f>IFERROR(__xludf.DUMMYFUNCTION("""COMPUTED_VALUE"""),130.84)</f>
        <v>130.84</v>
      </c>
      <c r="E2524" s="1">
        <f>IFERROR(__xludf.DUMMYFUNCTION("""COMPUTED_VALUE"""),131.12)</f>
        <v>131.12</v>
      </c>
      <c r="F2524" s="1">
        <f>IFERROR(__xludf.DUMMYFUNCTION("""COMPUTED_VALUE"""),1050040.0)</f>
        <v>1050040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IFERROR(__xludf.DUMMYFUNCTION("""COMPUTED_VALUE"""),132.88)</f>
        <v>132.88</v>
      </c>
      <c r="C2525" s="1">
        <f>IFERROR(__xludf.DUMMYFUNCTION("""COMPUTED_VALUE"""),134.79)</f>
        <v>134.79</v>
      </c>
      <c r="D2525" s="1">
        <f>IFERROR(__xludf.DUMMYFUNCTION("""COMPUTED_VALUE"""),131.6)</f>
        <v>131.6</v>
      </c>
      <c r="E2525" s="1">
        <f>IFERROR(__xludf.DUMMYFUNCTION("""COMPUTED_VALUE"""),134.71)</f>
        <v>134.71</v>
      </c>
      <c r="F2525" s="1">
        <f>IFERROR(__xludf.DUMMYFUNCTION("""COMPUTED_VALUE"""),800910.0)</f>
        <v>800910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IFERROR(__xludf.DUMMYFUNCTION("""COMPUTED_VALUE"""),134.39)</f>
        <v>134.39</v>
      </c>
      <c r="C2526" s="1">
        <f>IFERROR(__xludf.DUMMYFUNCTION("""COMPUTED_VALUE"""),136.86)</f>
        <v>136.86</v>
      </c>
      <c r="D2526" s="1">
        <f>IFERROR(__xludf.DUMMYFUNCTION("""COMPUTED_VALUE"""),132.8)</f>
        <v>132.8</v>
      </c>
      <c r="E2526" s="1">
        <f>IFERROR(__xludf.DUMMYFUNCTION("""COMPUTED_VALUE"""),136.84)</f>
        <v>136.84</v>
      </c>
      <c r="F2526" s="1">
        <f>IFERROR(__xludf.DUMMYFUNCTION("""COMPUTED_VALUE"""),1047357.0)</f>
        <v>1047357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IFERROR(__xludf.DUMMYFUNCTION("""COMPUTED_VALUE"""),137.39)</f>
        <v>137.39</v>
      </c>
      <c r="C2527" s="1">
        <f>IFERROR(__xludf.DUMMYFUNCTION("""COMPUTED_VALUE"""),138.75)</f>
        <v>138.75</v>
      </c>
      <c r="D2527" s="1">
        <f>IFERROR(__xludf.DUMMYFUNCTION("""COMPUTED_VALUE"""),136.5)</f>
        <v>136.5</v>
      </c>
      <c r="E2527" s="1">
        <f>IFERROR(__xludf.DUMMYFUNCTION("""COMPUTED_VALUE"""),138.48)</f>
        <v>138.48</v>
      </c>
      <c r="F2527" s="1">
        <f>IFERROR(__xludf.DUMMYFUNCTION("""COMPUTED_VALUE"""),1133045.0)</f>
        <v>1133045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IFERROR(__xludf.DUMMYFUNCTION("""COMPUTED_VALUE"""),139.8)</f>
        <v>139.8</v>
      </c>
      <c r="C2528" s="1">
        <f>IFERROR(__xludf.DUMMYFUNCTION("""COMPUTED_VALUE"""),141.6)</f>
        <v>141.6</v>
      </c>
      <c r="D2528" s="1">
        <f>IFERROR(__xludf.DUMMYFUNCTION("""COMPUTED_VALUE"""),139.18)</f>
        <v>139.18</v>
      </c>
      <c r="E2528" s="1">
        <f>IFERROR(__xludf.DUMMYFUNCTION("""COMPUTED_VALUE"""),140.75)</f>
        <v>140.75</v>
      </c>
      <c r="F2528" s="1">
        <f>IFERROR(__xludf.DUMMYFUNCTION("""COMPUTED_VALUE"""),1507131.0)</f>
        <v>1507131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IFERROR(__xludf.DUMMYFUNCTION("""COMPUTED_VALUE"""),140.84)</f>
        <v>140.84</v>
      </c>
      <c r="C2529" s="1">
        <f>IFERROR(__xludf.DUMMYFUNCTION("""COMPUTED_VALUE"""),141.25)</f>
        <v>141.25</v>
      </c>
      <c r="D2529" s="1">
        <f>IFERROR(__xludf.DUMMYFUNCTION("""COMPUTED_VALUE"""),134.85)</f>
        <v>134.85</v>
      </c>
      <c r="E2529" s="1">
        <f>IFERROR(__xludf.DUMMYFUNCTION("""COMPUTED_VALUE"""),135.75)</f>
        <v>135.75</v>
      </c>
      <c r="F2529" s="1">
        <f>IFERROR(__xludf.DUMMYFUNCTION("""COMPUTED_VALUE"""),2448737.0)</f>
        <v>2448737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IFERROR(__xludf.DUMMYFUNCTION("""COMPUTED_VALUE"""),131.29)</f>
        <v>131.29</v>
      </c>
      <c r="C2530" s="1">
        <f>IFERROR(__xludf.DUMMYFUNCTION("""COMPUTED_VALUE"""),134.98)</f>
        <v>134.98</v>
      </c>
      <c r="D2530" s="1">
        <f>IFERROR(__xludf.DUMMYFUNCTION("""COMPUTED_VALUE"""),130.26)</f>
        <v>130.26</v>
      </c>
      <c r="E2530" s="1">
        <f>IFERROR(__xludf.DUMMYFUNCTION("""COMPUTED_VALUE"""),132.18)</f>
        <v>132.18</v>
      </c>
      <c r="F2530" s="1">
        <f>IFERROR(__xludf.DUMMYFUNCTION("""COMPUTED_VALUE"""),3037648.0)</f>
        <v>3037648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IFERROR(__xludf.DUMMYFUNCTION("""COMPUTED_VALUE"""),133.93)</f>
        <v>133.93</v>
      </c>
      <c r="C2531" s="1">
        <f>IFERROR(__xludf.DUMMYFUNCTION("""COMPUTED_VALUE"""),137.59)</f>
        <v>137.59</v>
      </c>
      <c r="D2531" s="1">
        <f>IFERROR(__xludf.DUMMYFUNCTION("""COMPUTED_VALUE"""),132.7)</f>
        <v>132.7</v>
      </c>
      <c r="E2531" s="1">
        <f>IFERROR(__xludf.DUMMYFUNCTION("""COMPUTED_VALUE"""),133.16)</f>
        <v>133.16</v>
      </c>
      <c r="F2531" s="1">
        <f>IFERROR(__xludf.DUMMYFUNCTION("""COMPUTED_VALUE"""),2306317.0)</f>
        <v>2306317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IFERROR(__xludf.DUMMYFUNCTION("""COMPUTED_VALUE"""),129.01)</f>
        <v>129.01</v>
      </c>
      <c r="C2532" s="1">
        <f>IFERROR(__xludf.DUMMYFUNCTION("""COMPUTED_VALUE"""),129.96)</f>
        <v>129.96</v>
      </c>
      <c r="D2532" s="1">
        <f>IFERROR(__xludf.DUMMYFUNCTION("""COMPUTED_VALUE"""),126.03)</f>
        <v>126.03</v>
      </c>
      <c r="E2532" s="1">
        <f>IFERROR(__xludf.DUMMYFUNCTION("""COMPUTED_VALUE"""),129.01)</f>
        <v>129.01</v>
      </c>
      <c r="F2532" s="1">
        <f>IFERROR(__xludf.DUMMYFUNCTION("""COMPUTED_VALUE"""),2385034.0)</f>
        <v>2385034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IFERROR(__xludf.DUMMYFUNCTION("""COMPUTED_VALUE"""),129.48)</f>
        <v>129.48</v>
      </c>
      <c r="C2533" s="1">
        <f>IFERROR(__xludf.DUMMYFUNCTION("""COMPUTED_VALUE"""),129.8)</f>
        <v>129.8</v>
      </c>
      <c r="D2533" s="1">
        <f>IFERROR(__xludf.DUMMYFUNCTION("""COMPUTED_VALUE"""),123.8)</f>
        <v>123.8</v>
      </c>
      <c r="E2533" s="1">
        <f>IFERROR(__xludf.DUMMYFUNCTION("""COMPUTED_VALUE"""),124.61)</f>
        <v>124.61</v>
      </c>
      <c r="F2533" s="1">
        <f>IFERROR(__xludf.DUMMYFUNCTION("""COMPUTED_VALUE"""),2441593.0)</f>
        <v>2441593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IFERROR(__xludf.DUMMYFUNCTION("""COMPUTED_VALUE"""),116.74)</f>
        <v>116.74</v>
      </c>
      <c r="C2534" s="1">
        <f>IFERROR(__xludf.DUMMYFUNCTION("""COMPUTED_VALUE"""),123.15)</f>
        <v>123.15</v>
      </c>
      <c r="D2534" s="1">
        <f>IFERROR(__xludf.DUMMYFUNCTION("""COMPUTED_VALUE"""),115.31)</f>
        <v>115.31</v>
      </c>
      <c r="E2534" s="1">
        <f>IFERROR(__xludf.DUMMYFUNCTION("""COMPUTED_VALUE"""),121.95)</f>
        <v>121.95</v>
      </c>
      <c r="F2534" s="1">
        <f>IFERROR(__xludf.DUMMYFUNCTION("""COMPUTED_VALUE"""),2768320.0)</f>
        <v>2768320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IFERROR(__xludf.DUMMYFUNCTION("""COMPUTED_VALUE"""),123.45)</f>
        <v>123.45</v>
      </c>
      <c r="C2535" s="1">
        <f>IFERROR(__xludf.DUMMYFUNCTION("""COMPUTED_VALUE"""),130.45)</f>
        <v>130.45</v>
      </c>
      <c r="D2535" s="1">
        <f>IFERROR(__xludf.DUMMYFUNCTION("""COMPUTED_VALUE"""),123.1)</f>
        <v>123.1</v>
      </c>
      <c r="E2535" s="1">
        <f>IFERROR(__xludf.DUMMYFUNCTION("""COMPUTED_VALUE"""),129.08)</f>
        <v>129.08</v>
      </c>
      <c r="F2535" s="1">
        <f>IFERROR(__xludf.DUMMYFUNCTION("""COMPUTED_VALUE"""),2351534.0)</f>
        <v>2351534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IFERROR(__xludf.DUMMYFUNCTION("""COMPUTED_VALUE"""),130.45)</f>
        <v>130.45</v>
      </c>
      <c r="C2536" s="1">
        <f>IFERROR(__xludf.DUMMYFUNCTION("""COMPUTED_VALUE"""),130.45)</f>
        <v>130.45</v>
      </c>
      <c r="D2536" s="1">
        <f>IFERROR(__xludf.DUMMYFUNCTION("""COMPUTED_VALUE"""),127.37)</f>
        <v>127.37</v>
      </c>
      <c r="E2536" s="1">
        <f>IFERROR(__xludf.DUMMYFUNCTION("""COMPUTED_VALUE"""),129.19)</f>
        <v>129.19</v>
      </c>
      <c r="F2536" s="1">
        <f>IFERROR(__xludf.DUMMYFUNCTION("""COMPUTED_VALUE"""),1056486.0)</f>
        <v>1056486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IFERROR(__xludf.DUMMYFUNCTION("""COMPUTED_VALUE"""),124.95)</f>
        <v>124.95</v>
      </c>
      <c r="C2537" s="1">
        <f>IFERROR(__xludf.DUMMYFUNCTION("""COMPUTED_VALUE"""),125.48)</f>
        <v>125.48</v>
      </c>
      <c r="D2537" s="1">
        <f>IFERROR(__xludf.DUMMYFUNCTION("""COMPUTED_VALUE"""),121.62)</f>
        <v>121.62</v>
      </c>
      <c r="E2537" s="1">
        <f>IFERROR(__xludf.DUMMYFUNCTION("""COMPUTED_VALUE"""),123.43)</f>
        <v>123.43</v>
      </c>
      <c r="F2537" s="1">
        <f>IFERROR(__xludf.DUMMYFUNCTION("""COMPUTED_VALUE"""),2345323.0)</f>
        <v>2345323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IFERROR(__xludf.DUMMYFUNCTION("""COMPUTED_VALUE"""),123.16)</f>
        <v>123.16</v>
      </c>
      <c r="C2538" s="1">
        <f>IFERROR(__xludf.DUMMYFUNCTION("""COMPUTED_VALUE"""),123.31)</f>
        <v>123.31</v>
      </c>
      <c r="D2538" s="1">
        <f>IFERROR(__xludf.DUMMYFUNCTION("""COMPUTED_VALUE"""),120.31)</f>
        <v>120.31</v>
      </c>
      <c r="E2538" s="1">
        <f>IFERROR(__xludf.DUMMYFUNCTION("""COMPUTED_VALUE"""),121.55)</f>
        <v>121.55</v>
      </c>
      <c r="F2538" s="1">
        <f>IFERROR(__xludf.DUMMYFUNCTION("""COMPUTED_VALUE"""),2473605.0)</f>
        <v>2473605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IFERROR(__xludf.DUMMYFUNCTION("""COMPUTED_VALUE"""),122.66)</f>
        <v>122.66</v>
      </c>
      <c r="C2539" s="1">
        <f>IFERROR(__xludf.DUMMYFUNCTION("""COMPUTED_VALUE"""),128.41)</f>
        <v>128.41</v>
      </c>
      <c r="D2539" s="1">
        <f>IFERROR(__xludf.DUMMYFUNCTION("""COMPUTED_VALUE"""),122.1)</f>
        <v>122.1</v>
      </c>
      <c r="E2539" s="1">
        <f>IFERROR(__xludf.DUMMYFUNCTION("""COMPUTED_VALUE"""),127.69)</f>
        <v>127.69</v>
      </c>
      <c r="F2539" s="1">
        <f>IFERROR(__xludf.DUMMYFUNCTION("""COMPUTED_VALUE"""),2256052.0)</f>
        <v>2256052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IFERROR(__xludf.DUMMYFUNCTION("""COMPUTED_VALUE"""),131.18)</f>
        <v>131.18</v>
      </c>
      <c r="C2540" s="1">
        <f>IFERROR(__xludf.DUMMYFUNCTION("""COMPUTED_VALUE"""),134.49)</f>
        <v>134.49</v>
      </c>
      <c r="D2540" s="1">
        <f>IFERROR(__xludf.DUMMYFUNCTION("""COMPUTED_VALUE"""),130.6)</f>
        <v>130.6</v>
      </c>
      <c r="E2540" s="1">
        <f>IFERROR(__xludf.DUMMYFUNCTION("""COMPUTED_VALUE"""),132.99)</f>
        <v>132.99</v>
      </c>
      <c r="F2540" s="1">
        <f>IFERROR(__xludf.DUMMYFUNCTION("""COMPUTED_VALUE"""),2427934.0)</f>
        <v>2427934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IFERROR(__xludf.DUMMYFUNCTION("""COMPUTED_VALUE"""),134.7)</f>
        <v>134.7</v>
      </c>
      <c r="C2541" s="1">
        <f>IFERROR(__xludf.DUMMYFUNCTION("""COMPUTED_VALUE"""),134.93)</f>
        <v>134.93</v>
      </c>
      <c r="D2541" s="1">
        <f>IFERROR(__xludf.DUMMYFUNCTION("""COMPUTED_VALUE"""),129.23)</f>
        <v>129.23</v>
      </c>
      <c r="E2541" s="1">
        <f>IFERROR(__xludf.DUMMYFUNCTION("""COMPUTED_VALUE"""),131.56)</f>
        <v>131.56</v>
      </c>
      <c r="F2541" s="1">
        <f>IFERROR(__xludf.DUMMYFUNCTION("""COMPUTED_VALUE"""),1708719.0)</f>
        <v>1708719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IFERROR(__xludf.DUMMYFUNCTION("""COMPUTED_VALUE"""),133.3)</f>
        <v>133.3</v>
      </c>
      <c r="C2542" s="1">
        <f>IFERROR(__xludf.DUMMYFUNCTION("""COMPUTED_VALUE"""),134.76)</f>
        <v>134.76</v>
      </c>
      <c r="D2542" s="1">
        <f>IFERROR(__xludf.DUMMYFUNCTION("""COMPUTED_VALUE"""),132.52)</f>
        <v>132.52</v>
      </c>
      <c r="E2542" s="1">
        <f>IFERROR(__xludf.DUMMYFUNCTION("""COMPUTED_VALUE"""),133.96)</f>
        <v>133.96</v>
      </c>
      <c r="F2542" s="1">
        <f>IFERROR(__xludf.DUMMYFUNCTION("""COMPUTED_VALUE"""),1408591.0)</f>
        <v>1408591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IFERROR(__xludf.DUMMYFUNCTION("""COMPUTED_VALUE"""),133.03)</f>
        <v>133.03</v>
      </c>
      <c r="C2543" s="1">
        <f>IFERROR(__xludf.DUMMYFUNCTION("""COMPUTED_VALUE"""),134.9)</f>
        <v>134.9</v>
      </c>
      <c r="D2543" s="1">
        <f>IFERROR(__xludf.DUMMYFUNCTION("""COMPUTED_VALUE"""),132.0)</f>
        <v>132</v>
      </c>
      <c r="E2543" s="1">
        <f>IFERROR(__xludf.DUMMYFUNCTION("""COMPUTED_VALUE"""),134.42)</f>
        <v>134.42</v>
      </c>
      <c r="F2543" s="1">
        <f>IFERROR(__xludf.DUMMYFUNCTION("""COMPUTED_VALUE"""),1164117.0)</f>
        <v>1164117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IFERROR(__xludf.DUMMYFUNCTION("""COMPUTED_VALUE"""),133.07)</f>
        <v>133.07</v>
      </c>
      <c r="C2544" s="1">
        <f>IFERROR(__xludf.DUMMYFUNCTION("""COMPUTED_VALUE"""),135.3)</f>
        <v>135.3</v>
      </c>
      <c r="D2544" s="1">
        <f>IFERROR(__xludf.DUMMYFUNCTION("""COMPUTED_VALUE"""),132.7)</f>
        <v>132.7</v>
      </c>
      <c r="E2544" s="1">
        <f>IFERROR(__xludf.DUMMYFUNCTION("""COMPUTED_VALUE"""),135.19)</f>
        <v>135.19</v>
      </c>
      <c r="F2544" s="1">
        <f>IFERROR(__xludf.DUMMYFUNCTION("""COMPUTED_VALUE"""),1330202.0)</f>
        <v>1330202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IFERROR(__xludf.DUMMYFUNCTION("""COMPUTED_VALUE"""),135.96)</f>
        <v>135.96</v>
      </c>
      <c r="C2545" s="1">
        <f>IFERROR(__xludf.DUMMYFUNCTION("""COMPUTED_VALUE"""),139.47)</f>
        <v>139.47</v>
      </c>
      <c r="D2545" s="1">
        <f>IFERROR(__xludf.DUMMYFUNCTION("""COMPUTED_VALUE"""),135.56)</f>
        <v>135.56</v>
      </c>
      <c r="E2545" s="1">
        <f>IFERROR(__xludf.DUMMYFUNCTION("""COMPUTED_VALUE"""),138.09)</f>
        <v>138.09</v>
      </c>
      <c r="F2545" s="1">
        <f>IFERROR(__xludf.DUMMYFUNCTION("""COMPUTED_VALUE"""),1988193.0)</f>
        <v>1988193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IFERROR(__xludf.DUMMYFUNCTION("""COMPUTED_VALUE"""),138.46)</f>
        <v>138.46</v>
      </c>
      <c r="C2546" s="1">
        <f>IFERROR(__xludf.DUMMYFUNCTION("""COMPUTED_VALUE"""),140.27)</f>
        <v>140.27</v>
      </c>
      <c r="D2546" s="1">
        <f>IFERROR(__xludf.DUMMYFUNCTION("""COMPUTED_VALUE"""),135.06)</f>
        <v>135.06</v>
      </c>
      <c r="E2546" s="1">
        <f>IFERROR(__xludf.DUMMYFUNCTION("""COMPUTED_VALUE"""),138.48)</f>
        <v>138.48</v>
      </c>
      <c r="F2546" s="1">
        <f>IFERROR(__xludf.DUMMYFUNCTION("""COMPUTED_VALUE"""),1297831.0)</f>
        <v>1297831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IFERROR(__xludf.DUMMYFUNCTION("""COMPUTED_VALUE"""),137.66)</f>
        <v>137.66</v>
      </c>
      <c r="C2547" s="1">
        <f>IFERROR(__xludf.DUMMYFUNCTION("""COMPUTED_VALUE"""),139.44)</f>
        <v>139.44</v>
      </c>
      <c r="D2547" s="1">
        <f>IFERROR(__xludf.DUMMYFUNCTION("""COMPUTED_VALUE"""),136.28)</f>
        <v>136.28</v>
      </c>
      <c r="E2547" s="1">
        <f>IFERROR(__xludf.DUMMYFUNCTION("""COMPUTED_VALUE"""),138.85)</f>
        <v>138.85</v>
      </c>
      <c r="F2547" s="1">
        <f>IFERROR(__xludf.DUMMYFUNCTION("""COMPUTED_VALUE"""),712256.0)</f>
        <v>712256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IFERROR(__xludf.DUMMYFUNCTION("""COMPUTED_VALUE"""),139.82)</f>
        <v>139.82</v>
      </c>
      <c r="C2548" s="1">
        <f>IFERROR(__xludf.DUMMYFUNCTION("""COMPUTED_VALUE"""),142.38)</f>
        <v>142.38</v>
      </c>
      <c r="D2548" s="1">
        <f>IFERROR(__xludf.DUMMYFUNCTION("""COMPUTED_VALUE"""),139.27)</f>
        <v>139.27</v>
      </c>
      <c r="E2548" s="1">
        <f>IFERROR(__xludf.DUMMYFUNCTION("""COMPUTED_VALUE"""),141.53)</f>
        <v>141.53</v>
      </c>
      <c r="F2548" s="1">
        <f>IFERROR(__xludf.DUMMYFUNCTION("""COMPUTED_VALUE"""),889563.0)</f>
        <v>889563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IFERROR(__xludf.DUMMYFUNCTION("""COMPUTED_VALUE"""),141.79)</f>
        <v>141.79</v>
      </c>
      <c r="C2549" s="1">
        <f>IFERROR(__xludf.DUMMYFUNCTION("""COMPUTED_VALUE"""),141.96)</f>
        <v>141.96</v>
      </c>
      <c r="D2549" s="1">
        <f>IFERROR(__xludf.DUMMYFUNCTION("""COMPUTED_VALUE"""),137.96)</f>
        <v>137.96</v>
      </c>
      <c r="E2549" s="1">
        <f>IFERROR(__xludf.DUMMYFUNCTION("""COMPUTED_VALUE"""),138.97)</f>
        <v>138.97</v>
      </c>
      <c r="F2549" s="1">
        <f>IFERROR(__xludf.DUMMYFUNCTION("""COMPUTED_VALUE"""),1625036.0)</f>
        <v>1625036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IFERROR(__xludf.DUMMYFUNCTION("""COMPUTED_VALUE"""),140.0)</f>
        <v>140</v>
      </c>
      <c r="C2550" s="1">
        <f>IFERROR(__xludf.DUMMYFUNCTION("""COMPUTED_VALUE"""),142.14)</f>
        <v>142.14</v>
      </c>
      <c r="D2550" s="1">
        <f>IFERROR(__xludf.DUMMYFUNCTION("""COMPUTED_VALUE"""),138.56)</f>
        <v>138.56</v>
      </c>
      <c r="E2550" s="1">
        <f>IFERROR(__xludf.DUMMYFUNCTION("""COMPUTED_VALUE"""),141.76)</f>
        <v>141.76</v>
      </c>
      <c r="F2550" s="1">
        <f>IFERROR(__xludf.DUMMYFUNCTION("""COMPUTED_VALUE"""),958044.0)</f>
        <v>958044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IFERROR(__xludf.DUMMYFUNCTION("""COMPUTED_VALUE"""),141.9)</f>
        <v>141.9</v>
      </c>
      <c r="C2551" s="1">
        <f>IFERROR(__xludf.DUMMYFUNCTION("""COMPUTED_VALUE"""),141.91)</f>
        <v>141.91</v>
      </c>
      <c r="D2551" s="1">
        <f>IFERROR(__xludf.DUMMYFUNCTION("""COMPUTED_VALUE"""),137.03)</f>
        <v>137.03</v>
      </c>
      <c r="E2551" s="1">
        <f>IFERROR(__xludf.DUMMYFUNCTION("""COMPUTED_VALUE"""),137.66)</f>
        <v>137.66</v>
      </c>
      <c r="F2551" s="1">
        <f>IFERROR(__xludf.DUMMYFUNCTION("""COMPUTED_VALUE"""),1264644.0)</f>
        <v>1264644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IFERROR(__xludf.DUMMYFUNCTION("""COMPUTED_VALUE"""),137.16)</f>
        <v>137.16</v>
      </c>
      <c r="C2552" s="1">
        <f>IFERROR(__xludf.DUMMYFUNCTION("""COMPUTED_VALUE"""),138.34)</f>
        <v>138.34</v>
      </c>
      <c r="D2552" s="1">
        <f>IFERROR(__xludf.DUMMYFUNCTION("""COMPUTED_VALUE"""),135.52)</f>
        <v>135.52</v>
      </c>
      <c r="E2552" s="1">
        <f>IFERROR(__xludf.DUMMYFUNCTION("""COMPUTED_VALUE"""),137.81)</f>
        <v>137.81</v>
      </c>
      <c r="F2552" s="1">
        <f>IFERROR(__xludf.DUMMYFUNCTION("""COMPUTED_VALUE"""),709367.0)</f>
        <v>709367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IFERROR(__xludf.DUMMYFUNCTION("""COMPUTED_VALUE"""),133.28)</f>
        <v>133.28</v>
      </c>
      <c r="C2553" s="1">
        <f>IFERROR(__xludf.DUMMYFUNCTION("""COMPUTED_VALUE"""),135.97)</f>
        <v>135.97</v>
      </c>
      <c r="D2553" s="1">
        <f>IFERROR(__xludf.DUMMYFUNCTION("""COMPUTED_VALUE"""),131.17)</f>
        <v>131.17</v>
      </c>
      <c r="E2553" s="1">
        <f>IFERROR(__xludf.DUMMYFUNCTION("""COMPUTED_VALUE"""),134.78)</f>
        <v>134.78</v>
      </c>
      <c r="F2553" s="1">
        <f>IFERROR(__xludf.DUMMYFUNCTION("""COMPUTED_VALUE"""),1131060.0)</f>
        <v>1131060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IFERROR(__xludf.DUMMYFUNCTION("""COMPUTED_VALUE"""),135.87)</f>
        <v>135.87</v>
      </c>
      <c r="C2554" s="1">
        <f>IFERROR(__xludf.DUMMYFUNCTION("""COMPUTED_VALUE"""),137.4)</f>
        <v>137.4</v>
      </c>
      <c r="D2554" s="1">
        <f>IFERROR(__xludf.DUMMYFUNCTION("""COMPUTED_VALUE"""),133.65)</f>
        <v>133.65</v>
      </c>
      <c r="E2554" s="1">
        <f>IFERROR(__xludf.DUMMYFUNCTION("""COMPUTED_VALUE"""),134.47)</f>
        <v>134.47</v>
      </c>
      <c r="F2554" s="1">
        <f>IFERROR(__xludf.DUMMYFUNCTION("""COMPUTED_VALUE"""),840550.0)</f>
        <v>840550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IFERROR(__xludf.DUMMYFUNCTION("""COMPUTED_VALUE"""),135.18)</f>
        <v>135.18</v>
      </c>
      <c r="C2555" s="1">
        <f>IFERROR(__xludf.DUMMYFUNCTION("""COMPUTED_VALUE"""),138.0)</f>
        <v>138</v>
      </c>
      <c r="D2555" s="1">
        <f>IFERROR(__xludf.DUMMYFUNCTION("""COMPUTED_VALUE"""),133.18)</f>
        <v>133.18</v>
      </c>
      <c r="E2555" s="1">
        <f>IFERROR(__xludf.DUMMYFUNCTION("""COMPUTED_VALUE"""),133.75)</f>
        <v>133.75</v>
      </c>
      <c r="F2555" s="1">
        <f>IFERROR(__xludf.DUMMYFUNCTION("""COMPUTED_VALUE"""),930405.0)</f>
        <v>930405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IFERROR(__xludf.DUMMYFUNCTION("""COMPUTED_VALUE"""),132.54)</f>
        <v>132.54</v>
      </c>
      <c r="C2556" s="1">
        <f>IFERROR(__xludf.DUMMYFUNCTION("""COMPUTED_VALUE"""),137.35)</f>
        <v>137.35</v>
      </c>
      <c r="D2556" s="1">
        <f>IFERROR(__xludf.DUMMYFUNCTION("""COMPUTED_VALUE"""),132.46)</f>
        <v>132.46</v>
      </c>
      <c r="E2556" s="1">
        <f>IFERROR(__xludf.DUMMYFUNCTION("""COMPUTED_VALUE"""),132.63)</f>
        <v>132.63</v>
      </c>
      <c r="F2556" s="1">
        <f>IFERROR(__xludf.DUMMYFUNCTION("""COMPUTED_VALUE"""),1191131.0)</f>
        <v>1191131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IFERROR(__xludf.DUMMYFUNCTION("""COMPUTED_VALUE"""),129.49)</f>
        <v>129.49</v>
      </c>
      <c r="C2557" s="1">
        <f>IFERROR(__xludf.DUMMYFUNCTION("""COMPUTED_VALUE"""),130.29)</f>
        <v>130.29</v>
      </c>
      <c r="D2557" s="1">
        <f>IFERROR(__xludf.DUMMYFUNCTION("""COMPUTED_VALUE"""),123.65)</f>
        <v>123.65</v>
      </c>
      <c r="E2557" s="1">
        <f>IFERROR(__xludf.DUMMYFUNCTION("""COMPUTED_VALUE"""),127.89)</f>
        <v>127.89</v>
      </c>
      <c r="F2557" s="1">
        <f>IFERROR(__xludf.DUMMYFUNCTION("""COMPUTED_VALUE"""),2199991.0)</f>
        <v>2199991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IFERROR(__xludf.DUMMYFUNCTION("""COMPUTED_VALUE"""),130.01)</f>
        <v>130.01</v>
      </c>
      <c r="C2558" s="1">
        <f>IFERROR(__xludf.DUMMYFUNCTION("""COMPUTED_VALUE"""),136.03)</f>
        <v>136.03</v>
      </c>
      <c r="D2558" s="1">
        <f>IFERROR(__xludf.DUMMYFUNCTION("""COMPUTED_VALUE"""),129.47)</f>
        <v>129.47</v>
      </c>
      <c r="E2558" s="1">
        <f>IFERROR(__xludf.DUMMYFUNCTION("""COMPUTED_VALUE"""),134.47)</f>
        <v>134.47</v>
      </c>
      <c r="F2558" s="1">
        <f>IFERROR(__xludf.DUMMYFUNCTION("""COMPUTED_VALUE"""),2263505.0)</f>
        <v>2263505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IFERROR(__xludf.DUMMYFUNCTION("""COMPUTED_VALUE"""),134.75)</f>
        <v>134.75</v>
      </c>
      <c r="C2559" s="1">
        <f>IFERROR(__xludf.DUMMYFUNCTION("""COMPUTED_VALUE"""),136.73)</f>
        <v>136.73</v>
      </c>
      <c r="D2559" s="1">
        <f>IFERROR(__xludf.DUMMYFUNCTION("""COMPUTED_VALUE"""),131.19)</f>
        <v>131.19</v>
      </c>
      <c r="E2559" s="1">
        <f>IFERROR(__xludf.DUMMYFUNCTION("""COMPUTED_VALUE"""),134.2)</f>
        <v>134.2</v>
      </c>
      <c r="F2559" s="1">
        <f>IFERROR(__xludf.DUMMYFUNCTION("""COMPUTED_VALUE"""),1445481.0)</f>
        <v>1445481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IFERROR(__xludf.DUMMYFUNCTION("""COMPUTED_VALUE"""),135.35)</f>
        <v>135.35</v>
      </c>
      <c r="C2560" s="1">
        <f>IFERROR(__xludf.DUMMYFUNCTION("""COMPUTED_VALUE"""),136.66)</f>
        <v>136.66</v>
      </c>
      <c r="D2560" s="1">
        <f>IFERROR(__xludf.DUMMYFUNCTION("""COMPUTED_VALUE"""),132.82)</f>
        <v>132.82</v>
      </c>
      <c r="E2560" s="1">
        <f>IFERROR(__xludf.DUMMYFUNCTION("""COMPUTED_VALUE"""),134.59)</f>
        <v>134.59</v>
      </c>
      <c r="F2560" s="1">
        <f>IFERROR(__xludf.DUMMYFUNCTION("""COMPUTED_VALUE"""),1044012.0)</f>
        <v>1044012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IFERROR(__xludf.DUMMYFUNCTION("""COMPUTED_VALUE"""),133.45)</f>
        <v>133.45</v>
      </c>
      <c r="C2561" s="1">
        <f>IFERROR(__xludf.DUMMYFUNCTION("""COMPUTED_VALUE"""),135.41)</f>
        <v>135.41</v>
      </c>
      <c r="D2561" s="1">
        <f>IFERROR(__xludf.DUMMYFUNCTION("""COMPUTED_VALUE"""),129.81)</f>
        <v>129.81</v>
      </c>
      <c r="E2561" s="1">
        <f>IFERROR(__xludf.DUMMYFUNCTION("""COMPUTED_VALUE"""),134.21)</f>
        <v>134.21</v>
      </c>
      <c r="F2561" s="1">
        <f>IFERROR(__xludf.DUMMYFUNCTION("""COMPUTED_VALUE"""),1157632.0)</f>
        <v>1157632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IFERROR(__xludf.DUMMYFUNCTION("""COMPUTED_VALUE"""),131.45)</f>
        <v>131.45</v>
      </c>
      <c r="C2562" s="1">
        <f>IFERROR(__xludf.DUMMYFUNCTION("""COMPUTED_VALUE"""),132.59)</f>
        <v>132.59</v>
      </c>
      <c r="D2562" s="1">
        <f>IFERROR(__xludf.DUMMYFUNCTION("""COMPUTED_VALUE"""),126.29)</f>
        <v>126.29</v>
      </c>
      <c r="E2562" s="1">
        <f>IFERROR(__xludf.DUMMYFUNCTION("""COMPUTED_VALUE"""),128.83)</f>
        <v>128.83</v>
      </c>
      <c r="F2562" s="1">
        <f>IFERROR(__xludf.DUMMYFUNCTION("""COMPUTED_VALUE"""),1813456.0)</f>
        <v>1813456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IFERROR(__xludf.DUMMYFUNCTION("""COMPUTED_VALUE"""),122.05)</f>
        <v>122.05</v>
      </c>
      <c r="C2563" s="1">
        <f>IFERROR(__xludf.DUMMYFUNCTION("""COMPUTED_VALUE"""),129.95)</f>
        <v>129.95</v>
      </c>
      <c r="D2563" s="1">
        <f>IFERROR(__xludf.DUMMYFUNCTION("""COMPUTED_VALUE"""),120.24)</f>
        <v>120.24</v>
      </c>
      <c r="E2563" s="1">
        <f>IFERROR(__xludf.DUMMYFUNCTION("""COMPUTED_VALUE"""),127.12)</f>
        <v>127.12</v>
      </c>
      <c r="F2563" s="1">
        <f>IFERROR(__xludf.DUMMYFUNCTION("""COMPUTED_VALUE"""),1369840.0)</f>
        <v>1369840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IFERROR(__xludf.DUMMYFUNCTION("""COMPUTED_VALUE"""),130.91)</f>
        <v>130.91</v>
      </c>
      <c r="C2564" s="1">
        <f>IFERROR(__xludf.DUMMYFUNCTION("""COMPUTED_VALUE"""),132.0)</f>
        <v>132</v>
      </c>
      <c r="D2564" s="1">
        <f>IFERROR(__xludf.DUMMYFUNCTION("""COMPUTED_VALUE"""),125.66)</f>
        <v>125.66</v>
      </c>
      <c r="E2564" s="1">
        <f>IFERROR(__xludf.DUMMYFUNCTION("""COMPUTED_VALUE"""),128.31)</f>
        <v>128.31</v>
      </c>
      <c r="F2564" s="1">
        <f>IFERROR(__xludf.DUMMYFUNCTION("""COMPUTED_VALUE"""),1351366.0)</f>
        <v>1351366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IFERROR(__xludf.DUMMYFUNCTION("""COMPUTED_VALUE"""),125.91)</f>
        <v>125.91</v>
      </c>
      <c r="C2565" s="1">
        <f>IFERROR(__xludf.DUMMYFUNCTION("""COMPUTED_VALUE"""),130.69)</f>
        <v>130.69</v>
      </c>
      <c r="D2565" s="1">
        <f>IFERROR(__xludf.DUMMYFUNCTION("""COMPUTED_VALUE"""),124.06)</f>
        <v>124.06</v>
      </c>
      <c r="E2565" s="1">
        <f>IFERROR(__xludf.DUMMYFUNCTION("""COMPUTED_VALUE"""),126.69)</f>
        <v>126.69</v>
      </c>
      <c r="F2565" s="1">
        <f>IFERROR(__xludf.DUMMYFUNCTION("""COMPUTED_VALUE"""),1447670.0)</f>
        <v>1447670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IFERROR(__xludf.DUMMYFUNCTION("""COMPUTED_VALUE"""),119.11)</f>
        <v>119.11</v>
      </c>
      <c r="C2566" s="1">
        <f>IFERROR(__xludf.DUMMYFUNCTION("""COMPUTED_VALUE"""),121.18)</f>
        <v>121.18</v>
      </c>
      <c r="D2566" s="1">
        <f>IFERROR(__xludf.DUMMYFUNCTION("""COMPUTED_VALUE"""),115.88)</f>
        <v>115.88</v>
      </c>
      <c r="E2566" s="1">
        <f>IFERROR(__xludf.DUMMYFUNCTION("""COMPUTED_VALUE"""),116.86)</f>
        <v>116.86</v>
      </c>
      <c r="F2566" s="1">
        <f>IFERROR(__xludf.DUMMYFUNCTION("""COMPUTED_VALUE"""),3344498.0)</f>
        <v>3344498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IFERROR(__xludf.DUMMYFUNCTION("""COMPUTED_VALUE"""),121.74)</f>
        <v>121.74</v>
      </c>
      <c r="C2567" s="1">
        <f>IFERROR(__xludf.DUMMYFUNCTION("""COMPUTED_VALUE"""),126.03)</f>
        <v>126.03</v>
      </c>
      <c r="D2567" s="1">
        <f>IFERROR(__xludf.DUMMYFUNCTION("""COMPUTED_VALUE"""),117.34)</f>
        <v>117.34</v>
      </c>
      <c r="E2567" s="1">
        <f>IFERROR(__xludf.DUMMYFUNCTION("""COMPUTED_VALUE"""),122.08)</f>
        <v>122.08</v>
      </c>
      <c r="F2567" s="1">
        <f>IFERROR(__xludf.DUMMYFUNCTION("""COMPUTED_VALUE"""),1887834.0)</f>
        <v>1887834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IFERROR(__xludf.DUMMYFUNCTION("""COMPUTED_VALUE"""),113.5)</f>
        <v>113.5</v>
      </c>
      <c r="C2568" s="1">
        <f>IFERROR(__xludf.DUMMYFUNCTION("""COMPUTED_VALUE"""),118.1)</f>
        <v>118.1</v>
      </c>
      <c r="D2568" s="1">
        <f>IFERROR(__xludf.DUMMYFUNCTION("""COMPUTED_VALUE"""),110.56)</f>
        <v>110.56</v>
      </c>
      <c r="E2568" s="1">
        <f>IFERROR(__xludf.DUMMYFUNCTION("""COMPUTED_VALUE"""),114.65)</f>
        <v>114.65</v>
      </c>
      <c r="F2568" s="1">
        <f>IFERROR(__xludf.DUMMYFUNCTION("""COMPUTED_VALUE"""),2345934.0)</f>
        <v>2345934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IFERROR(__xludf.DUMMYFUNCTION("""COMPUTED_VALUE"""),115.83)</f>
        <v>115.83</v>
      </c>
      <c r="C2569" s="1">
        <f>IFERROR(__xludf.DUMMYFUNCTION("""COMPUTED_VALUE"""),118.28)</f>
        <v>118.28</v>
      </c>
      <c r="D2569" s="1">
        <f>IFERROR(__xludf.DUMMYFUNCTION("""COMPUTED_VALUE"""),111.66)</f>
        <v>111.66</v>
      </c>
      <c r="E2569" s="1">
        <f>IFERROR(__xludf.DUMMYFUNCTION("""COMPUTED_VALUE"""),117.2)</f>
        <v>117.2</v>
      </c>
      <c r="F2569" s="1">
        <f>IFERROR(__xludf.DUMMYFUNCTION("""COMPUTED_VALUE"""),2630741.0)</f>
        <v>2630741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IFERROR(__xludf.DUMMYFUNCTION("""COMPUTED_VALUE"""),111.5)</f>
        <v>111.5</v>
      </c>
      <c r="C2570" s="1">
        <f>IFERROR(__xludf.DUMMYFUNCTION("""COMPUTED_VALUE"""),115.58)</f>
        <v>115.58</v>
      </c>
      <c r="D2570" s="1">
        <f>IFERROR(__xludf.DUMMYFUNCTION("""COMPUTED_VALUE"""),107.46)</f>
        <v>107.46</v>
      </c>
      <c r="E2570" s="1">
        <f>IFERROR(__xludf.DUMMYFUNCTION("""COMPUTED_VALUE"""),111.07)</f>
        <v>111.07</v>
      </c>
      <c r="F2570" s="1">
        <f>IFERROR(__xludf.DUMMYFUNCTION("""COMPUTED_VALUE"""),3172066.0)</f>
        <v>3172066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IFERROR(__xludf.DUMMYFUNCTION("""COMPUTED_VALUE"""),110.0)</f>
        <v>110</v>
      </c>
      <c r="C2571" s="1">
        <f>IFERROR(__xludf.DUMMYFUNCTION("""COMPUTED_VALUE"""),112.27)</f>
        <v>112.27</v>
      </c>
      <c r="D2571" s="1">
        <f>IFERROR(__xludf.DUMMYFUNCTION("""COMPUTED_VALUE"""),107.18)</f>
        <v>107.18</v>
      </c>
      <c r="E2571" s="1">
        <f>IFERROR(__xludf.DUMMYFUNCTION("""COMPUTED_VALUE"""),110.42)</f>
        <v>110.42</v>
      </c>
      <c r="F2571" s="1">
        <f>IFERROR(__xludf.DUMMYFUNCTION("""COMPUTED_VALUE"""),2338423.0)</f>
        <v>2338423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IFERROR(__xludf.DUMMYFUNCTION("""COMPUTED_VALUE"""),112.65)</f>
        <v>112.65</v>
      </c>
      <c r="C2572" s="1">
        <f>IFERROR(__xludf.DUMMYFUNCTION("""COMPUTED_VALUE"""),116.14)</f>
        <v>116.14</v>
      </c>
      <c r="D2572" s="1">
        <f>IFERROR(__xludf.DUMMYFUNCTION("""COMPUTED_VALUE"""),107.43)</f>
        <v>107.43</v>
      </c>
      <c r="E2572" s="1">
        <f>IFERROR(__xludf.DUMMYFUNCTION("""COMPUTED_VALUE"""),108.72)</f>
        <v>108.72</v>
      </c>
      <c r="F2572" s="1">
        <f>IFERROR(__xludf.DUMMYFUNCTION("""COMPUTED_VALUE"""),2489301.0)</f>
        <v>2489301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IFERROR(__xludf.DUMMYFUNCTION("""COMPUTED_VALUE"""),108.74)</f>
        <v>108.74</v>
      </c>
      <c r="C2573" s="1">
        <f>IFERROR(__xludf.DUMMYFUNCTION("""COMPUTED_VALUE"""),109.14)</f>
        <v>109.14</v>
      </c>
      <c r="D2573" s="1">
        <f>IFERROR(__xludf.DUMMYFUNCTION("""COMPUTED_VALUE"""),102.01)</f>
        <v>102.01</v>
      </c>
      <c r="E2573" s="1">
        <f>IFERROR(__xludf.DUMMYFUNCTION("""COMPUTED_VALUE"""),103.85)</f>
        <v>103.85</v>
      </c>
      <c r="F2573" s="1">
        <f>IFERROR(__xludf.DUMMYFUNCTION("""COMPUTED_VALUE"""),1855473.0)</f>
        <v>1855473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IFERROR(__xludf.DUMMYFUNCTION("""COMPUTED_VALUE"""),107.71)</f>
        <v>107.71</v>
      </c>
      <c r="C2574" s="1">
        <f>IFERROR(__xludf.DUMMYFUNCTION("""COMPUTED_VALUE"""),119.49)</f>
        <v>119.49</v>
      </c>
      <c r="D2574" s="1">
        <f>IFERROR(__xludf.DUMMYFUNCTION("""COMPUTED_VALUE"""),107.71)</f>
        <v>107.71</v>
      </c>
      <c r="E2574" s="1">
        <f>IFERROR(__xludf.DUMMYFUNCTION("""COMPUTED_VALUE"""),117.7)</f>
        <v>117.7</v>
      </c>
      <c r="F2574" s="1">
        <f>IFERROR(__xludf.DUMMYFUNCTION("""COMPUTED_VALUE"""),2360893.0)</f>
        <v>2360893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IFERROR(__xludf.DUMMYFUNCTION("""COMPUTED_VALUE"""),118.55)</f>
        <v>118.55</v>
      </c>
      <c r="C2575" s="1">
        <f>IFERROR(__xludf.DUMMYFUNCTION("""COMPUTED_VALUE"""),127.9)</f>
        <v>127.9</v>
      </c>
      <c r="D2575" s="1">
        <f>IFERROR(__xludf.DUMMYFUNCTION("""COMPUTED_VALUE"""),117.05)</f>
        <v>117.05</v>
      </c>
      <c r="E2575" s="1">
        <f>IFERROR(__xludf.DUMMYFUNCTION("""COMPUTED_VALUE"""),124.44)</f>
        <v>124.44</v>
      </c>
      <c r="F2575" s="1">
        <f>IFERROR(__xludf.DUMMYFUNCTION("""COMPUTED_VALUE"""),1526821.0)</f>
        <v>1526821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IFERROR(__xludf.DUMMYFUNCTION("""COMPUTED_VALUE"""),123.51)</f>
        <v>123.51</v>
      </c>
      <c r="C2576" s="1">
        <f>IFERROR(__xludf.DUMMYFUNCTION("""COMPUTED_VALUE"""),126.99)</f>
        <v>126.99</v>
      </c>
      <c r="D2576" s="1">
        <f>IFERROR(__xludf.DUMMYFUNCTION("""COMPUTED_VALUE"""),120.61)</f>
        <v>120.61</v>
      </c>
      <c r="E2576" s="1">
        <f>IFERROR(__xludf.DUMMYFUNCTION("""COMPUTED_VALUE"""),125.2)</f>
        <v>125.2</v>
      </c>
      <c r="F2576" s="1">
        <f>IFERROR(__xludf.DUMMYFUNCTION("""COMPUTED_VALUE"""),984187.0)</f>
        <v>984187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IFERROR(__xludf.DUMMYFUNCTION("""COMPUTED_VALUE"""),117.63)</f>
        <v>117.63</v>
      </c>
      <c r="C2577" s="1">
        <f>IFERROR(__xludf.DUMMYFUNCTION("""COMPUTED_VALUE"""),118.7)</f>
        <v>118.7</v>
      </c>
      <c r="D2577" s="1">
        <f>IFERROR(__xludf.DUMMYFUNCTION("""COMPUTED_VALUE"""),111.03)</f>
        <v>111.03</v>
      </c>
      <c r="E2577" s="1">
        <f>IFERROR(__xludf.DUMMYFUNCTION("""COMPUTED_VALUE"""),112.7)</f>
        <v>112.7</v>
      </c>
      <c r="F2577" s="1">
        <f>IFERROR(__xludf.DUMMYFUNCTION("""COMPUTED_VALUE"""),3011925.0)</f>
        <v>3011925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IFERROR(__xludf.DUMMYFUNCTION("""COMPUTED_VALUE"""),111.03)</f>
        <v>111.03</v>
      </c>
      <c r="C2578" s="1">
        <f>IFERROR(__xludf.DUMMYFUNCTION("""COMPUTED_VALUE"""),112.79)</f>
        <v>112.79</v>
      </c>
      <c r="D2578" s="1">
        <f>IFERROR(__xludf.DUMMYFUNCTION("""COMPUTED_VALUE"""),106.0)</f>
        <v>106</v>
      </c>
      <c r="E2578" s="1">
        <f>IFERROR(__xludf.DUMMYFUNCTION("""COMPUTED_VALUE"""),109.0)</f>
        <v>109</v>
      </c>
      <c r="F2578" s="1">
        <f>IFERROR(__xludf.DUMMYFUNCTION("""COMPUTED_VALUE"""),2641447.0)</f>
        <v>2641447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IFERROR(__xludf.DUMMYFUNCTION("""COMPUTED_VALUE"""),108.85)</f>
        <v>108.85</v>
      </c>
      <c r="C2579" s="1">
        <f>IFERROR(__xludf.DUMMYFUNCTION("""COMPUTED_VALUE"""),110.97)</f>
        <v>110.97</v>
      </c>
      <c r="D2579" s="1">
        <f>IFERROR(__xludf.DUMMYFUNCTION("""COMPUTED_VALUE"""),105.68)</f>
        <v>105.68</v>
      </c>
      <c r="E2579" s="1">
        <f>IFERROR(__xludf.DUMMYFUNCTION("""COMPUTED_VALUE"""),108.24)</f>
        <v>108.24</v>
      </c>
      <c r="F2579" s="1">
        <f>IFERROR(__xludf.DUMMYFUNCTION("""COMPUTED_VALUE"""),3083538.0)</f>
        <v>3083538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IFERROR(__xludf.DUMMYFUNCTION("""COMPUTED_VALUE"""),106.6)</f>
        <v>106.6</v>
      </c>
      <c r="C2580" s="1">
        <f>IFERROR(__xludf.DUMMYFUNCTION("""COMPUTED_VALUE"""),107.17)</f>
        <v>107.17</v>
      </c>
      <c r="D2580" s="1">
        <f>IFERROR(__xludf.DUMMYFUNCTION("""COMPUTED_VALUE"""),102.66)</f>
        <v>102.66</v>
      </c>
      <c r="E2580" s="1">
        <f>IFERROR(__xludf.DUMMYFUNCTION("""COMPUTED_VALUE"""),104.74)</f>
        <v>104.74</v>
      </c>
      <c r="F2580" s="1">
        <f>IFERROR(__xludf.DUMMYFUNCTION("""COMPUTED_VALUE"""),2856251.0)</f>
        <v>2856251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IFERROR(__xludf.DUMMYFUNCTION("""COMPUTED_VALUE"""),105.0)</f>
        <v>105</v>
      </c>
      <c r="C2581" s="1">
        <f>IFERROR(__xludf.DUMMYFUNCTION("""COMPUTED_VALUE"""),111.37)</f>
        <v>111.37</v>
      </c>
      <c r="D2581" s="1">
        <f>IFERROR(__xludf.DUMMYFUNCTION("""COMPUTED_VALUE"""),104.8)</f>
        <v>104.8</v>
      </c>
      <c r="E2581" s="1">
        <f>IFERROR(__xludf.DUMMYFUNCTION("""COMPUTED_VALUE"""),107.91)</f>
        <v>107.91</v>
      </c>
      <c r="F2581" s="1">
        <f>IFERROR(__xludf.DUMMYFUNCTION("""COMPUTED_VALUE"""),2232274.0)</f>
        <v>2232274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IFERROR(__xludf.DUMMYFUNCTION("""COMPUTED_VALUE"""),106.99)</f>
        <v>106.99</v>
      </c>
      <c r="C2582" s="1">
        <f>IFERROR(__xludf.DUMMYFUNCTION("""COMPUTED_VALUE"""),107.9)</f>
        <v>107.9</v>
      </c>
      <c r="D2582" s="1">
        <f>IFERROR(__xludf.DUMMYFUNCTION("""COMPUTED_VALUE"""),104.71)</f>
        <v>104.71</v>
      </c>
      <c r="E2582" s="1">
        <f>IFERROR(__xludf.DUMMYFUNCTION("""COMPUTED_VALUE"""),106.51)</f>
        <v>106.51</v>
      </c>
      <c r="F2582" s="1">
        <f>IFERROR(__xludf.DUMMYFUNCTION("""COMPUTED_VALUE"""),1748241.0)</f>
        <v>1748241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IFERROR(__xludf.DUMMYFUNCTION("""COMPUTED_VALUE"""),110.0)</f>
        <v>110</v>
      </c>
      <c r="C2583" s="1">
        <f>IFERROR(__xludf.DUMMYFUNCTION("""COMPUTED_VALUE"""),112.99)</f>
        <v>112.99</v>
      </c>
      <c r="D2583" s="1">
        <f>IFERROR(__xludf.DUMMYFUNCTION("""COMPUTED_VALUE"""),108.18)</f>
        <v>108.18</v>
      </c>
      <c r="E2583" s="1">
        <f>IFERROR(__xludf.DUMMYFUNCTION("""COMPUTED_VALUE"""),111.0)</f>
        <v>111</v>
      </c>
      <c r="F2583" s="1">
        <f>IFERROR(__xludf.DUMMYFUNCTION("""COMPUTED_VALUE"""),1884983.0)</f>
        <v>1884983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IFERROR(__xludf.DUMMYFUNCTION("""COMPUTED_VALUE"""),114.86)</f>
        <v>114.86</v>
      </c>
      <c r="C2584" s="1">
        <f>IFERROR(__xludf.DUMMYFUNCTION("""COMPUTED_VALUE"""),116.58)</f>
        <v>116.58</v>
      </c>
      <c r="D2584" s="1">
        <f>IFERROR(__xludf.DUMMYFUNCTION("""COMPUTED_VALUE"""),113.02)</f>
        <v>113.02</v>
      </c>
      <c r="E2584" s="1">
        <f>IFERROR(__xludf.DUMMYFUNCTION("""COMPUTED_VALUE"""),115.31)</f>
        <v>115.31</v>
      </c>
      <c r="F2584" s="1">
        <f>IFERROR(__xludf.DUMMYFUNCTION("""COMPUTED_VALUE"""),1856676.0)</f>
        <v>1856676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IFERROR(__xludf.DUMMYFUNCTION("""COMPUTED_VALUE"""),110.96)</f>
        <v>110.96</v>
      </c>
      <c r="C2585" s="1">
        <f>IFERROR(__xludf.DUMMYFUNCTION("""COMPUTED_VALUE"""),114.15)</f>
        <v>114.15</v>
      </c>
      <c r="D2585" s="1">
        <f>IFERROR(__xludf.DUMMYFUNCTION("""COMPUTED_VALUE"""),107.65)</f>
        <v>107.65</v>
      </c>
      <c r="E2585" s="1">
        <f>IFERROR(__xludf.DUMMYFUNCTION("""COMPUTED_VALUE"""),112.54)</f>
        <v>112.54</v>
      </c>
      <c r="F2585" s="1">
        <f>IFERROR(__xludf.DUMMYFUNCTION("""COMPUTED_VALUE"""),2401764.0)</f>
        <v>2401764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IFERROR(__xludf.DUMMYFUNCTION("""COMPUTED_VALUE"""),113.0)</f>
        <v>113</v>
      </c>
      <c r="C2586" s="1">
        <f>IFERROR(__xludf.DUMMYFUNCTION("""COMPUTED_VALUE"""),117.58)</f>
        <v>117.58</v>
      </c>
      <c r="D2586" s="1">
        <f>IFERROR(__xludf.DUMMYFUNCTION("""COMPUTED_VALUE"""),111.4)</f>
        <v>111.4</v>
      </c>
      <c r="E2586" s="1">
        <f>IFERROR(__xludf.DUMMYFUNCTION("""COMPUTED_VALUE"""),115.74)</f>
        <v>115.74</v>
      </c>
      <c r="F2586" s="1">
        <f>IFERROR(__xludf.DUMMYFUNCTION("""COMPUTED_VALUE"""),1989537.0)</f>
        <v>1989537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IFERROR(__xludf.DUMMYFUNCTION("""COMPUTED_VALUE"""),115.89)</f>
        <v>115.89</v>
      </c>
      <c r="C2587" s="1">
        <f>IFERROR(__xludf.DUMMYFUNCTION("""COMPUTED_VALUE"""),117.34)</f>
        <v>117.34</v>
      </c>
      <c r="D2587" s="1">
        <f>IFERROR(__xludf.DUMMYFUNCTION("""COMPUTED_VALUE"""),114.81)</f>
        <v>114.81</v>
      </c>
      <c r="E2587" s="1">
        <f>IFERROR(__xludf.DUMMYFUNCTION("""COMPUTED_VALUE"""),117.09)</f>
        <v>117.09</v>
      </c>
      <c r="F2587" s="1">
        <f>IFERROR(__xludf.DUMMYFUNCTION("""COMPUTED_VALUE"""),1137586.0)</f>
        <v>1137586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IFERROR(__xludf.DUMMYFUNCTION("""COMPUTED_VALUE"""),120.55)</f>
        <v>120.55</v>
      </c>
      <c r="C2588" s="1">
        <f>IFERROR(__xludf.DUMMYFUNCTION("""COMPUTED_VALUE"""),121.68)</f>
        <v>121.68</v>
      </c>
      <c r="D2588" s="1">
        <f>IFERROR(__xludf.DUMMYFUNCTION("""COMPUTED_VALUE"""),116.04)</f>
        <v>116.04</v>
      </c>
      <c r="E2588" s="1">
        <f>IFERROR(__xludf.DUMMYFUNCTION("""COMPUTED_VALUE"""),118.31)</f>
        <v>118.31</v>
      </c>
      <c r="F2588" s="1">
        <f>IFERROR(__xludf.DUMMYFUNCTION("""COMPUTED_VALUE"""),1509129.0)</f>
        <v>1509129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IFERROR(__xludf.DUMMYFUNCTION("""COMPUTED_VALUE"""),115.99)</f>
        <v>115.99</v>
      </c>
      <c r="C2589" s="1">
        <f>IFERROR(__xludf.DUMMYFUNCTION("""COMPUTED_VALUE"""),118.67)</f>
        <v>118.67</v>
      </c>
      <c r="D2589" s="1">
        <f>IFERROR(__xludf.DUMMYFUNCTION("""COMPUTED_VALUE"""),115.12)</f>
        <v>115.12</v>
      </c>
      <c r="E2589" s="1">
        <f>IFERROR(__xludf.DUMMYFUNCTION("""COMPUTED_VALUE"""),115.15)</f>
        <v>115.15</v>
      </c>
      <c r="F2589" s="1">
        <f>IFERROR(__xludf.DUMMYFUNCTION("""COMPUTED_VALUE"""),830449.0)</f>
        <v>830449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IFERROR(__xludf.DUMMYFUNCTION("""COMPUTED_VALUE"""),115.57)</f>
        <v>115.57</v>
      </c>
      <c r="C2590" s="1">
        <f>IFERROR(__xludf.DUMMYFUNCTION("""COMPUTED_VALUE"""),116.59)</f>
        <v>116.59</v>
      </c>
      <c r="D2590" s="1">
        <f>IFERROR(__xludf.DUMMYFUNCTION("""COMPUTED_VALUE"""),109.72)</f>
        <v>109.72</v>
      </c>
      <c r="E2590" s="1">
        <f>IFERROR(__xludf.DUMMYFUNCTION("""COMPUTED_VALUE"""),110.54)</f>
        <v>110.54</v>
      </c>
      <c r="F2590" s="1">
        <f>IFERROR(__xludf.DUMMYFUNCTION("""COMPUTED_VALUE"""),1943169.0)</f>
        <v>1943169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IFERROR(__xludf.DUMMYFUNCTION("""COMPUTED_VALUE"""),111.65)</f>
        <v>111.65</v>
      </c>
      <c r="C2591" s="1">
        <f>IFERROR(__xludf.DUMMYFUNCTION("""COMPUTED_VALUE"""),113.52)</f>
        <v>113.52</v>
      </c>
      <c r="D2591" s="1">
        <f>IFERROR(__xludf.DUMMYFUNCTION("""COMPUTED_VALUE"""),109.82)</f>
        <v>109.82</v>
      </c>
      <c r="E2591" s="1">
        <f>IFERROR(__xludf.DUMMYFUNCTION("""COMPUTED_VALUE"""),112.48)</f>
        <v>112.48</v>
      </c>
      <c r="F2591" s="1">
        <f>IFERROR(__xludf.DUMMYFUNCTION("""COMPUTED_VALUE"""),2030134.0)</f>
        <v>2030134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IFERROR(__xludf.DUMMYFUNCTION("""COMPUTED_VALUE"""),110.82)</f>
        <v>110.82</v>
      </c>
      <c r="C2592" s="1">
        <f>IFERROR(__xludf.DUMMYFUNCTION("""COMPUTED_VALUE"""),112.48)</f>
        <v>112.48</v>
      </c>
      <c r="D2592" s="1">
        <f>IFERROR(__xludf.DUMMYFUNCTION("""COMPUTED_VALUE"""),109.34)</f>
        <v>109.34</v>
      </c>
      <c r="E2592" s="1">
        <f>IFERROR(__xludf.DUMMYFUNCTION("""COMPUTED_VALUE"""),109.37)</f>
        <v>109.37</v>
      </c>
      <c r="F2592" s="1">
        <f>IFERROR(__xludf.DUMMYFUNCTION("""COMPUTED_VALUE"""),2438058.0)</f>
        <v>2438058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IFERROR(__xludf.DUMMYFUNCTION("""COMPUTED_VALUE"""),109.38)</f>
        <v>109.38</v>
      </c>
      <c r="C2593" s="1">
        <f>IFERROR(__xludf.DUMMYFUNCTION("""COMPUTED_VALUE"""),115.33)</f>
        <v>115.33</v>
      </c>
      <c r="D2593" s="1">
        <f>IFERROR(__xludf.DUMMYFUNCTION("""COMPUTED_VALUE"""),107.12)</f>
        <v>107.12</v>
      </c>
      <c r="E2593" s="1">
        <f>IFERROR(__xludf.DUMMYFUNCTION("""COMPUTED_VALUE"""),113.13)</f>
        <v>113.13</v>
      </c>
      <c r="F2593" s="1">
        <f>IFERROR(__xludf.DUMMYFUNCTION("""COMPUTED_VALUE"""),2596111.0)</f>
        <v>2596111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IFERROR(__xludf.DUMMYFUNCTION("""COMPUTED_VALUE"""),118.23)</f>
        <v>118.23</v>
      </c>
      <c r="C2594" s="1">
        <f>IFERROR(__xludf.DUMMYFUNCTION("""COMPUTED_VALUE"""),128.17)</f>
        <v>128.17</v>
      </c>
      <c r="D2594" s="1">
        <f>IFERROR(__xludf.DUMMYFUNCTION("""COMPUTED_VALUE"""),113.05)</f>
        <v>113.05</v>
      </c>
      <c r="E2594" s="1">
        <f>IFERROR(__xludf.DUMMYFUNCTION("""COMPUTED_VALUE"""),113.78)</f>
        <v>113.78</v>
      </c>
      <c r="F2594" s="1">
        <f>IFERROR(__xludf.DUMMYFUNCTION("""COMPUTED_VALUE"""),2880631.0)</f>
        <v>2880631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IFERROR(__xludf.DUMMYFUNCTION("""COMPUTED_VALUE"""),114.42)</f>
        <v>114.42</v>
      </c>
      <c r="C2595" s="1">
        <f>IFERROR(__xludf.DUMMYFUNCTION("""COMPUTED_VALUE"""),116.63)</f>
        <v>116.63</v>
      </c>
      <c r="D2595" s="1">
        <f>IFERROR(__xludf.DUMMYFUNCTION("""COMPUTED_VALUE"""),109.54)</f>
        <v>109.54</v>
      </c>
      <c r="E2595" s="1">
        <f>IFERROR(__xludf.DUMMYFUNCTION("""COMPUTED_VALUE"""),110.69)</f>
        <v>110.69</v>
      </c>
      <c r="F2595" s="1">
        <f>IFERROR(__xludf.DUMMYFUNCTION("""COMPUTED_VALUE"""),2018098.0)</f>
        <v>2018098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IFERROR(__xludf.DUMMYFUNCTION("""COMPUTED_VALUE"""),111.93)</f>
        <v>111.93</v>
      </c>
      <c r="C2596" s="1">
        <f>IFERROR(__xludf.DUMMYFUNCTION("""COMPUTED_VALUE"""),112.68)</f>
        <v>112.68</v>
      </c>
      <c r="D2596" s="1">
        <f>IFERROR(__xludf.DUMMYFUNCTION("""COMPUTED_VALUE"""),108.43)</f>
        <v>108.43</v>
      </c>
      <c r="E2596" s="1">
        <f>IFERROR(__xludf.DUMMYFUNCTION("""COMPUTED_VALUE"""),110.15)</f>
        <v>110.15</v>
      </c>
      <c r="F2596" s="1">
        <f>IFERROR(__xludf.DUMMYFUNCTION("""COMPUTED_VALUE"""),2146005.0)</f>
        <v>2146005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IFERROR(__xludf.DUMMYFUNCTION("""COMPUTED_VALUE"""),112.53)</f>
        <v>112.53</v>
      </c>
      <c r="C2597" s="1">
        <f>IFERROR(__xludf.DUMMYFUNCTION("""COMPUTED_VALUE"""),121.09)</f>
        <v>121.09</v>
      </c>
      <c r="D2597" s="1">
        <f>IFERROR(__xludf.DUMMYFUNCTION("""COMPUTED_VALUE"""),112.02)</f>
        <v>112.02</v>
      </c>
      <c r="E2597" s="1">
        <f>IFERROR(__xludf.DUMMYFUNCTION("""COMPUTED_VALUE"""),120.04)</f>
        <v>120.04</v>
      </c>
      <c r="F2597" s="1">
        <f>IFERROR(__xludf.DUMMYFUNCTION("""COMPUTED_VALUE"""),2878062.0)</f>
        <v>2878062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IFERROR(__xludf.DUMMYFUNCTION("""COMPUTED_VALUE"""),123.34)</f>
        <v>123.34</v>
      </c>
      <c r="C2598" s="1">
        <f>IFERROR(__xludf.DUMMYFUNCTION("""COMPUTED_VALUE"""),127.83)</f>
        <v>127.83</v>
      </c>
      <c r="D2598" s="1">
        <f>IFERROR(__xludf.DUMMYFUNCTION("""COMPUTED_VALUE"""),119.94)</f>
        <v>119.94</v>
      </c>
      <c r="E2598" s="1">
        <f>IFERROR(__xludf.DUMMYFUNCTION("""COMPUTED_VALUE"""),120.29)</f>
        <v>120.29</v>
      </c>
      <c r="F2598" s="1">
        <f>IFERROR(__xludf.DUMMYFUNCTION("""COMPUTED_VALUE"""),1968792.0)</f>
        <v>1968792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IFERROR(__xludf.DUMMYFUNCTION("""COMPUTED_VALUE"""),122.46)</f>
        <v>122.46</v>
      </c>
      <c r="C2599" s="1">
        <f>IFERROR(__xludf.DUMMYFUNCTION("""COMPUTED_VALUE"""),127.78)</f>
        <v>127.78</v>
      </c>
      <c r="D2599" s="1">
        <f>IFERROR(__xludf.DUMMYFUNCTION("""COMPUTED_VALUE"""),122.3)</f>
        <v>122.3</v>
      </c>
      <c r="E2599" s="1">
        <f>IFERROR(__xludf.DUMMYFUNCTION("""COMPUTED_VALUE"""),127.17)</f>
        <v>127.17</v>
      </c>
      <c r="F2599" s="1">
        <f>IFERROR(__xludf.DUMMYFUNCTION("""COMPUTED_VALUE"""),1528723.0)</f>
        <v>1528723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IFERROR(__xludf.DUMMYFUNCTION("""COMPUTED_VALUE"""),126.72)</f>
        <v>126.72</v>
      </c>
      <c r="C2600" s="1">
        <f>IFERROR(__xludf.DUMMYFUNCTION("""COMPUTED_VALUE"""),128.07)</f>
        <v>128.07</v>
      </c>
      <c r="D2600" s="1">
        <f>IFERROR(__xludf.DUMMYFUNCTION("""COMPUTED_VALUE"""),125.44)</f>
        <v>125.44</v>
      </c>
      <c r="E2600" s="1">
        <f>IFERROR(__xludf.DUMMYFUNCTION("""COMPUTED_VALUE"""),127.66)</f>
        <v>127.66</v>
      </c>
      <c r="F2600" s="1">
        <f>IFERROR(__xludf.DUMMYFUNCTION("""COMPUTED_VALUE"""),1275433.0)</f>
        <v>1275433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IFERROR(__xludf.DUMMYFUNCTION("""COMPUTED_VALUE"""),123.5)</f>
        <v>123.5</v>
      </c>
      <c r="C2601" s="1">
        <f>IFERROR(__xludf.DUMMYFUNCTION("""COMPUTED_VALUE"""),125.72)</f>
        <v>125.72</v>
      </c>
      <c r="D2601" s="1">
        <f>IFERROR(__xludf.DUMMYFUNCTION("""COMPUTED_VALUE"""),117.84)</f>
        <v>117.84</v>
      </c>
      <c r="E2601" s="1">
        <f>IFERROR(__xludf.DUMMYFUNCTION("""COMPUTED_VALUE"""),120.11)</f>
        <v>120.11</v>
      </c>
      <c r="F2601" s="1">
        <f>IFERROR(__xludf.DUMMYFUNCTION("""COMPUTED_VALUE"""),1560401.0)</f>
        <v>1560401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IFERROR(__xludf.DUMMYFUNCTION("""COMPUTED_VALUE"""),119.07)</f>
        <v>119.07</v>
      </c>
      <c r="C2602" s="1">
        <f>IFERROR(__xludf.DUMMYFUNCTION("""COMPUTED_VALUE"""),119.73)</f>
        <v>119.73</v>
      </c>
      <c r="D2602" s="1">
        <f>IFERROR(__xludf.DUMMYFUNCTION("""COMPUTED_VALUE"""),116.77)</f>
        <v>116.77</v>
      </c>
      <c r="E2602" s="1">
        <f>IFERROR(__xludf.DUMMYFUNCTION("""COMPUTED_VALUE"""),118.35)</f>
        <v>118.35</v>
      </c>
      <c r="F2602" s="1">
        <f>IFERROR(__xludf.DUMMYFUNCTION("""COMPUTED_VALUE"""),805538.0)</f>
        <v>805538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IFERROR(__xludf.DUMMYFUNCTION("""COMPUTED_VALUE"""),121.75)</f>
        <v>121.75</v>
      </c>
      <c r="C2603" s="1">
        <f>IFERROR(__xludf.DUMMYFUNCTION("""COMPUTED_VALUE"""),124.61)</f>
        <v>124.61</v>
      </c>
      <c r="D2603" s="1">
        <f>IFERROR(__xludf.DUMMYFUNCTION("""COMPUTED_VALUE"""),120.42)</f>
        <v>120.42</v>
      </c>
      <c r="E2603" s="1">
        <f>IFERROR(__xludf.DUMMYFUNCTION("""COMPUTED_VALUE"""),123.25)</f>
        <v>123.25</v>
      </c>
      <c r="F2603" s="1">
        <f>IFERROR(__xludf.DUMMYFUNCTION("""COMPUTED_VALUE"""),1310399.0)</f>
        <v>1310399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IFERROR(__xludf.DUMMYFUNCTION("""COMPUTED_VALUE"""),124.15)</f>
        <v>124.15</v>
      </c>
      <c r="C2604" s="1">
        <f>IFERROR(__xludf.DUMMYFUNCTION("""COMPUTED_VALUE"""),125.89)</f>
        <v>125.89</v>
      </c>
      <c r="D2604" s="1">
        <f>IFERROR(__xludf.DUMMYFUNCTION("""COMPUTED_VALUE"""),122.26)</f>
        <v>122.26</v>
      </c>
      <c r="E2604" s="1">
        <f>IFERROR(__xludf.DUMMYFUNCTION("""COMPUTED_VALUE"""),123.05)</f>
        <v>123.05</v>
      </c>
      <c r="F2604" s="1">
        <f>IFERROR(__xludf.DUMMYFUNCTION("""COMPUTED_VALUE"""),964019.0)</f>
        <v>964019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IFERROR(__xludf.DUMMYFUNCTION("""COMPUTED_VALUE"""),124.79)</f>
        <v>124.79</v>
      </c>
      <c r="C2605" s="1">
        <f>IFERROR(__xludf.DUMMYFUNCTION("""COMPUTED_VALUE"""),125.86)</f>
        <v>125.86</v>
      </c>
      <c r="D2605" s="1">
        <f>IFERROR(__xludf.DUMMYFUNCTION("""COMPUTED_VALUE"""),123.47)</f>
        <v>123.47</v>
      </c>
      <c r="E2605" s="1">
        <f>IFERROR(__xludf.DUMMYFUNCTION("""COMPUTED_VALUE"""),123.72)</f>
        <v>123.72</v>
      </c>
      <c r="F2605" s="1">
        <f>IFERROR(__xludf.DUMMYFUNCTION("""COMPUTED_VALUE"""),755975.0)</f>
        <v>755975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IFERROR(__xludf.DUMMYFUNCTION("""COMPUTED_VALUE"""),125.62)</f>
        <v>125.62</v>
      </c>
      <c r="C2606" s="1">
        <f>IFERROR(__xludf.DUMMYFUNCTION("""COMPUTED_VALUE"""),128.75)</f>
        <v>128.75</v>
      </c>
      <c r="D2606" s="1">
        <f>IFERROR(__xludf.DUMMYFUNCTION("""COMPUTED_VALUE"""),124.65)</f>
        <v>124.65</v>
      </c>
      <c r="E2606" s="1">
        <f>IFERROR(__xludf.DUMMYFUNCTION("""COMPUTED_VALUE"""),127.65)</f>
        <v>127.65</v>
      </c>
      <c r="F2606" s="1">
        <f>IFERROR(__xludf.DUMMYFUNCTION("""COMPUTED_VALUE"""),1102545.0)</f>
        <v>1102545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IFERROR(__xludf.DUMMYFUNCTION("""COMPUTED_VALUE"""),127.64)</f>
        <v>127.64</v>
      </c>
      <c r="C2607" s="1">
        <f>IFERROR(__xludf.DUMMYFUNCTION("""COMPUTED_VALUE"""),128.7)</f>
        <v>128.7</v>
      </c>
      <c r="D2607" s="1">
        <f>IFERROR(__xludf.DUMMYFUNCTION("""COMPUTED_VALUE"""),125.28)</f>
        <v>125.28</v>
      </c>
      <c r="E2607" s="1">
        <f>IFERROR(__xludf.DUMMYFUNCTION("""COMPUTED_VALUE"""),125.3)</f>
        <v>125.3</v>
      </c>
      <c r="F2607" s="1">
        <f>IFERROR(__xludf.DUMMYFUNCTION("""COMPUTED_VALUE"""),896658.0)</f>
        <v>896658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IFERROR(__xludf.DUMMYFUNCTION("""COMPUTED_VALUE"""),126.16)</f>
        <v>126.16</v>
      </c>
      <c r="C2608" s="1">
        <f>IFERROR(__xludf.DUMMYFUNCTION("""COMPUTED_VALUE"""),126.86)</f>
        <v>126.86</v>
      </c>
      <c r="D2608" s="1">
        <f>IFERROR(__xludf.DUMMYFUNCTION("""COMPUTED_VALUE"""),124.85)</f>
        <v>124.85</v>
      </c>
      <c r="E2608" s="1">
        <f>IFERROR(__xludf.DUMMYFUNCTION("""COMPUTED_VALUE"""),125.16)</f>
        <v>125.16</v>
      </c>
      <c r="F2608" s="1">
        <f>IFERROR(__xludf.DUMMYFUNCTION("""COMPUTED_VALUE"""),1036079.0)</f>
        <v>1036079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IFERROR(__xludf.DUMMYFUNCTION("""COMPUTED_VALUE"""),126.0)</f>
        <v>126</v>
      </c>
      <c r="C2609" s="1">
        <f>IFERROR(__xludf.DUMMYFUNCTION("""COMPUTED_VALUE"""),126.08)</f>
        <v>126.08</v>
      </c>
      <c r="D2609" s="1">
        <f>IFERROR(__xludf.DUMMYFUNCTION("""COMPUTED_VALUE"""),119.7)</f>
        <v>119.7</v>
      </c>
      <c r="E2609" s="1">
        <f>IFERROR(__xludf.DUMMYFUNCTION("""COMPUTED_VALUE"""),120.66)</f>
        <v>120.66</v>
      </c>
      <c r="F2609" s="1">
        <f>IFERROR(__xludf.DUMMYFUNCTION("""COMPUTED_VALUE"""),1704468.0)</f>
        <v>1704468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IFERROR(__xludf.DUMMYFUNCTION("""COMPUTED_VALUE"""),118.12)</f>
        <v>118.12</v>
      </c>
      <c r="C2610" s="1">
        <f>IFERROR(__xludf.DUMMYFUNCTION("""COMPUTED_VALUE"""),120.9)</f>
        <v>120.9</v>
      </c>
      <c r="D2610" s="1">
        <f>IFERROR(__xludf.DUMMYFUNCTION("""COMPUTED_VALUE"""),116.01)</f>
        <v>116.01</v>
      </c>
      <c r="E2610" s="1">
        <f>IFERROR(__xludf.DUMMYFUNCTION("""COMPUTED_VALUE"""),119.92)</f>
        <v>119.92</v>
      </c>
      <c r="F2610" s="1">
        <f>IFERROR(__xludf.DUMMYFUNCTION("""COMPUTED_VALUE"""),1218041.0)</f>
        <v>1218041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IFERROR(__xludf.DUMMYFUNCTION("""COMPUTED_VALUE"""),119.66)</f>
        <v>119.66</v>
      </c>
      <c r="C2611" s="1">
        <f>IFERROR(__xludf.DUMMYFUNCTION("""COMPUTED_VALUE"""),120.45)</f>
        <v>120.45</v>
      </c>
      <c r="D2611" s="1">
        <f>IFERROR(__xludf.DUMMYFUNCTION("""COMPUTED_VALUE"""),117.01)</f>
        <v>117.01</v>
      </c>
      <c r="E2611" s="1">
        <f>IFERROR(__xludf.DUMMYFUNCTION("""COMPUTED_VALUE"""),117.58)</f>
        <v>117.58</v>
      </c>
      <c r="F2611" s="1">
        <f>IFERROR(__xludf.DUMMYFUNCTION("""COMPUTED_VALUE"""),1219429.0)</f>
        <v>1219429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IFERROR(__xludf.DUMMYFUNCTION("""COMPUTED_VALUE"""),121.21)</f>
        <v>121.21</v>
      </c>
      <c r="C2612" s="1">
        <f>IFERROR(__xludf.DUMMYFUNCTION("""COMPUTED_VALUE"""),122.72)</f>
        <v>122.72</v>
      </c>
      <c r="D2612" s="1">
        <f>IFERROR(__xludf.DUMMYFUNCTION("""COMPUTED_VALUE"""),119.33)</f>
        <v>119.33</v>
      </c>
      <c r="E2612" s="1">
        <f>IFERROR(__xludf.DUMMYFUNCTION("""COMPUTED_VALUE"""),122.69)</f>
        <v>122.69</v>
      </c>
      <c r="F2612" s="1">
        <f>IFERROR(__xludf.DUMMYFUNCTION("""COMPUTED_VALUE"""),1272082.0)</f>
        <v>1272082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IFERROR(__xludf.DUMMYFUNCTION("""COMPUTED_VALUE"""),124.8)</f>
        <v>124.8</v>
      </c>
      <c r="C2613" s="1">
        <f>IFERROR(__xludf.DUMMYFUNCTION("""COMPUTED_VALUE"""),129.65)</f>
        <v>129.65</v>
      </c>
      <c r="D2613" s="1">
        <f>IFERROR(__xludf.DUMMYFUNCTION("""COMPUTED_VALUE"""),123.49)</f>
        <v>123.49</v>
      </c>
      <c r="E2613" s="1">
        <f>IFERROR(__xludf.DUMMYFUNCTION("""COMPUTED_VALUE"""),126.48)</f>
        <v>126.48</v>
      </c>
      <c r="F2613" s="1">
        <f>IFERROR(__xludf.DUMMYFUNCTION("""COMPUTED_VALUE"""),1242493.0)</f>
        <v>1242493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IFERROR(__xludf.DUMMYFUNCTION("""COMPUTED_VALUE"""),127.37)</f>
        <v>127.37</v>
      </c>
      <c r="C2614" s="1">
        <f>IFERROR(__xludf.DUMMYFUNCTION("""COMPUTED_VALUE"""),128.16)</f>
        <v>128.16</v>
      </c>
      <c r="D2614" s="1">
        <f>IFERROR(__xludf.DUMMYFUNCTION("""COMPUTED_VALUE"""),120.01)</f>
        <v>120.01</v>
      </c>
      <c r="E2614" s="1">
        <f>IFERROR(__xludf.DUMMYFUNCTION("""COMPUTED_VALUE"""),120.56)</f>
        <v>120.56</v>
      </c>
      <c r="F2614" s="1">
        <f>IFERROR(__xludf.DUMMYFUNCTION("""COMPUTED_VALUE"""),1572549.0)</f>
        <v>1572549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IFERROR(__xludf.DUMMYFUNCTION("""COMPUTED_VALUE"""),118.56)</f>
        <v>118.56</v>
      </c>
      <c r="C2615" s="1">
        <f>IFERROR(__xludf.DUMMYFUNCTION("""COMPUTED_VALUE"""),120.93)</f>
        <v>120.93</v>
      </c>
      <c r="D2615" s="1">
        <f>IFERROR(__xludf.DUMMYFUNCTION("""COMPUTED_VALUE"""),116.44)</f>
        <v>116.44</v>
      </c>
      <c r="E2615" s="1">
        <f>IFERROR(__xludf.DUMMYFUNCTION("""COMPUTED_VALUE"""),117.35)</f>
        <v>117.35</v>
      </c>
      <c r="F2615" s="1">
        <f>IFERROR(__xludf.DUMMYFUNCTION("""COMPUTED_VALUE"""),1959360.0)</f>
        <v>1959360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IFERROR(__xludf.DUMMYFUNCTION("""COMPUTED_VALUE"""),114.0)</f>
        <v>114</v>
      </c>
      <c r="C2616" s="1">
        <f>IFERROR(__xludf.DUMMYFUNCTION("""COMPUTED_VALUE"""),115.9)</f>
        <v>115.9</v>
      </c>
      <c r="D2616" s="1">
        <f>IFERROR(__xludf.DUMMYFUNCTION("""COMPUTED_VALUE"""),112.64)</f>
        <v>112.64</v>
      </c>
      <c r="E2616" s="1">
        <f>IFERROR(__xludf.DUMMYFUNCTION("""COMPUTED_VALUE"""),113.44)</f>
        <v>113.44</v>
      </c>
      <c r="F2616" s="1">
        <f>IFERROR(__xludf.DUMMYFUNCTION("""COMPUTED_VALUE"""),1416727.0)</f>
        <v>1416727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IFERROR(__xludf.DUMMYFUNCTION("""COMPUTED_VALUE"""),117.08)</f>
        <v>117.08</v>
      </c>
      <c r="C2617" s="1">
        <f>IFERROR(__xludf.DUMMYFUNCTION("""COMPUTED_VALUE"""),118.23)</f>
        <v>118.23</v>
      </c>
      <c r="D2617" s="1">
        <f>IFERROR(__xludf.DUMMYFUNCTION("""COMPUTED_VALUE"""),115.24)</f>
        <v>115.24</v>
      </c>
      <c r="E2617" s="1">
        <f>IFERROR(__xludf.DUMMYFUNCTION("""COMPUTED_VALUE"""),117.0)</f>
        <v>117</v>
      </c>
      <c r="F2617" s="1">
        <f>IFERROR(__xludf.DUMMYFUNCTION("""COMPUTED_VALUE"""),1953167.0)</f>
        <v>1953167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IFERROR(__xludf.DUMMYFUNCTION("""COMPUTED_VALUE"""),118.33)</f>
        <v>118.33</v>
      </c>
      <c r="C2618" s="1">
        <f>IFERROR(__xludf.DUMMYFUNCTION("""COMPUTED_VALUE"""),118.48)</f>
        <v>118.48</v>
      </c>
      <c r="D2618" s="1">
        <f>IFERROR(__xludf.DUMMYFUNCTION("""COMPUTED_VALUE"""),114.68)</f>
        <v>114.68</v>
      </c>
      <c r="E2618" s="1">
        <f>IFERROR(__xludf.DUMMYFUNCTION("""COMPUTED_VALUE"""),115.37)</f>
        <v>115.37</v>
      </c>
      <c r="F2618" s="1">
        <f>IFERROR(__xludf.DUMMYFUNCTION("""COMPUTED_VALUE"""),1199516.0)</f>
        <v>1199516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IFERROR(__xludf.DUMMYFUNCTION("""COMPUTED_VALUE"""),115.5)</f>
        <v>115.5</v>
      </c>
      <c r="C2619" s="1">
        <f>IFERROR(__xludf.DUMMYFUNCTION("""COMPUTED_VALUE"""),116.28)</f>
        <v>116.28</v>
      </c>
      <c r="D2619" s="1">
        <f>IFERROR(__xludf.DUMMYFUNCTION("""COMPUTED_VALUE"""),114.85)</f>
        <v>114.85</v>
      </c>
      <c r="E2619" s="1">
        <f>IFERROR(__xludf.DUMMYFUNCTION("""COMPUTED_VALUE"""),115.09)</f>
        <v>115.09</v>
      </c>
      <c r="F2619" s="1">
        <f>IFERROR(__xludf.DUMMYFUNCTION("""COMPUTED_VALUE"""),1047009.0)</f>
        <v>1047009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IFERROR(__xludf.DUMMYFUNCTION("""COMPUTED_VALUE"""),114.98)</f>
        <v>114.98</v>
      </c>
      <c r="C2620" s="1">
        <f>IFERROR(__xludf.DUMMYFUNCTION("""COMPUTED_VALUE"""),120.28)</f>
        <v>120.28</v>
      </c>
      <c r="D2620" s="1">
        <f>IFERROR(__xludf.DUMMYFUNCTION("""COMPUTED_VALUE"""),112.91)</f>
        <v>112.91</v>
      </c>
      <c r="E2620" s="1">
        <f>IFERROR(__xludf.DUMMYFUNCTION("""COMPUTED_VALUE"""),119.96)</f>
        <v>119.96</v>
      </c>
      <c r="F2620" s="1">
        <f>IFERROR(__xludf.DUMMYFUNCTION("""COMPUTED_VALUE"""),2213546.0)</f>
        <v>2213546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IFERROR(__xludf.DUMMYFUNCTION("""COMPUTED_VALUE"""),119.3)</f>
        <v>119.3</v>
      </c>
      <c r="C2621" s="1">
        <f>IFERROR(__xludf.DUMMYFUNCTION("""COMPUTED_VALUE"""),123.49)</f>
        <v>123.49</v>
      </c>
      <c r="D2621" s="1">
        <f>IFERROR(__xludf.DUMMYFUNCTION("""COMPUTED_VALUE"""),119.07)</f>
        <v>119.07</v>
      </c>
      <c r="E2621" s="1">
        <f>IFERROR(__xludf.DUMMYFUNCTION("""COMPUTED_VALUE"""),122.0)</f>
        <v>122</v>
      </c>
      <c r="F2621" s="1">
        <f>IFERROR(__xludf.DUMMYFUNCTION("""COMPUTED_VALUE"""),1173265.0)</f>
        <v>1173265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IFERROR(__xludf.DUMMYFUNCTION("""COMPUTED_VALUE"""),123.76)</f>
        <v>123.76</v>
      </c>
      <c r="C2622" s="1">
        <f>IFERROR(__xludf.DUMMYFUNCTION("""COMPUTED_VALUE"""),128.4)</f>
        <v>128.4</v>
      </c>
      <c r="D2622" s="1">
        <f>IFERROR(__xludf.DUMMYFUNCTION("""COMPUTED_VALUE"""),122.73)</f>
        <v>122.73</v>
      </c>
      <c r="E2622" s="1">
        <f>IFERROR(__xludf.DUMMYFUNCTION("""COMPUTED_VALUE"""),127.48)</f>
        <v>127.48</v>
      </c>
      <c r="F2622" s="1">
        <f>IFERROR(__xludf.DUMMYFUNCTION("""COMPUTED_VALUE"""),1561850.0)</f>
        <v>1561850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IFERROR(__xludf.DUMMYFUNCTION("""COMPUTED_VALUE"""),128.48)</f>
        <v>128.48</v>
      </c>
      <c r="C2623" s="1">
        <f>IFERROR(__xludf.DUMMYFUNCTION("""COMPUTED_VALUE"""),130.55)</f>
        <v>130.55</v>
      </c>
      <c r="D2623" s="1">
        <f>IFERROR(__xludf.DUMMYFUNCTION("""COMPUTED_VALUE"""),126.46)</f>
        <v>126.46</v>
      </c>
      <c r="E2623" s="1">
        <f>IFERROR(__xludf.DUMMYFUNCTION("""COMPUTED_VALUE"""),128.93)</f>
        <v>128.93</v>
      </c>
      <c r="F2623" s="1">
        <f>IFERROR(__xludf.DUMMYFUNCTION("""COMPUTED_VALUE"""),839166.0)</f>
        <v>839166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IFERROR(__xludf.DUMMYFUNCTION("""COMPUTED_VALUE"""),128.0)</f>
        <v>128</v>
      </c>
      <c r="C2624" s="1">
        <f>IFERROR(__xludf.DUMMYFUNCTION("""COMPUTED_VALUE"""),130.63)</f>
        <v>130.63</v>
      </c>
      <c r="D2624" s="1">
        <f>IFERROR(__xludf.DUMMYFUNCTION("""COMPUTED_VALUE"""),127.11)</f>
        <v>127.11</v>
      </c>
      <c r="E2624" s="1">
        <f>IFERROR(__xludf.DUMMYFUNCTION("""COMPUTED_VALUE"""),128.45)</f>
        <v>128.45</v>
      </c>
      <c r="F2624" s="1">
        <f>IFERROR(__xludf.DUMMYFUNCTION("""COMPUTED_VALUE"""),1232803.0)</f>
        <v>1232803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IFERROR(__xludf.DUMMYFUNCTION("""COMPUTED_VALUE"""),131.74)</f>
        <v>131.74</v>
      </c>
      <c r="C2625" s="1">
        <f>IFERROR(__xludf.DUMMYFUNCTION("""COMPUTED_VALUE"""),135.32)</f>
        <v>135.32</v>
      </c>
      <c r="D2625" s="1">
        <f>IFERROR(__xludf.DUMMYFUNCTION("""COMPUTED_VALUE"""),130.57)</f>
        <v>130.57</v>
      </c>
      <c r="E2625" s="1">
        <f>IFERROR(__xludf.DUMMYFUNCTION("""COMPUTED_VALUE"""),130.58)</f>
        <v>130.58</v>
      </c>
      <c r="F2625" s="1">
        <f>IFERROR(__xludf.DUMMYFUNCTION("""COMPUTED_VALUE"""),1154013.0)</f>
        <v>1154013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IFERROR(__xludf.DUMMYFUNCTION("""COMPUTED_VALUE"""),134.42)</f>
        <v>134.42</v>
      </c>
      <c r="C2626" s="1">
        <f>IFERROR(__xludf.DUMMYFUNCTION("""COMPUTED_VALUE"""),137.37)</f>
        <v>137.37</v>
      </c>
      <c r="D2626" s="1">
        <f>IFERROR(__xludf.DUMMYFUNCTION("""COMPUTED_VALUE"""),130.82)</f>
        <v>130.82</v>
      </c>
      <c r="E2626" s="1">
        <f>IFERROR(__xludf.DUMMYFUNCTION("""COMPUTED_VALUE"""),132.5)</f>
        <v>132.5</v>
      </c>
      <c r="F2626" s="1">
        <f>IFERROR(__xludf.DUMMYFUNCTION("""COMPUTED_VALUE"""),1339918.0)</f>
        <v>1339918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IFERROR(__xludf.DUMMYFUNCTION("""COMPUTED_VALUE"""),130.6)</f>
        <v>130.6</v>
      </c>
      <c r="C2627" s="1">
        <f>IFERROR(__xludf.DUMMYFUNCTION("""COMPUTED_VALUE"""),131.28)</f>
        <v>131.28</v>
      </c>
      <c r="D2627" s="1">
        <f>IFERROR(__xludf.DUMMYFUNCTION("""COMPUTED_VALUE"""),126.97)</f>
        <v>126.97</v>
      </c>
      <c r="E2627" s="1">
        <f>IFERROR(__xludf.DUMMYFUNCTION("""COMPUTED_VALUE"""),128.76)</f>
        <v>128.76</v>
      </c>
      <c r="F2627" s="1">
        <f>IFERROR(__xludf.DUMMYFUNCTION("""COMPUTED_VALUE"""),875630.0)</f>
        <v>875630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IFERROR(__xludf.DUMMYFUNCTION("""COMPUTED_VALUE"""),129.41)</f>
        <v>129.41</v>
      </c>
      <c r="C2628" s="1">
        <f>IFERROR(__xludf.DUMMYFUNCTION("""COMPUTED_VALUE"""),133.34)</f>
        <v>133.34</v>
      </c>
      <c r="D2628" s="1">
        <f>IFERROR(__xludf.DUMMYFUNCTION("""COMPUTED_VALUE"""),128.99)</f>
        <v>128.99</v>
      </c>
      <c r="E2628" s="1">
        <f>IFERROR(__xludf.DUMMYFUNCTION("""COMPUTED_VALUE"""),131.84)</f>
        <v>131.84</v>
      </c>
      <c r="F2628" s="1">
        <f>IFERROR(__xludf.DUMMYFUNCTION("""COMPUTED_VALUE"""),931992.0)</f>
        <v>931992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IFERROR(__xludf.DUMMYFUNCTION("""COMPUTED_VALUE"""),128.53)</f>
        <v>128.53</v>
      </c>
      <c r="C2629" s="1">
        <f>IFERROR(__xludf.DUMMYFUNCTION("""COMPUTED_VALUE"""),130.55)</f>
        <v>130.55</v>
      </c>
      <c r="D2629" s="1">
        <f>IFERROR(__xludf.DUMMYFUNCTION("""COMPUTED_VALUE"""),126.42)</f>
        <v>126.42</v>
      </c>
      <c r="E2629" s="1">
        <f>IFERROR(__xludf.DUMMYFUNCTION("""COMPUTED_VALUE"""),127.78)</f>
        <v>127.78</v>
      </c>
      <c r="F2629" s="1">
        <f>IFERROR(__xludf.DUMMYFUNCTION("""COMPUTED_VALUE"""),843795.0)</f>
        <v>843795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IFERROR(__xludf.DUMMYFUNCTION("""COMPUTED_VALUE"""),128.15)</f>
        <v>128.15</v>
      </c>
      <c r="C2630" s="1">
        <f>IFERROR(__xludf.DUMMYFUNCTION("""COMPUTED_VALUE"""),130.43)</f>
        <v>130.43</v>
      </c>
      <c r="D2630" s="1">
        <f>IFERROR(__xludf.DUMMYFUNCTION("""COMPUTED_VALUE"""),126.6)</f>
        <v>126.6</v>
      </c>
      <c r="E2630" s="1">
        <f>IFERROR(__xludf.DUMMYFUNCTION("""COMPUTED_VALUE"""),128.38)</f>
        <v>128.38</v>
      </c>
      <c r="F2630" s="1">
        <f>IFERROR(__xludf.DUMMYFUNCTION("""COMPUTED_VALUE"""),667334.0)</f>
        <v>667334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IFERROR(__xludf.DUMMYFUNCTION("""COMPUTED_VALUE"""),126.02)</f>
        <v>126.02</v>
      </c>
      <c r="C2631" s="1">
        <f>IFERROR(__xludf.DUMMYFUNCTION("""COMPUTED_VALUE"""),128.18)</f>
        <v>128.18</v>
      </c>
      <c r="D2631" s="1">
        <f>IFERROR(__xludf.DUMMYFUNCTION("""COMPUTED_VALUE"""),125.06)</f>
        <v>125.06</v>
      </c>
      <c r="E2631" s="1">
        <f>IFERROR(__xludf.DUMMYFUNCTION("""COMPUTED_VALUE"""),126.96)</f>
        <v>126.96</v>
      </c>
      <c r="F2631" s="1">
        <f>IFERROR(__xludf.DUMMYFUNCTION("""COMPUTED_VALUE"""),732592.0)</f>
        <v>732592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IFERROR(__xludf.DUMMYFUNCTION("""COMPUTED_VALUE"""),131.37)</f>
        <v>131.37</v>
      </c>
      <c r="C2632" s="1">
        <f>IFERROR(__xludf.DUMMYFUNCTION("""COMPUTED_VALUE"""),131.99)</f>
        <v>131.99</v>
      </c>
      <c r="D2632" s="1">
        <f>IFERROR(__xludf.DUMMYFUNCTION("""COMPUTED_VALUE"""),123.14)</f>
        <v>123.14</v>
      </c>
      <c r="E2632" s="1">
        <f>IFERROR(__xludf.DUMMYFUNCTION("""COMPUTED_VALUE"""),123.86)</f>
        <v>123.86</v>
      </c>
      <c r="F2632" s="1">
        <f>IFERROR(__xludf.DUMMYFUNCTION("""COMPUTED_VALUE"""),2565778.0)</f>
        <v>2565778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IFERROR(__xludf.DUMMYFUNCTION("""COMPUTED_VALUE"""),125.17)</f>
        <v>125.17</v>
      </c>
      <c r="C2633" s="1">
        <f>IFERROR(__xludf.DUMMYFUNCTION("""COMPUTED_VALUE"""),131.55)</f>
        <v>131.55</v>
      </c>
      <c r="D2633" s="1">
        <f>IFERROR(__xludf.DUMMYFUNCTION("""COMPUTED_VALUE"""),124.31)</f>
        <v>124.31</v>
      </c>
      <c r="E2633" s="1">
        <f>IFERROR(__xludf.DUMMYFUNCTION("""COMPUTED_VALUE"""),130.93)</f>
        <v>130.93</v>
      </c>
      <c r="F2633" s="1">
        <f>IFERROR(__xludf.DUMMYFUNCTION("""COMPUTED_VALUE"""),1612272.0)</f>
        <v>1612272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IFERROR(__xludf.DUMMYFUNCTION("""COMPUTED_VALUE"""),130.62)</f>
        <v>130.62</v>
      </c>
      <c r="C2634" s="1">
        <f>IFERROR(__xludf.DUMMYFUNCTION("""COMPUTED_VALUE"""),132.05)</f>
        <v>132.05</v>
      </c>
      <c r="D2634" s="1">
        <f>IFERROR(__xludf.DUMMYFUNCTION("""COMPUTED_VALUE"""),129.42)</f>
        <v>129.42</v>
      </c>
      <c r="E2634" s="1">
        <f>IFERROR(__xludf.DUMMYFUNCTION("""COMPUTED_VALUE"""),129.89)</f>
        <v>129.89</v>
      </c>
      <c r="F2634" s="1">
        <f>IFERROR(__xludf.DUMMYFUNCTION("""COMPUTED_VALUE"""),729727.0)</f>
        <v>729727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IFERROR(__xludf.DUMMYFUNCTION("""COMPUTED_VALUE"""),132.03)</f>
        <v>132.03</v>
      </c>
      <c r="C2635" s="1">
        <f>IFERROR(__xludf.DUMMYFUNCTION("""COMPUTED_VALUE"""),141.37)</f>
        <v>141.37</v>
      </c>
      <c r="D2635" s="1">
        <f>IFERROR(__xludf.DUMMYFUNCTION("""COMPUTED_VALUE"""),131.57)</f>
        <v>131.57</v>
      </c>
      <c r="E2635" s="1">
        <f>IFERROR(__xludf.DUMMYFUNCTION("""COMPUTED_VALUE"""),136.9)</f>
        <v>136.9</v>
      </c>
      <c r="F2635" s="1">
        <f>IFERROR(__xludf.DUMMYFUNCTION("""COMPUTED_VALUE"""),1847521.0)</f>
        <v>1847521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IFERROR(__xludf.DUMMYFUNCTION("""COMPUTED_VALUE"""),135.95)</f>
        <v>135.95</v>
      </c>
      <c r="C2636" s="1">
        <f>IFERROR(__xludf.DUMMYFUNCTION("""COMPUTED_VALUE"""),136.65)</f>
        <v>136.65</v>
      </c>
      <c r="D2636" s="1">
        <f>IFERROR(__xludf.DUMMYFUNCTION("""COMPUTED_VALUE"""),130.38)</f>
        <v>130.38</v>
      </c>
      <c r="E2636" s="1">
        <f>IFERROR(__xludf.DUMMYFUNCTION("""COMPUTED_VALUE"""),133.39)</f>
        <v>133.39</v>
      </c>
      <c r="F2636" s="1">
        <f>IFERROR(__xludf.DUMMYFUNCTION("""COMPUTED_VALUE"""),1360145.0)</f>
        <v>1360145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IFERROR(__xludf.DUMMYFUNCTION("""COMPUTED_VALUE"""),135.16)</f>
        <v>135.16</v>
      </c>
      <c r="C2637" s="1">
        <f>IFERROR(__xludf.DUMMYFUNCTION("""COMPUTED_VALUE"""),136.81)</f>
        <v>136.81</v>
      </c>
      <c r="D2637" s="1">
        <f>IFERROR(__xludf.DUMMYFUNCTION("""COMPUTED_VALUE"""),134.04)</f>
        <v>134.04</v>
      </c>
      <c r="E2637" s="1">
        <f>IFERROR(__xludf.DUMMYFUNCTION("""COMPUTED_VALUE"""),134.88)</f>
        <v>134.88</v>
      </c>
      <c r="F2637" s="1">
        <f>IFERROR(__xludf.DUMMYFUNCTION("""COMPUTED_VALUE"""),1333651.0)</f>
        <v>1333651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IFERROR(__xludf.DUMMYFUNCTION("""COMPUTED_VALUE"""),133.32)</f>
        <v>133.32</v>
      </c>
      <c r="C2638" s="1">
        <f>IFERROR(__xludf.DUMMYFUNCTION("""COMPUTED_VALUE"""),134.25)</f>
        <v>134.25</v>
      </c>
      <c r="D2638" s="1">
        <f>IFERROR(__xludf.DUMMYFUNCTION("""COMPUTED_VALUE"""),131.35)</f>
        <v>131.35</v>
      </c>
      <c r="E2638" s="1">
        <f>IFERROR(__xludf.DUMMYFUNCTION("""COMPUTED_VALUE"""),132.11)</f>
        <v>132.11</v>
      </c>
      <c r="F2638" s="1">
        <f>IFERROR(__xludf.DUMMYFUNCTION("""COMPUTED_VALUE"""),1221320.0)</f>
        <v>1221320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IFERROR(__xludf.DUMMYFUNCTION("""COMPUTED_VALUE"""),131.33)</f>
        <v>131.33</v>
      </c>
      <c r="C2639" s="1">
        <f>IFERROR(__xludf.DUMMYFUNCTION("""COMPUTED_VALUE"""),133.0)</f>
        <v>133</v>
      </c>
      <c r="D2639" s="1">
        <f>IFERROR(__xludf.DUMMYFUNCTION("""COMPUTED_VALUE"""),130.38)</f>
        <v>130.38</v>
      </c>
      <c r="E2639" s="1">
        <f>IFERROR(__xludf.DUMMYFUNCTION("""COMPUTED_VALUE"""),132.98)</f>
        <v>132.98</v>
      </c>
      <c r="F2639" s="1">
        <f>IFERROR(__xludf.DUMMYFUNCTION("""COMPUTED_VALUE"""),477858.0)</f>
        <v>477858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IFERROR(__xludf.DUMMYFUNCTION("""COMPUTED_VALUE"""),132.99)</f>
        <v>132.99</v>
      </c>
      <c r="C2640" s="1">
        <f>IFERROR(__xludf.DUMMYFUNCTION("""COMPUTED_VALUE"""),134.67)</f>
        <v>134.67</v>
      </c>
      <c r="D2640" s="1">
        <f>IFERROR(__xludf.DUMMYFUNCTION("""COMPUTED_VALUE"""),132.25)</f>
        <v>132.25</v>
      </c>
      <c r="E2640" s="1">
        <f>IFERROR(__xludf.DUMMYFUNCTION("""COMPUTED_VALUE"""),133.5)</f>
        <v>133.5</v>
      </c>
      <c r="F2640" s="1">
        <f>IFERROR(__xludf.DUMMYFUNCTION("""COMPUTED_VALUE"""),539709.0)</f>
        <v>539709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IFERROR(__xludf.DUMMYFUNCTION("""COMPUTED_VALUE"""),133.39)</f>
        <v>133.39</v>
      </c>
      <c r="C2641" s="1">
        <f>IFERROR(__xludf.DUMMYFUNCTION("""COMPUTED_VALUE"""),133.97)</f>
        <v>133.97</v>
      </c>
      <c r="D2641" s="1">
        <f>IFERROR(__xludf.DUMMYFUNCTION("""COMPUTED_VALUE"""),130.1)</f>
        <v>130.1</v>
      </c>
      <c r="E2641" s="1">
        <f>IFERROR(__xludf.DUMMYFUNCTION("""COMPUTED_VALUE"""),131.18)</f>
        <v>131.18</v>
      </c>
      <c r="F2641" s="1">
        <f>IFERROR(__xludf.DUMMYFUNCTION("""COMPUTED_VALUE"""),679984.0)</f>
        <v>679984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IFERROR(__xludf.DUMMYFUNCTION("""COMPUTED_VALUE"""),131.94)</f>
        <v>131.94</v>
      </c>
      <c r="C2642" s="1">
        <f>IFERROR(__xludf.DUMMYFUNCTION("""COMPUTED_VALUE"""),134.42)</f>
        <v>134.42</v>
      </c>
      <c r="D2642" s="1">
        <f>IFERROR(__xludf.DUMMYFUNCTION("""COMPUTED_VALUE"""),130.06)</f>
        <v>130.06</v>
      </c>
      <c r="E2642" s="1">
        <f>IFERROR(__xludf.DUMMYFUNCTION("""COMPUTED_VALUE"""),130.23)</f>
        <v>130.23</v>
      </c>
      <c r="F2642" s="1">
        <f>IFERROR(__xludf.DUMMYFUNCTION("""COMPUTED_VALUE"""),966280.0)</f>
        <v>966280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IFERROR(__xludf.DUMMYFUNCTION("""COMPUTED_VALUE"""),130.18)</f>
        <v>130.18</v>
      </c>
      <c r="C2643" s="1">
        <f>IFERROR(__xludf.DUMMYFUNCTION("""COMPUTED_VALUE"""),131.5)</f>
        <v>131.5</v>
      </c>
      <c r="D2643" s="1">
        <f>IFERROR(__xludf.DUMMYFUNCTION("""COMPUTED_VALUE"""),128.94)</f>
        <v>128.94</v>
      </c>
      <c r="E2643" s="1">
        <f>IFERROR(__xludf.DUMMYFUNCTION("""COMPUTED_VALUE"""),130.95)</f>
        <v>130.95</v>
      </c>
      <c r="F2643" s="1">
        <f>IFERROR(__xludf.DUMMYFUNCTION("""COMPUTED_VALUE"""),550391.0)</f>
        <v>550391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IFERROR(__xludf.DUMMYFUNCTION("""COMPUTED_VALUE"""),132.89)</f>
        <v>132.89</v>
      </c>
      <c r="C2644" s="1">
        <f>IFERROR(__xludf.DUMMYFUNCTION("""COMPUTED_VALUE"""),137.22)</f>
        <v>137.22</v>
      </c>
      <c r="D2644" s="1">
        <f>IFERROR(__xludf.DUMMYFUNCTION("""COMPUTED_VALUE"""),132.47)</f>
        <v>132.47</v>
      </c>
      <c r="E2644" s="1">
        <f>IFERROR(__xludf.DUMMYFUNCTION("""COMPUTED_VALUE"""),135.57)</f>
        <v>135.57</v>
      </c>
      <c r="F2644" s="1">
        <f>IFERROR(__xludf.DUMMYFUNCTION("""COMPUTED_VALUE"""),1163304.0)</f>
        <v>1163304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IFERROR(__xludf.DUMMYFUNCTION("""COMPUTED_VALUE"""),140.48)</f>
        <v>140.48</v>
      </c>
      <c r="C2645" s="1">
        <f>IFERROR(__xludf.DUMMYFUNCTION("""COMPUTED_VALUE"""),145.25)</f>
        <v>145.25</v>
      </c>
      <c r="D2645" s="1">
        <f>IFERROR(__xludf.DUMMYFUNCTION("""COMPUTED_VALUE"""),140.26)</f>
        <v>140.26</v>
      </c>
      <c r="E2645" s="1">
        <f>IFERROR(__xludf.DUMMYFUNCTION("""COMPUTED_VALUE"""),143.84)</f>
        <v>143.84</v>
      </c>
      <c r="F2645" s="1">
        <f>IFERROR(__xludf.DUMMYFUNCTION("""COMPUTED_VALUE"""),1978989.0)</f>
        <v>1978989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IFERROR(__xludf.DUMMYFUNCTION("""COMPUTED_VALUE"""),140.88)</f>
        <v>140.88</v>
      </c>
      <c r="C2646" s="1">
        <f>IFERROR(__xludf.DUMMYFUNCTION("""COMPUTED_VALUE"""),144.74)</f>
        <v>144.74</v>
      </c>
      <c r="D2646" s="1">
        <f>IFERROR(__xludf.DUMMYFUNCTION("""COMPUTED_VALUE"""),137.47)</f>
        <v>137.47</v>
      </c>
      <c r="E2646" s="1">
        <f>IFERROR(__xludf.DUMMYFUNCTION("""COMPUTED_VALUE"""),137.64)</f>
        <v>137.64</v>
      </c>
      <c r="F2646" s="1">
        <f>IFERROR(__xludf.DUMMYFUNCTION("""COMPUTED_VALUE"""),1160934.0)</f>
        <v>1160934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IFERROR(__xludf.DUMMYFUNCTION("""COMPUTED_VALUE"""),138.71)</f>
        <v>138.71</v>
      </c>
      <c r="C2647" s="1">
        <f>IFERROR(__xludf.DUMMYFUNCTION("""COMPUTED_VALUE"""),143.16)</f>
        <v>143.16</v>
      </c>
      <c r="D2647" s="1">
        <f>IFERROR(__xludf.DUMMYFUNCTION("""COMPUTED_VALUE"""),138.45)</f>
        <v>138.45</v>
      </c>
      <c r="E2647" s="1">
        <f>IFERROR(__xludf.DUMMYFUNCTION("""COMPUTED_VALUE"""),141.58)</f>
        <v>141.58</v>
      </c>
      <c r="F2647" s="1">
        <f>IFERROR(__xludf.DUMMYFUNCTION("""COMPUTED_VALUE"""),1150819.0)</f>
        <v>1150819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IFERROR(__xludf.DUMMYFUNCTION("""COMPUTED_VALUE"""),145.39)</f>
        <v>145.39</v>
      </c>
      <c r="C2648" s="1">
        <f>IFERROR(__xludf.DUMMYFUNCTION("""COMPUTED_VALUE"""),148.19)</f>
        <v>148.19</v>
      </c>
      <c r="D2648" s="1">
        <f>IFERROR(__xludf.DUMMYFUNCTION("""COMPUTED_VALUE"""),145.08)</f>
        <v>145.08</v>
      </c>
      <c r="E2648" s="1">
        <f>IFERROR(__xludf.DUMMYFUNCTION("""COMPUTED_VALUE"""),148.14)</f>
        <v>148.14</v>
      </c>
      <c r="F2648" s="1">
        <f>IFERROR(__xludf.DUMMYFUNCTION("""COMPUTED_VALUE"""),1705327.0)</f>
        <v>1705327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IFERROR(__xludf.DUMMYFUNCTION("""COMPUTED_VALUE"""),148.0)</f>
        <v>148</v>
      </c>
      <c r="C2649" s="1">
        <f>IFERROR(__xludf.DUMMYFUNCTION("""COMPUTED_VALUE"""),148.75)</f>
        <v>148.75</v>
      </c>
      <c r="D2649" s="1">
        <f>IFERROR(__xludf.DUMMYFUNCTION("""COMPUTED_VALUE"""),145.28)</f>
        <v>145.28</v>
      </c>
      <c r="E2649" s="1">
        <f>IFERROR(__xludf.DUMMYFUNCTION("""COMPUTED_VALUE"""),148.39)</f>
        <v>148.39</v>
      </c>
      <c r="F2649" s="1">
        <f>IFERROR(__xludf.DUMMYFUNCTION("""COMPUTED_VALUE"""),810253.0)</f>
        <v>810253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IFERROR(__xludf.DUMMYFUNCTION("""COMPUTED_VALUE"""),153.02)</f>
        <v>153.02</v>
      </c>
      <c r="C2650" s="1">
        <f>IFERROR(__xludf.DUMMYFUNCTION("""COMPUTED_VALUE"""),153.02)</f>
        <v>153.02</v>
      </c>
      <c r="D2650" s="1">
        <f>IFERROR(__xludf.DUMMYFUNCTION("""COMPUTED_VALUE"""),144.03)</f>
        <v>144.03</v>
      </c>
      <c r="E2650" s="1">
        <f>IFERROR(__xludf.DUMMYFUNCTION("""COMPUTED_VALUE"""),144.3)</f>
        <v>144.3</v>
      </c>
      <c r="F2650" s="1">
        <f>IFERROR(__xludf.DUMMYFUNCTION("""COMPUTED_VALUE"""),905684.0)</f>
        <v>905684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IFERROR(__xludf.DUMMYFUNCTION("""COMPUTED_VALUE"""),142.24)</f>
        <v>142.24</v>
      </c>
      <c r="C2651" s="1">
        <f>IFERROR(__xludf.DUMMYFUNCTION("""COMPUTED_VALUE"""),142.94)</f>
        <v>142.94</v>
      </c>
      <c r="D2651" s="1">
        <f>IFERROR(__xludf.DUMMYFUNCTION("""COMPUTED_VALUE"""),138.8)</f>
        <v>138.8</v>
      </c>
      <c r="E2651" s="1">
        <f>IFERROR(__xludf.DUMMYFUNCTION("""COMPUTED_VALUE"""),141.04)</f>
        <v>141.04</v>
      </c>
      <c r="F2651" s="1">
        <f>IFERROR(__xludf.DUMMYFUNCTION("""COMPUTED_VALUE"""),1377220.0)</f>
        <v>1377220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IFERROR(__xludf.DUMMYFUNCTION("""COMPUTED_VALUE"""),141.96)</f>
        <v>141.96</v>
      </c>
      <c r="C2652" s="1">
        <f>IFERROR(__xludf.DUMMYFUNCTION("""COMPUTED_VALUE"""),145.27)</f>
        <v>145.27</v>
      </c>
      <c r="D2652" s="1">
        <f>IFERROR(__xludf.DUMMYFUNCTION("""COMPUTED_VALUE"""),138.03)</f>
        <v>138.03</v>
      </c>
      <c r="E2652" s="1">
        <f>IFERROR(__xludf.DUMMYFUNCTION("""COMPUTED_VALUE"""),144.44)</f>
        <v>144.44</v>
      </c>
      <c r="F2652" s="1">
        <f>IFERROR(__xludf.DUMMYFUNCTION("""COMPUTED_VALUE"""),994025.0)</f>
        <v>994025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IFERROR(__xludf.DUMMYFUNCTION("""COMPUTED_VALUE"""),141.91)</f>
        <v>141.91</v>
      </c>
      <c r="C2653" s="1">
        <f>IFERROR(__xludf.DUMMYFUNCTION("""COMPUTED_VALUE"""),145.87)</f>
        <v>145.87</v>
      </c>
      <c r="D2653" s="1">
        <f>IFERROR(__xludf.DUMMYFUNCTION("""COMPUTED_VALUE"""),140.52)</f>
        <v>140.52</v>
      </c>
      <c r="E2653" s="1">
        <f>IFERROR(__xludf.DUMMYFUNCTION("""COMPUTED_VALUE"""),144.76)</f>
        <v>144.76</v>
      </c>
      <c r="F2653" s="1">
        <f>IFERROR(__xludf.DUMMYFUNCTION("""COMPUTED_VALUE"""),852490.0)</f>
        <v>852490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IFERROR(__xludf.DUMMYFUNCTION("""COMPUTED_VALUE"""),144.94)</f>
        <v>144.94</v>
      </c>
      <c r="C2654" s="1">
        <f>IFERROR(__xludf.DUMMYFUNCTION("""COMPUTED_VALUE"""),145.71)</f>
        <v>145.71</v>
      </c>
      <c r="D2654" s="1">
        <f>IFERROR(__xludf.DUMMYFUNCTION("""COMPUTED_VALUE"""),142.13)</f>
        <v>142.13</v>
      </c>
      <c r="E2654" s="1">
        <f>IFERROR(__xludf.DUMMYFUNCTION("""COMPUTED_VALUE"""),142.53)</f>
        <v>142.53</v>
      </c>
      <c r="F2654" s="1">
        <f>IFERROR(__xludf.DUMMYFUNCTION("""COMPUTED_VALUE"""),694641.0)</f>
        <v>694641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IFERROR(__xludf.DUMMYFUNCTION("""COMPUTED_VALUE"""),144.43)</f>
        <v>144.43</v>
      </c>
      <c r="C2655" s="1">
        <f>IFERROR(__xludf.DUMMYFUNCTION("""COMPUTED_VALUE"""),147.36)</f>
        <v>147.36</v>
      </c>
      <c r="D2655" s="1">
        <f>IFERROR(__xludf.DUMMYFUNCTION("""COMPUTED_VALUE"""),143.83)</f>
        <v>143.83</v>
      </c>
      <c r="E2655" s="1">
        <f>IFERROR(__xludf.DUMMYFUNCTION("""COMPUTED_VALUE"""),146.63)</f>
        <v>146.63</v>
      </c>
      <c r="F2655" s="1">
        <f>IFERROR(__xludf.DUMMYFUNCTION("""COMPUTED_VALUE"""),476325.0)</f>
        <v>476325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IFERROR(__xludf.DUMMYFUNCTION("""COMPUTED_VALUE"""),148.83)</f>
        <v>148.83</v>
      </c>
      <c r="C2656" s="1">
        <f>IFERROR(__xludf.DUMMYFUNCTION("""COMPUTED_VALUE"""),150.0)</f>
        <v>150</v>
      </c>
      <c r="D2656" s="1">
        <f>IFERROR(__xludf.DUMMYFUNCTION("""COMPUTED_VALUE"""),146.66)</f>
        <v>146.66</v>
      </c>
      <c r="E2656" s="1">
        <f>IFERROR(__xludf.DUMMYFUNCTION("""COMPUTED_VALUE"""),146.9)</f>
        <v>146.9</v>
      </c>
      <c r="F2656" s="1">
        <f>IFERROR(__xludf.DUMMYFUNCTION("""COMPUTED_VALUE"""),883178.0)</f>
        <v>883178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IFERROR(__xludf.DUMMYFUNCTION("""COMPUTED_VALUE"""),145.54)</f>
        <v>145.54</v>
      </c>
      <c r="C2657" s="1">
        <f>IFERROR(__xludf.DUMMYFUNCTION("""COMPUTED_VALUE"""),146.61)</f>
        <v>146.61</v>
      </c>
      <c r="D2657" s="1">
        <f>IFERROR(__xludf.DUMMYFUNCTION("""COMPUTED_VALUE"""),142.75)</f>
        <v>142.75</v>
      </c>
      <c r="E2657" s="1">
        <f>IFERROR(__xludf.DUMMYFUNCTION("""COMPUTED_VALUE"""),144.58)</f>
        <v>144.58</v>
      </c>
      <c r="F2657" s="1">
        <f>IFERROR(__xludf.DUMMYFUNCTION("""COMPUTED_VALUE"""),867868.0)</f>
        <v>867868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IFERROR(__xludf.DUMMYFUNCTION("""COMPUTED_VALUE"""),145.77)</f>
        <v>145.77</v>
      </c>
      <c r="C2658" s="1">
        <f>IFERROR(__xludf.DUMMYFUNCTION("""COMPUTED_VALUE"""),146.1)</f>
        <v>146.1</v>
      </c>
      <c r="D2658" s="1">
        <f>IFERROR(__xludf.DUMMYFUNCTION("""COMPUTED_VALUE"""),137.13)</f>
        <v>137.13</v>
      </c>
      <c r="E2658" s="1">
        <f>IFERROR(__xludf.DUMMYFUNCTION("""COMPUTED_VALUE"""),137.97)</f>
        <v>137.97</v>
      </c>
      <c r="F2658" s="1">
        <f>IFERROR(__xludf.DUMMYFUNCTION("""COMPUTED_VALUE"""),1199112.0)</f>
        <v>1199112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IFERROR(__xludf.DUMMYFUNCTION("""COMPUTED_VALUE"""),136.27)</f>
        <v>136.27</v>
      </c>
      <c r="C2659" s="1">
        <f>IFERROR(__xludf.DUMMYFUNCTION("""COMPUTED_VALUE"""),139.47)</f>
        <v>139.47</v>
      </c>
      <c r="D2659" s="1">
        <f>IFERROR(__xludf.DUMMYFUNCTION("""COMPUTED_VALUE"""),133.3)</f>
        <v>133.3</v>
      </c>
      <c r="E2659" s="1">
        <f>IFERROR(__xludf.DUMMYFUNCTION("""COMPUTED_VALUE"""),138.05)</f>
        <v>138.05</v>
      </c>
      <c r="F2659" s="1">
        <f>IFERROR(__xludf.DUMMYFUNCTION("""COMPUTED_VALUE"""),1030931.0)</f>
        <v>1030931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IFERROR(__xludf.DUMMYFUNCTION("""COMPUTED_VALUE"""),138.0)</f>
        <v>138</v>
      </c>
      <c r="C2660" s="1">
        <f>IFERROR(__xludf.DUMMYFUNCTION("""COMPUTED_VALUE"""),139.86)</f>
        <v>139.86</v>
      </c>
      <c r="D2660" s="1">
        <f>IFERROR(__xludf.DUMMYFUNCTION("""COMPUTED_VALUE"""),136.36)</f>
        <v>136.36</v>
      </c>
      <c r="E2660" s="1">
        <f>IFERROR(__xludf.DUMMYFUNCTION("""COMPUTED_VALUE"""),139.75)</f>
        <v>139.75</v>
      </c>
      <c r="F2660" s="1">
        <f>IFERROR(__xludf.DUMMYFUNCTION("""COMPUTED_VALUE"""),1126300.0)</f>
        <v>1126300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IFERROR(__xludf.DUMMYFUNCTION("""COMPUTED_VALUE"""),136.64)</f>
        <v>136.64</v>
      </c>
      <c r="C2661" s="1">
        <f>IFERROR(__xludf.DUMMYFUNCTION("""COMPUTED_VALUE"""),143.23)</f>
        <v>143.23</v>
      </c>
      <c r="D2661" s="1">
        <f>IFERROR(__xludf.DUMMYFUNCTION("""COMPUTED_VALUE"""),135.47)</f>
        <v>135.47</v>
      </c>
      <c r="E2661" s="1">
        <f>IFERROR(__xludf.DUMMYFUNCTION("""COMPUTED_VALUE"""),135.49)</f>
        <v>135.49</v>
      </c>
      <c r="F2661" s="1">
        <f>IFERROR(__xludf.DUMMYFUNCTION("""COMPUTED_VALUE"""),1863102.0)</f>
        <v>1863102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IFERROR(__xludf.DUMMYFUNCTION("""COMPUTED_VALUE"""),135.49)</f>
        <v>135.49</v>
      </c>
      <c r="C2662" s="1">
        <f>IFERROR(__xludf.DUMMYFUNCTION("""COMPUTED_VALUE"""),137.54)</f>
        <v>137.54</v>
      </c>
      <c r="D2662" s="1">
        <f>IFERROR(__xludf.DUMMYFUNCTION("""COMPUTED_VALUE"""),134.57)</f>
        <v>134.57</v>
      </c>
      <c r="E2662" s="1">
        <f>IFERROR(__xludf.DUMMYFUNCTION("""COMPUTED_VALUE"""),135.24)</f>
        <v>135.24</v>
      </c>
      <c r="F2662" s="1">
        <f>IFERROR(__xludf.DUMMYFUNCTION("""COMPUTED_VALUE"""),1744044.0)</f>
        <v>1744044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IFERROR(__xludf.DUMMYFUNCTION("""COMPUTED_VALUE"""),135.0)</f>
        <v>135</v>
      </c>
      <c r="C2663" s="1">
        <f>IFERROR(__xludf.DUMMYFUNCTION("""COMPUTED_VALUE"""),138.69)</f>
        <v>138.69</v>
      </c>
      <c r="D2663" s="1">
        <f>IFERROR(__xludf.DUMMYFUNCTION("""COMPUTED_VALUE"""),134.11)</f>
        <v>134.11</v>
      </c>
      <c r="E2663" s="1">
        <f>IFERROR(__xludf.DUMMYFUNCTION("""COMPUTED_VALUE"""),138.19)</f>
        <v>138.19</v>
      </c>
      <c r="F2663" s="1">
        <f>IFERROR(__xludf.DUMMYFUNCTION("""COMPUTED_VALUE"""),1081807.0)</f>
        <v>1081807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IFERROR(__xludf.DUMMYFUNCTION("""COMPUTED_VALUE"""),138.76)</f>
        <v>138.76</v>
      </c>
      <c r="C2664" s="1">
        <f>IFERROR(__xludf.DUMMYFUNCTION("""COMPUTED_VALUE"""),141.38)</f>
        <v>141.38</v>
      </c>
      <c r="D2664" s="1">
        <f>IFERROR(__xludf.DUMMYFUNCTION("""COMPUTED_VALUE"""),138.63)</f>
        <v>138.63</v>
      </c>
      <c r="E2664" s="1">
        <f>IFERROR(__xludf.DUMMYFUNCTION("""COMPUTED_VALUE"""),140.2)</f>
        <v>140.2</v>
      </c>
      <c r="F2664" s="1">
        <f>IFERROR(__xludf.DUMMYFUNCTION("""COMPUTED_VALUE"""),1453787.0)</f>
        <v>1453787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IFERROR(__xludf.DUMMYFUNCTION("""COMPUTED_VALUE"""),140.32)</f>
        <v>140.32</v>
      </c>
      <c r="C2665" s="1">
        <f>IFERROR(__xludf.DUMMYFUNCTION("""COMPUTED_VALUE"""),143.54)</f>
        <v>143.54</v>
      </c>
      <c r="D2665" s="1">
        <f>IFERROR(__xludf.DUMMYFUNCTION("""COMPUTED_VALUE"""),140.24)</f>
        <v>140.24</v>
      </c>
      <c r="E2665" s="1">
        <f>IFERROR(__xludf.DUMMYFUNCTION("""COMPUTED_VALUE"""),143.13)</f>
        <v>143.13</v>
      </c>
      <c r="F2665" s="1">
        <f>IFERROR(__xludf.DUMMYFUNCTION("""COMPUTED_VALUE"""),989261.0)</f>
        <v>989261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IFERROR(__xludf.DUMMYFUNCTION("""COMPUTED_VALUE"""),144.0)</f>
        <v>144</v>
      </c>
      <c r="C2666" s="1">
        <f>IFERROR(__xludf.DUMMYFUNCTION("""COMPUTED_VALUE"""),144.97)</f>
        <v>144.97</v>
      </c>
      <c r="D2666" s="1">
        <f>IFERROR(__xludf.DUMMYFUNCTION("""COMPUTED_VALUE"""),142.87)</f>
        <v>142.87</v>
      </c>
      <c r="E2666" s="1">
        <f>IFERROR(__xludf.DUMMYFUNCTION("""COMPUTED_VALUE"""),144.94)</f>
        <v>144.94</v>
      </c>
      <c r="F2666" s="1">
        <f>IFERROR(__xludf.DUMMYFUNCTION("""COMPUTED_VALUE"""),1176060.0)</f>
        <v>1176060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IFERROR(__xludf.DUMMYFUNCTION("""COMPUTED_VALUE"""),145.71)</f>
        <v>145.71</v>
      </c>
      <c r="C2667" s="1">
        <f>IFERROR(__xludf.DUMMYFUNCTION("""COMPUTED_VALUE"""),149.45)</f>
        <v>149.45</v>
      </c>
      <c r="D2667" s="1">
        <f>IFERROR(__xludf.DUMMYFUNCTION("""COMPUTED_VALUE"""),144.17)</f>
        <v>144.17</v>
      </c>
      <c r="E2667" s="1">
        <f>IFERROR(__xludf.DUMMYFUNCTION("""COMPUTED_VALUE"""),148.08)</f>
        <v>148.08</v>
      </c>
      <c r="F2667" s="1">
        <f>IFERROR(__xludf.DUMMYFUNCTION("""COMPUTED_VALUE"""),1234730.0)</f>
        <v>1234730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IFERROR(__xludf.DUMMYFUNCTION("""COMPUTED_VALUE"""),148.72)</f>
        <v>148.72</v>
      </c>
      <c r="C2668" s="1">
        <f>IFERROR(__xludf.DUMMYFUNCTION("""COMPUTED_VALUE"""),148.82)</f>
        <v>148.82</v>
      </c>
      <c r="D2668" s="1">
        <f>IFERROR(__xludf.DUMMYFUNCTION("""COMPUTED_VALUE"""),145.81)</f>
        <v>145.81</v>
      </c>
      <c r="E2668" s="1">
        <f>IFERROR(__xludf.DUMMYFUNCTION("""COMPUTED_VALUE"""),147.6)</f>
        <v>147.6</v>
      </c>
      <c r="F2668" s="1">
        <f>IFERROR(__xludf.DUMMYFUNCTION("""COMPUTED_VALUE"""),2089241.0)</f>
        <v>2089241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IFERROR(__xludf.DUMMYFUNCTION("""COMPUTED_VALUE"""),146.52)</f>
        <v>146.52</v>
      </c>
      <c r="C2669" s="1">
        <f>IFERROR(__xludf.DUMMYFUNCTION("""COMPUTED_VALUE"""),146.74)</f>
        <v>146.74</v>
      </c>
      <c r="D2669" s="1">
        <f>IFERROR(__xludf.DUMMYFUNCTION("""COMPUTED_VALUE"""),140.07)</f>
        <v>140.07</v>
      </c>
      <c r="E2669" s="1">
        <f>IFERROR(__xludf.DUMMYFUNCTION("""COMPUTED_VALUE"""),140.87)</f>
        <v>140.87</v>
      </c>
      <c r="F2669" s="1">
        <f>IFERROR(__xludf.DUMMYFUNCTION("""COMPUTED_VALUE"""),958125.0)</f>
        <v>958125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IFERROR(__xludf.DUMMYFUNCTION("""COMPUTED_VALUE"""),141.0)</f>
        <v>141</v>
      </c>
      <c r="C2670" s="1">
        <f>IFERROR(__xludf.DUMMYFUNCTION("""COMPUTED_VALUE"""),142.55)</f>
        <v>142.55</v>
      </c>
      <c r="D2670" s="1">
        <f>IFERROR(__xludf.DUMMYFUNCTION("""COMPUTED_VALUE"""),139.08)</f>
        <v>139.08</v>
      </c>
      <c r="E2670" s="1">
        <f>IFERROR(__xludf.DUMMYFUNCTION("""COMPUTED_VALUE"""),139.42)</f>
        <v>139.42</v>
      </c>
      <c r="F2670" s="1">
        <f>IFERROR(__xludf.DUMMYFUNCTION("""COMPUTED_VALUE"""),994906.0)</f>
        <v>994906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IFERROR(__xludf.DUMMYFUNCTION("""COMPUTED_VALUE"""),140.04)</f>
        <v>140.04</v>
      </c>
      <c r="C2671" s="1">
        <f>IFERROR(__xludf.DUMMYFUNCTION("""COMPUTED_VALUE"""),142.51)</f>
        <v>142.51</v>
      </c>
      <c r="D2671" s="1">
        <f>IFERROR(__xludf.DUMMYFUNCTION("""COMPUTED_VALUE"""),139.99)</f>
        <v>139.99</v>
      </c>
      <c r="E2671" s="1">
        <f>IFERROR(__xludf.DUMMYFUNCTION("""COMPUTED_VALUE"""),140.0)</f>
        <v>140</v>
      </c>
      <c r="F2671" s="1">
        <f>IFERROR(__xludf.DUMMYFUNCTION("""COMPUTED_VALUE"""),950728.0)</f>
        <v>950728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IFERROR(__xludf.DUMMYFUNCTION("""COMPUTED_VALUE"""),141.37)</f>
        <v>141.37</v>
      </c>
      <c r="C2672" s="1">
        <f>IFERROR(__xludf.DUMMYFUNCTION("""COMPUTED_VALUE"""),142.08)</f>
        <v>142.08</v>
      </c>
      <c r="D2672" s="1">
        <f>IFERROR(__xludf.DUMMYFUNCTION("""COMPUTED_VALUE"""),139.65)</f>
        <v>139.65</v>
      </c>
      <c r="E2672" s="1">
        <f>IFERROR(__xludf.DUMMYFUNCTION("""COMPUTED_VALUE"""),141.35)</f>
        <v>141.35</v>
      </c>
      <c r="F2672" s="1">
        <f>IFERROR(__xludf.DUMMYFUNCTION("""COMPUTED_VALUE"""),489375.0)</f>
        <v>489375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IFERROR(__xludf.DUMMYFUNCTION("""COMPUTED_VALUE"""),141.55)</f>
        <v>141.55</v>
      </c>
      <c r="C2673" s="1">
        <f>IFERROR(__xludf.DUMMYFUNCTION("""COMPUTED_VALUE"""),142.36)</f>
        <v>142.36</v>
      </c>
      <c r="D2673" s="1">
        <f>IFERROR(__xludf.DUMMYFUNCTION("""COMPUTED_VALUE"""),140.33)</f>
        <v>140.33</v>
      </c>
      <c r="E2673" s="1">
        <f>IFERROR(__xludf.DUMMYFUNCTION("""COMPUTED_VALUE"""),141.21)</f>
        <v>141.21</v>
      </c>
      <c r="F2673" s="1">
        <f>IFERROR(__xludf.DUMMYFUNCTION("""COMPUTED_VALUE"""),668408.0)</f>
        <v>668408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IFERROR(__xludf.DUMMYFUNCTION("""COMPUTED_VALUE"""),140.3)</f>
        <v>140.3</v>
      </c>
      <c r="C2674" s="1">
        <f>IFERROR(__xludf.DUMMYFUNCTION("""COMPUTED_VALUE"""),141.56)</f>
        <v>141.56</v>
      </c>
      <c r="D2674" s="1">
        <f>IFERROR(__xludf.DUMMYFUNCTION("""COMPUTED_VALUE"""),135.51)</f>
        <v>135.51</v>
      </c>
      <c r="E2674" s="1">
        <f>IFERROR(__xludf.DUMMYFUNCTION("""COMPUTED_VALUE"""),135.63)</f>
        <v>135.63</v>
      </c>
      <c r="F2674" s="1">
        <f>IFERROR(__xludf.DUMMYFUNCTION("""COMPUTED_VALUE"""),937108.0)</f>
        <v>937108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IFERROR(__xludf.DUMMYFUNCTION("""COMPUTED_VALUE"""),138.82)</f>
        <v>138.82</v>
      </c>
      <c r="C2675" s="1">
        <f>IFERROR(__xludf.DUMMYFUNCTION("""COMPUTED_VALUE"""),141.06)</f>
        <v>141.06</v>
      </c>
      <c r="D2675" s="1">
        <f>IFERROR(__xludf.DUMMYFUNCTION("""COMPUTED_VALUE"""),137.06)</f>
        <v>137.06</v>
      </c>
      <c r="E2675" s="1">
        <f>IFERROR(__xludf.DUMMYFUNCTION("""COMPUTED_VALUE"""),140.91)</f>
        <v>140.91</v>
      </c>
      <c r="F2675" s="1">
        <f>IFERROR(__xludf.DUMMYFUNCTION("""COMPUTED_VALUE"""),634213.0)</f>
        <v>634213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IFERROR(__xludf.DUMMYFUNCTION("""COMPUTED_VALUE"""),141.0)</f>
        <v>141</v>
      </c>
      <c r="C2676" s="1">
        <f>IFERROR(__xludf.DUMMYFUNCTION("""COMPUTED_VALUE"""),143.99)</f>
        <v>143.99</v>
      </c>
      <c r="D2676" s="1">
        <f>IFERROR(__xludf.DUMMYFUNCTION("""COMPUTED_VALUE"""),141.0)</f>
        <v>141</v>
      </c>
      <c r="E2676" s="1">
        <f>IFERROR(__xludf.DUMMYFUNCTION("""COMPUTED_VALUE"""),142.5)</f>
        <v>142.5</v>
      </c>
      <c r="F2676" s="1">
        <f>IFERROR(__xludf.DUMMYFUNCTION("""COMPUTED_VALUE"""),804530.0)</f>
        <v>804530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IFERROR(__xludf.DUMMYFUNCTION("""COMPUTED_VALUE"""),142.78)</f>
        <v>142.78</v>
      </c>
      <c r="C2677" s="1">
        <f>IFERROR(__xludf.DUMMYFUNCTION("""COMPUTED_VALUE"""),142.78)</f>
        <v>142.78</v>
      </c>
      <c r="D2677" s="1">
        <f>IFERROR(__xludf.DUMMYFUNCTION("""COMPUTED_VALUE"""),137.14)</f>
        <v>137.14</v>
      </c>
      <c r="E2677" s="1">
        <f>IFERROR(__xludf.DUMMYFUNCTION("""COMPUTED_VALUE"""),137.83)</f>
        <v>137.83</v>
      </c>
      <c r="F2677" s="1">
        <f>IFERROR(__xludf.DUMMYFUNCTION("""COMPUTED_VALUE"""),854486.0)</f>
        <v>854486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IFERROR(__xludf.DUMMYFUNCTION("""COMPUTED_VALUE"""),137.2)</f>
        <v>137.2</v>
      </c>
      <c r="C2678" s="1">
        <f>IFERROR(__xludf.DUMMYFUNCTION("""COMPUTED_VALUE"""),138.65)</f>
        <v>138.65</v>
      </c>
      <c r="D2678" s="1">
        <f>IFERROR(__xludf.DUMMYFUNCTION("""COMPUTED_VALUE"""),134.9)</f>
        <v>134.9</v>
      </c>
      <c r="E2678" s="1">
        <f>IFERROR(__xludf.DUMMYFUNCTION("""COMPUTED_VALUE"""),136.26)</f>
        <v>136.26</v>
      </c>
      <c r="F2678" s="1">
        <f>IFERROR(__xludf.DUMMYFUNCTION("""COMPUTED_VALUE"""),836178.0)</f>
        <v>836178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IFERROR(__xludf.DUMMYFUNCTION("""COMPUTED_VALUE"""),137.36)</f>
        <v>137.36</v>
      </c>
      <c r="C2679" s="1">
        <f>IFERROR(__xludf.DUMMYFUNCTION("""COMPUTED_VALUE"""),139.16)</f>
        <v>139.16</v>
      </c>
      <c r="D2679" s="1">
        <f>IFERROR(__xludf.DUMMYFUNCTION("""COMPUTED_VALUE"""),136.99)</f>
        <v>136.99</v>
      </c>
      <c r="E2679" s="1">
        <f>IFERROR(__xludf.DUMMYFUNCTION("""COMPUTED_VALUE"""),138.53)</f>
        <v>138.53</v>
      </c>
      <c r="F2679" s="1">
        <f>IFERROR(__xludf.DUMMYFUNCTION("""COMPUTED_VALUE"""),365115.0)</f>
        <v>365115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IFERROR(__xludf.DUMMYFUNCTION("""COMPUTED_VALUE"""),139.71)</f>
        <v>139.71</v>
      </c>
      <c r="C2680" s="1">
        <f>IFERROR(__xludf.DUMMYFUNCTION("""COMPUTED_VALUE"""),139.92)</f>
        <v>139.92</v>
      </c>
      <c r="D2680" s="1">
        <f>IFERROR(__xludf.DUMMYFUNCTION("""COMPUTED_VALUE"""),136.15)</f>
        <v>136.15</v>
      </c>
      <c r="E2680" s="1">
        <f>IFERROR(__xludf.DUMMYFUNCTION("""COMPUTED_VALUE"""),136.55)</f>
        <v>136.55</v>
      </c>
      <c r="F2680" s="1">
        <f>IFERROR(__xludf.DUMMYFUNCTION("""COMPUTED_VALUE"""),700676.0)</f>
        <v>700676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IFERROR(__xludf.DUMMYFUNCTION("""COMPUTED_VALUE"""),136.12)</f>
        <v>136.12</v>
      </c>
      <c r="C2681" s="1">
        <f>IFERROR(__xludf.DUMMYFUNCTION("""COMPUTED_VALUE"""),138.07)</f>
        <v>138.07</v>
      </c>
      <c r="D2681" s="1">
        <f>IFERROR(__xludf.DUMMYFUNCTION("""COMPUTED_VALUE"""),134.54)</f>
        <v>134.54</v>
      </c>
      <c r="E2681" s="1">
        <f>IFERROR(__xludf.DUMMYFUNCTION("""COMPUTED_VALUE"""),138.07)</f>
        <v>138.07</v>
      </c>
      <c r="F2681" s="1">
        <f>IFERROR(__xludf.DUMMYFUNCTION("""COMPUTED_VALUE"""),845427.0)</f>
        <v>845427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IFERROR(__xludf.DUMMYFUNCTION("""COMPUTED_VALUE"""),138.0)</f>
        <v>138</v>
      </c>
      <c r="C2682" s="1">
        <f>IFERROR(__xludf.DUMMYFUNCTION("""COMPUTED_VALUE"""),139.7)</f>
        <v>139.7</v>
      </c>
      <c r="D2682" s="1">
        <f>IFERROR(__xludf.DUMMYFUNCTION("""COMPUTED_VALUE"""),136.75)</f>
        <v>136.75</v>
      </c>
      <c r="E2682" s="1">
        <f>IFERROR(__xludf.DUMMYFUNCTION("""COMPUTED_VALUE"""),137.88)</f>
        <v>137.88</v>
      </c>
      <c r="F2682" s="1">
        <f>IFERROR(__xludf.DUMMYFUNCTION("""COMPUTED_VALUE"""),626662.0)</f>
        <v>626662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IFERROR(__xludf.DUMMYFUNCTION("""COMPUTED_VALUE"""),139.68)</f>
        <v>139.68</v>
      </c>
      <c r="C2683" s="1">
        <f>IFERROR(__xludf.DUMMYFUNCTION("""COMPUTED_VALUE"""),146.94)</f>
        <v>146.94</v>
      </c>
      <c r="D2683" s="1">
        <f>IFERROR(__xludf.DUMMYFUNCTION("""COMPUTED_VALUE"""),138.63)</f>
        <v>138.63</v>
      </c>
      <c r="E2683" s="1">
        <f>IFERROR(__xludf.DUMMYFUNCTION("""COMPUTED_VALUE"""),146.12)</f>
        <v>146.12</v>
      </c>
      <c r="F2683" s="1">
        <f>IFERROR(__xludf.DUMMYFUNCTION("""COMPUTED_VALUE"""),1093731.0)</f>
        <v>1093731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IFERROR(__xludf.DUMMYFUNCTION("""COMPUTED_VALUE"""),145.41)</f>
        <v>145.41</v>
      </c>
      <c r="C2684" s="1">
        <f>IFERROR(__xludf.DUMMYFUNCTION("""COMPUTED_VALUE"""),150.2)</f>
        <v>150.2</v>
      </c>
      <c r="D2684" s="1">
        <f>IFERROR(__xludf.DUMMYFUNCTION("""COMPUTED_VALUE"""),143.0)</f>
        <v>143</v>
      </c>
      <c r="E2684" s="1">
        <f>IFERROR(__xludf.DUMMYFUNCTION("""COMPUTED_VALUE"""),149.15)</f>
        <v>149.15</v>
      </c>
      <c r="F2684" s="1">
        <f>IFERROR(__xludf.DUMMYFUNCTION("""COMPUTED_VALUE"""),1230744.0)</f>
        <v>1230744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IFERROR(__xludf.DUMMYFUNCTION("""COMPUTED_VALUE"""),147.56)</f>
        <v>147.56</v>
      </c>
      <c r="C2685" s="1">
        <f>IFERROR(__xludf.DUMMYFUNCTION("""COMPUTED_VALUE"""),150.07)</f>
        <v>150.07</v>
      </c>
      <c r="D2685" s="1">
        <f>IFERROR(__xludf.DUMMYFUNCTION("""COMPUTED_VALUE"""),146.45)</f>
        <v>146.45</v>
      </c>
      <c r="E2685" s="1">
        <f>IFERROR(__xludf.DUMMYFUNCTION("""COMPUTED_VALUE"""),146.63)</f>
        <v>146.63</v>
      </c>
      <c r="F2685" s="1">
        <f>IFERROR(__xludf.DUMMYFUNCTION("""COMPUTED_VALUE"""),1289885.0)</f>
        <v>1289885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IFERROR(__xludf.DUMMYFUNCTION("""COMPUTED_VALUE"""),147.92)</f>
        <v>147.92</v>
      </c>
      <c r="C2686" s="1">
        <f>IFERROR(__xludf.DUMMYFUNCTION("""COMPUTED_VALUE"""),152.35)</f>
        <v>152.35</v>
      </c>
      <c r="D2686" s="1">
        <f>IFERROR(__xludf.DUMMYFUNCTION("""COMPUTED_VALUE"""),146.81)</f>
        <v>146.81</v>
      </c>
      <c r="E2686" s="1">
        <f>IFERROR(__xludf.DUMMYFUNCTION("""COMPUTED_VALUE"""),151.0)</f>
        <v>151</v>
      </c>
      <c r="F2686" s="1">
        <f>IFERROR(__xludf.DUMMYFUNCTION("""COMPUTED_VALUE"""),807351.0)</f>
        <v>807351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IFERROR(__xludf.DUMMYFUNCTION("""COMPUTED_VALUE"""),153.0)</f>
        <v>153</v>
      </c>
      <c r="C2687" s="1">
        <f>IFERROR(__xludf.DUMMYFUNCTION("""COMPUTED_VALUE"""),155.84)</f>
        <v>155.84</v>
      </c>
      <c r="D2687" s="1">
        <f>IFERROR(__xludf.DUMMYFUNCTION("""COMPUTED_VALUE"""),150.03)</f>
        <v>150.03</v>
      </c>
      <c r="E2687" s="1">
        <f>IFERROR(__xludf.DUMMYFUNCTION("""COMPUTED_VALUE"""),153.53)</f>
        <v>153.53</v>
      </c>
      <c r="F2687" s="1">
        <f>IFERROR(__xludf.DUMMYFUNCTION("""COMPUTED_VALUE"""),972560.0)</f>
        <v>972560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IFERROR(__xludf.DUMMYFUNCTION("""COMPUTED_VALUE"""),151.88)</f>
        <v>151.88</v>
      </c>
      <c r="C2688" s="1">
        <f>IFERROR(__xludf.DUMMYFUNCTION("""COMPUTED_VALUE"""),152.71)</f>
        <v>152.71</v>
      </c>
      <c r="D2688" s="1">
        <f>IFERROR(__xludf.DUMMYFUNCTION("""COMPUTED_VALUE"""),149.14)</f>
        <v>149.14</v>
      </c>
      <c r="E2688" s="1">
        <f>IFERROR(__xludf.DUMMYFUNCTION("""COMPUTED_VALUE"""),150.34)</f>
        <v>150.34</v>
      </c>
      <c r="F2688" s="1">
        <f>IFERROR(__xludf.DUMMYFUNCTION("""COMPUTED_VALUE"""),1134890.0)</f>
        <v>1134890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IFERROR(__xludf.DUMMYFUNCTION("""COMPUTED_VALUE"""),149.51)</f>
        <v>149.51</v>
      </c>
      <c r="C2689" s="1">
        <f>IFERROR(__xludf.DUMMYFUNCTION("""COMPUTED_VALUE"""),150.15)</f>
        <v>150.15</v>
      </c>
      <c r="D2689" s="1">
        <f>IFERROR(__xludf.DUMMYFUNCTION("""COMPUTED_VALUE"""),145.73)</f>
        <v>145.73</v>
      </c>
      <c r="E2689" s="1">
        <f>IFERROR(__xludf.DUMMYFUNCTION("""COMPUTED_VALUE"""),149.29)</f>
        <v>149.29</v>
      </c>
      <c r="F2689" s="1">
        <f>IFERROR(__xludf.DUMMYFUNCTION("""COMPUTED_VALUE"""),897750.0)</f>
        <v>897750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IFERROR(__xludf.DUMMYFUNCTION("""COMPUTED_VALUE"""),147.51)</f>
        <v>147.51</v>
      </c>
      <c r="C2690" s="1">
        <f>IFERROR(__xludf.DUMMYFUNCTION("""COMPUTED_VALUE"""),148.65)</f>
        <v>148.65</v>
      </c>
      <c r="D2690" s="1">
        <f>IFERROR(__xludf.DUMMYFUNCTION("""COMPUTED_VALUE"""),144.61)</f>
        <v>144.61</v>
      </c>
      <c r="E2690" s="1">
        <f>IFERROR(__xludf.DUMMYFUNCTION("""COMPUTED_VALUE"""),147.72)</f>
        <v>147.72</v>
      </c>
      <c r="F2690" s="1">
        <f>IFERROR(__xludf.DUMMYFUNCTION("""COMPUTED_VALUE"""),894408.0)</f>
        <v>894408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IFERROR(__xludf.DUMMYFUNCTION("""COMPUTED_VALUE"""),148.46)</f>
        <v>148.46</v>
      </c>
      <c r="C2691" s="1">
        <f>IFERROR(__xludf.DUMMYFUNCTION("""COMPUTED_VALUE"""),151.0)</f>
        <v>151</v>
      </c>
      <c r="D2691" s="1">
        <f>IFERROR(__xludf.DUMMYFUNCTION("""COMPUTED_VALUE"""),146.66)</f>
        <v>146.66</v>
      </c>
      <c r="E2691" s="1">
        <f>IFERROR(__xludf.DUMMYFUNCTION("""COMPUTED_VALUE"""),148.98)</f>
        <v>148.98</v>
      </c>
      <c r="F2691" s="1">
        <f>IFERROR(__xludf.DUMMYFUNCTION("""COMPUTED_VALUE"""),682534.0)</f>
        <v>682534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IFERROR(__xludf.DUMMYFUNCTION("""COMPUTED_VALUE"""),150.0)</f>
        <v>150</v>
      </c>
      <c r="C2692" s="1">
        <f>IFERROR(__xludf.DUMMYFUNCTION("""COMPUTED_VALUE"""),150.4)</f>
        <v>150.4</v>
      </c>
      <c r="D2692" s="1">
        <f>IFERROR(__xludf.DUMMYFUNCTION("""COMPUTED_VALUE"""),144.16)</f>
        <v>144.16</v>
      </c>
      <c r="E2692" s="1">
        <f>IFERROR(__xludf.DUMMYFUNCTION("""COMPUTED_VALUE"""),144.64)</f>
        <v>144.64</v>
      </c>
      <c r="F2692" s="1">
        <f>IFERROR(__xludf.DUMMYFUNCTION("""COMPUTED_VALUE"""),930002.0)</f>
        <v>930002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IFERROR(__xludf.DUMMYFUNCTION("""COMPUTED_VALUE"""),147.08)</f>
        <v>147.08</v>
      </c>
      <c r="C2693" s="1">
        <f>IFERROR(__xludf.DUMMYFUNCTION("""COMPUTED_VALUE"""),150.43)</f>
        <v>150.43</v>
      </c>
      <c r="D2693" s="1">
        <f>IFERROR(__xludf.DUMMYFUNCTION("""COMPUTED_VALUE"""),145.88)</f>
        <v>145.88</v>
      </c>
      <c r="E2693" s="1">
        <f>IFERROR(__xludf.DUMMYFUNCTION("""COMPUTED_VALUE"""),147.3)</f>
        <v>147.3</v>
      </c>
      <c r="F2693" s="1">
        <f>IFERROR(__xludf.DUMMYFUNCTION("""COMPUTED_VALUE"""),709028.0)</f>
        <v>709028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IFERROR(__xludf.DUMMYFUNCTION("""COMPUTED_VALUE"""),149.16)</f>
        <v>149.16</v>
      </c>
      <c r="C2694" s="1">
        <f>IFERROR(__xludf.DUMMYFUNCTION("""COMPUTED_VALUE"""),151.86)</f>
        <v>151.86</v>
      </c>
      <c r="D2694" s="1">
        <f>IFERROR(__xludf.DUMMYFUNCTION("""COMPUTED_VALUE"""),148.25)</f>
        <v>148.25</v>
      </c>
      <c r="E2694" s="1">
        <f>IFERROR(__xludf.DUMMYFUNCTION("""COMPUTED_VALUE"""),151.72)</f>
        <v>151.72</v>
      </c>
      <c r="F2694" s="1">
        <f>IFERROR(__xludf.DUMMYFUNCTION("""COMPUTED_VALUE"""),1044533.0)</f>
        <v>1044533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IFERROR(__xludf.DUMMYFUNCTION("""COMPUTED_VALUE"""),153.93)</f>
        <v>153.93</v>
      </c>
      <c r="C2695" s="1">
        <f>IFERROR(__xludf.DUMMYFUNCTION("""COMPUTED_VALUE"""),155.38)</f>
        <v>155.38</v>
      </c>
      <c r="D2695" s="1">
        <f>IFERROR(__xludf.DUMMYFUNCTION("""COMPUTED_VALUE"""),152.1)</f>
        <v>152.1</v>
      </c>
      <c r="E2695" s="1">
        <f>IFERROR(__xludf.DUMMYFUNCTION("""COMPUTED_VALUE"""),155.35)</f>
        <v>155.35</v>
      </c>
      <c r="F2695" s="1">
        <f>IFERROR(__xludf.DUMMYFUNCTION("""COMPUTED_VALUE"""),906956.0)</f>
        <v>906956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IFERROR(__xludf.DUMMYFUNCTION("""COMPUTED_VALUE"""),156.7)</f>
        <v>156.7</v>
      </c>
      <c r="C2696" s="1">
        <f>IFERROR(__xludf.DUMMYFUNCTION("""COMPUTED_VALUE"""),157.15)</f>
        <v>157.15</v>
      </c>
      <c r="D2696" s="1">
        <f>IFERROR(__xludf.DUMMYFUNCTION("""COMPUTED_VALUE"""),151.64)</f>
        <v>151.64</v>
      </c>
      <c r="E2696" s="1">
        <f>IFERROR(__xludf.DUMMYFUNCTION("""COMPUTED_VALUE"""),154.4)</f>
        <v>154.4</v>
      </c>
      <c r="F2696" s="1">
        <f>IFERROR(__xludf.DUMMYFUNCTION("""COMPUTED_VALUE"""),938711.0)</f>
        <v>938711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IFERROR(__xludf.DUMMYFUNCTION("""COMPUTED_VALUE"""),151.64)</f>
        <v>151.64</v>
      </c>
      <c r="C2697" s="1">
        <f>IFERROR(__xludf.DUMMYFUNCTION("""COMPUTED_VALUE"""),154.84)</f>
        <v>154.84</v>
      </c>
      <c r="D2697" s="1">
        <f>IFERROR(__xludf.DUMMYFUNCTION("""COMPUTED_VALUE"""),151.64)</f>
        <v>151.64</v>
      </c>
      <c r="E2697" s="1">
        <f>IFERROR(__xludf.DUMMYFUNCTION("""COMPUTED_VALUE"""),154.44)</f>
        <v>154.44</v>
      </c>
      <c r="F2697" s="1">
        <f>IFERROR(__xludf.DUMMYFUNCTION("""COMPUTED_VALUE"""),1133237.0)</f>
        <v>1133237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IFERROR(__xludf.DUMMYFUNCTION("""COMPUTED_VALUE"""),155.0)</f>
        <v>155</v>
      </c>
      <c r="C2698" s="1">
        <f>IFERROR(__xludf.DUMMYFUNCTION("""COMPUTED_VALUE"""),155.24)</f>
        <v>155.24</v>
      </c>
      <c r="D2698" s="1">
        <f>IFERROR(__xludf.DUMMYFUNCTION("""COMPUTED_VALUE"""),151.98)</f>
        <v>151.98</v>
      </c>
      <c r="E2698" s="1">
        <f>IFERROR(__xludf.DUMMYFUNCTION("""COMPUTED_VALUE"""),154.04)</f>
        <v>154.04</v>
      </c>
      <c r="F2698" s="1">
        <f>IFERROR(__xludf.DUMMYFUNCTION("""COMPUTED_VALUE"""),756456.0)</f>
        <v>756456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IFERROR(__xludf.DUMMYFUNCTION("""COMPUTED_VALUE"""),151.26)</f>
        <v>151.26</v>
      </c>
      <c r="C2699" s="1">
        <f>IFERROR(__xludf.DUMMYFUNCTION("""COMPUTED_VALUE"""),154.07)</f>
        <v>154.07</v>
      </c>
      <c r="D2699" s="1">
        <f>IFERROR(__xludf.DUMMYFUNCTION("""COMPUTED_VALUE"""),150.35)</f>
        <v>150.35</v>
      </c>
      <c r="E2699" s="1">
        <f>IFERROR(__xludf.DUMMYFUNCTION("""COMPUTED_VALUE"""),154.07)</f>
        <v>154.07</v>
      </c>
      <c r="F2699" s="1">
        <f>IFERROR(__xludf.DUMMYFUNCTION("""COMPUTED_VALUE"""),551570.0)</f>
        <v>551570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IFERROR(__xludf.DUMMYFUNCTION("""COMPUTED_VALUE"""),153.5)</f>
        <v>153.5</v>
      </c>
      <c r="C2700" s="1">
        <f>IFERROR(__xludf.DUMMYFUNCTION("""COMPUTED_VALUE"""),153.57)</f>
        <v>153.57</v>
      </c>
      <c r="D2700" s="1">
        <f>IFERROR(__xludf.DUMMYFUNCTION("""COMPUTED_VALUE"""),148.3)</f>
        <v>148.3</v>
      </c>
      <c r="E2700" s="1">
        <f>IFERROR(__xludf.DUMMYFUNCTION("""COMPUTED_VALUE"""),152.88)</f>
        <v>152.88</v>
      </c>
      <c r="F2700" s="1">
        <f>IFERROR(__xludf.DUMMYFUNCTION("""COMPUTED_VALUE"""),883493.0)</f>
        <v>883493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IFERROR(__xludf.DUMMYFUNCTION("""COMPUTED_VALUE"""),152.85)</f>
        <v>152.85</v>
      </c>
      <c r="C2701" s="1">
        <f>IFERROR(__xludf.DUMMYFUNCTION("""COMPUTED_VALUE"""),154.05)</f>
        <v>154.05</v>
      </c>
      <c r="D2701" s="1">
        <f>IFERROR(__xludf.DUMMYFUNCTION("""COMPUTED_VALUE"""),151.08)</f>
        <v>151.08</v>
      </c>
      <c r="E2701" s="1">
        <f>IFERROR(__xludf.DUMMYFUNCTION("""COMPUTED_VALUE"""),151.31)</f>
        <v>151.31</v>
      </c>
      <c r="F2701" s="1">
        <f>IFERROR(__xludf.DUMMYFUNCTION("""COMPUTED_VALUE"""),648493.0)</f>
        <v>648493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IFERROR(__xludf.DUMMYFUNCTION("""COMPUTED_VALUE"""),150.12)</f>
        <v>150.12</v>
      </c>
      <c r="C2702" s="1">
        <f>IFERROR(__xludf.DUMMYFUNCTION("""COMPUTED_VALUE"""),151.65)</f>
        <v>151.65</v>
      </c>
      <c r="D2702" s="1">
        <f>IFERROR(__xludf.DUMMYFUNCTION("""COMPUTED_VALUE"""),148.08)</f>
        <v>148.08</v>
      </c>
      <c r="E2702" s="1">
        <f>IFERROR(__xludf.DUMMYFUNCTION("""COMPUTED_VALUE"""),150.1)</f>
        <v>150.1</v>
      </c>
      <c r="F2702" s="1">
        <f>IFERROR(__xludf.DUMMYFUNCTION("""COMPUTED_VALUE"""),430433.0)</f>
        <v>430433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IFERROR(__xludf.DUMMYFUNCTION("""COMPUTED_VALUE"""),148.08)</f>
        <v>148.08</v>
      </c>
      <c r="C2703" s="1">
        <f>IFERROR(__xludf.DUMMYFUNCTION("""COMPUTED_VALUE"""),149.24)</f>
        <v>149.24</v>
      </c>
      <c r="D2703" s="1">
        <f>IFERROR(__xludf.DUMMYFUNCTION("""COMPUTED_VALUE"""),143.55)</f>
        <v>143.55</v>
      </c>
      <c r="E2703" s="1">
        <f>IFERROR(__xludf.DUMMYFUNCTION("""COMPUTED_VALUE"""),149.23)</f>
        <v>149.23</v>
      </c>
      <c r="F2703" s="1">
        <f>IFERROR(__xludf.DUMMYFUNCTION("""COMPUTED_VALUE"""),628142.0)</f>
        <v>628142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IFERROR(__xludf.DUMMYFUNCTION("""COMPUTED_VALUE"""),151.78)</f>
        <v>151.78</v>
      </c>
      <c r="C2704" s="1">
        <f>IFERROR(__xludf.DUMMYFUNCTION("""COMPUTED_VALUE"""),151.79)</f>
        <v>151.79</v>
      </c>
      <c r="D2704" s="1">
        <f>IFERROR(__xludf.DUMMYFUNCTION("""COMPUTED_VALUE"""),147.41)</f>
        <v>147.41</v>
      </c>
      <c r="E2704" s="1">
        <f>IFERROR(__xludf.DUMMYFUNCTION("""COMPUTED_VALUE"""),149.66)</f>
        <v>149.66</v>
      </c>
      <c r="F2704" s="1">
        <f>IFERROR(__xludf.DUMMYFUNCTION("""COMPUTED_VALUE"""),845053.0)</f>
        <v>845053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IFERROR(__xludf.DUMMYFUNCTION("""COMPUTED_VALUE"""),149.62)</f>
        <v>149.62</v>
      </c>
      <c r="C2705" s="1">
        <f>IFERROR(__xludf.DUMMYFUNCTION("""COMPUTED_VALUE"""),149.62)</f>
        <v>149.62</v>
      </c>
      <c r="D2705" s="1">
        <f>IFERROR(__xludf.DUMMYFUNCTION("""COMPUTED_VALUE"""),145.33)</f>
        <v>145.33</v>
      </c>
      <c r="E2705" s="1">
        <f>IFERROR(__xludf.DUMMYFUNCTION("""COMPUTED_VALUE"""),147.23)</f>
        <v>147.23</v>
      </c>
      <c r="F2705" s="1">
        <f>IFERROR(__xludf.DUMMYFUNCTION("""COMPUTED_VALUE"""),834703.0)</f>
        <v>834703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IFERROR(__xludf.DUMMYFUNCTION("""COMPUTED_VALUE"""),146.89)</f>
        <v>146.89</v>
      </c>
      <c r="C2706" s="1">
        <f>IFERROR(__xludf.DUMMYFUNCTION("""COMPUTED_VALUE"""),149.53)</f>
        <v>149.53</v>
      </c>
      <c r="D2706" s="1">
        <f>IFERROR(__xludf.DUMMYFUNCTION("""COMPUTED_VALUE"""),146.41)</f>
        <v>146.41</v>
      </c>
      <c r="E2706" s="1">
        <f>IFERROR(__xludf.DUMMYFUNCTION("""COMPUTED_VALUE"""),149.5)</f>
        <v>149.5</v>
      </c>
      <c r="F2706" s="1">
        <f>IFERROR(__xludf.DUMMYFUNCTION("""COMPUTED_VALUE"""),851594.0)</f>
        <v>851594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IFERROR(__xludf.DUMMYFUNCTION("""COMPUTED_VALUE"""),151.53)</f>
        <v>151.53</v>
      </c>
      <c r="C2707" s="1">
        <f>IFERROR(__xludf.DUMMYFUNCTION("""COMPUTED_VALUE"""),156.59)</f>
        <v>156.59</v>
      </c>
      <c r="D2707" s="1">
        <f>IFERROR(__xludf.DUMMYFUNCTION("""COMPUTED_VALUE"""),150.64)</f>
        <v>150.64</v>
      </c>
      <c r="E2707" s="1">
        <f>IFERROR(__xludf.DUMMYFUNCTION("""COMPUTED_VALUE"""),154.56)</f>
        <v>154.56</v>
      </c>
      <c r="F2707" s="1">
        <f>IFERROR(__xludf.DUMMYFUNCTION("""COMPUTED_VALUE"""),590840.0)</f>
        <v>590840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IFERROR(__xludf.DUMMYFUNCTION("""COMPUTED_VALUE"""),151.76)</f>
        <v>151.76</v>
      </c>
      <c r="C2708" s="1">
        <f>IFERROR(__xludf.DUMMYFUNCTION("""COMPUTED_VALUE"""),155.89)</f>
        <v>155.89</v>
      </c>
      <c r="D2708" s="1">
        <f>IFERROR(__xludf.DUMMYFUNCTION("""COMPUTED_VALUE"""),151.58)</f>
        <v>151.58</v>
      </c>
      <c r="E2708" s="1">
        <f>IFERROR(__xludf.DUMMYFUNCTION("""COMPUTED_VALUE"""),154.15)</f>
        <v>154.15</v>
      </c>
      <c r="F2708" s="1">
        <f>IFERROR(__xludf.DUMMYFUNCTION("""COMPUTED_VALUE"""),459751.0)</f>
        <v>459751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IFERROR(__xludf.DUMMYFUNCTION("""COMPUTED_VALUE"""),153.92)</f>
        <v>153.92</v>
      </c>
      <c r="C2709" s="1">
        <f>IFERROR(__xludf.DUMMYFUNCTION("""COMPUTED_VALUE"""),154.67)</f>
        <v>154.67</v>
      </c>
      <c r="D2709" s="1">
        <f>IFERROR(__xludf.DUMMYFUNCTION("""COMPUTED_VALUE"""),151.49)</f>
        <v>151.49</v>
      </c>
      <c r="E2709" s="1">
        <f>IFERROR(__xludf.DUMMYFUNCTION("""COMPUTED_VALUE"""),151.78)</f>
        <v>151.78</v>
      </c>
      <c r="F2709" s="1">
        <f>IFERROR(__xludf.DUMMYFUNCTION("""COMPUTED_VALUE"""),759476.0)</f>
        <v>759476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IFERROR(__xludf.DUMMYFUNCTION("""COMPUTED_VALUE"""),153.77)</f>
        <v>153.77</v>
      </c>
      <c r="C2710" s="1">
        <f>IFERROR(__xludf.DUMMYFUNCTION("""COMPUTED_VALUE"""),164.75)</f>
        <v>164.75</v>
      </c>
      <c r="D2710" s="1">
        <f>IFERROR(__xludf.DUMMYFUNCTION("""COMPUTED_VALUE"""),153.48)</f>
        <v>153.48</v>
      </c>
      <c r="E2710" s="1">
        <f>IFERROR(__xludf.DUMMYFUNCTION("""COMPUTED_VALUE"""),163.81)</f>
        <v>163.81</v>
      </c>
      <c r="F2710" s="1">
        <f>IFERROR(__xludf.DUMMYFUNCTION("""COMPUTED_VALUE"""),1257550.0)</f>
        <v>1257550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IFERROR(__xludf.DUMMYFUNCTION("""COMPUTED_VALUE"""),164.27)</f>
        <v>164.27</v>
      </c>
      <c r="C2711" s="1">
        <f>IFERROR(__xludf.DUMMYFUNCTION("""COMPUTED_VALUE"""),167.08)</f>
        <v>167.08</v>
      </c>
      <c r="D2711" s="1">
        <f>IFERROR(__xludf.DUMMYFUNCTION("""COMPUTED_VALUE"""),161.25)</f>
        <v>161.25</v>
      </c>
      <c r="E2711" s="1">
        <f>IFERROR(__xludf.DUMMYFUNCTION("""COMPUTED_VALUE"""),165.46)</f>
        <v>165.46</v>
      </c>
      <c r="F2711" s="1">
        <f>IFERROR(__xludf.DUMMYFUNCTION("""COMPUTED_VALUE"""),1421982.0)</f>
        <v>1421982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IFERROR(__xludf.DUMMYFUNCTION("""COMPUTED_VALUE"""),166.63)</f>
        <v>166.63</v>
      </c>
      <c r="C2712" s="1">
        <f>IFERROR(__xludf.DUMMYFUNCTION("""COMPUTED_VALUE"""),168.06)</f>
        <v>168.06</v>
      </c>
      <c r="D2712" s="1">
        <f>IFERROR(__xludf.DUMMYFUNCTION("""COMPUTED_VALUE"""),164.17)</f>
        <v>164.17</v>
      </c>
      <c r="E2712" s="1">
        <f>IFERROR(__xludf.DUMMYFUNCTION("""COMPUTED_VALUE"""),167.71)</f>
        <v>167.71</v>
      </c>
      <c r="F2712" s="1">
        <f>IFERROR(__xludf.DUMMYFUNCTION("""COMPUTED_VALUE"""),706724.0)</f>
        <v>706724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IFERROR(__xludf.DUMMYFUNCTION("""COMPUTED_VALUE"""),167.64)</f>
        <v>167.64</v>
      </c>
      <c r="C2713" s="1">
        <f>IFERROR(__xludf.DUMMYFUNCTION("""COMPUTED_VALUE"""),171.56)</f>
        <v>171.56</v>
      </c>
      <c r="D2713" s="1">
        <f>IFERROR(__xludf.DUMMYFUNCTION("""COMPUTED_VALUE"""),167.05)</f>
        <v>167.05</v>
      </c>
      <c r="E2713" s="1">
        <f>IFERROR(__xludf.DUMMYFUNCTION("""COMPUTED_VALUE"""),170.09)</f>
        <v>170.09</v>
      </c>
      <c r="F2713" s="1">
        <f>IFERROR(__xludf.DUMMYFUNCTION("""COMPUTED_VALUE"""),626128.0)</f>
        <v>626128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IFERROR(__xludf.DUMMYFUNCTION("""COMPUTED_VALUE"""),170.7)</f>
        <v>170.7</v>
      </c>
      <c r="C2714" s="1">
        <f>IFERROR(__xludf.DUMMYFUNCTION("""COMPUTED_VALUE"""),172.0)</f>
        <v>172</v>
      </c>
      <c r="D2714" s="1">
        <f>IFERROR(__xludf.DUMMYFUNCTION("""COMPUTED_VALUE"""),170.1)</f>
        <v>170.1</v>
      </c>
      <c r="E2714" s="1">
        <f>IFERROR(__xludf.DUMMYFUNCTION("""COMPUTED_VALUE"""),170.93)</f>
        <v>170.93</v>
      </c>
      <c r="F2714" s="1">
        <f>IFERROR(__xludf.DUMMYFUNCTION("""COMPUTED_VALUE"""),881125.0)</f>
        <v>881125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IFERROR(__xludf.DUMMYFUNCTION("""COMPUTED_VALUE"""),171.63)</f>
        <v>171.63</v>
      </c>
      <c r="C2715" s="1">
        <f>IFERROR(__xludf.DUMMYFUNCTION("""COMPUTED_VALUE"""),173.37)</f>
        <v>173.37</v>
      </c>
      <c r="D2715" s="1">
        <f>IFERROR(__xludf.DUMMYFUNCTION("""COMPUTED_VALUE"""),160.86)</f>
        <v>160.86</v>
      </c>
      <c r="E2715" s="1">
        <f>IFERROR(__xludf.DUMMYFUNCTION("""COMPUTED_VALUE"""),162.1)</f>
        <v>162.1</v>
      </c>
      <c r="F2715" s="1">
        <f>IFERROR(__xludf.DUMMYFUNCTION("""COMPUTED_VALUE"""),1363990.0)</f>
        <v>1363990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IFERROR(__xludf.DUMMYFUNCTION("""COMPUTED_VALUE"""),165.81)</f>
        <v>165.81</v>
      </c>
      <c r="C2716" s="1">
        <f>IFERROR(__xludf.DUMMYFUNCTION("""COMPUTED_VALUE"""),169.91)</f>
        <v>169.91</v>
      </c>
      <c r="D2716" s="1">
        <f>IFERROR(__xludf.DUMMYFUNCTION("""COMPUTED_VALUE"""),165.01)</f>
        <v>165.01</v>
      </c>
      <c r="E2716" s="1">
        <f>IFERROR(__xludf.DUMMYFUNCTION("""COMPUTED_VALUE"""),165.48)</f>
        <v>165.48</v>
      </c>
      <c r="F2716" s="1">
        <f>IFERROR(__xludf.DUMMYFUNCTION("""COMPUTED_VALUE"""),1309989.0)</f>
        <v>1309989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IFERROR(__xludf.DUMMYFUNCTION("""COMPUTED_VALUE"""),165.0)</f>
        <v>165</v>
      </c>
      <c r="C2717" s="1">
        <f>IFERROR(__xludf.DUMMYFUNCTION("""COMPUTED_VALUE"""),167.02)</f>
        <v>167.02</v>
      </c>
      <c r="D2717" s="1">
        <f>IFERROR(__xludf.DUMMYFUNCTION("""COMPUTED_VALUE"""),163.49)</f>
        <v>163.49</v>
      </c>
      <c r="E2717" s="1">
        <f>IFERROR(__xludf.DUMMYFUNCTION("""COMPUTED_VALUE"""),164.98)</f>
        <v>164.98</v>
      </c>
      <c r="F2717" s="1">
        <f>IFERROR(__xludf.DUMMYFUNCTION("""COMPUTED_VALUE"""),525304.0)</f>
        <v>525304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IFERROR(__xludf.DUMMYFUNCTION("""COMPUTED_VALUE"""),166.77)</f>
        <v>166.77</v>
      </c>
      <c r="C2718" s="1">
        <f>IFERROR(__xludf.DUMMYFUNCTION("""COMPUTED_VALUE"""),167.17)</f>
        <v>167.17</v>
      </c>
      <c r="D2718" s="1">
        <f>IFERROR(__xludf.DUMMYFUNCTION("""COMPUTED_VALUE"""),164.4)</f>
        <v>164.4</v>
      </c>
      <c r="E2718" s="1">
        <f>IFERROR(__xludf.DUMMYFUNCTION("""COMPUTED_VALUE"""),164.9)</f>
        <v>164.9</v>
      </c>
      <c r="F2718" s="1">
        <f>IFERROR(__xludf.DUMMYFUNCTION("""COMPUTED_VALUE"""),908485.0)</f>
        <v>908485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IFERROR(__xludf.DUMMYFUNCTION("""COMPUTED_VALUE"""),165.92)</f>
        <v>165.92</v>
      </c>
      <c r="C2719" s="1">
        <f>IFERROR(__xludf.DUMMYFUNCTION("""COMPUTED_VALUE"""),166.47)</f>
        <v>166.47</v>
      </c>
      <c r="D2719" s="1">
        <f>IFERROR(__xludf.DUMMYFUNCTION("""COMPUTED_VALUE"""),163.88)</f>
        <v>163.88</v>
      </c>
      <c r="E2719" s="1">
        <f>IFERROR(__xludf.DUMMYFUNCTION("""COMPUTED_VALUE"""),164.95)</f>
        <v>164.95</v>
      </c>
      <c r="F2719" s="1">
        <f>IFERROR(__xludf.DUMMYFUNCTION("""COMPUTED_VALUE"""),1236648.0)</f>
        <v>1236648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IFERROR(__xludf.DUMMYFUNCTION("""COMPUTED_VALUE"""),167.04)</f>
        <v>167.04</v>
      </c>
      <c r="C2720" s="1">
        <f>IFERROR(__xludf.DUMMYFUNCTION("""COMPUTED_VALUE"""),179.72)</f>
        <v>179.72</v>
      </c>
      <c r="D2720" s="1">
        <f>IFERROR(__xludf.DUMMYFUNCTION("""COMPUTED_VALUE"""),166.23)</f>
        <v>166.23</v>
      </c>
      <c r="E2720" s="1">
        <f>IFERROR(__xludf.DUMMYFUNCTION("""COMPUTED_VALUE"""),174.83)</f>
        <v>174.83</v>
      </c>
      <c r="F2720" s="1">
        <f>IFERROR(__xludf.DUMMYFUNCTION("""COMPUTED_VALUE"""),1386708.0)</f>
        <v>1386708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IFERROR(__xludf.DUMMYFUNCTION("""COMPUTED_VALUE"""),170.67)</f>
        <v>170.67</v>
      </c>
      <c r="C2721" s="1">
        <f>IFERROR(__xludf.DUMMYFUNCTION("""COMPUTED_VALUE"""),177.62)</f>
        <v>177.62</v>
      </c>
      <c r="D2721" s="1">
        <f>IFERROR(__xludf.DUMMYFUNCTION("""COMPUTED_VALUE"""),167.7)</f>
        <v>167.7</v>
      </c>
      <c r="E2721" s="1">
        <f>IFERROR(__xludf.DUMMYFUNCTION("""COMPUTED_VALUE"""),175.98)</f>
        <v>175.98</v>
      </c>
      <c r="F2721" s="1">
        <f>IFERROR(__xludf.DUMMYFUNCTION("""COMPUTED_VALUE"""),1308785.0)</f>
        <v>1308785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IFERROR(__xludf.DUMMYFUNCTION("""COMPUTED_VALUE"""),174.12)</f>
        <v>174.12</v>
      </c>
      <c r="C2722" s="1">
        <f>IFERROR(__xludf.DUMMYFUNCTION("""COMPUTED_VALUE"""),176.6)</f>
        <v>176.6</v>
      </c>
      <c r="D2722" s="1">
        <f>IFERROR(__xludf.DUMMYFUNCTION("""COMPUTED_VALUE"""),171.54)</f>
        <v>171.54</v>
      </c>
      <c r="E2722" s="1">
        <f>IFERROR(__xludf.DUMMYFUNCTION("""COMPUTED_VALUE"""),171.88)</f>
        <v>171.88</v>
      </c>
      <c r="F2722" s="1">
        <f>IFERROR(__xludf.DUMMYFUNCTION("""COMPUTED_VALUE"""),1378820.0)</f>
        <v>1378820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IFERROR(__xludf.DUMMYFUNCTION("""COMPUTED_VALUE"""),171.9)</f>
        <v>171.9</v>
      </c>
      <c r="C2723" s="1">
        <f>IFERROR(__xludf.DUMMYFUNCTION("""COMPUTED_VALUE"""),172.83)</f>
        <v>172.83</v>
      </c>
      <c r="D2723" s="1">
        <f>IFERROR(__xludf.DUMMYFUNCTION("""COMPUTED_VALUE"""),168.78)</f>
        <v>168.78</v>
      </c>
      <c r="E2723" s="1">
        <f>IFERROR(__xludf.DUMMYFUNCTION("""COMPUTED_VALUE"""),170.53)</f>
        <v>170.53</v>
      </c>
      <c r="F2723" s="1">
        <f>IFERROR(__xludf.DUMMYFUNCTION("""COMPUTED_VALUE"""),708879.0)</f>
        <v>708879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IFERROR(__xludf.DUMMYFUNCTION("""COMPUTED_VALUE"""),169.35)</f>
        <v>169.35</v>
      </c>
      <c r="C2724" s="1">
        <f>IFERROR(__xludf.DUMMYFUNCTION("""COMPUTED_VALUE"""),171.92)</f>
        <v>171.92</v>
      </c>
      <c r="D2724" s="1">
        <f>IFERROR(__xludf.DUMMYFUNCTION("""COMPUTED_VALUE"""),168.6)</f>
        <v>168.6</v>
      </c>
      <c r="E2724" s="1">
        <f>IFERROR(__xludf.DUMMYFUNCTION("""COMPUTED_VALUE"""),170.44)</f>
        <v>170.44</v>
      </c>
      <c r="F2724" s="1">
        <f>IFERROR(__xludf.DUMMYFUNCTION("""COMPUTED_VALUE"""),373442.0)</f>
        <v>373442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IFERROR(__xludf.DUMMYFUNCTION("""COMPUTED_VALUE"""),170.68)</f>
        <v>170.68</v>
      </c>
      <c r="C2725" s="1">
        <f>IFERROR(__xludf.DUMMYFUNCTION("""COMPUTED_VALUE"""),170.81)</f>
        <v>170.81</v>
      </c>
      <c r="D2725" s="1">
        <f>IFERROR(__xludf.DUMMYFUNCTION("""COMPUTED_VALUE"""),168.15)</f>
        <v>168.15</v>
      </c>
      <c r="E2725" s="1">
        <f>IFERROR(__xludf.DUMMYFUNCTION("""COMPUTED_VALUE"""),168.81)</f>
        <v>168.81</v>
      </c>
      <c r="F2725" s="1">
        <f>IFERROR(__xludf.DUMMYFUNCTION("""COMPUTED_VALUE"""),523114.0)</f>
        <v>523114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IFERROR(__xludf.DUMMYFUNCTION("""COMPUTED_VALUE"""),166.55)</f>
        <v>166.55</v>
      </c>
      <c r="C2726" s="1">
        <f>IFERROR(__xludf.DUMMYFUNCTION("""COMPUTED_VALUE"""),167.73)</f>
        <v>167.73</v>
      </c>
      <c r="D2726" s="1">
        <f>IFERROR(__xludf.DUMMYFUNCTION("""COMPUTED_VALUE"""),164.39)</f>
        <v>164.39</v>
      </c>
      <c r="E2726" s="1">
        <f>IFERROR(__xludf.DUMMYFUNCTION("""COMPUTED_VALUE"""),165.9)</f>
        <v>165.9</v>
      </c>
      <c r="F2726" s="1">
        <f>IFERROR(__xludf.DUMMYFUNCTION("""COMPUTED_VALUE"""),936012.0)</f>
        <v>936012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IFERROR(__xludf.DUMMYFUNCTION("""COMPUTED_VALUE"""),167.77)</f>
        <v>167.77</v>
      </c>
      <c r="C2727" s="1">
        <f>IFERROR(__xludf.DUMMYFUNCTION("""COMPUTED_VALUE"""),174.26)</f>
        <v>174.26</v>
      </c>
      <c r="D2727" s="1">
        <f>IFERROR(__xludf.DUMMYFUNCTION("""COMPUTED_VALUE"""),165.24)</f>
        <v>165.24</v>
      </c>
      <c r="E2727" s="1">
        <f>IFERROR(__xludf.DUMMYFUNCTION("""COMPUTED_VALUE"""),165.55)</f>
        <v>165.55</v>
      </c>
      <c r="F2727" s="1">
        <f>IFERROR(__xludf.DUMMYFUNCTION("""COMPUTED_VALUE"""),1160757.0)</f>
        <v>1160757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IFERROR(__xludf.DUMMYFUNCTION("""COMPUTED_VALUE"""),163.98)</f>
        <v>163.98</v>
      </c>
      <c r="C2728" s="1">
        <f>IFERROR(__xludf.DUMMYFUNCTION("""COMPUTED_VALUE"""),163.98)</f>
        <v>163.98</v>
      </c>
      <c r="D2728" s="1">
        <f>IFERROR(__xludf.DUMMYFUNCTION("""COMPUTED_VALUE"""),159.61)</f>
        <v>159.61</v>
      </c>
      <c r="E2728" s="1">
        <f>IFERROR(__xludf.DUMMYFUNCTION("""COMPUTED_VALUE"""),160.38)</f>
        <v>160.38</v>
      </c>
      <c r="F2728" s="1">
        <f>IFERROR(__xludf.DUMMYFUNCTION("""COMPUTED_VALUE"""),824139.0)</f>
        <v>824139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IFERROR(__xludf.DUMMYFUNCTION("""COMPUTED_VALUE"""),164.22)</f>
        <v>164.22</v>
      </c>
      <c r="C2729" s="1">
        <f>IFERROR(__xludf.DUMMYFUNCTION("""COMPUTED_VALUE"""),165.86)</f>
        <v>165.86</v>
      </c>
      <c r="D2729" s="1">
        <f>IFERROR(__xludf.DUMMYFUNCTION("""COMPUTED_VALUE"""),159.14)</f>
        <v>159.14</v>
      </c>
      <c r="E2729" s="1">
        <f>IFERROR(__xludf.DUMMYFUNCTION("""COMPUTED_VALUE"""),161.36)</f>
        <v>161.36</v>
      </c>
      <c r="F2729" s="1">
        <f>IFERROR(__xludf.DUMMYFUNCTION("""COMPUTED_VALUE"""),1574662.0)</f>
        <v>1574662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IFERROR(__xludf.DUMMYFUNCTION("""COMPUTED_VALUE"""),158.43)</f>
        <v>158.43</v>
      </c>
      <c r="C2730" s="1">
        <f>IFERROR(__xludf.DUMMYFUNCTION("""COMPUTED_VALUE"""),162.18)</f>
        <v>162.18</v>
      </c>
      <c r="D2730" s="1">
        <f>IFERROR(__xludf.DUMMYFUNCTION("""COMPUTED_VALUE"""),158.16)</f>
        <v>158.16</v>
      </c>
      <c r="E2730" s="1">
        <f>IFERROR(__xludf.DUMMYFUNCTION("""COMPUTED_VALUE"""),160.79)</f>
        <v>160.79</v>
      </c>
      <c r="F2730" s="1">
        <f>IFERROR(__xludf.DUMMYFUNCTION("""COMPUTED_VALUE"""),1709012.0)</f>
        <v>1709012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IFERROR(__xludf.DUMMYFUNCTION("""COMPUTED_VALUE"""),162.28)</f>
        <v>162.28</v>
      </c>
      <c r="C2731" s="1">
        <f>IFERROR(__xludf.DUMMYFUNCTION("""COMPUTED_VALUE"""),171.42)</f>
        <v>171.42</v>
      </c>
      <c r="D2731" s="1">
        <f>IFERROR(__xludf.DUMMYFUNCTION("""COMPUTED_VALUE"""),161.75)</f>
        <v>161.75</v>
      </c>
      <c r="E2731" s="1">
        <f>IFERROR(__xludf.DUMMYFUNCTION("""COMPUTED_VALUE"""),170.6)</f>
        <v>170.6</v>
      </c>
      <c r="F2731" s="1">
        <f>IFERROR(__xludf.DUMMYFUNCTION("""COMPUTED_VALUE"""),1804545.0)</f>
        <v>1804545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IFERROR(__xludf.DUMMYFUNCTION("""COMPUTED_VALUE"""),173.04)</f>
        <v>173.04</v>
      </c>
      <c r="C2732" s="1">
        <f>IFERROR(__xludf.DUMMYFUNCTION("""COMPUTED_VALUE"""),181.36)</f>
        <v>181.36</v>
      </c>
      <c r="D2732" s="1">
        <f>IFERROR(__xludf.DUMMYFUNCTION("""COMPUTED_VALUE"""),171.53)</f>
        <v>171.53</v>
      </c>
      <c r="E2732" s="1">
        <f>IFERROR(__xludf.DUMMYFUNCTION("""COMPUTED_VALUE"""),180.17)</f>
        <v>180.17</v>
      </c>
      <c r="F2732" s="1">
        <f>IFERROR(__xludf.DUMMYFUNCTION("""COMPUTED_VALUE"""),1314239.0)</f>
        <v>1314239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IFERROR(__xludf.DUMMYFUNCTION("""COMPUTED_VALUE"""),180.0)</f>
        <v>180</v>
      </c>
      <c r="C2733" s="1">
        <f>IFERROR(__xludf.DUMMYFUNCTION("""COMPUTED_VALUE"""),184.6)</f>
        <v>184.6</v>
      </c>
      <c r="D2733" s="1">
        <f>IFERROR(__xludf.DUMMYFUNCTION("""COMPUTED_VALUE"""),178.09)</f>
        <v>178.09</v>
      </c>
      <c r="E2733" s="1">
        <f>IFERROR(__xludf.DUMMYFUNCTION("""COMPUTED_VALUE"""),178.99)</f>
        <v>178.99</v>
      </c>
      <c r="F2733" s="1">
        <f>IFERROR(__xludf.DUMMYFUNCTION("""COMPUTED_VALUE"""),1259202.0)</f>
        <v>1259202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IFERROR(__xludf.DUMMYFUNCTION("""COMPUTED_VALUE"""),181.4)</f>
        <v>181.4</v>
      </c>
      <c r="C2734" s="1">
        <f>IFERROR(__xludf.DUMMYFUNCTION("""COMPUTED_VALUE"""),181.79)</f>
        <v>181.79</v>
      </c>
      <c r="D2734" s="1">
        <f>IFERROR(__xludf.DUMMYFUNCTION("""COMPUTED_VALUE"""),175.03)</f>
        <v>175.03</v>
      </c>
      <c r="E2734" s="1">
        <f>IFERROR(__xludf.DUMMYFUNCTION("""COMPUTED_VALUE"""),175.28)</f>
        <v>175.28</v>
      </c>
      <c r="F2734" s="1">
        <f>IFERROR(__xludf.DUMMYFUNCTION("""COMPUTED_VALUE"""),2260932.0)</f>
        <v>2260932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IFERROR(__xludf.DUMMYFUNCTION("""COMPUTED_VALUE"""),173.73)</f>
        <v>173.73</v>
      </c>
      <c r="C2735" s="1">
        <f>IFERROR(__xludf.DUMMYFUNCTION("""COMPUTED_VALUE"""),176.88)</f>
        <v>176.88</v>
      </c>
      <c r="D2735" s="1">
        <f>IFERROR(__xludf.DUMMYFUNCTION("""COMPUTED_VALUE"""),172.31)</f>
        <v>172.31</v>
      </c>
      <c r="E2735" s="1">
        <f>IFERROR(__xludf.DUMMYFUNCTION("""COMPUTED_VALUE"""),173.97)</f>
        <v>173.97</v>
      </c>
      <c r="F2735" s="1">
        <f>IFERROR(__xludf.DUMMYFUNCTION("""COMPUTED_VALUE"""),1196287.0)</f>
        <v>1196287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IFERROR(__xludf.DUMMYFUNCTION("""COMPUTED_VALUE"""),174.0)</f>
        <v>174</v>
      </c>
      <c r="C2736" s="1">
        <f>IFERROR(__xludf.DUMMYFUNCTION("""COMPUTED_VALUE"""),175.77)</f>
        <v>175.77</v>
      </c>
      <c r="D2736" s="1">
        <f>IFERROR(__xludf.DUMMYFUNCTION("""COMPUTED_VALUE"""),172.13)</f>
        <v>172.13</v>
      </c>
      <c r="E2736" s="1">
        <f>IFERROR(__xludf.DUMMYFUNCTION("""COMPUTED_VALUE"""),174.26)</f>
        <v>174.26</v>
      </c>
      <c r="F2736" s="1">
        <f>IFERROR(__xludf.DUMMYFUNCTION("""COMPUTED_VALUE"""),720745.0)</f>
        <v>720745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IFERROR(__xludf.DUMMYFUNCTION("""COMPUTED_VALUE"""),175.0)</f>
        <v>175</v>
      </c>
      <c r="C2737" s="1">
        <f>IFERROR(__xludf.DUMMYFUNCTION("""COMPUTED_VALUE"""),175.12)</f>
        <v>175.12</v>
      </c>
      <c r="D2737" s="1">
        <f>IFERROR(__xludf.DUMMYFUNCTION("""COMPUTED_VALUE"""),170.07)</f>
        <v>170.07</v>
      </c>
      <c r="E2737" s="1">
        <f>IFERROR(__xludf.DUMMYFUNCTION("""COMPUTED_VALUE"""),170.18)</f>
        <v>170.18</v>
      </c>
      <c r="F2737" s="1">
        <f>IFERROR(__xludf.DUMMYFUNCTION("""COMPUTED_VALUE"""),1107105.0)</f>
        <v>1107105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IFERROR(__xludf.DUMMYFUNCTION("""COMPUTED_VALUE"""),173.07)</f>
        <v>173.07</v>
      </c>
      <c r="C2738" s="1">
        <f>IFERROR(__xludf.DUMMYFUNCTION("""COMPUTED_VALUE"""),175.33)</f>
        <v>175.33</v>
      </c>
      <c r="D2738" s="1">
        <f>IFERROR(__xludf.DUMMYFUNCTION("""COMPUTED_VALUE"""),171.49)</f>
        <v>171.49</v>
      </c>
      <c r="E2738" s="1">
        <f>IFERROR(__xludf.DUMMYFUNCTION("""COMPUTED_VALUE"""),173.38)</f>
        <v>173.38</v>
      </c>
      <c r="F2738" s="1">
        <f>IFERROR(__xludf.DUMMYFUNCTION("""COMPUTED_VALUE"""),911936.0)</f>
        <v>911936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IFERROR(__xludf.DUMMYFUNCTION("""COMPUTED_VALUE"""),175.67)</f>
        <v>175.67</v>
      </c>
      <c r="C2739" s="1">
        <f>IFERROR(__xludf.DUMMYFUNCTION("""COMPUTED_VALUE"""),180.99)</f>
        <v>180.99</v>
      </c>
      <c r="D2739" s="1">
        <f>IFERROR(__xludf.DUMMYFUNCTION("""COMPUTED_VALUE"""),174.68)</f>
        <v>174.68</v>
      </c>
      <c r="E2739" s="1">
        <f>IFERROR(__xludf.DUMMYFUNCTION("""COMPUTED_VALUE"""),177.91)</f>
        <v>177.91</v>
      </c>
      <c r="F2739" s="1">
        <f>IFERROR(__xludf.DUMMYFUNCTION("""COMPUTED_VALUE"""),655000.0)</f>
        <v>655000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IFERROR(__xludf.DUMMYFUNCTION("""COMPUTED_VALUE"""),178.17)</f>
        <v>178.17</v>
      </c>
      <c r="C2740" s="1">
        <f>IFERROR(__xludf.DUMMYFUNCTION("""COMPUTED_VALUE"""),180.21)</f>
        <v>180.21</v>
      </c>
      <c r="D2740" s="1">
        <f>IFERROR(__xludf.DUMMYFUNCTION("""COMPUTED_VALUE"""),175.65)</f>
        <v>175.65</v>
      </c>
      <c r="E2740" s="1">
        <f>IFERROR(__xludf.DUMMYFUNCTION("""COMPUTED_VALUE"""),179.21)</f>
        <v>179.21</v>
      </c>
      <c r="F2740" s="1">
        <f>IFERROR(__xludf.DUMMYFUNCTION("""COMPUTED_VALUE"""),764083.0)</f>
        <v>764083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IFERROR(__xludf.DUMMYFUNCTION("""COMPUTED_VALUE"""),178.67)</f>
        <v>178.67</v>
      </c>
      <c r="C2741" s="1">
        <f>IFERROR(__xludf.DUMMYFUNCTION("""COMPUTED_VALUE"""),181.1)</f>
        <v>181.1</v>
      </c>
      <c r="D2741" s="1">
        <f>IFERROR(__xludf.DUMMYFUNCTION("""COMPUTED_VALUE"""),176.52)</f>
        <v>176.52</v>
      </c>
      <c r="E2741" s="1">
        <f>IFERROR(__xludf.DUMMYFUNCTION("""COMPUTED_VALUE"""),176.6)</f>
        <v>176.6</v>
      </c>
      <c r="F2741" s="1">
        <f>IFERROR(__xludf.DUMMYFUNCTION("""COMPUTED_VALUE"""),579585.0)</f>
        <v>579585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IFERROR(__xludf.DUMMYFUNCTION("""COMPUTED_VALUE"""),176.27)</f>
        <v>176.27</v>
      </c>
      <c r="C2742" s="1">
        <f>IFERROR(__xludf.DUMMYFUNCTION("""COMPUTED_VALUE"""),181.39)</f>
        <v>181.39</v>
      </c>
      <c r="D2742" s="1">
        <f>IFERROR(__xludf.DUMMYFUNCTION("""COMPUTED_VALUE"""),174.45)</f>
        <v>174.45</v>
      </c>
      <c r="E2742" s="1">
        <f>IFERROR(__xludf.DUMMYFUNCTION("""COMPUTED_VALUE"""),180.67)</f>
        <v>180.67</v>
      </c>
      <c r="F2742" s="1">
        <f>IFERROR(__xludf.DUMMYFUNCTION("""COMPUTED_VALUE"""),893373.0)</f>
        <v>893373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IFERROR(__xludf.DUMMYFUNCTION("""COMPUTED_VALUE"""),180.25)</f>
        <v>180.25</v>
      </c>
      <c r="C2743" s="1">
        <f>IFERROR(__xludf.DUMMYFUNCTION("""COMPUTED_VALUE"""),183.08)</f>
        <v>183.08</v>
      </c>
      <c r="D2743" s="1">
        <f>IFERROR(__xludf.DUMMYFUNCTION("""COMPUTED_VALUE"""),178.54)</f>
        <v>178.54</v>
      </c>
      <c r="E2743" s="1">
        <f>IFERROR(__xludf.DUMMYFUNCTION("""COMPUTED_VALUE"""),179.05)</f>
        <v>179.05</v>
      </c>
      <c r="F2743" s="1">
        <f>IFERROR(__xludf.DUMMYFUNCTION("""COMPUTED_VALUE"""),1141743.0)</f>
        <v>1141743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IFERROR(__xludf.DUMMYFUNCTION("""COMPUTED_VALUE"""),181.29)</f>
        <v>181.29</v>
      </c>
      <c r="C2744" s="1">
        <f>IFERROR(__xludf.DUMMYFUNCTION("""COMPUTED_VALUE"""),181.69)</f>
        <v>181.69</v>
      </c>
      <c r="D2744" s="1">
        <f>IFERROR(__xludf.DUMMYFUNCTION("""COMPUTED_VALUE"""),174.49)</f>
        <v>174.49</v>
      </c>
      <c r="E2744" s="1">
        <f>IFERROR(__xludf.DUMMYFUNCTION("""COMPUTED_VALUE"""),175.35)</f>
        <v>175.35</v>
      </c>
      <c r="F2744" s="1">
        <f>IFERROR(__xludf.DUMMYFUNCTION("""COMPUTED_VALUE"""),873467.0)</f>
        <v>873467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IFERROR(__xludf.DUMMYFUNCTION("""COMPUTED_VALUE"""),177.21)</f>
        <v>177.21</v>
      </c>
      <c r="C2745" s="1">
        <f>IFERROR(__xludf.DUMMYFUNCTION("""COMPUTED_VALUE"""),177.84)</f>
        <v>177.84</v>
      </c>
      <c r="D2745" s="1">
        <f>IFERROR(__xludf.DUMMYFUNCTION("""COMPUTED_VALUE"""),170.77)</f>
        <v>170.77</v>
      </c>
      <c r="E2745" s="1">
        <f>IFERROR(__xludf.DUMMYFUNCTION("""COMPUTED_VALUE"""),173.19)</f>
        <v>173.19</v>
      </c>
      <c r="F2745" s="1">
        <f>IFERROR(__xludf.DUMMYFUNCTION("""COMPUTED_VALUE"""),1158145.0)</f>
        <v>1158145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IFERROR(__xludf.DUMMYFUNCTION("""COMPUTED_VALUE"""),173.0)</f>
        <v>173</v>
      </c>
      <c r="C2746" s="1">
        <f>IFERROR(__xludf.DUMMYFUNCTION("""COMPUTED_VALUE"""),173.01)</f>
        <v>173.01</v>
      </c>
      <c r="D2746" s="1">
        <f>IFERROR(__xludf.DUMMYFUNCTION("""COMPUTED_VALUE"""),168.16)</f>
        <v>168.16</v>
      </c>
      <c r="E2746" s="1">
        <f>IFERROR(__xludf.DUMMYFUNCTION("""COMPUTED_VALUE"""),168.8)</f>
        <v>168.8</v>
      </c>
      <c r="F2746" s="1">
        <f>IFERROR(__xludf.DUMMYFUNCTION("""COMPUTED_VALUE"""),949281.0)</f>
        <v>949281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IFERROR(__xludf.DUMMYFUNCTION("""COMPUTED_VALUE"""),169.47)</f>
        <v>169.47</v>
      </c>
      <c r="C2747" s="1">
        <f>IFERROR(__xludf.DUMMYFUNCTION("""COMPUTED_VALUE"""),170.0)</f>
        <v>170</v>
      </c>
      <c r="D2747" s="1">
        <f>IFERROR(__xludf.DUMMYFUNCTION("""COMPUTED_VALUE"""),166.19)</f>
        <v>166.19</v>
      </c>
      <c r="E2747" s="1">
        <f>IFERROR(__xludf.DUMMYFUNCTION("""COMPUTED_VALUE"""),168.54)</f>
        <v>168.54</v>
      </c>
      <c r="F2747" s="1">
        <f>IFERROR(__xludf.DUMMYFUNCTION("""COMPUTED_VALUE"""),785627.0)</f>
        <v>785627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IFERROR(__xludf.DUMMYFUNCTION("""COMPUTED_VALUE"""),168.55)</f>
        <v>168.55</v>
      </c>
      <c r="C2748" s="1">
        <f>IFERROR(__xludf.DUMMYFUNCTION("""COMPUTED_VALUE"""),168.89)</f>
        <v>168.89</v>
      </c>
      <c r="D2748" s="1">
        <f>IFERROR(__xludf.DUMMYFUNCTION("""COMPUTED_VALUE"""),164.3)</f>
        <v>164.3</v>
      </c>
      <c r="E2748" s="1">
        <f>IFERROR(__xludf.DUMMYFUNCTION("""COMPUTED_VALUE"""),164.85)</f>
        <v>164.85</v>
      </c>
      <c r="F2748" s="1">
        <f>IFERROR(__xludf.DUMMYFUNCTION("""COMPUTED_VALUE"""),1984151.0)</f>
        <v>1984151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IFERROR(__xludf.DUMMYFUNCTION("""COMPUTED_VALUE"""),165.32)</f>
        <v>165.32</v>
      </c>
      <c r="C2749" s="1">
        <f>IFERROR(__xludf.DUMMYFUNCTION("""COMPUTED_VALUE"""),165.76)</f>
        <v>165.76</v>
      </c>
      <c r="D2749" s="1">
        <f>IFERROR(__xludf.DUMMYFUNCTION("""COMPUTED_VALUE"""),161.11)</f>
        <v>161.11</v>
      </c>
      <c r="E2749" s="1">
        <f>IFERROR(__xludf.DUMMYFUNCTION("""COMPUTED_VALUE"""),161.77)</f>
        <v>161.77</v>
      </c>
      <c r="F2749" s="1">
        <f>IFERROR(__xludf.DUMMYFUNCTION("""COMPUTED_VALUE"""),1393947.0)</f>
        <v>1393947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IFERROR(__xludf.DUMMYFUNCTION("""COMPUTED_VALUE"""),161.73)</f>
        <v>161.73</v>
      </c>
      <c r="C2750" s="1">
        <f>IFERROR(__xludf.DUMMYFUNCTION("""COMPUTED_VALUE"""),161.79)</f>
        <v>161.79</v>
      </c>
      <c r="D2750" s="1">
        <f>IFERROR(__xludf.DUMMYFUNCTION("""COMPUTED_VALUE"""),156.51)</f>
        <v>156.51</v>
      </c>
      <c r="E2750" s="1">
        <f>IFERROR(__xludf.DUMMYFUNCTION("""COMPUTED_VALUE"""),157.96)</f>
        <v>157.96</v>
      </c>
      <c r="F2750" s="1">
        <f>IFERROR(__xludf.DUMMYFUNCTION("""COMPUTED_VALUE"""),1295103.0)</f>
        <v>1295103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IFERROR(__xludf.DUMMYFUNCTION("""COMPUTED_VALUE"""),159.0)</f>
        <v>159</v>
      </c>
      <c r="C2751" s="1">
        <f>IFERROR(__xludf.DUMMYFUNCTION("""COMPUTED_VALUE"""),163.18)</f>
        <v>163.18</v>
      </c>
      <c r="D2751" s="1">
        <f>IFERROR(__xludf.DUMMYFUNCTION("""COMPUTED_VALUE"""),158.85)</f>
        <v>158.85</v>
      </c>
      <c r="E2751" s="1">
        <f>IFERROR(__xludf.DUMMYFUNCTION("""COMPUTED_VALUE"""),162.09)</f>
        <v>162.09</v>
      </c>
      <c r="F2751" s="1">
        <f>IFERROR(__xludf.DUMMYFUNCTION("""COMPUTED_VALUE"""),1340586.0)</f>
        <v>1340586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IFERROR(__xludf.DUMMYFUNCTION("""COMPUTED_VALUE"""),163.8)</f>
        <v>163.8</v>
      </c>
      <c r="C2752" s="1">
        <f>IFERROR(__xludf.DUMMYFUNCTION("""COMPUTED_VALUE"""),165.59)</f>
        <v>165.59</v>
      </c>
      <c r="D2752" s="1">
        <f>IFERROR(__xludf.DUMMYFUNCTION("""COMPUTED_VALUE"""),161.51)</f>
        <v>161.51</v>
      </c>
      <c r="E2752" s="1">
        <f>IFERROR(__xludf.DUMMYFUNCTION("""COMPUTED_VALUE"""),161.88)</f>
        <v>161.88</v>
      </c>
      <c r="F2752" s="1">
        <f>IFERROR(__xludf.DUMMYFUNCTION("""COMPUTED_VALUE"""),706607.0)</f>
        <v>706607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IFERROR(__xludf.DUMMYFUNCTION("""COMPUTED_VALUE"""),162.27)</f>
        <v>162.27</v>
      </c>
      <c r="C2753" s="1">
        <f>IFERROR(__xludf.DUMMYFUNCTION("""COMPUTED_VALUE"""),163.65)</f>
        <v>163.65</v>
      </c>
      <c r="D2753" s="1">
        <f>IFERROR(__xludf.DUMMYFUNCTION("""COMPUTED_VALUE"""),159.85)</f>
        <v>159.85</v>
      </c>
      <c r="E2753" s="1">
        <f>IFERROR(__xludf.DUMMYFUNCTION("""COMPUTED_VALUE"""),161.2)</f>
        <v>161.2</v>
      </c>
      <c r="F2753" s="1">
        <f>IFERROR(__xludf.DUMMYFUNCTION("""COMPUTED_VALUE"""),648379.0)</f>
        <v>648379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IFERROR(__xludf.DUMMYFUNCTION("""COMPUTED_VALUE"""),160.29)</f>
        <v>160.29</v>
      </c>
      <c r="C2754" s="1">
        <f>IFERROR(__xludf.DUMMYFUNCTION("""COMPUTED_VALUE"""),161.34)</f>
        <v>161.34</v>
      </c>
      <c r="D2754" s="1">
        <f>IFERROR(__xludf.DUMMYFUNCTION("""COMPUTED_VALUE"""),158.18)</f>
        <v>158.18</v>
      </c>
      <c r="E2754" s="1">
        <f>IFERROR(__xludf.DUMMYFUNCTION("""COMPUTED_VALUE"""),160.02)</f>
        <v>160.02</v>
      </c>
      <c r="F2754" s="1">
        <f>IFERROR(__xludf.DUMMYFUNCTION("""COMPUTED_VALUE"""),1076071.0)</f>
        <v>1076071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IFERROR(__xludf.DUMMYFUNCTION("""COMPUTED_VALUE"""),161.46)</f>
        <v>161.46</v>
      </c>
      <c r="C2755" s="1">
        <f>IFERROR(__xludf.DUMMYFUNCTION("""COMPUTED_VALUE"""),164.33)</f>
        <v>164.33</v>
      </c>
      <c r="D2755" s="1">
        <f>IFERROR(__xludf.DUMMYFUNCTION("""COMPUTED_VALUE"""),159.63)</f>
        <v>159.63</v>
      </c>
      <c r="E2755" s="1">
        <f>IFERROR(__xludf.DUMMYFUNCTION("""COMPUTED_VALUE"""),160.4)</f>
        <v>160.4</v>
      </c>
      <c r="F2755" s="1">
        <f>IFERROR(__xludf.DUMMYFUNCTION("""COMPUTED_VALUE"""),1038820.0)</f>
        <v>1038820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IFERROR(__xludf.DUMMYFUNCTION("""COMPUTED_VALUE"""),158.86)</f>
        <v>158.86</v>
      </c>
      <c r="C2756" s="1">
        <f>IFERROR(__xludf.DUMMYFUNCTION("""COMPUTED_VALUE"""),164.79)</f>
        <v>164.79</v>
      </c>
      <c r="D2756" s="1">
        <f>IFERROR(__xludf.DUMMYFUNCTION("""COMPUTED_VALUE"""),158.66)</f>
        <v>158.66</v>
      </c>
      <c r="E2756" s="1">
        <f>IFERROR(__xludf.DUMMYFUNCTION("""COMPUTED_VALUE"""),162.47)</f>
        <v>162.47</v>
      </c>
      <c r="F2756" s="1">
        <f>IFERROR(__xludf.DUMMYFUNCTION("""COMPUTED_VALUE"""),1167453.0)</f>
        <v>1167453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IFERROR(__xludf.DUMMYFUNCTION("""COMPUTED_VALUE"""),163.34)</f>
        <v>163.34</v>
      </c>
      <c r="C2757" s="1">
        <f>IFERROR(__xludf.DUMMYFUNCTION("""COMPUTED_VALUE"""),163.99)</f>
        <v>163.99</v>
      </c>
      <c r="D2757" s="1">
        <f>IFERROR(__xludf.DUMMYFUNCTION("""COMPUTED_VALUE"""),158.85)</f>
        <v>158.85</v>
      </c>
      <c r="E2757" s="1">
        <f>IFERROR(__xludf.DUMMYFUNCTION("""COMPUTED_VALUE"""),160.01)</f>
        <v>160.01</v>
      </c>
      <c r="F2757" s="1">
        <f>IFERROR(__xludf.DUMMYFUNCTION("""COMPUTED_VALUE"""),1070086.0)</f>
        <v>1070086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IFERROR(__xludf.DUMMYFUNCTION("""COMPUTED_VALUE"""),159.61)</f>
        <v>159.61</v>
      </c>
      <c r="C2758" s="1">
        <f>IFERROR(__xludf.DUMMYFUNCTION("""COMPUTED_VALUE"""),162.48)</f>
        <v>162.48</v>
      </c>
      <c r="D2758" s="1">
        <f>IFERROR(__xludf.DUMMYFUNCTION("""COMPUTED_VALUE"""),158.93)</f>
        <v>158.93</v>
      </c>
      <c r="E2758" s="1">
        <f>IFERROR(__xludf.DUMMYFUNCTION("""COMPUTED_VALUE"""),160.53)</f>
        <v>160.53</v>
      </c>
      <c r="F2758" s="1">
        <f>IFERROR(__xludf.DUMMYFUNCTION("""COMPUTED_VALUE"""),810188.0)</f>
        <v>810188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IFERROR(__xludf.DUMMYFUNCTION("""COMPUTED_VALUE"""),161.05)</f>
        <v>161.05</v>
      </c>
      <c r="C2759" s="1">
        <f>IFERROR(__xludf.DUMMYFUNCTION("""COMPUTED_VALUE"""),164.76)</f>
        <v>164.76</v>
      </c>
      <c r="D2759" s="1">
        <f>IFERROR(__xludf.DUMMYFUNCTION("""COMPUTED_VALUE"""),160.22)</f>
        <v>160.22</v>
      </c>
      <c r="E2759" s="1">
        <f>IFERROR(__xludf.DUMMYFUNCTION("""COMPUTED_VALUE"""),161.7)</f>
        <v>161.7</v>
      </c>
      <c r="F2759" s="1">
        <f>IFERROR(__xludf.DUMMYFUNCTION("""COMPUTED_VALUE"""),837938.0)</f>
        <v>837938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IFERROR(__xludf.DUMMYFUNCTION("""COMPUTED_VALUE"""),163.29)</f>
        <v>163.29</v>
      </c>
      <c r="C2760" s="1">
        <f>IFERROR(__xludf.DUMMYFUNCTION("""COMPUTED_VALUE"""),167.99)</f>
        <v>167.99</v>
      </c>
      <c r="D2760" s="1">
        <f>IFERROR(__xludf.DUMMYFUNCTION("""COMPUTED_VALUE"""),162.45)</f>
        <v>162.45</v>
      </c>
      <c r="E2760" s="1">
        <f>IFERROR(__xludf.DUMMYFUNCTION("""COMPUTED_VALUE"""),165.94)</f>
        <v>165.94</v>
      </c>
      <c r="F2760" s="1">
        <f>IFERROR(__xludf.DUMMYFUNCTION("""COMPUTED_VALUE"""),1195173.0)</f>
        <v>1195173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IFERROR(__xludf.DUMMYFUNCTION("""COMPUTED_VALUE"""),166.67)</f>
        <v>166.67</v>
      </c>
      <c r="C2761" s="1">
        <f>IFERROR(__xludf.DUMMYFUNCTION("""COMPUTED_VALUE"""),169.91)</f>
        <v>169.91</v>
      </c>
      <c r="D2761" s="1">
        <f>IFERROR(__xludf.DUMMYFUNCTION("""COMPUTED_VALUE"""),164.88)</f>
        <v>164.88</v>
      </c>
      <c r="E2761" s="1">
        <f>IFERROR(__xludf.DUMMYFUNCTION("""COMPUTED_VALUE"""),165.59)</f>
        <v>165.59</v>
      </c>
      <c r="F2761" s="1">
        <f>IFERROR(__xludf.DUMMYFUNCTION("""COMPUTED_VALUE"""),993418.0)</f>
        <v>993418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IFERROR(__xludf.DUMMYFUNCTION("""COMPUTED_VALUE"""),165.59)</f>
        <v>165.59</v>
      </c>
      <c r="C2762" s="1">
        <f>IFERROR(__xludf.DUMMYFUNCTION("""COMPUTED_VALUE"""),171.71)</f>
        <v>171.71</v>
      </c>
      <c r="D2762" s="1">
        <f>IFERROR(__xludf.DUMMYFUNCTION("""COMPUTED_VALUE"""),165.02)</f>
        <v>165.02</v>
      </c>
      <c r="E2762" s="1">
        <f>IFERROR(__xludf.DUMMYFUNCTION("""COMPUTED_VALUE"""),170.91)</f>
        <v>170.91</v>
      </c>
      <c r="F2762" s="1">
        <f>IFERROR(__xludf.DUMMYFUNCTION("""COMPUTED_VALUE"""),1536889.0)</f>
        <v>1536889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IFERROR(__xludf.DUMMYFUNCTION("""COMPUTED_VALUE"""),168.77)</f>
        <v>168.77</v>
      </c>
      <c r="C2763" s="1">
        <f>IFERROR(__xludf.DUMMYFUNCTION("""COMPUTED_VALUE"""),170.41)</f>
        <v>170.41</v>
      </c>
      <c r="D2763" s="1">
        <f>IFERROR(__xludf.DUMMYFUNCTION("""COMPUTED_VALUE"""),166.13)</f>
        <v>166.13</v>
      </c>
      <c r="E2763" s="1">
        <f>IFERROR(__xludf.DUMMYFUNCTION("""COMPUTED_VALUE"""),169.53)</f>
        <v>169.53</v>
      </c>
      <c r="F2763" s="1">
        <f>IFERROR(__xludf.DUMMYFUNCTION("""COMPUTED_VALUE"""),1016383.0)</f>
        <v>1016383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IFERROR(__xludf.DUMMYFUNCTION("""COMPUTED_VALUE"""),169.56)</f>
        <v>169.56</v>
      </c>
      <c r="C2764" s="1">
        <f>IFERROR(__xludf.DUMMYFUNCTION("""COMPUTED_VALUE"""),170.55)</f>
        <v>170.55</v>
      </c>
      <c r="D2764" s="1">
        <f>IFERROR(__xludf.DUMMYFUNCTION("""COMPUTED_VALUE"""),167.66)</f>
        <v>167.66</v>
      </c>
      <c r="E2764" s="1">
        <f>IFERROR(__xludf.DUMMYFUNCTION("""COMPUTED_VALUE"""),170.0)</f>
        <v>170</v>
      </c>
      <c r="F2764" s="1">
        <f>IFERROR(__xludf.DUMMYFUNCTION("""COMPUTED_VALUE"""),467273.0)</f>
        <v>467273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IFERROR(__xludf.DUMMYFUNCTION("""COMPUTED_VALUE"""),171.02)</f>
        <v>171.02</v>
      </c>
      <c r="C2765" s="1">
        <f>IFERROR(__xludf.DUMMYFUNCTION("""COMPUTED_VALUE"""),171.65)</f>
        <v>171.65</v>
      </c>
      <c r="D2765" s="1">
        <f>IFERROR(__xludf.DUMMYFUNCTION("""COMPUTED_VALUE"""),169.31)</f>
        <v>169.31</v>
      </c>
      <c r="E2765" s="1">
        <f>IFERROR(__xludf.DUMMYFUNCTION("""COMPUTED_VALUE"""),171.45)</f>
        <v>171.45</v>
      </c>
      <c r="F2765" s="1">
        <f>IFERROR(__xludf.DUMMYFUNCTION("""COMPUTED_VALUE"""),480896.0)</f>
        <v>480896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IFERROR(__xludf.DUMMYFUNCTION("""COMPUTED_VALUE"""),170.1)</f>
        <v>170.1</v>
      </c>
      <c r="C2766" s="1">
        <f>IFERROR(__xludf.DUMMYFUNCTION("""COMPUTED_VALUE"""),173.03)</f>
        <v>173.03</v>
      </c>
      <c r="D2766" s="1">
        <f>IFERROR(__xludf.DUMMYFUNCTION("""COMPUTED_VALUE"""),168.68)</f>
        <v>168.68</v>
      </c>
      <c r="E2766" s="1">
        <f>IFERROR(__xludf.DUMMYFUNCTION("""COMPUTED_VALUE"""),172.46)</f>
        <v>172.46</v>
      </c>
      <c r="F2766" s="1">
        <f>IFERROR(__xludf.DUMMYFUNCTION("""COMPUTED_VALUE"""),386362.0)</f>
        <v>386362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IFERROR(__xludf.DUMMYFUNCTION("""COMPUTED_VALUE"""),170.66)</f>
        <v>170.66</v>
      </c>
      <c r="C2767" s="1">
        <f>IFERROR(__xludf.DUMMYFUNCTION("""COMPUTED_VALUE"""),172.23)</f>
        <v>172.23</v>
      </c>
      <c r="D2767" s="1">
        <f>IFERROR(__xludf.DUMMYFUNCTION("""COMPUTED_VALUE"""),168.3)</f>
        <v>168.3</v>
      </c>
      <c r="E2767" s="1">
        <f>IFERROR(__xludf.DUMMYFUNCTION("""COMPUTED_VALUE"""),171.49)</f>
        <v>171.49</v>
      </c>
      <c r="F2767" s="1">
        <f>IFERROR(__xludf.DUMMYFUNCTION("""COMPUTED_VALUE"""),912742.0)</f>
        <v>912742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IFERROR(__xludf.DUMMYFUNCTION("""COMPUTED_VALUE"""),170.55)</f>
        <v>170.55</v>
      </c>
      <c r="C2768" s="1">
        <f>IFERROR(__xludf.DUMMYFUNCTION("""COMPUTED_VALUE"""),170.8)</f>
        <v>170.8</v>
      </c>
      <c r="D2768" s="1">
        <f>IFERROR(__xludf.DUMMYFUNCTION("""COMPUTED_VALUE"""),165.65)</f>
        <v>165.65</v>
      </c>
      <c r="E2768" s="1">
        <f>IFERROR(__xludf.DUMMYFUNCTION("""COMPUTED_VALUE"""),168.01)</f>
        <v>168.01</v>
      </c>
      <c r="F2768" s="1">
        <f>IFERROR(__xludf.DUMMYFUNCTION("""COMPUTED_VALUE"""),840056.0)</f>
        <v>840056</v>
      </c>
    </row>
    <row r="2769">
      <c r="A2769" s="2">
        <f>IFERROR(__xludf.DUMMYFUNCTION("""COMPUTED_VALUE"""),44195.66666666667)</f>
        <v>44195.66667</v>
      </c>
      <c r="B2769" s="1">
        <f>IFERROR(__xludf.DUMMYFUNCTION("""COMPUTED_VALUE"""),170.8)</f>
        <v>170.8</v>
      </c>
      <c r="C2769" s="1">
        <f>IFERROR(__xludf.DUMMYFUNCTION("""COMPUTED_VALUE"""),183.92)</f>
        <v>183.92</v>
      </c>
      <c r="D2769" s="1">
        <f>IFERROR(__xludf.DUMMYFUNCTION("""COMPUTED_VALUE"""),169.77)</f>
        <v>169.77</v>
      </c>
      <c r="E2769" s="1">
        <f>IFERROR(__xludf.DUMMYFUNCTION("""COMPUTED_VALUE"""),181.21)</f>
        <v>181.21</v>
      </c>
      <c r="F2769" s="1">
        <f>IFERROR(__xludf.DUMMYFUNCTION("""COMPUTED_VALUE"""),1228902.0)</f>
        <v>1228902</v>
      </c>
    </row>
    <row r="2770">
      <c r="A2770" s="2">
        <f>IFERROR(__xludf.DUMMYFUNCTION("""COMPUTED_VALUE"""),44196.66666666667)</f>
        <v>44196.66667</v>
      </c>
      <c r="B2770" s="1">
        <f>IFERROR(__xludf.DUMMYFUNCTION("""COMPUTED_VALUE"""),180.5)</f>
        <v>180.5</v>
      </c>
      <c r="C2770" s="1">
        <f>IFERROR(__xludf.DUMMYFUNCTION("""COMPUTED_VALUE"""),186.4)</f>
        <v>186.4</v>
      </c>
      <c r="D2770" s="1">
        <f>IFERROR(__xludf.DUMMYFUNCTION("""COMPUTED_VALUE"""),177.49)</f>
        <v>177.49</v>
      </c>
      <c r="E2770" s="1">
        <f>IFERROR(__xludf.DUMMYFUNCTION("""COMPUTED_VALUE"""),185.81)</f>
        <v>185.81</v>
      </c>
      <c r="F2770" s="1">
        <f>IFERROR(__xludf.DUMMYFUNCTION("""COMPUTED_VALUE"""),1272818.0)</f>
        <v>1272818</v>
      </c>
    </row>
    <row r="2771">
      <c r="A2771" s="2">
        <f>IFERROR(__xludf.DUMMYFUNCTION("""COMPUTED_VALUE"""),44200.66666666667)</f>
        <v>44200.66667</v>
      </c>
      <c r="B2771" s="1">
        <f>IFERROR(__xludf.DUMMYFUNCTION("""COMPUTED_VALUE"""),185.27)</f>
        <v>185.27</v>
      </c>
      <c r="C2771" s="1">
        <f>IFERROR(__xludf.DUMMYFUNCTION("""COMPUTED_VALUE"""),187.43)</f>
        <v>187.43</v>
      </c>
      <c r="D2771" s="1">
        <f>IFERROR(__xludf.DUMMYFUNCTION("""COMPUTED_VALUE"""),173.0)</f>
        <v>173</v>
      </c>
      <c r="E2771" s="1">
        <f>IFERROR(__xludf.DUMMYFUNCTION("""COMPUTED_VALUE"""),174.0)</f>
        <v>174</v>
      </c>
      <c r="F2771" s="1">
        <f>IFERROR(__xludf.DUMMYFUNCTION("""COMPUTED_VALUE"""),962878.0)</f>
        <v>962878</v>
      </c>
    </row>
    <row r="2772">
      <c r="A2772" s="2">
        <f>IFERROR(__xludf.DUMMYFUNCTION("""COMPUTED_VALUE"""),44201.66666666667)</f>
        <v>44201.66667</v>
      </c>
      <c r="B2772" s="1">
        <f>IFERROR(__xludf.DUMMYFUNCTION("""COMPUTED_VALUE"""),175.0)</f>
        <v>175</v>
      </c>
      <c r="C2772" s="1">
        <f>IFERROR(__xludf.DUMMYFUNCTION("""COMPUTED_VALUE"""),180.25)</f>
        <v>180.25</v>
      </c>
      <c r="D2772" s="1">
        <f>IFERROR(__xludf.DUMMYFUNCTION("""COMPUTED_VALUE"""),175.0)</f>
        <v>175</v>
      </c>
      <c r="E2772" s="1">
        <f>IFERROR(__xludf.DUMMYFUNCTION("""COMPUTED_VALUE"""),180.0)</f>
        <v>180</v>
      </c>
      <c r="F2772" s="1">
        <f>IFERROR(__xludf.DUMMYFUNCTION("""COMPUTED_VALUE"""),774405.0)</f>
        <v>774405</v>
      </c>
    </row>
    <row r="2773">
      <c r="A2773" s="2">
        <f>IFERROR(__xludf.DUMMYFUNCTION("""COMPUTED_VALUE"""),44202.66666666667)</f>
        <v>44202.66667</v>
      </c>
      <c r="B2773" s="1">
        <f>IFERROR(__xludf.DUMMYFUNCTION("""COMPUTED_VALUE"""),178.35)</f>
        <v>178.35</v>
      </c>
      <c r="C2773" s="1">
        <f>IFERROR(__xludf.DUMMYFUNCTION("""COMPUTED_VALUE"""),180.0)</f>
        <v>180</v>
      </c>
      <c r="D2773" s="1">
        <f>IFERROR(__xludf.DUMMYFUNCTION("""COMPUTED_VALUE"""),170.67)</f>
        <v>170.67</v>
      </c>
      <c r="E2773" s="1">
        <f>IFERROR(__xludf.DUMMYFUNCTION("""COMPUTED_VALUE"""),172.16)</f>
        <v>172.16</v>
      </c>
      <c r="F2773" s="1">
        <f>IFERROR(__xludf.DUMMYFUNCTION("""COMPUTED_VALUE"""),700768.0)</f>
        <v>700768</v>
      </c>
    </row>
    <row r="2774">
      <c r="A2774" s="2">
        <f>IFERROR(__xludf.DUMMYFUNCTION("""COMPUTED_VALUE"""),44203.66666666667)</f>
        <v>44203.66667</v>
      </c>
      <c r="B2774" s="1">
        <f>IFERROR(__xludf.DUMMYFUNCTION("""COMPUTED_VALUE"""),171.76)</f>
        <v>171.76</v>
      </c>
      <c r="C2774" s="1">
        <f>IFERROR(__xludf.DUMMYFUNCTION("""COMPUTED_VALUE"""),173.16)</f>
        <v>173.16</v>
      </c>
      <c r="D2774" s="1">
        <f>IFERROR(__xludf.DUMMYFUNCTION("""COMPUTED_VALUE"""),166.9)</f>
        <v>166.9</v>
      </c>
      <c r="E2774" s="1">
        <f>IFERROR(__xludf.DUMMYFUNCTION("""COMPUTED_VALUE"""),169.68)</f>
        <v>169.68</v>
      </c>
      <c r="F2774" s="1">
        <f>IFERROR(__xludf.DUMMYFUNCTION("""COMPUTED_VALUE"""),1146069.0)</f>
        <v>1146069</v>
      </c>
    </row>
    <row r="2775">
      <c r="A2775" s="2">
        <f>IFERROR(__xludf.DUMMYFUNCTION("""COMPUTED_VALUE"""),44204.66666666667)</f>
        <v>44204.66667</v>
      </c>
      <c r="B2775" s="1">
        <f>IFERROR(__xludf.DUMMYFUNCTION("""COMPUTED_VALUE"""),172.94)</f>
        <v>172.94</v>
      </c>
      <c r="C2775" s="1">
        <f>IFERROR(__xludf.DUMMYFUNCTION("""COMPUTED_VALUE"""),180.09)</f>
        <v>180.09</v>
      </c>
      <c r="D2775" s="1">
        <f>IFERROR(__xludf.DUMMYFUNCTION("""COMPUTED_VALUE"""),170.37)</f>
        <v>170.37</v>
      </c>
      <c r="E2775" s="1">
        <f>IFERROR(__xludf.DUMMYFUNCTION("""COMPUTED_VALUE"""),179.7)</f>
        <v>179.7</v>
      </c>
      <c r="F2775" s="1">
        <f>IFERROR(__xludf.DUMMYFUNCTION("""COMPUTED_VALUE"""),1451685.0)</f>
        <v>1451685</v>
      </c>
    </row>
    <row r="2776">
      <c r="A2776" s="2">
        <f>IFERROR(__xludf.DUMMYFUNCTION("""COMPUTED_VALUE"""),44207.66666666667)</f>
        <v>44207.66667</v>
      </c>
      <c r="B2776" s="1">
        <f>IFERROR(__xludf.DUMMYFUNCTION("""COMPUTED_VALUE"""),178.21)</f>
        <v>178.21</v>
      </c>
      <c r="C2776" s="1">
        <f>IFERROR(__xludf.DUMMYFUNCTION("""COMPUTED_VALUE"""),182.73)</f>
        <v>182.73</v>
      </c>
      <c r="D2776" s="1">
        <f>IFERROR(__xludf.DUMMYFUNCTION("""COMPUTED_VALUE"""),176.09)</f>
        <v>176.09</v>
      </c>
      <c r="E2776" s="1">
        <f>IFERROR(__xludf.DUMMYFUNCTION("""COMPUTED_VALUE"""),176.15)</f>
        <v>176.15</v>
      </c>
      <c r="F2776" s="1">
        <f>IFERROR(__xludf.DUMMYFUNCTION("""COMPUTED_VALUE"""),592000.0)</f>
        <v>592000</v>
      </c>
    </row>
    <row r="2777">
      <c r="A2777" s="2">
        <f>IFERROR(__xludf.DUMMYFUNCTION("""COMPUTED_VALUE"""),44208.66666666667)</f>
        <v>44208.66667</v>
      </c>
      <c r="B2777" s="1">
        <f>IFERROR(__xludf.DUMMYFUNCTION("""COMPUTED_VALUE"""),178.31)</f>
        <v>178.31</v>
      </c>
      <c r="C2777" s="1">
        <f>IFERROR(__xludf.DUMMYFUNCTION("""COMPUTED_VALUE"""),181.41)</f>
        <v>181.41</v>
      </c>
      <c r="D2777" s="1">
        <f>IFERROR(__xludf.DUMMYFUNCTION("""COMPUTED_VALUE"""),172.04)</f>
        <v>172.04</v>
      </c>
      <c r="E2777" s="1">
        <f>IFERROR(__xludf.DUMMYFUNCTION("""COMPUTED_VALUE"""),174.9)</f>
        <v>174.9</v>
      </c>
      <c r="F2777" s="1">
        <f>IFERROR(__xludf.DUMMYFUNCTION("""COMPUTED_VALUE"""),733683.0)</f>
        <v>733683</v>
      </c>
    </row>
    <row r="2778">
      <c r="A2778" s="2">
        <f>IFERROR(__xludf.DUMMYFUNCTION("""COMPUTED_VALUE"""),44209.66666666667)</f>
        <v>44209.66667</v>
      </c>
      <c r="B2778" s="1">
        <f>IFERROR(__xludf.DUMMYFUNCTION("""COMPUTED_VALUE"""),174.0)</f>
        <v>174</v>
      </c>
      <c r="C2778" s="1">
        <f>IFERROR(__xludf.DUMMYFUNCTION("""COMPUTED_VALUE"""),176.42)</f>
        <v>176.42</v>
      </c>
      <c r="D2778" s="1">
        <f>IFERROR(__xludf.DUMMYFUNCTION("""COMPUTED_VALUE"""),172.48)</f>
        <v>172.48</v>
      </c>
      <c r="E2778" s="1">
        <f>IFERROR(__xludf.DUMMYFUNCTION("""COMPUTED_VALUE"""),176.19)</f>
        <v>176.19</v>
      </c>
      <c r="F2778" s="1">
        <f>IFERROR(__xludf.DUMMYFUNCTION("""COMPUTED_VALUE"""),783852.0)</f>
        <v>783852</v>
      </c>
    </row>
    <row r="2779">
      <c r="A2779" s="2">
        <f>IFERROR(__xludf.DUMMYFUNCTION("""COMPUTED_VALUE"""),44210.66666666667)</f>
        <v>44210.66667</v>
      </c>
      <c r="B2779" s="1">
        <f>IFERROR(__xludf.DUMMYFUNCTION("""COMPUTED_VALUE"""),177.77)</f>
        <v>177.77</v>
      </c>
      <c r="C2779" s="1">
        <f>IFERROR(__xludf.DUMMYFUNCTION("""COMPUTED_VALUE"""),180.55)</f>
        <v>180.55</v>
      </c>
      <c r="D2779" s="1">
        <f>IFERROR(__xludf.DUMMYFUNCTION("""COMPUTED_VALUE"""),175.23)</f>
        <v>175.23</v>
      </c>
      <c r="E2779" s="1">
        <f>IFERROR(__xludf.DUMMYFUNCTION("""COMPUTED_VALUE"""),176.12)</f>
        <v>176.12</v>
      </c>
      <c r="F2779" s="1">
        <f>IFERROR(__xludf.DUMMYFUNCTION("""COMPUTED_VALUE"""),922400.0)</f>
        <v>922400</v>
      </c>
    </row>
    <row r="2780">
      <c r="A2780" s="2">
        <f>IFERROR(__xludf.DUMMYFUNCTION("""COMPUTED_VALUE"""),44211.66666666667)</f>
        <v>44211.66667</v>
      </c>
      <c r="B2780" s="1">
        <f>IFERROR(__xludf.DUMMYFUNCTION("""COMPUTED_VALUE"""),176.06)</f>
        <v>176.06</v>
      </c>
      <c r="C2780" s="1">
        <f>IFERROR(__xludf.DUMMYFUNCTION("""COMPUTED_VALUE"""),177.09)</f>
        <v>177.09</v>
      </c>
      <c r="D2780" s="1">
        <f>IFERROR(__xludf.DUMMYFUNCTION("""COMPUTED_VALUE"""),170.88)</f>
        <v>170.88</v>
      </c>
      <c r="E2780" s="1">
        <f>IFERROR(__xludf.DUMMYFUNCTION("""COMPUTED_VALUE"""),172.81)</f>
        <v>172.81</v>
      </c>
      <c r="F2780" s="1">
        <f>IFERROR(__xludf.DUMMYFUNCTION("""COMPUTED_VALUE"""),789717.0)</f>
        <v>789717</v>
      </c>
    </row>
    <row r="2781">
      <c r="A2781" s="2">
        <f>IFERROR(__xludf.DUMMYFUNCTION("""COMPUTED_VALUE"""),44215.66666666667)</f>
        <v>44215.66667</v>
      </c>
      <c r="B2781" s="1">
        <f>IFERROR(__xludf.DUMMYFUNCTION("""COMPUTED_VALUE"""),175.0)</f>
        <v>175</v>
      </c>
      <c r="C2781" s="1">
        <f>IFERROR(__xludf.DUMMYFUNCTION("""COMPUTED_VALUE"""),176.98)</f>
        <v>176.98</v>
      </c>
      <c r="D2781" s="1">
        <f>IFERROR(__xludf.DUMMYFUNCTION("""COMPUTED_VALUE"""),172.8)</f>
        <v>172.8</v>
      </c>
      <c r="E2781" s="1">
        <f>IFERROR(__xludf.DUMMYFUNCTION("""COMPUTED_VALUE"""),175.09)</f>
        <v>175.09</v>
      </c>
      <c r="F2781" s="1">
        <f>IFERROR(__xludf.DUMMYFUNCTION("""COMPUTED_VALUE"""),1334013.0)</f>
        <v>1334013</v>
      </c>
    </row>
    <row r="2782">
      <c r="A2782" s="2">
        <f>IFERROR(__xludf.DUMMYFUNCTION("""COMPUTED_VALUE"""),44216.66666666667)</f>
        <v>44216.66667</v>
      </c>
      <c r="B2782" s="1">
        <f>IFERROR(__xludf.DUMMYFUNCTION("""COMPUTED_VALUE"""),175.0)</f>
        <v>175</v>
      </c>
      <c r="C2782" s="1">
        <f>IFERROR(__xludf.DUMMYFUNCTION("""COMPUTED_VALUE"""),176.09)</f>
        <v>176.09</v>
      </c>
      <c r="D2782" s="1">
        <f>IFERROR(__xludf.DUMMYFUNCTION("""COMPUTED_VALUE"""),169.2)</f>
        <v>169.2</v>
      </c>
      <c r="E2782" s="1">
        <f>IFERROR(__xludf.DUMMYFUNCTION("""COMPUTED_VALUE"""),171.01)</f>
        <v>171.01</v>
      </c>
      <c r="F2782" s="1">
        <f>IFERROR(__xludf.DUMMYFUNCTION("""COMPUTED_VALUE"""),1411013.0)</f>
        <v>1411013</v>
      </c>
    </row>
    <row r="2783">
      <c r="A2783" s="2">
        <f>IFERROR(__xludf.DUMMYFUNCTION("""COMPUTED_VALUE"""),44217.66666666667)</f>
        <v>44217.66667</v>
      </c>
      <c r="B2783" s="1">
        <f>IFERROR(__xludf.DUMMYFUNCTION("""COMPUTED_VALUE"""),170.0)</f>
        <v>170</v>
      </c>
      <c r="C2783" s="1">
        <f>IFERROR(__xludf.DUMMYFUNCTION("""COMPUTED_VALUE"""),183.7)</f>
        <v>183.7</v>
      </c>
      <c r="D2783" s="1">
        <f>IFERROR(__xludf.DUMMYFUNCTION("""COMPUTED_VALUE"""),166.83)</f>
        <v>166.83</v>
      </c>
      <c r="E2783" s="1">
        <f>IFERROR(__xludf.DUMMYFUNCTION("""COMPUTED_VALUE"""),182.89)</f>
        <v>182.89</v>
      </c>
      <c r="F2783" s="1">
        <f>IFERROR(__xludf.DUMMYFUNCTION("""COMPUTED_VALUE"""),2582925.0)</f>
        <v>2582925</v>
      </c>
    </row>
    <row r="2784">
      <c r="A2784" s="2">
        <f>IFERROR(__xludf.DUMMYFUNCTION("""COMPUTED_VALUE"""),44218.66666666667)</f>
        <v>44218.66667</v>
      </c>
      <c r="B2784" s="1">
        <f>IFERROR(__xludf.DUMMYFUNCTION("""COMPUTED_VALUE"""),179.9)</f>
        <v>179.9</v>
      </c>
      <c r="C2784" s="1">
        <f>IFERROR(__xludf.DUMMYFUNCTION("""COMPUTED_VALUE"""),180.61)</f>
        <v>180.61</v>
      </c>
      <c r="D2784" s="1">
        <f>IFERROR(__xludf.DUMMYFUNCTION("""COMPUTED_VALUE"""),164.7)</f>
        <v>164.7</v>
      </c>
      <c r="E2784" s="1">
        <f>IFERROR(__xludf.DUMMYFUNCTION("""COMPUTED_VALUE"""),169.11)</f>
        <v>169.11</v>
      </c>
      <c r="F2784" s="1">
        <f>IFERROR(__xludf.DUMMYFUNCTION("""COMPUTED_VALUE"""),3457473.0)</f>
        <v>3457473</v>
      </c>
    </row>
    <row r="2785">
      <c r="A2785" s="2">
        <f>IFERROR(__xludf.DUMMYFUNCTION("""COMPUTED_VALUE"""),44221.66666666667)</f>
        <v>44221.66667</v>
      </c>
      <c r="B2785" s="1">
        <f>IFERROR(__xludf.DUMMYFUNCTION("""COMPUTED_VALUE"""),170.0)</f>
        <v>170</v>
      </c>
      <c r="C2785" s="1">
        <f>IFERROR(__xludf.DUMMYFUNCTION("""COMPUTED_VALUE"""),171.83)</f>
        <v>171.83</v>
      </c>
      <c r="D2785" s="1">
        <f>IFERROR(__xludf.DUMMYFUNCTION("""COMPUTED_VALUE"""),166.28)</f>
        <v>166.28</v>
      </c>
      <c r="E2785" s="1">
        <f>IFERROR(__xludf.DUMMYFUNCTION("""COMPUTED_VALUE"""),171.83)</f>
        <v>171.83</v>
      </c>
      <c r="F2785" s="1">
        <f>IFERROR(__xludf.DUMMYFUNCTION("""COMPUTED_VALUE"""),1769619.0)</f>
        <v>1769619</v>
      </c>
    </row>
    <row r="2786">
      <c r="A2786" s="2">
        <f>IFERROR(__xludf.DUMMYFUNCTION("""COMPUTED_VALUE"""),44222.66666666667)</f>
        <v>44222.66667</v>
      </c>
      <c r="B2786" s="1">
        <f>IFERROR(__xludf.DUMMYFUNCTION("""COMPUTED_VALUE"""),171.84)</f>
        <v>171.84</v>
      </c>
      <c r="C2786" s="1">
        <f>IFERROR(__xludf.DUMMYFUNCTION("""COMPUTED_VALUE"""),176.22)</f>
        <v>176.22</v>
      </c>
      <c r="D2786" s="1">
        <f>IFERROR(__xludf.DUMMYFUNCTION("""COMPUTED_VALUE"""),169.99)</f>
        <v>169.99</v>
      </c>
      <c r="E2786" s="1">
        <f>IFERROR(__xludf.DUMMYFUNCTION("""COMPUTED_VALUE"""),171.31)</f>
        <v>171.31</v>
      </c>
      <c r="F2786" s="1">
        <f>IFERROR(__xludf.DUMMYFUNCTION("""COMPUTED_VALUE"""),1485179.0)</f>
        <v>1485179</v>
      </c>
    </row>
    <row r="2787">
      <c r="A2787" s="2">
        <f>IFERROR(__xludf.DUMMYFUNCTION("""COMPUTED_VALUE"""),44223.66666666667)</f>
        <v>44223.66667</v>
      </c>
      <c r="B2787" s="1">
        <f>IFERROR(__xludf.DUMMYFUNCTION("""COMPUTED_VALUE"""),169.26)</f>
        <v>169.26</v>
      </c>
      <c r="C2787" s="1">
        <f>IFERROR(__xludf.DUMMYFUNCTION("""COMPUTED_VALUE"""),174.28)</f>
        <v>174.28</v>
      </c>
      <c r="D2787" s="1">
        <f>IFERROR(__xludf.DUMMYFUNCTION("""COMPUTED_VALUE"""),168.95)</f>
        <v>168.95</v>
      </c>
      <c r="E2787" s="1">
        <f>IFERROR(__xludf.DUMMYFUNCTION("""COMPUTED_VALUE"""),170.0)</f>
        <v>170</v>
      </c>
      <c r="F2787" s="1">
        <f>IFERROR(__xludf.DUMMYFUNCTION("""COMPUTED_VALUE"""),859637.0)</f>
        <v>859637</v>
      </c>
    </row>
    <row r="2788">
      <c r="A2788" s="2">
        <f>IFERROR(__xludf.DUMMYFUNCTION("""COMPUTED_VALUE"""),44224.66666666667)</f>
        <v>44224.66667</v>
      </c>
      <c r="B2788" s="1">
        <f>IFERROR(__xludf.DUMMYFUNCTION("""COMPUTED_VALUE"""),170.18)</f>
        <v>170.18</v>
      </c>
      <c r="C2788" s="1">
        <f>IFERROR(__xludf.DUMMYFUNCTION("""COMPUTED_VALUE"""),170.18)</f>
        <v>170.18</v>
      </c>
      <c r="D2788" s="1">
        <f>IFERROR(__xludf.DUMMYFUNCTION("""COMPUTED_VALUE"""),158.29)</f>
        <v>158.29</v>
      </c>
      <c r="E2788" s="1">
        <f>IFERROR(__xludf.DUMMYFUNCTION("""COMPUTED_VALUE"""),167.0)</f>
        <v>167</v>
      </c>
      <c r="F2788" s="1">
        <f>IFERROR(__xludf.DUMMYFUNCTION("""COMPUTED_VALUE"""),1552150.0)</f>
        <v>1552150</v>
      </c>
    </row>
    <row r="2789">
      <c r="A2789" s="2">
        <f>IFERROR(__xludf.DUMMYFUNCTION("""COMPUTED_VALUE"""),44225.66666666667)</f>
        <v>44225.66667</v>
      </c>
      <c r="B2789" s="1">
        <f>IFERROR(__xludf.DUMMYFUNCTION("""COMPUTED_VALUE"""),166.59)</f>
        <v>166.59</v>
      </c>
      <c r="C2789" s="1">
        <f>IFERROR(__xludf.DUMMYFUNCTION("""COMPUTED_VALUE"""),169.24)</f>
        <v>169.24</v>
      </c>
      <c r="D2789" s="1">
        <f>IFERROR(__xludf.DUMMYFUNCTION("""COMPUTED_VALUE"""),164.52)</f>
        <v>164.52</v>
      </c>
      <c r="E2789" s="1">
        <f>IFERROR(__xludf.DUMMYFUNCTION("""COMPUTED_VALUE"""),167.5)</f>
        <v>167.5</v>
      </c>
      <c r="F2789" s="1">
        <f>IFERROR(__xludf.DUMMYFUNCTION("""COMPUTED_VALUE"""),947117.0)</f>
        <v>947117</v>
      </c>
    </row>
    <row r="2790">
      <c r="A2790" s="2">
        <f>IFERROR(__xludf.DUMMYFUNCTION("""COMPUTED_VALUE"""),44228.66666666667)</f>
        <v>44228.66667</v>
      </c>
      <c r="B2790" s="1">
        <f>IFERROR(__xludf.DUMMYFUNCTION("""COMPUTED_VALUE"""),169.87)</f>
        <v>169.87</v>
      </c>
      <c r="C2790" s="1">
        <f>IFERROR(__xludf.DUMMYFUNCTION("""COMPUTED_VALUE"""),173.73)</f>
        <v>173.73</v>
      </c>
      <c r="D2790" s="1">
        <f>IFERROR(__xludf.DUMMYFUNCTION("""COMPUTED_VALUE"""),168.83)</f>
        <v>168.83</v>
      </c>
      <c r="E2790" s="1">
        <f>IFERROR(__xludf.DUMMYFUNCTION("""COMPUTED_VALUE"""),173.12)</f>
        <v>173.12</v>
      </c>
      <c r="F2790" s="1">
        <f>IFERROR(__xludf.DUMMYFUNCTION("""COMPUTED_VALUE"""),975857.0)</f>
        <v>975857</v>
      </c>
    </row>
    <row r="2791">
      <c r="A2791" s="2">
        <f>IFERROR(__xludf.DUMMYFUNCTION("""COMPUTED_VALUE"""),44229.66666666667)</f>
        <v>44229.66667</v>
      </c>
      <c r="B2791" s="1">
        <f>IFERROR(__xludf.DUMMYFUNCTION("""COMPUTED_VALUE"""),173.27)</f>
        <v>173.27</v>
      </c>
      <c r="C2791" s="1">
        <f>IFERROR(__xludf.DUMMYFUNCTION("""COMPUTED_VALUE"""),179.35)</f>
        <v>179.35</v>
      </c>
      <c r="D2791" s="1">
        <f>IFERROR(__xludf.DUMMYFUNCTION("""COMPUTED_VALUE"""),171.15)</f>
        <v>171.15</v>
      </c>
      <c r="E2791" s="1">
        <f>IFERROR(__xludf.DUMMYFUNCTION("""COMPUTED_VALUE"""),176.78)</f>
        <v>176.78</v>
      </c>
      <c r="F2791" s="1">
        <f>IFERROR(__xludf.DUMMYFUNCTION("""COMPUTED_VALUE"""),835300.0)</f>
        <v>835300</v>
      </c>
    </row>
    <row r="2792">
      <c r="A2792" s="2">
        <f>IFERROR(__xludf.DUMMYFUNCTION("""COMPUTED_VALUE"""),44230.66666666667)</f>
        <v>44230.66667</v>
      </c>
      <c r="B2792" s="1">
        <f>IFERROR(__xludf.DUMMYFUNCTION("""COMPUTED_VALUE"""),179.19)</f>
        <v>179.19</v>
      </c>
      <c r="C2792" s="1">
        <f>IFERROR(__xludf.DUMMYFUNCTION("""COMPUTED_VALUE"""),184.38)</f>
        <v>184.38</v>
      </c>
      <c r="D2792" s="1">
        <f>IFERROR(__xludf.DUMMYFUNCTION("""COMPUTED_VALUE"""),177.68)</f>
        <v>177.68</v>
      </c>
      <c r="E2792" s="1">
        <f>IFERROR(__xludf.DUMMYFUNCTION("""COMPUTED_VALUE"""),178.28)</f>
        <v>178.28</v>
      </c>
      <c r="F2792" s="1">
        <f>IFERROR(__xludf.DUMMYFUNCTION("""COMPUTED_VALUE"""),1248737.0)</f>
        <v>1248737</v>
      </c>
    </row>
    <row r="2793">
      <c r="A2793" s="2">
        <f>IFERROR(__xludf.DUMMYFUNCTION("""COMPUTED_VALUE"""),44231.66666666667)</f>
        <v>44231.66667</v>
      </c>
      <c r="B2793" s="1">
        <f>IFERROR(__xludf.DUMMYFUNCTION("""COMPUTED_VALUE"""),180.0)</f>
        <v>180</v>
      </c>
      <c r="C2793" s="1">
        <f>IFERROR(__xludf.DUMMYFUNCTION("""COMPUTED_VALUE"""),183.94)</f>
        <v>183.94</v>
      </c>
      <c r="D2793" s="1">
        <f>IFERROR(__xludf.DUMMYFUNCTION("""COMPUTED_VALUE"""),179.05)</f>
        <v>179.05</v>
      </c>
      <c r="E2793" s="1">
        <f>IFERROR(__xludf.DUMMYFUNCTION("""COMPUTED_VALUE"""),182.95)</f>
        <v>182.95</v>
      </c>
      <c r="F2793" s="1">
        <f>IFERROR(__xludf.DUMMYFUNCTION("""COMPUTED_VALUE"""),1272727.0)</f>
        <v>1272727</v>
      </c>
    </row>
    <row r="2794">
      <c r="A2794" s="2">
        <f>IFERROR(__xludf.DUMMYFUNCTION("""COMPUTED_VALUE"""),44232.66666666667)</f>
        <v>44232.66667</v>
      </c>
      <c r="B2794" s="1">
        <f>IFERROR(__xludf.DUMMYFUNCTION("""COMPUTED_VALUE"""),182.96)</f>
        <v>182.96</v>
      </c>
      <c r="C2794" s="1">
        <f>IFERROR(__xludf.DUMMYFUNCTION("""COMPUTED_VALUE"""),185.72)</f>
        <v>185.72</v>
      </c>
      <c r="D2794" s="1">
        <f>IFERROR(__xludf.DUMMYFUNCTION("""COMPUTED_VALUE"""),182.23)</f>
        <v>182.23</v>
      </c>
      <c r="E2794" s="1">
        <f>IFERROR(__xludf.DUMMYFUNCTION("""COMPUTED_VALUE"""),184.54)</f>
        <v>184.54</v>
      </c>
      <c r="F2794" s="1">
        <f>IFERROR(__xludf.DUMMYFUNCTION("""COMPUTED_VALUE"""),653273.0)</f>
        <v>653273</v>
      </c>
    </row>
    <row r="2795">
      <c r="A2795" s="2">
        <f>IFERROR(__xludf.DUMMYFUNCTION("""COMPUTED_VALUE"""),44235.66666666667)</f>
        <v>44235.66667</v>
      </c>
      <c r="B2795" s="1">
        <f>IFERROR(__xludf.DUMMYFUNCTION("""COMPUTED_VALUE"""),186.28)</f>
        <v>186.28</v>
      </c>
      <c r="C2795" s="1">
        <f>IFERROR(__xludf.DUMMYFUNCTION("""COMPUTED_VALUE"""),189.6)</f>
        <v>189.6</v>
      </c>
      <c r="D2795" s="1">
        <f>IFERROR(__xludf.DUMMYFUNCTION("""COMPUTED_VALUE"""),185.99)</f>
        <v>185.99</v>
      </c>
      <c r="E2795" s="1">
        <f>IFERROR(__xludf.DUMMYFUNCTION("""COMPUTED_VALUE"""),186.93)</f>
        <v>186.93</v>
      </c>
      <c r="F2795" s="1">
        <f>IFERROR(__xludf.DUMMYFUNCTION("""COMPUTED_VALUE"""),1200802.0)</f>
        <v>1200802</v>
      </c>
    </row>
    <row r="2796">
      <c r="A2796" s="2">
        <f>IFERROR(__xludf.DUMMYFUNCTION("""COMPUTED_VALUE"""),44236.66666666667)</f>
        <v>44236.66667</v>
      </c>
      <c r="B2796" s="1">
        <f>IFERROR(__xludf.DUMMYFUNCTION("""COMPUTED_VALUE"""),188.28)</f>
        <v>188.28</v>
      </c>
      <c r="C2796" s="1">
        <f>IFERROR(__xludf.DUMMYFUNCTION("""COMPUTED_VALUE"""),190.98)</f>
        <v>190.98</v>
      </c>
      <c r="D2796" s="1">
        <f>IFERROR(__xludf.DUMMYFUNCTION("""COMPUTED_VALUE"""),184.83)</f>
        <v>184.83</v>
      </c>
      <c r="E2796" s="1">
        <f>IFERROR(__xludf.DUMMYFUNCTION("""COMPUTED_VALUE"""),186.91)</f>
        <v>186.91</v>
      </c>
      <c r="F2796" s="1">
        <f>IFERROR(__xludf.DUMMYFUNCTION("""COMPUTED_VALUE"""),988807.0)</f>
        <v>988807</v>
      </c>
    </row>
    <row r="2797">
      <c r="A2797" s="2">
        <f>IFERROR(__xludf.DUMMYFUNCTION("""COMPUTED_VALUE"""),44237.66666666667)</f>
        <v>44237.66667</v>
      </c>
      <c r="B2797" s="1">
        <f>IFERROR(__xludf.DUMMYFUNCTION("""COMPUTED_VALUE"""),189.7)</f>
        <v>189.7</v>
      </c>
      <c r="C2797" s="1">
        <f>IFERROR(__xludf.DUMMYFUNCTION("""COMPUTED_VALUE"""),194.97)</f>
        <v>194.97</v>
      </c>
      <c r="D2797" s="1">
        <f>IFERROR(__xludf.DUMMYFUNCTION("""COMPUTED_VALUE"""),188.05)</f>
        <v>188.05</v>
      </c>
      <c r="E2797" s="1">
        <f>IFERROR(__xludf.DUMMYFUNCTION("""COMPUTED_VALUE"""),190.18)</f>
        <v>190.18</v>
      </c>
      <c r="F2797" s="1">
        <f>IFERROR(__xludf.DUMMYFUNCTION("""COMPUTED_VALUE"""),1157675.0)</f>
        <v>1157675</v>
      </c>
    </row>
    <row r="2798">
      <c r="A2798" s="2">
        <f>IFERROR(__xludf.DUMMYFUNCTION("""COMPUTED_VALUE"""),44238.66666666667)</f>
        <v>44238.66667</v>
      </c>
      <c r="B2798" s="1">
        <f>IFERROR(__xludf.DUMMYFUNCTION("""COMPUTED_VALUE"""),190.26)</f>
        <v>190.26</v>
      </c>
      <c r="C2798" s="1">
        <f>IFERROR(__xludf.DUMMYFUNCTION("""COMPUTED_VALUE"""),192.84)</f>
        <v>192.84</v>
      </c>
      <c r="D2798" s="1">
        <f>IFERROR(__xludf.DUMMYFUNCTION("""COMPUTED_VALUE"""),190.12)</f>
        <v>190.12</v>
      </c>
      <c r="E2798" s="1">
        <f>IFERROR(__xludf.DUMMYFUNCTION("""COMPUTED_VALUE"""),192.47)</f>
        <v>192.47</v>
      </c>
      <c r="F2798" s="1">
        <f>IFERROR(__xludf.DUMMYFUNCTION("""COMPUTED_VALUE"""),567272.0)</f>
        <v>567272</v>
      </c>
    </row>
    <row r="2799">
      <c r="A2799" s="2">
        <f>IFERROR(__xludf.DUMMYFUNCTION("""COMPUTED_VALUE"""),44239.66666666667)</f>
        <v>44239.66667</v>
      </c>
      <c r="B2799" s="1">
        <f>IFERROR(__xludf.DUMMYFUNCTION("""COMPUTED_VALUE"""),193.0)</f>
        <v>193</v>
      </c>
      <c r="C2799" s="1">
        <f>IFERROR(__xludf.DUMMYFUNCTION("""COMPUTED_VALUE"""),197.56)</f>
        <v>197.56</v>
      </c>
      <c r="D2799" s="1">
        <f>IFERROR(__xludf.DUMMYFUNCTION("""COMPUTED_VALUE"""),191.29)</f>
        <v>191.29</v>
      </c>
      <c r="E2799" s="1">
        <f>IFERROR(__xludf.DUMMYFUNCTION("""COMPUTED_VALUE"""),195.87)</f>
        <v>195.87</v>
      </c>
      <c r="F2799" s="1">
        <f>IFERROR(__xludf.DUMMYFUNCTION("""COMPUTED_VALUE"""),365174.0)</f>
        <v>365174</v>
      </c>
    </row>
    <row r="2800">
      <c r="A2800" s="2">
        <f>IFERROR(__xludf.DUMMYFUNCTION("""COMPUTED_VALUE"""),44243.66666666667)</f>
        <v>44243.66667</v>
      </c>
      <c r="B2800" s="1">
        <f>IFERROR(__xludf.DUMMYFUNCTION("""COMPUTED_VALUE"""),197.75)</f>
        <v>197.75</v>
      </c>
      <c r="C2800" s="1">
        <f>IFERROR(__xludf.DUMMYFUNCTION("""COMPUTED_VALUE"""),199.74)</f>
        <v>199.74</v>
      </c>
      <c r="D2800" s="1">
        <f>IFERROR(__xludf.DUMMYFUNCTION("""COMPUTED_VALUE"""),194.77)</f>
        <v>194.77</v>
      </c>
      <c r="E2800" s="1">
        <f>IFERROR(__xludf.DUMMYFUNCTION("""COMPUTED_VALUE"""),196.79)</f>
        <v>196.79</v>
      </c>
      <c r="F2800" s="1">
        <f>IFERROR(__xludf.DUMMYFUNCTION("""COMPUTED_VALUE"""),796968.0)</f>
        <v>796968</v>
      </c>
    </row>
    <row r="2801">
      <c r="A2801" s="2">
        <f>IFERROR(__xludf.DUMMYFUNCTION("""COMPUTED_VALUE"""),44244.66666666667)</f>
        <v>44244.66667</v>
      </c>
      <c r="B2801" s="1">
        <f>IFERROR(__xludf.DUMMYFUNCTION("""COMPUTED_VALUE"""),197.03)</f>
        <v>197.03</v>
      </c>
      <c r="C2801" s="1">
        <f>IFERROR(__xludf.DUMMYFUNCTION("""COMPUTED_VALUE"""),197.27)</f>
        <v>197.27</v>
      </c>
      <c r="D2801" s="1">
        <f>IFERROR(__xludf.DUMMYFUNCTION("""COMPUTED_VALUE"""),194.27)</f>
        <v>194.27</v>
      </c>
      <c r="E2801" s="1">
        <f>IFERROR(__xludf.DUMMYFUNCTION("""COMPUTED_VALUE"""),195.38)</f>
        <v>195.38</v>
      </c>
      <c r="F2801" s="1">
        <f>IFERROR(__xludf.DUMMYFUNCTION("""COMPUTED_VALUE"""),606975.0)</f>
        <v>606975</v>
      </c>
    </row>
    <row r="2802">
      <c r="A2802" s="2">
        <f>IFERROR(__xludf.DUMMYFUNCTION("""COMPUTED_VALUE"""),44245.66666666667)</f>
        <v>44245.66667</v>
      </c>
      <c r="B2802" s="1">
        <f>IFERROR(__xludf.DUMMYFUNCTION("""COMPUTED_VALUE"""),192.71)</f>
        <v>192.71</v>
      </c>
      <c r="C2802" s="1">
        <f>IFERROR(__xludf.DUMMYFUNCTION("""COMPUTED_VALUE"""),194.8)</f>
        <v>194.8</v>
      </c>
      <c r="D2802" s="1">
        <f>IFERROR(__xludf.DUMMYFUNCTION("""COMPUTED_VALUE"""),190.4)</f>
        <v>190.4</v>
      </c>
      <c r="E2802" s="1">
        <f>IFERROR(__xludf.DUMMYFUNCTION("""COMPUTED_VALUE"""),192.03)</f>
        <v>192.03</v>
      </c>
      <c r="F2802" s="1">
        <f>IFERROR(__xludf.DUMMYFUNCTION("""COMPUTED_VALUE"""),1094837.0)</f>
        <v>1094837</v>
      </c>
    </row>
    <row r="2803">
      <c r="A2803" s="2">
        <f>IFERROR(__xludf.DUMMYFUNCTION("""COMPUTED_VALUE"""),44246.66666666667)</f>
        <v>44246.66667</v>
      </c>
      <c r="B2803" s="1">
        <f>IFERROR(__xludf.DUMMYFUNCTION("""COMPUTED_VALUE"""),192.68)</f>
        <v>192.68</v>
      </c>
      <c r="C2803" s="1">
        <f>IFERROR(__xludf.DUMMYFUNCTION("""COMPUTED_VALUE"""),195.72)</f>
        <v>195.72</v>
      </c>
      <c r="D2803" s="1">
        <f>IFERROR(__xludf.DUMMYFUNCTION("""COMPUTED_VALUE"""),191.97)</f>
        <v>191.97</v>
      </c>
      <c r="E2803" s="1">
        <f>IFERROR(__xludf.DUMMYFUNCTION("""COMPUTED_VALUE"""),192.77)</f>
        <v>192.77</v>
      </c>
      <c r="F2803" s="1">
        <f>IFERROR(__xludf.DUMMYFUNCTION("""COMPUTED_VALUE"""),967938.0)</f>
        <v>967938</v>
      </c>
    </row>
    <row r="2804">
      <c r="A2804" s="2">
        <f>IFERROR(__xludf.DUMMYFUNCTION("""COMPUTED_VALUE"""),44249.66666666667)</f>
        <v>44249.66667</v>
      </c>
      <c r="B2804" s="1">
        <f>IFERROR(__xludf.DUMMYFUNCTION("""COMPUTED_VALUE"""),188.26)</f>
        <v>188.26</v>
      </c>
      <c r="C2804" s="1">
        <f>IFERROR(__xludf.DUMMYFUNCTION("""COMPUTED_VALUE"""),189.83)</f>
        <v>189.83</v>
      </c>
      <c r="D2804" s="1">
        <f>IFERROR(__xludf.DUMMYFUNCTION("""COMPUTED_VALUE"""),184.28)</f>
        <v>184.28</v>
      </c>
      <c r="E2804" s="1">
        <f>IFERROR(__xludf.DUMMYFUNCTION("""COMPUTED_VALUE"""),184.46)</f>
        <v>184.46</v>
      </c>
      <c r="F2804" s="1">
        <f>IFERROR(__xludf.DUMMYFUNCTION("""COMPUTED_VALUE"""),1457624.0)</f>
        <v>1457624</v>
      </c>
    </row>
    <row r="2805">
      <c r="A2805" s="2">
        <f>IFERROR(__xludf.DUMMYFUNCTION("""COMPUTED_VALUE"""),44250.66666666667)</f>
        <v>44250.66667</v>
      </c>
      <c r="B2805" s="1">
        <f>IFERROR(__xludf.DUMMYFUNCTION("""COMPUTED_VALUE"""),179.99)</f>
        <v>179.99</v>
      </c>
      <c r="C2805" s="1">
        <f>IFERROR(__xludf.DUMMYFUNCTION("""COMPUTED_VALUE"""),183.66)</f>
        <v>183.66</v>
      </c>
      <c r="D2805" s="1">
        <f>IFERROR(__xludf.DUMMYFUNCTION("""COMPUTED_VALUE"""),173.31)</f>
        <v>173.31</v>
      </c>
      <c r="E2805" s="1">
        <f>IFERROR(__xludf.DUMMYFUNCTION("""COMPUTED_VALUE"""),182.56)</f>
        <v>182.56</v>
      </c>
      <c r="F2805" s="1">
        <f>IFERROR(__xludf.DUMMYFUNCTION("""COMPUTED_VALUE"""),1024995.0)</f>
        <v>1024995</v>
      </c>
    </row>
    <row r="2806">
      <c r="A2806" s="2">
        <f>IFERROR(__xludf.DUMMYFUNCTION("""COMPUTED_VALUE"""),44251.66666666667)</f>
        <v>44251.66667</v>
      </c>
      <c r="B2806" s="1">
        <f>IFERROR(__xludf.DUMMYFUNCTION("""COMPUTED_VALUE"""),181.2)</f>
        <v>181.2</v>
      </c>
      <c r="C2806" s="1">
        <f>IFERROR(__xludf.DUMMYFUNCTION("""COMPUTED_VALUE"""),183.17)</f>
        <v>183.17</v>
      </c>
      <c r="D2806" s="1">
        <f>IFERROR(__xludf.DUMMYFUNCTION("""COMPUTED_VALUE"""),179.5)</f>
        <v>179.5</v>
      </c>
      <c r="E2806" s="1">
        <f>IFERROR(__xludf.DUMMYFUNCTION("""COMPUTED_VALUE"""),183.17)</f>
        <v>183.17</v>
      </c>
      <c r="F2806" s="1">
        <f>IFERROR(__xludf.DUMMYFUNCTION("""COMPUTED_VALUE"""),871386.0)</f>
        <v>871386</v>
      </c>
    </row>
    <row r="2807">
      <c r="A2807" s="2">
        <f>IFERROR(__xludf.DUMMYFUNCTION("""COMPUTED_VALUE"""),44252.66666666667)</f>
        <v>44252.66667</v>
      </c>
      <c r="B2807" s="1">
        <f>IFERROR(__xludf.DUMMYFUNCTION("""COMPUTED_VALUE"""),180.13)</f>
        <v>180.13</v>
      </c>
      <c r="C2807" s="1">
        <f>IFERROR(__xludf.DUMMYFUNCTION("""COMPUTED_VALUE"""),184.57)</f>
        <v>184.57</v>
      </c>
      <c r="D2807" s="1">
        <f>IFERROR(__xludf.DUMMYFUNCTION("""COMPUTED_VALUE"""),178.04)</f>
        <v>178.04</v>
      </c>
      <c r="E2807" s="1">
        <f>IFERROR(__xludf.DUMMYFUNCTION("""COMPUTED_VALUE"""),178.43)</f>
        <v>178.43</v>
      </c>
      <c r="F2807" s="1">
        <f>IFERROR(__xludf.DUMMYFUNCTION("""COMPUTED_VALUE"""),984570.0)</f>
        <v>984570</v>
      </c>
    </row>
    <row r="2808">
      <c r="A2808" s="2">
        <f>IFERROR(__xludf.DUMMYFUNCTION("""COMPUTED_VALUE"""),44253.66666666667)</f>
        <v>44253.66667</v>
      </c>
      <c r="B2808" s="1">
        <f>IFERROR(__xludf.DUMMYFUNCTION("""COMPUTED_VALUE"""),177.0)</f>
        <v>177</v>
      </c>
      <c r="C2808" s="1">
        <f>IFERROR(__xludf.DUMMYFUNCTION("""COMPUTED_VALUE"""),181.98)</f>
        <v>181.98</v>
      </c>
      <c r="D2808" s="1">
        <f>IFERROR(__xludf.DUMMYFUNCTION("""COMPUTED_VALUE"""),175.31)</f>
        <v>175.31</v>
      </c>
      <c r="E2808" s="1">
        <f>IFERROR(__xludf.DUMMYFUNCTION("""COMPUTED_VALUE"""),177.62)</f>
        <v>177.62</v>
      </c>
      <c r="F2808" s="1">
        <f>IFERROR(__xludf.DUMMYFUNCTION("""COMPUTED_VALUE"""),887306.0)</f>
        <v>887306</v>
      </c>
    </row>
    <row r="2809">
      <c r="A2809" s="2">
        <f>IFERROR(__xludf.DUMMYFUNCTION("""COMPUTED_VALUE"""),44256.66666666667)</f>
        <v>44256.66667</v>
      </c>
      <c r="B2809" s="1">
        <f>IFERROR(__xludf.DUMMYFUNCTION("""COMPUTED_VALUE"""),180.94)</f>
        <v>180.94</v>
      </c>
      <c r="C2809" s="1">
        <f>IFERROR(__xludf.DUMMYFUNCTION("""COMPUTED_VALUE"""),187.76)</f>
        <v>187.76</v>
      </c>
      <c r="D2809" s="1">
        <f>IFERROR(__xludf.DUMMYFUNCTION("""COMPUTED_VALUE"""),180.94)</f>
        <v>180.94</v>
      </c>
      <c r="E2809" s="1">
        <f>IFERROR(__xludf.DUMMYFUNCTION("""COMPUTED_VALUE"""),186.43)</f>
        <v>186.43</v>
      </c>
      <c r="F2809" s="1">
        <f>IFERROR(__xludf.DUMMYFUNCTION("""COMPUTED_VALUE"""),764900.0)</f>
        <v>764900</v>
      </c>
    </row>
    <row r="2810">
      <c r="A2810" s="2">
        <f>IFERROR(__xludf.DUMMYFUNCTION("""COMPUTED_VALUE"""),44257.66666666667)</f>
        <v>44257.66667</v>
      </c>
      <c r="B2810" s="1">
        <f>IFERROR(__xludf.DUMMYFUNCTION("""COMPUTED_VALUE"""),186.46)</f>
        <v>186.46</v>
      </c>
      <c r="C2810" s="1">
        <f>IFERROR(__xludf.DUMMYFUNCTION("""COMPUTED_VALUE"""),189.13)</f>
        <v>189.13</v>
      </c>
      <c r="D2810" s="1">
        <f>IFERROR(__xludf.DUMMYFUNCTION("""COMPUTED_VALUE"""),184.78)</f>
        <v>184.78</v>
      </c>
      <c r="E2810" s="1">
        <f>IFERROR(__xludf.DUMMYFUNCTION("""COMPUTED_VALUE"""),188.0)</f>
        <v>188</v>
      </c>
      <c r="F2810" s="1">
        <f>IFERROR(__xludf.DUMMYFUNCTION("""COMPUTED_VALUE"""),868020.0)</f>
        <v>868020</v>
      </c>
    </row>
    <row r="2811">
      <c r="A2811" s="2">
        <f>IFERROR(__xludf.DUMMYFUNCTION("""COMPUTED_VALUE"""),44258.66666666667)</f>
        <v>44258.66667</v>
      </c>
      <c r="B2811" s="1">
        <f>IFERROR(__xludf.DUMMYFUNCTION("""COMPUTED_VALUE"""),188.78)</f>
        <v>188.78</v>
      </c>
      <c r="C2811" s="1">
        <f>IFERROR(__xludf.DUMMYFUNCTION("""COMPUTED_VALUE"""),189.53)</f>
        <v>189.53</v>
      </c>
      <c r="D2811" s="1">
        <f>IFERROR(__xludf.DUMMYFUNCTION("""COMPUTED_VALUE"""),182.2)</f>
        <v>182.2</v>
      </c>
      <c r="E2811" s="1">
        <f>IFERROR(__xludf.DUMMYFUNCTION("""COMPUTED_VALUE"""),184.02)</f>
        <v>184.02</v>
      </c>
      <c r="F2811" s="1">
        <f>IFERROR(__xludf.DUMMYFUNCTION("""COMPUTED_VALUE"""),794953.0)</f>
        <v>794953</v>
      </c>
    </row>
    <row r="2812">
      <c r="A2812" s="2">
        <f>IFERROR(__xludf.DUMMYFUNCTION("""COMPUTED_VALUE"""),44259.66666666667)</f>
        <v>44259.66667</v>
      </c>
      <c r="B2812" s="1">
        <f>IFERROR(__xludf.DUMMYFUNCTION("""COMPUTED_VALUE"""),181.95)</f>
        <v>181.95</v>
      </c>
      <c r="C2812" s="1">
        <f>IFERROR(__xludf.DUMMYFUNCTION("""COMPUTED_VALUE"""),184.45)</f>
        <v>184.45</v>
      </c>
      <c r="D2812" s="1">
        <f>IFERROR(__xludf.DUMMYFUNCTION("""COMPUTED_VALUE"""),175.86)</f>
        <v>175.86</v>
      </c>
      <c r="E2812" s="1">
        <f>IFERROR(__xludf.DUMMYFUNCTION("""COMPUTED_VALUE"""),176.73)</f>
        <v>176.73</v>
      </c>
      <c r="F2812" s="1">
        <f>IFERROR(__xludf.DUMMYFUNCTION("""COMPUTED_VALUE"""),1703026.0)</f>
        <v>1703026</v>
      </c>
    </row>
    <row r="2813">
      <c r="A2813" s="2">
        <f>IFERROR(__xludf.DUMMYFUNCTION("""COMPUTED_VALUE"""),44260.66666666667)</f>
        <v>44260.66667</v>
      </c>
      <c r="B2813" s="1">
        <f>IFERROR(__xludf.DUMMYFUNCTION("""COMPUTED_VALUE"""),179.63)</f>
        <v>179.63</v>
      </c>
      <c r="C2813" s="1">
        <f>IFERROR(__xludf.DUMMYFUNCTION("""COMPUTED_VALUE"""),183.12)</f>
        <v>183.12</v>
      </c>
      <c r="D2813" s="1">
        <f>IFERROR(__xludf.DUMMYFUNCTION("""COMPUTED_VALUE"""),177.02)</f>
        <v>177.02</v>
      </c>
      <c r="E2813" s="1">
        <f>IFERROR(__xludf.DUMMYFUNCTION("""COMPUTED_VALUE"""),182.44)</f>
        <v>182.44</v>
      </c>
      <c r="F2813" s="1">
        <f>IFERROR(__xludf.DUMMYFUNCTION("""COMPUTED_VALUE"""),1019193.0)</f>
        <v>1019193</v>
      </c>
    </row>
    <row r="2814">
      <c r="A2814" s="2">
        <f>IFERROR(__xludf.DUMMYFUNCTION("""COMPUTED_VALUE"""),44263.66666666667)</f>
        <v>44263.66667</v>
      </c>
      <c r="B2814" s="1">
        <f>IFERROR(__xludf.DUMMYFUNCTION("""COMPUTED_VALUE"""),180.47)</f>
        <v>180.47</v>
      </c>
      <c r="C2814" s="1">
        <f>IFERROR(__xludf.DUMMYFUNCTION("""COMPUTED_VALUE"""),182.87)</f>
        <v>182.87</v>
      </c>
      <c r="D2814" s="1">
        <f>IFERROR(__xludf.DUMMYFUNCTION("""COMPUTED_VALUE"""),176.31)</f>
        <v>176.31</v>
      </c>
      <c r="E2814" s="1">
        <f>IFERROR(__xludf.DUMMYFUNCTION("""COMPUTED_VALUE"""),177.2)</f>
        <v>177.2</v>
      </c>
      <c r="F2814" s="1">
        <f>IFERROR(__xludf.DUMMYFUNCTION("""COMPUTED_VALUE"""),921209.0)</f>
        <v>921209</v>
      </c>
    </row>
    <row r="2815">
      <c r="A2815" s="2">
        <f>IFERROR(__xludf.DUMMYFUNCTION("""COMPUTED_VALUE"""),44264.66666666667)</f>
        <v>44264.66667</v>
      </c>
      <c r="B2815" s="1">
        <f>IFERROR(__xludf.DUMMYFUNCTION("""COMPUTED_VALUE"""),180.69)</f>
        <v>180.69</v>
      </c>
      <c r="C2815" s="1">
        <f>IFERROR(__xludf.DUMMYFUNCTION("""COMPUTED_VALUE"""),186.97)</f>
        <v>186.97</v>
      </c>
      <c r="D2815" s="1">
        <f>IFERROR(__xludf.DUMMYFUNCTION("""COMPUTED_VALUE"""),180.57)</f>
        <v>180.57</v>
      </c>
      <c r="E2815" s="1">
        <f>IFERROR(__xludf.DUMMYFUNCTION("""COMPUTED_VALUE"""),185.93)</f>
        <v>185.93</v>
      </c>
      <c r="F2815" s="1">
        <f>IFERROR(__xludf.DUMMYFUNCTION("""COMPUTED_VALUE"""),861706.0)</f>
        <v>861706</v>
      </c>
    </row>
    <row r="2816">
      <c r="A2816" s="2">
        <f>IFERROR(__xludf.DUMMYFUNCTION("""COMPUTED_VALUE"""),44265.66666666667)</f>
        <v>44265.66667</v>
      </c>
      <c r="B2816" s="1">
        <f>IFERROR(__xludf.DUMMYFUNCTION("""COMPUTED_VALUE"""),185.83)</f>
        <v>185.83</v>
      </c>
      <c r="C2816" s="1">
        <f>IFERROR(__xludf.DUMMYFUNCTION("""COMPUTED_VALUE"""),188.27)</f>
        <v>188.27</v>
      </c>
      <c r="D2816" s="1">
        <f>IFERROR(__xludf.DUMMYFUNCTION("""COMPUTED_VALUE"""),157.64)</f>
        <v>157.64</v>
      </c>
      <c r="E2816" s="1">
        <f>IFERROR(__xludf.DUMMYFUNCTION("""COMPUTED_VALUE"""),159.75)</f>
        <v>159.75</v>
      </c>
      <c r="F2816" s="1">
        <f>IFERROR(__xludf.DUMMYFUNCTION("""COMPUTED_VALUE"""),3635100.0)</f>
        <v>3635100</v>
      </c>
    </row>
    <row r="2817">
      <c r="A2817" s="2">
        <f>IFERROR(__xludf.DUMMYFUNCTION("""COMPUTED_VALUE"""),44266.66666666667)</f>
        <v>44266.66667</v>
      </c>
      <c r="B2817" s="1">
        <f>IFERROR(__xludf.DUMMYFUNCTION("""COMPUTED_VALUE"""),169.93)</f>
        <v>169.93</v>
      </c>
      <c r="C2817" s="1">
        <f>IFERROR(__xludf.DUMMYFUNCTION("""COMPUTED_VALUE"""),171.87)</f>
        <v>171.87</v>
      </c>
      <c r="D2817" s="1">
        <f>IFERROR(__xludf.DUMMYFUNCTION("""COMPUTED_VALUE"""),161.68)</f>
        <v>161.68</v>
      </c>
      <c r="E2817" s="1">
        <f>IFERROR(__xludf.DUMMYFUNCTION("""COMPUTED_VALUE"""),168.72)</f>
        <v>168.72</v>
      </c>
      <c r="F2817" s="1">
        <f>IFERROR(__xludf.DUMMYFUNCTION("""COMPUTED_VALUE"""),3004728.0)</f>
        <v>3004728</v>
      </c>
    </row>
    <row r="2818">
      <c r="A2818" s="2">
        <f>IFERROR(__xludf.DUMMYFUNCTION("""COMPUTED_VALUE"""),44267.66666666667)</f>
        <v>44267.66667</v>
      </c>
      <c r="B2818" s="1">
        <f>IFERROR(__xludf.DUMMYFUNCTION("""COMPUTED_VALUE"""),170.1)</f>
        <v>170.1</v>
      </c>
      <c r="C2818" s="1">
        <f>IFERROR(__xludf.DUMMYFUNCTION("""COMPUTED_VALUE"""),180.0)</f>
        <v>180</v>
      </c>
      <c r="D2818" s="1">
        <f>IFERROR(__xludf.DUMMYFUNCTION("""COMPUTED_VALUE"""),169.7)</f>
        <v>169.7</v>
      </c>
      <c r="E2818" s="1">
        <f>IFERROR(__xludf.DUMMYFUNCTION("""COMPUTED_VALUE"""),176.4)</f>
        <v>176.4</v>
      </c>
      <c r="F2818" s="1">
        <f>IFERROR(__xludf.DUMMYFUNCTION("""COMPUTED_VALUE"""),1.2965752E7)</f>
        <v>12965752</v>
      </c>
    </row>
    <row r="2819">
      <c r="A2819" s="2">
        <f>IFERROR(__xludf.DUMMYFUNCTION("""COMPUTED_VALUE"""),44270.66666666667)</f>
        <v>44270.66667</v>
      </c>
      <c r="B2819" s="1">
        <f>IFERROR(__xludf.DUMMYFUNCTION("""COMPUTED_VALUE"""),176.0)</f>
        <v>176</v>
      </c>
      <c r="C2819" s="1">
        <f>IFERROR(__xludf.DUMMYFUNCTION("""COMPUTED_VALUE"""),176.8)</f>
        <v>176.8</v>
      </c>
      <c r="D2819" s="1">
        <f>IFERROR(__xludf.DUMMYFUNCTION("""COMPUTED_VALUE"""),170.5)</f>
        <v>170.5</v>
      </c>
      <c r="E2819" s="1">
        <f>IFERROR(__xludf.DUMMYFUNCTION("""COMPUTED_VALUE"""),172.6)</f>
        <v>172.6</v>
      </c>
      <c r="F2819" s="1">
        <f>IFERROR(__xludf.DUMMYFUNCTION("""COMPUTED_VALUE"""),7153433.0)</f>
        <v>7153433</v>
      </c>
    </row>
    <row r="2820">
      <c r="A2820" s="2">
        <f>IFERROR(__xludf.DUMMYFUNCTION("""COMPUTED_VALUE"""),44271.66666666667)</f>
        <v>44271.66667</v>
      </c>
      <c r="B2820" s="1">
        <f>IFERROR(__xludf.DUMMYFUNCTION("""COMPUTED_VALUE"""),172.7)</f>
        <v>172.7</v>
      </c>
      <c r="C2820" s="1">
        <f>IFERROR(__xludf.DUMMYFUNCTION("""COMPUTED_VALUE"""),174.4)</f>
        <v>174.4</v>
      </c>
      <c r="D2820" s="1">
        <f>IFERROR(__xludf.DUMMYFUNCTION("""COMPUTED_VALUE"""),169.6)</f>
        <v>169.6</v>
      </c>
      <c r="E2820" s="1">
        <f>IFERROR(__xludf.DUMMYFUNCTION("""COMPUTED_VALUE"""),170.6)</f>
        <v>170.6</v>
      </c>
      <c r="F2820" s="1">
        <f>IFERROR(__xludf.DUMMYFUNCTION("""COMPUTED_VALUE"""),7863760.0)</f>
        <v>7863760</v>
      </c>
    </row>
    <row r="2821">
      <c r="A2821" s="2">
        <f>IFERROR(__xludf.DUMMYFUNCTION("""COMPUTED_VALUE"""),44272.66666666667)</f>
        <v>44272.66667</v>
      </c>
      <c r="B2821" s="1">
        <f>IFERROR(__xludf.DUMMYFUNCTION("""COMPUTED_VALUE"""),167.0)</f>
        <v>167</v>
      </c>
      <c r="C2821" s="1">
        <f>IFERROR(__xludf.DUMMYFUNCTION("""COMPUTED_VALUE"""),168.8)</f>
        <v>168.8</v>
      </c>
      <c r="D2821" s="1">
        <f>IFERROR(__xludf.DUMMYFUNCTION("""COMPUTED_VALUE"""),161.8)</f>
        <v>161.8</v>
      </c>
      <c r="E2821" s="1">
        <f>IFERROR(__xludf.DUMMYFUNCTION("""COMPUTED_VALUE"""),167.2)</f>
        <v>167.2</v>
      </c>
      <c r="F2821" s="1">
        <f>IFERROR(__xludf.DUMMYFUNCTION("""COMPUTED_VALUE"""),8189485.0)</f>
        <v>8189485</v>
      </c>
    </row>
    <row r="2822">
      <c r="A2822" s="2">
        <f>IFERROR(__xludf.DUMMYFUNCTION("""COMPUTED_VALUE"""),44273.66666666667)</f>
        <v>44273.66667</v>
      </c>
      <c r="B2822" s="1">
        <f>IFERROR(__xludf.DUMMYFUNCTION("""COMPUTED_VALUE"""),167.0)</f>
        <v>167</v>
      </c>
      <c r="C2822" s="1">
        <f>IFERROR(__xludf.DUMMYFUNCTION("""COMPUTED_VALUE"""),167.3)</f>
        <v>167.3</v>
      </c>
      <c r="D2822" s="1">
        <f>IFERROR(__xludf.DUMMYFUNCTION("""COMPUTED_VALUE"""),163.7)</f>
        <v>163.7</v>
      </c>
      <c r="E2822" s="1">
        <f>IFERROR(__xludf.DUMMYFUNCTION("""COMPUTED_VALUE"""),165.0)</f>
        <v>165</v>
      </c>
      <c r="F2822" s="1">
        <f>IFERROR(__xludf.DUMMYFUNCTION("""COMPUTED_VALUE"""),8205138.0)</f>
        <v>8205138</v>
      </c>
    </row>
    <row r="2823">
      <c r="A2823" s="2">
        <f>IFERROR(__xludf.DUMMYFUNCTION("""COMPUTED_VALUE"""),44274.66666666667)</f>
        <v>44274.66667</v>
      </c>
      <c r="B2823" s="1">
        <f>IFERROR(__xludf.DUMMYFUNCTION("""COMPUTED_VALUE"""),162.8)</f>
        <v>162.8</v>
      </c>
      <c r="C2823" s="1">
        <f>IFERROR(__xludf.DUMMYFUNCTION("""COMPUTED_VALUE"""),165.2)</f>
        <v>165.2</v>
      </c>
      <c r="D2823" s="1">
        <f>IFERROR(__xludf.DUMMYFUNCTION("""COMPUTED_VALUE"""),158.1)</f>
        <v>158.1</v>
      </c>
      <c r="E2823" s="1">
        <f>IFERROR(__xludf.DUMMYFUNCTION("""COMPUTED_VALUE"""),164.7)</f>
        <v>164.7</v>
      </c>
      <c r="F2823" s="1">
        <f>IFERROR(__xludf.DUMMYFUNCTION("""COMPUTED_VALUE"""),8626284.0)</f>
        <v>8626284</v>
      </c>
    </row>
    <row r="2824">
      <c r="A2824" s="2">
        <f>IFERROR(__xludf.DUMMYFUNCTION("""COMPUTED_VALUE"""),44277.66666666667)</f>
        <v>44277.66667</v>
      </c>
      <c r="B2824" s="1">
        <f>IFERROR(__xludf.DUMMYFUNCTION("""COMPUTED_VALUE"""),165.1)</f>
        <v>165.1</v>
      </c>
      <c r="C2824" s="1">
        <f>IFERROR(__xludf.DUMMYFUNCTION("""COMPUTED_VALUE"""),165.3)</f>
        <v>165.3</v>
      </c>
      <c r="D2824" s="1">
        <f>IFERROR(__xludf.DUMMYFUNCTION("""COMPUTED_VALUE"""),159.8)</f>
        <v>159.8</v>
      </c>
      <c r="E2824" s="1">
        <f>IFERROR(__xludf.DUMMYFUNCTION("""COMPUTED_VALUE"""),163.4)</f>
        <v>163.4</v>
      </c>
      <c r="F2824" s="1">
        <f>IFERROR(__xludf.DUMMYFUNCTION("""COMPUTED_VALUE"""),7611768.0)</f>
        <v>7611768</v>
      </c>
    </row>
    <row r="2825">
      <c r="A2825" s="2">
        <f>IFERROR(__xludf.DUMMYFUNCTION("""COMPUTED_VALUE"""),44278.66666666667)</f>
        <v>44278.66667</v>
      </c>
      <c r="B2825" s="1">
        <f>IFERROR(__xludf.DUMMYFUNCTION("""COMPUTED_VALUE"""),159.6)</f>
        <v>159.6</v>
      </c>
      <c r="C2825" s="1">
        <f>IFERROR(__xludf.DUMMYFUNCTION("""COMPUTED_VALUE"""),161.3)</f>
        <v>161.3</v>
      </c>
      <c r="D2825" s="1">
        <f>IFERROR(__xludf.DUMMYFUNCTION("""COMPUTED_VALUE"""),157.5)</f>
        <v>157.5</v>
      </c>
      <c r="E2825" s="1">
        <f>IFERROR(__xludf.DUMMYFUNCTION("""COMPUTED_VALUE"""),160.0)</f>
        <v>160</v>
      </c>
      <c r="F2825" s="1">
        <f>IFERROR(__xludf.DUMMYFUNCTION("""COMPUTED_VALUE"""),9211283.0)</f>
        <v>9211283</v>
      </c>
    </row>
    <row r="2826">
      <c r="A2826" s="2">
        <f>IFERROR(__xludf.DUMMYFUNCTION("""COMPUTED_VALUE"""),44279.66666666667)</f>
        <v>44279.66667</v>
      </c>
      <c r="B2826" s="1">
        <f>IFERROR(__xludf.DUMMYFUNCTION("""COMPUTED_VALUE"""),160.0)</f>
        <v>160</v>
      </c>
      <c r="C2826" s="1">
        <f>IFERROR(__xludf.DUMMYFUNCTION("""COMPUTED_VALUE"""),160.85)</f>
        <v>160.85</v>
      </c>
      <c r="D2826" s="1">
        <f>IFERROR(__xludf.DUMMYFUNCTION("""COMPUTED_VALUE"""),154.7)</f>
        <v>154.7</v>
      </c>
      <c r="E2826" s="1">
        <f>IFERROR(__xludf.DUMMYFUNCTION("""COMPUTED_VALUE"""),155.7)</f>
        <v>155.7</v>
      </c>
      <c r="F2826" s="1">
        <f>IFERROR(__xludf.DUMMYFUNCTION("""COMPUTED_VALUE"""),1.6578951E7)</f>
        <v>16578951</v>
      </c>
    </row>
    <row r="2827">
      <c r="A2827" s="2">
        <f>IFERROR(__xludf.DUMMYFUNCTION("""COMPUTED_VALUE"""),44280.66666666667)</f>
        <v>44280.66667</v>
      </c>
      <c r="B2827" s="1">
        <f>IFERROR(__xludf.DUMMYFUNCTION("""COMPUTED_VALUE"""),156.2)</f>
        <v>156.2</v>
      </c>
      <c r="C2827" s="1">
        <f>IFERROR(__xludf.DUMMYFUNCTION("""COMPUTED_VALUE"""),160.4)</f>
        <v>160.4</v>
      </c>
      <c r="D2827" s="1">
        <f>IFERROR(__xludf.DUMMYFUNCTION("""COMPUTED_VALUE"""),151.9)</f>
        <v>151.9</v>
      </c>
      <c r="E2827" s="1">
        <f>IFERROR(__xludf.DUMMYFUNCTION("""COMPUTED_VALUE"""),160.1)</f>
        <v>160.1</v>
      </c>
      <c r="F2827" s="1">
        <f>IFERROR(__xludf.DUMMYFUNCTION("""COMPUTED_VALUE"""),1.4793832E7)</f>
        <v>14793832</v>
      </c>
    </row>
    <row r="2828">
      <c r="A2828" s="2">
        <f>IFERROR(__xludf.DUMMYFUNCTION("""COMPUTED_VALUE"""),44281.66666666667)</f>
        <v>44281.66667</v>
      </c>
      <c r="B2828" s="1">
        <f>IFERROR(__xludf.DUMMYFUNCTION("""COMPUTED_VALUE"""),144.1)</f>
        <v>144.1</v>
      </c>
      <c r="C2828" s="1">
        <f>IFERROR(__xludf.DUMMYFUNCTION("""COMPUTED_VALUE"""),147.2)</f>
        <v>147.2</v>
      </c>
      <c r="D2828" s="1">
        <f>IFERROR(__xludf.DUMMYFUNCTION("""COMPUTED_VALUE"""),122.7)</f>
        <v>122.7</v>
      </c>
      <c r="E2828" s="1">
        <f>IFERROR(__xludf.DUMMYFUNCTION("""COMPUTED_VALUE"""),142.3)</f>
        <v>142.3</v>
      </c>
      <c r="F2828" s="1">
        <f>IFERROR(__xludf.DUMMYFUNCTION("""COMPUTED_VALUE"""),1.11756354E8)</f>
        <v>111756354</v>
      </c>
    </row>
    <row r="2829">
      <c r="A2829" s="2">
        <f>IFERROR(__xludf.DUMMYFUNCTION("""COMPUTED_VALUE"""),44284.66666666667)</f>
        <v>44284.66667</v>
      </c>
      <c r="B2829" s="1">
        <f>IFERROR(__xludf.DUMMYFUNCTION("""COMPUTED_VALUE"""),141.7)</f>
        <v>141.7</v>
      </c>
      <c r="C2829" s="1">
        <f>IFERROR(__xludf.DUMMYFUNCTION("""COMPUTED_VALUE"""),144.8)</f>
        <v>144.8</v>
      </c>
      <c r="D2829" s="1">
        <f>IFERROR(__xludf.DUMMYFUNCTION("""COMPUTED_VALUE"""),131.4)</f>
        <v>131.4</v>
      </c>
      <c r="E2829" s="1">
        <f>IFERROR(__xludf.DUMMYFUNCTION("""COMPUTED_VALUE"""),137.9)</f>
        <v>137.9</v>
      </c>
      <c r="F2829" s="1">
        <f>IFERROR(__xludf.DUMMYFUNCTION("""COMPUTED_VALUE"""),4.4259071E7)</f>
        <v>44259071</v>
      </c>
    </row>
    <row r="2830">
      <c r="A2830" s="2">
        <f>IFERROR(__xludf.DUMMYFUNCTION("""COMPUTED_VALUE"""),44285.66666666667)</f>
        <v>44285.66667</v>
      </c>
      <c r="B2830" s="1">
        <f>IFERROR(__xludf.DUMMYFUNCTION("""COMPUTED_VALUE"""),137.6)</f>
        <v>137.6</v>
      </c>
      <c r="C2830" s="1">
        <f>IFERROR(__xludf.DUMMYFUNCTION("""COMPUTED_VALUE"""),142.1)</f>
        <v>142.1</v>
      </c>
      <c r="D2830" s="1">
        <f>IFERROR(__xludf.DUMMYFUNCTION("""COMPUTED_VALUE"""),134.5)</f>
        <v>134.5</v>
      </c>
      <c r="E2830" s="1">
        <f>IFERROR(__xludf.DUMMYFUNCTION("""COMPUTED_VALUE"""),141.6)</f>
        <v>141.6</v>
      </c>
      <c r="F2830" s="1">
        <f>IFERROR(__xludf.DUMMYFUNCTION("""COMPUTED_VALUE"""),1.6375797E7)</f>
        <v>16375797</v>
      </c>
    </row>
    <row r="2831">
      <c r="A2831" s="2">
        <f>IFERROR(__xludf.DUMMYFUNCTION("""COMPUTED_VALUE"""),44286.66666666667)</f>
        <v>44286.66667</v>
      </c>
      <c r="B2831" s="1">
        <f>IFERROR(__xludf.DUMMYFUNCTION("""COMPUTED_VALUE"""),143.2)</f>
        <v>143.2</v>
      </c>
      <c r="C2831" s="1">
        <f>IFERROR(__xludf.DUMMYFUNCTION("""COMPUTED_VALUE"""),146.3)</f>
        <v>146.3</v>
      </c>
      <c r="D2831" s="1">
        <f>IFERROR(__xludf.DUMMYFUNCTION("""COMPUTED_VALUE"""),138.0)</f>
        <v>138</v>
      </c>
      <c r="E2831" s="1">
        <f>IFERROR(__xludf.DUMMYFUNCTION("""COMPUTED_VALUE"""),140.0)</f>
        <v>140</v>
      </c>
      <c r="F2831" s="1">
        <f>IFERROR(__xludf.DUMMYFUNCTION("""COMPUTED_VALUE"""),1.475098E7)</f>
        <v>14750980</v>
      </c>
    </row>
    <row r="2832">
      <c r="A2832" s="2">
        <f>IFERROR(__xludf.DUMMYFUNCTION("""COMPUTED_VALUE"""),44287.66666666667)</f>
        <v>44287.66667</v>
      </c>
      <c r="B2832" s="1">
        <f>IFERROR(__xludf.DUMMYFUNCTION("""COMPUTED_VALUE"""),144.2)</f>
        <v>144.2</v>
      </c>
      <c r="C2832" s="1">
        <f>IFERROR(__xludf.DUMMYFUNCTION("""COMPUTED_VALUE"""),149.9)</f>
        <v>149.9</v>
      </c>
      <c r="D2832" s="1">
        <f>IFERROR(__xludf.DUMMYFUNCTION("""COMPUTED_VALUE"""),143.2)</f>
        <v>143.2</v>
      </c>
      <c r="E2832" s="1">
        <f>IFERROR(__xludf.DUMMYFUNCTION("""COMPUTED_VALUE"""),145.0)</f>
        <v>145</v>
      </c>
      <c r="F2832" s="1">
        <f>IFERROR(__xludf.DUMMYFUNCTION("""COMPUTED_VALUE"""),1.0818508E7)</f>
        <v>10818508</v>
      </c>
    </row>
    <row r="2833">
      <c r="A2833" s="2">
        <f>IFERROR(__xludf.DUMMYFUNCTION("""COMPUTED_VALUE"""),44291.66666666667)</f>
        <v>44291.66667</v>
      </c>
      <c r="B2833" s="1">
        <f>IFERROR(__xludf.DUMMYFUNCTION("""COMPUTED_VALUE"""),147.2)</f>
        <v>147.2</v>
      </c>
      <c r="C2833" s="1">
        <f>IFERROR(__xludf.DUMMYFUNCTION("""COMPUTED_VALUE"""),147.7)</f>
        <v>147.7</v>
      </c>
      <c r="D2833" s="1">
        <f>IFERROR(__xludf.DUMMYFUNCTION("""COMPUTED_VALUE"""),141.0)</f>
        <v>141</v>
      </c>
      <c r="E2833" s="1">
        <f>IFERROR(__xludf.DUMMYFUNCTION("""COMPUTED_VALUE"""),142.9)</f>
        <v>142.9</v>
      </c>
      <c r="F2833" s="1">
        <f>IFERROR(__xludf.DUMMYFUNCTION("""COMPUTED_VALUE"""),6024558.0)</f>
        <v>6024558</v>
      </c>
    </row>
    <row r="2834">
      <c r="A2834" s="2">
        <f>IFERROR(__xludf.DUMMYFUNCTION("""COMPUTED_VALUE"""),44292.66666666667)</f>
        <v>44292.66667</v>
      </c>
      <c r="B2834" s="1">
        <f>IFERROR(__xludf.DUMMYFUNCTION("""COMPUTED_VALUE"""),143.2)</f>
        <v>143.2</v>
      </c>
      <c r="C2834" s="1">
        <f>IFERROR(__xludf.DUMMYFUNCTION("""COMPUTED_VALUE"""),152.6)</f>
        <v>152.6</v>
      </c>
      <c r="D2834" s="1">
        <f>IFERROR(__xludf.DUMMYFUNCTION("""COMPUTED_VALUE"""),143.2)</f>
        <v>143.2</v>
      </c>
      <c r="E2834" s="1">
        <f>IFERROR(__xludf.DUMMYFUNCTION("""COMPUTED_VALUE"""),147.4)</f>
        <v>147.4</v>
      </c>
      <c r="F2834" s="1">
        <f>IFERROR(__xludf.DUMMYFUNCTION("""COMPUTED_VALUE"""),1.5388959E7)</f>
        <v>15388959</v>
      </c>
    </row>
    <row r="2835">
      <c r="A2835" s="2">
        <f>IFERROR(__xludf.DUMMYFUNCTION("""COMPUTED_VALUE"""),44293.66666666667)</f>
        <v>44293.66667</v>
      </c>
      <c r="B2835" s="1">
        <f>IFERROR(__xludf.DUMMYFUNCTION("""COMPUTED_VALUE"""),147.6)</f>
        <v>147.6</v>
      </c>
      <c r="C2835" s="1">
        <f>IFERROR(__xludf.DUMMYFUNCTION("""COMPUTED_VALUE"""),149.0)</f>
        <v>149</v>
      </c>
      <c r="D2835" s="1">
        <f>IFERROR(__xludf.DUMMYFUNCTION("""COMPUTED_VALUE"""),145.15)</f>
        <v>145.15</v>
      </c>
      <c r="E2835" s="1">
        <f>IFERROR(__xludf.DUMMYFUNCTION("""COMPUTED_VALUE"""),145.8)</f>
        <v>145.8</v>
      </c>
      <c r="F2835" s="1">
        <f>IFERROR(__xludf.DUMMYFUNCTION("""COMPUTED_VALUE"""),1.0864849E7)</f>
        <v>10864849</v>
      </c>
    </row>
    <row r="2836">
      <c r="A2836" s="2">
        <f>IFERROR(__xludf.DUMMYFUNCTION("""COMPUTED_VALUE"""),44294.66666666667)</f>
        <v>44294.66667</v>
      </c>
      <c r="B2836" s="1">
        <f>IFERROR(__xludf.DUMMYFUNCTION("""COMPUTED_VALUE"""),147.5)</f>
        <v>147.5</v>
      </c>
      <c r="C2836" s="1">
        <f>IFERROR(__xludf.DUMMYFUNCTION("""COMPUTED_VALUE"""),148.3)</f>
        <v>148.3</v>
      </c>
      <c r="D2836" s="1">
        <f>IFERROR(__xludf.DUMMYFUNCTION("""COMPUTED_VALUE"""),144.2)</f>
        <v>144.2</v>
      </c>
      <c r="E2836" s="1">
        <f>IFERROR(__xludf.DUMMYFUNCTION("""COMPUTED_VALUE"""),146.5)</f>
        <v>146.5</v>
      </c>
      <c r="F2836" s="1">
        <f>IFERROR(__xludf.DUMMYFUNCTION("""COMPUTED_VALUE"""),7917091.0)</f>
        <v>7917091</v>
      </c>
    </row>
    <row r="2837">
      <c r="A2837" s="2">
        <f>IFERROR(__xludf.DUMMYFUNCTION("""COMPUTED_VALUE"""),44295.66666666667)</f>
        <v>44295.66667</v>
      </c>
      <c r="B2837" s="1">
        <f>IFERROR(__xludf.DUMMYFUNCTION("""COMPUTED_VALUE"""),143.7)</f>
        <v>143.7</v>
      </c>
      <c r="C2837" s="1">
        <f>IFERROR(__xludf.DUMMYFUNCTION("""COMPUTED_VALUE"""),147.6)</f>
        <v>147.6</v>
      </c>
      <c r="D2837" s="1">
        <f>IFERROR(__xludf.DUMMYFUNCTION("""COMPUTED_VALUE"""),142.3)</f>
        <v>142.3</v>
      </c>
      <c r="E2837" s="1">
        <f>IFERROR(__xludf.DUMMYFUNCTION("""COMPUTED_VALUE"""),147.1)</f>
        <v>147.1</v>
      </c>
      <c r="F2837" s="1">
        <f>IFERROR(__xludf.DUMMYFUNCTION("""COMPUTED_VALUE"""),1.0688854E7)</f>
        <v>10688854</v>
      </c>
    </row>
    <row r="2838">
      <c r="A2838" s="2">
        <f>IFERROR(__xludf.DUMMYFUNCTION("""COMPUTED_VALUE"""),44298.66666666667)</f>
        <v>44298.66667</v>
      </c>
      <c r="B2838" s="1">
        <f>IFERROR(__xludf.DUMMYFUNCTION("""COMPUTED_VALUE"""),146.0)</f>
        <v>146</v>
      </c>
      <c r="C2838" s="1">
        <f>IFERROR(__xludf.DUMMYFUNCTION("""COMPUTED_VALUE"""),149.5)</f>
        <v>149.5</v>
      </c>
      <c r="D2838" s="1">
        <f>IFERROR(__xludf.DUMMYFUNCTION("""COMPUTED_VALUE"""),145.5)</f>
        <v>145.5</v>
      </c>
      <c r="E2838" s="1">
        <f>IFERROR(__xludf.DUMMYFUNCTION("""COMPUTED_VALUE"""),147.8)</f>
        <v>147.8</v>
      </c>
      <c r="F2838" s="1">
        <f>IFERROR(__xludf.DUMMYFUNCTION("""COMPUTED_VALUE"""),7370934.0)</f>
        <v>7370934</v>
      </c>
    </row>
    <row r="2839">
      <c r="A2839" s="2">
        <f>IFERROR(__xludf.DUMMYFUNCTION("""COMPUTED_VALUE"""),44299.66666666667)</f>
        <v>44299.66667</v>
      </c>
      <c r="B2839" s="1">
        <f>IFERROR(__xludf.DUMMYFUNCTION("""COMPUTED_VALUE"""),147.9)</f>
        <v>147.9</v>
      </c>
      <c r="C2839" s="1">
        <f>IFERROR(__xludf.DUMMYFUNCTION("""COMPUTED_VALUE"""),151.75)</f>
        <v>151.75</v>
      </c>
      <c r="D2839" s="1">
        <f>IFERROR(__xludf.DUMMYFUNCTION("""COMPUTED_VALUE"""),145.5)</f>
        <v>145.5</v>
      </c>
      <c r="E2839" s="1">
        <f>IFERROR(__xludf.DUMMYFUNCTION("""COMPUTED_VALUE"""),146.1)</f>
        <v>146.1</v>
      </c>
      <c r="F2839" s="1">
        <f>IFERROR(__xludf.DUMMYFUNCTION("""COMPUTED_VALUE"""),7805694.0)</f>
        <v>7805694</v>
      </c>
    </row>
    <row r="2840">
      <c r="A2840" s="2">
        <f>IFERROR(__xludf.DUMMYFUNCTION("""COMPUTED_VALUE"""),44300.66666666667)</f>
        <v>44300.66667</v>
      </c>
      <c r="B2840" s="1">
        <f>IFERROR(__xludf.DUMMYFUNCTION("""COMPUTED_VALUE"""),147.2)</f>
        <v>147.2</v>
      </c>
      <c r="C2840" s="1">
        <f>IFERROR(__xludf.DUMMYFUNCTION("""COMPUTED_VALUE"""),150.4)</f>
        <v>150.4</v>
      </c>
      <c r="D2840" s="1">
        <f>IFERROR(__xludf.DUMMYFUNCTION("""COMPUTED_VALUE"""),145.9)</f>
        <v>145.9</v>
      </c>
      <c r="E2840" s="1">
        <f>IFERROR(__xludf.DUMMYFUNCTION("""COMPUTED_VALUE"""),146.8)</f>
        <v>146.8</v>
      </c>
      <c r="F2840" s="1">
        <f>IFERROR(__xludf.DUMMYFUNCTION("""COMPUTED_VALUE"""),1.0320298E7)</f>
        <v>10320298</v>
      </c>
    </row>
    <row r="2841">
      <c r="A2841" s="2">
        <f>IFERROR(__xludf.DUMMYFUNCTION("""COMPUTED_VALUE"""),44301.66666666667)</f>
        <v>44301.66667</v>
      </c>
      <c r="B2841" s="1">
        <f>IFERROR(__xludf.DUMMYFUNCTION("""COMPUTED_VALUE"""),145.2)</f>
        <v>145.2</v>
      </c>
      <c r="C2841" s="1">
        <f>IFERROR(__xludf.DUMMYFUNCTION("""COMPUTED_VALUE"""),148.4)</f>
        <v>148.4</v>
      </c>
      <c r="D2841" s="1">
        <f>IFERROR(__xludf.DUMMYFUNCTION("""COMPUTED_VALUE"""),143.1)</f>
        <v>143.1</v>
      </c>
      <c r="E2841" s="1">
        <f>IFERROR(__xludf.DUMMYFUNCTION("""COMPUTED_VALUE"""),147.5)</f>
        <v>147.5</v>
      </c>
      <c r="F2841" s="1">
        <f>IFERROR(__xludf.DUMMYFUNCTION("""COMPUTED_VALUE"""),1.1498797E7)</f>
        <v>11498797</v>
      </c>
    </row>
    <row r="2842">
      <c r="A2842" s="2">
        <f>IFERROR(__xludf.DUMMYFUNCTION("""COMPUTED_VALUE"""),44302.66666666667)</f>
        <v>44302.66667</v>
      </c>
      <c r="B2842" s="1">
        <f>IFERROR(__xludf.DUMMYFUNCTION("""COMPUTED_VALUE"""),149.3)</f>
        <v>149.3</v>
      </c>
      <c r="C2842" s="1">
        <f>IFERROR(__xludf.DUMMYFUNCTION("""COMPUTED_VALUE"""),150.7)</f>
        <v>150.7</v>
      </c>
      <c r="D2842" s="1">
        <f>IFERROR(__xludf.DUMMYFUNCTION("""COMPUTED_VALUE"""),147.9)</f>
        <v>147.9</v>
      </c>
      <c r="E2842" s="1">
        <f>IFERROR(__xludf.DUMMYFUNCTION("""COMPUTED_VALUE"""),150.1)</f>
        <v>150.1</v>
      </c>
      <c r="F2842" s="1">
        <f>IFERROR(__xludf.DUMMYFUNCTION("""COMPUTED_VALUE"""),7400141.0)</f>
        <v>7400141</v>
      </c>
    </row>
    <row r="2843">
      <c r="A2843" s="2">
        <f>IFERROR(__xludf.DUMMYFUNCTION("""COMPUTED_VALUE"""),44305.66666666667)</f>
        <v>44305.66667</v>
      </c>
      <c r="B2843" s="1">
        <f>IFERROR(__xludf.DUMMYFUNCTION("""COMPUTED_VALUE"""),149.6)</f>
        <v>149.6</v>
      </c>
      <c r="C2843" s="1">
        <f>IFERROR(__xludf.DUMMYFUNCTION("""COMPUTED_VALUE"""),152.85)</f>
        <v>152.85</v>
      </c>
      <c r="D2843" s="1">
        <f>IFERROR(__xludf.DUMMYFUNCTION("""COMPUTED_VALUE"""),149.2)</f>
        <v>149.2</v>
      </c>
      <c r="E2843" s="1">
        <f>IFERROR(__xludf.DUMMYFUNCTION("""COMPUTED_VALUE"""),151.8)</f>
        <v>151.8</v>
      </c>
      <c r="F2843" s="1">
        <f>IFERROR(__xludf.DUMMYFUNCTION("""COMPUTED_VALUE"""),9676767.0)</f>
        <v>9676767</v>
      </c>
    </row>
    <row r="2844">
      <c r="A2844" s="2">
        <f>IFERROR(__xludf.DUMMYFUNCTION("""COMPUTED_VALUE"""),44306.66666666667)</f>
        <v>44306.66667</v>
      </c>
      <c r="B2844" s="1">
        <f>IFERROR(__xludf.DUMMYFUNCTION("""COMPUTED_VALUE"""),161.98)</f>
        <v>161.98</v>
      </c>
      <c r="C2844" s="1">
        <f>IFERROR(__xludf.DUMMYFUNCTION("""COMPUTED_VALUE"""),168.8)</f>
        <v>168.8</v>
      </c>
      <c r="D2844" s="1">
        <f>IFERROR(__xludf.DUMMYFUNCTION("""COMPUTED_VALUE"""),154.1)</f>
        <v>154.1</v>
      </c>
      <c r="E2844" s="1">
        <f>IFERROR(__xludf.DUMMYFUNCTION("""COMPUTED_VALUE"""),161.6)</f>
        <v>161.6</v>
      </c>
      <c r="F2844" s="1">
        <f>IFERROR(__xludf.DUMMYFUNCTION("""COMPUTED_VALUE"""),3.1350494E7)</f>
        <v>31350494</v>
      </c>
    </row>
    <row r="2845">
      <c r="A2845" s="2">
        <f>IFERROR(__xludf.DUMMYFUNCTION("""COMPUTED_VALUE"""),44307.66666666667)</f>
        <v>44307.66667</v>
      </c>
      <c r="B2845" s="1">
        <f>IFERROR(__xludf.DUMMYFUNCTION("""COMPUTED_VALUE"""),158.0)</f>
        <v>158</v>
      </c>
      <c r="C2845" s="1">
        <f>IFERROR(__xludf.DUMMYFUNCTION("""COMPUTED_VALUE"""),166.3)</f>
        <v>166.3</v>
      </c>
      <c r="D2845" s="1">
        <f>IFERROR(__xludf.DUMMYFUNCTION("""COMPUTED_VALUE"""),157.9)</f>
        <v>157.9</v>
      </c>
      <c r="E2845" s="1">
        <f>IFERROR(__xludf.DUMMYFUNCTION("""COMPUTED_VALUE"""),164.5)</f>
        <v>164.5</v>
      </c>
      <c r="F2845" s="1">
        <f>IFERROR(__xludf.DUMMYFUNCTION("""COMPUTED_VALUE"""),1.5020995E7)</f>
        <v>15020995</v>
      </c>
    </row>
    <row r="2846">
      <c r="A2846" s="2">
        <f>IFERROR(__xludf.DUMMYFUNCTION("""COMPUTED_VALUE"""),44308.66666666667)</f>
        <v>44308.66667</v>
      </c>
      <c r="B2846" s="1">
        <f>IFERROR(__xludf.DUMMYFUNCTION("""COMPUTED_VALUE"""),167.2)</f>
        <v>167.2</v>
      </c>
      <c r="C2846" s="1">
        <f>IFERROR(__xludf.DUMMYFUNCTION("""COMPUTED_VALUE"""),167.8)</f>
        <v>167.8</v>
      </c>
      <c r="D2846" s="1">
        <f>IFERROR(__xludf.DUMMYFUNCTION("""COMPUTED_VALUE"""),161.85)</f>
        <v>161.85</v>
      </c>
      <c r="E2846" s="1">
        <f>IFERROR(__xludf.DUMMYFUNCTION("""COMPUTED_VALUE"""),162.9)</f>
        <v>162.9</v>
      </c>
      <c r="F2846" s="1">
        <f>IFERROR(__xludf.DUMMYFUNCTION("""COMPUTED_VALUE"""),1.4315449E7)</f>
        <v>14315449</v>
      </c>
    </row>
    <row r="2847">
      <c r="A2847" s="2">
        <f>IFERROR(__xludf.DUMMYFUNCTION("""COMPUTED_VALUE"""),44309.66666666667)</f>
        <v>44309.66667</v>
      </c>
      <c r="B2847" s="1">
        <f>IFERROR(__xludf.DUMMYFUNCTION("""COMPUTED_VALUE"""),162.2)</f>
        <v>162.2</v>
      </c>
      <c r="C2847" s="1">
        <f>IFERROR(__xludf.DUMMYFUNCTION("""COMPUTED_VALUE"""),165.05)</f>
        <v>165.05</v>
      </c>
      <c r="D2847" s="1">
        <f>IFERROR(__xludf.DUMMYFUNCTION("""COMPUTED_VALUE"""),159.9)</f>
        <v>159.9</v>
      </c>
      <c r="E2847" s="1">
        <f>IFERROR(__xludf.DUMMYFUNCTION("""COMPUTED_VALUE"""),161.0)</f>
        <v>161</v>
      </c>
      <c r="F2847" s="1">
        <f>IFERROR(__xludf.DUMMYFUNCTION("""COMPUTED_VALUE"""),1.621087E7)</f>
        <v>16210870</v>
      </c>
    </row>
    <row r="2848">
      <c r="A2848" s="2">
        <f>IFERROR(__xludf.DUMMYFUNCTION("""COMPUTED_VALUE"""),44312.66666666667)</f>
        <v>44312.66667</v>
      </c>
      <c r="B2848" s="1">
        <f>IFERROR(__xludf.DUMMYFUNCTION("""COMPUTED_VALUE"""),156.1)</f>
        <v>156.1</v>
      </c>
      <c r="C2848" s="1">
        <f>IFERROR(__xludf.DUMMYFUNCTION("""COMPUTED_VALUE"""),162.4)</f>
        <v>162.4</v>
      </c>
      <c r="D2848" s="1">
        <f>IFERROR(__xludf.DUMMYFUNCTION("""COMPUTED_VALUE"""),153.9)</f>
        <v>153.9</v>
      </c>
      <c r="E2848" s="1">
        <f>IFERROR(__xludf.DUMMYFUNCTION("""COMPUTED_VALUE"""),162.2)</f>
        <v>162.2</v>
      </c>
      <c r="F2848" s="1">
        <f>IFERROR(__xludf.DUMMYFUNCTION("""COMPUTED_VALUE"""),1.5093171E7)</f>
        <v>15093171</v>
      </c>
    </row>
    <row r="2849">
      <c r="A2849" s="2">
        <f>IFERROR(__xludf.DUMMYFUNCTION("""COMPUTED_VALUE"""),44313.66666666667)</f>
        <v>44313.66667</v>
      </c>
      <c r="B2849" s="1">
        <f>IFERROR(__xludf.DUMMYFUNCTION("""COMPUTED_VALUE"""),162.8)</f>
        <v>162.8</v>
      </c>
      <c r="C2849" s="1">
        <f>IFERROR(__xludf.DUMMYFUNCTION("""COMPUTED_VALUE"""),163.5)</f>
        <v>163.5</v>
      </c>
      <c r="D2849" s="1">
        <f>IFERROR(__xludf.DUMMYFUNCTION("""COMPUTED_VALUE"""),156.8)</f>
        <v>156.8</v>
      </c>
      <c r="E2849" s="1">
        <f>IFERROR(__xludf.DUMMYFUNCTION("""COMPUTED_VALUE"""),158.5)</f>
        <v>158.5</v>
      </c>
      <c r="F2849" s="1">
        <f>IFERROR(__xludf.DUMMYFUNCTION("""COMPUTED_VALUE"""),1.3405129E7)</f>
        <v>13405129</v>
      </c>
    </row>
    <row r="2850">
      <c r="A2850" s="2">
        <f>IFERROR(__xludf.DUMMYFUNCTION("""COMPUTED_VALUE"""),44314.66666666667)</f>
        <v>44314.66667</v>
      </c>
      <c r="B2850" s="1">
        <f>IFERROR(__xludf.DUMMYFUNCTION("""COMPUTED_VALUE"""),160.0)</f>
        <v>160</v>
      </c>
      <c r="C2850" s="1">
        <f>IFERROR(__xludf.DUMMYFUNCTION("""COMPUTED_VALUE"""),161.3)</f>
        <v>161.3</v>
      </c>
      <c r="D2850" s="1">
        <f>IFERROR(__xludf.DUMMYFUNCTION("""COMPUTED_VALUE"""),157.5)</f>
        <v>157.5</v>
      </c>
      <c r="E2850" s="1">
        <f>IFERROR(__xludf.DUMMYFUNCTION("""COMPUTED_VALUE"""),160.4)</f>
        <v>160.4</v>
      </c>
      <c r="F2850" s="1">
        <f>IFERROR(__xludf.DUMMYFUNCTION("""COMPUTED_VALUE"""),6768569.0)</f>
        <v>6768569</v>
      </c>
    </row>
    <row r="2851">
      <c r="A2851" s="2">
        <f>IFERROR(__xludf.DUMMYFUNCTION("""COMPUTED_VALUE"""),44315.66666666667)</f>
        <v>44315.66667</v>
      </c>
      <c r="B2851" s="1">
        <f>IFERROR(__xludf.DUMMYFUNCTION("""COMPUTED_VALUE"""),162.0)</f>
        <v>162</v>
      </c>
      <c r="C2851" s="1">
        <f>IFERROR(__xludf.DUMMYFUNCTION("""COMPUTED_VALUE"""),164.4)</f>
        <v>164.4</v>
      </c>
      <c r="D2851" s="1">
        <f>IFERROR(__xludf.DUMMYFUNCTION("""COMPUTED_VALUE"""),156.0)</f>
        <v>156</v>
      </c>
      <c r="E2851" s="1">
        <f>IFERROR(__xludf.DUMMYFUNCTION("""COMPUTED_VALUE"""),156.1)</f>
        <v>156.1</v>
      </c>
      <c r="F2851" s="1">
        <f>IFERROR(__xludf.DUMMYFUNCTION("""COMPUTED_VALUE"""),7469270.0)</f>
        <v>7469270</v>
      </c>
    </row>
    <row r="2852">
      <c r="A2852" s="2">
        <f>IFERROR(__xludf.DUMMYFUNCTION("""COMPUTED_VALUE"""),44316.66666666667)</f>
        <v>44316.66667</v>
      </c>
      <c r="B2852" s="1">
        <f>IFERROR(__xludf.DUMMYFUNCTION("""COMPUTED_VALUE"""),154.7)</f>
        <v>154.7</v>
      </c>
      <c r="C2852" s="1">
        <f>IFERROR(__xludf.DUMMYFUNCTION("""COMPUTED_VALUE"""),156.0)</f>
        <v>156</v>
      </c>
      <c r="D2852" s="1">
        <f>IFERROR(__xludf.DUMMYFUNCTION("""COMPUTED_VALUE"""),152.6)</f>
        <v>152.6</v>
      </c>
      <c r="E2852" s="1">
        <f>IFERROR(__xludf.DUMMYFUNCTION("""COMPUTED_VALUE"""),152.6)</f>
        <v>152.6</v>
      </c>
      <c r="F2852" s="1">
        <f>IFERROR(__xludf.DUMMYFUNCTION("""COMPUTED_VALUE"""),1.4620619E7)</f>
        <v>14620619</v>
      </c>
    </row>
    <row r="2853">
      <c r="A2853" s="2">
        <f>IFERROR(__xludf.DUMMYFUNCTION("""COMPUTED_VALUE"""),44319.66666666667)</f>
        <v>44319.66667</v>
      </c>
      <c r="B2853" s="1">
        <f>IFERROR(__xludf.DUMMYFUNCTION("""COMPUTED_VALUE"""),152.0)</f>
        <v>152</v>
      </c>
      <c r="C2853" s="1">
        <f>IFERROR(__xludf.DUMMYFUNCTION("""COMPUTED_VALUE"""),153.4)</f>
        <v>153.4</v>
      </c>
      <c r="D2853" s="1">
        <f>IFERROR(__xludf.DUMMYFUNCTION("""COMPUTED_VALUE"""),150.4)</f>
        <v>150.4</v>
      </c>
      <c r="E2853" s="1">
        <f>IFERROR(__xludf.DUMMYFUNCTION("""COMPUTED_VALUE"""),151.0)</f>
        <v>151</v>
      </c>
      <c r="F2853" s="1">
        <f>IFERROR(__xludf.DUMMYFUNCTION("""COMPUTED_VALUE"""),6800828.0)</f>
        <v>6800828</v>
      </c>
    </row>
    <row r="2854">
      <c r="A2854" s="2">
        <f>IFERROR(__xludf.DUMMYFUNCTION("""COMPUTED_VALUE"""),44320.66666666667)</f>
        <v>44320.66667</v>
      </c>
      <c r="B2854" s="1">
        <f>IFERROR(__xludf.DUMMYFUNCTION("""COMPUTED_VALUE"""),150.2)</f>
        <v>150.2</v>
      </c>
      <c r="C2854" s="1">
        <f>IFERROR(__xludf.DUMMYFUNCTION("""COMPUTED_VALUE"""),152.3)</f>
        <v>152.3</v>
      </c>
      <c r="D2854" s="1">
        <f>IFERROR(__xludf.DUMMYFUNCTION("""COMPUTED_VALUE"""),148.35)</f>
        <v>148.35</v>
      </c>
      <c r="E2854" s="1">
        <f>IFERROR(__xludf.DUMMYFUNCTION("""COMPUTED_VALUE"""),150.8)</f>
        <v>150.8</v>
      </c>
      <c r="F2854" s="1">
        <f>IFERROR(__xludf.DUMMYFUNCTION("""COMPUTED_VALUE"""),9406300.0)</f>
        <v>9406300</v>
      </c>
    </row>
    <row r="2855">
      <c r="A2855" s="2">
        <f>IFERROR(__xludf.DUMMYFUNCTION("""COMPUTED_VALUE"""),44321.66666666667)</f>
        <v>44321.66667</v>
      </c>
      <c r="B2855" s="1">
        <f>IFERROR(__xludf.DUMMYFUNCTION("""COMPUTED_VALUE"""),152.3)</f>
        <v>152.3</v>
      </c>
      <c r="C2855" s="1">
        <f>IFERROR(__xludf.DUMMYFUNCTION("""COMPUTED_VALUE"""),152.5)</f>
        <v>152.5</v>
      </c>
      <c r="D2855" s="1">
        <f>IFERROR(__xludf.DUMMYFUNCTION("""COMPUTED_VALUE"""),144.9)</f>
        <v>144.9</v>
      </c>
      <c r="E2855" s="1">
        <f>IFERROR(__xludf.DUMMYFUNCTION("""COMPUTED_VALUE"""),145.0)</f>
        <v>145</v>
      </c>
      <c r="F2855" s="1">
        <f>IFERROR(__xludf.DUMMYFUNCTION("""COMPUTED_VALUE"""),2.0336065E7)</f>
        <v>20336065</v>
      </c>
    </row>
    <row r="2856">
      <c r="A2856" s="2">
        <f>IFERROR(__xludf.DUMMYFUNCTION("""COMPUTED_VALUE"""),44322.66666666667)</f>
        <v>44322.66667</v>
      </c>
      <c r="B2856" s="1">
        <f>IFERROR(__xludf.DUMMYFUNCTION("""COMPUTED_VALUE"""),144.1)</f>
        <v>144.1</v>
      </c>
      <c r="C2856" s="1">
        <f>IFERROR(__xludf.DUMMYFUNCTION("""COMPUTED_VALUE"""),148.7)</f>
        <v>148.7</v>
      </c>
      <c r="D2856" s="1">
        <f>IFERROR(__xludf.DUMMYFUNCTION("""COMPUTED_VALUE"""),144.1)</f>
        <v>144.1</v>
      </c>
      <c r="E2856" s="1">
        <f>IFERROR(__xludf.DUMMYFUNCTION("""COMPUTED_VALUE"""),148.0)</f>
        <v>148</v>
      </c>
      <c r="F2856" s="1">
        <f>IFERROR(__xludf.DUMMYFUNCTION("""COMPUTED_VALUE"""),1.3673035E7)</f>
        <v>13673035</v>
      </c>
    </row>
    <row r="2857">
      <c r="A2857" s="2">
        <f>IFERROR(__xludf.DUMMYFUNCTION("""COMPUTED_VALUE"""),44323.66666666667)</f>
        <v>44323.66667</v>
      </c>
      <c r="B2857" s="1">
        <f>IFERROR(__xludf.DUMMYFUNCTION("""COMPUTED_VALUE"""),149.5)</f>
        <v>149.5</v>
      </c>
      <c r="C2857" s="1">
        <f>IFERROR(__xludf.DUMMYFUNCTION("""COMPUTED_VALUE"""),152.3)</f>
        <v>152.3</v>
      </c>
      <c r="D2857" s="1">
        <f>IFERROR(__xludf.DUMMYFUNCTION("""COMPUTED_VALUE"""),148.0)</f>
        <v>148</v>
      </c>
      <c r="E2857" s="1">
        <f>IFERROR(__xludf.DUMMYFUNCTION("""COMPUTED_VALUE"""),149.3)</f>
        <v>149.3</v>
      </c>
      <c r="F2857" s="1">
        <f>IFERROR(__xludf.DUMMYFUNCTION("""COMPUTED_VALUE"""),5482924.0)</f>
        <v>5482924</v>
      </c>
    </row>
    <row r="2858">
      <c r="A2858" s="2">
        <f>IFERROR(__xludf.DUMMYFUNCTION("""COMPUTED_VALUE"""),44326.66666666667)</f>
        <v>44326.66667</v>
      </c>
      <c r="B2858" s="1">
        <f>IFERROR(__xludf.DUMMYFUNCTION("""COMPUTED_VALUE"""),147.8)</f>
        <v>147.8</v>
      </c>
      <c r="C2858" s="1">
        <f>IFERROR(__xludf.DUMMYFUNCTION("""COMPUTED_VALUE"""),148.2)</f>
        <v>148.2</v>
      </c>
      <c r="D2858" s="1">
        <f>IFERROR(__xludf.DUMMYFUNCTION("""COMPUTED_VALUE"""),142.8)</f>
        <v>142.8</v>
      </c>
      <c r="E2858" s="1">
        <f>IFERROR(__xludf.DUMMYFUNCTION("""COMPUTED_VALUE"""),144.3)</f>
        <v>144.3</v>
      </c>
      <c r="F2858" s="1">
        <f>IFERROR(__xludf.DUMMYFUNCTION("""COMPUTED_VALUE"""),1.6425313E7)</f>
        <v>16425313</v>
      </c>
    </row>
    <row r="2859">
      <c r="A2859" s="2">
        <f>IFERROR(__xludf.DUMMYFUNCTION("""COMPUTED_VALUE"""),44327.66666666667)</f>
        <v>44327.66667</v>
      </c>
      <c r="B2859" s="1">
        <f>IFERROR(__xludf.DUMMYFUNCTION("""COMPUTED_VALUE"""),140.8)</f>
        <v>140.8</v>
      </c>
      <c r="C2859" s="1">
        <f>IFERROR(__xludf.DUMMYFUNCTION("""COMPUTED_VALUE"""),144.4)</f>
        <v>144.4</v>
      </c>
      <c r="D2859" s="1">
        <f>IFERROR(__xludf.DUMMYFUNCTION("""COMPUTED_VALUE"""),140.1)</f>
        <v>140.1</v>
      </c>
      <c r="E2859" s="1">
        <f>IFERROR(__xludf.DUMMYFUNCTION("""COMPUTED_VALUE"""),142.8)</f>
        <v>142.8</v>
      </c>
      <c r="F2859" s="1">
        <f>IFERROR(__xludf.DUMMYFUNCTION("""COMPUTED_VALUE"""),8512694.0)</f>
        <v>8512694</v>
      </c>
    </row>
    <row r="2860">
      <c r="A2860" s="2">
        <f>IFERROR(__xludf.DUMMYFUNCTION("""COMPUTED_VALUE"""),44328.66666666667)</f>
        <v>44328.66667</v>
      </c>
      <c r="B2860" s="1">
        <f>IFERROR(__xludf.DUMMYFUNCTION("""COMPUTED_VALUE"""),141.8)</f>
        <v>141.8</v>
      </c>
      <c r="C2860" s="1">
        <f>IFERROR(__xludf.DUMMYFUNCTION("""COMPUTED_VALUE"""),142.0)</f>
        <v>142</v>
      </c>
      <c r="D2860" s="1">
        <f>IFERROR(__xludf.DUMMYFUNCTION("""COMPUTED_VALUE"""),133.85)</f>
        <v>133.85</v>
      </c>
      <c r="E2860" s="1">
        <f>IFERROR(__xludf.DUMMYFUNCTION("""COMPUTED_VALUE"""),134.5)</f>
        <v>134.5</v>
      </c>
      <c r="F2860" s="1">
        <f>IFERROR(__xludf.DUMMYFUNCTION("""COMPUTED_VALUE"""),1.7779941E7)</f>
        <v>17779941</v>
      </c>
    </row>
    <row r="2861">
      <c r="A2861" s="2">
        <f>IFERROR(__xludf.DUMMYFUNCTION("""COMPUTED_VALUE"""),44329.66666666667)</f>
        <v>44329.66667</v>
      </c>
      <c r="B2861" s="1">
        <f>IFERROR(__xludf.DUMMYFUNCTION("""COMPUTED_VALUE"""),132.5)</f>
        <v>132.5</v>
      </c>
      <c r="C2861" s="1">
        <f>IFERROR(__xludf.DUMMYFUNCTION("""COMPUTED_VALUE"""),132.5)</f>
        <v>132.5</v>
      </c>
      <c r="D2861" s="1">
        <f>IFERROR(__xludf.DUMMYFUNCTION("""COMPUTED_VALUE"""),111.6)</f>
        <v>111.6</v>
      </c>
      <c r="E2861" s="1">
        <f>IFERROR(__xludf.DUMMYFUNCTION("""COMPUTED_VALUE"""),115.1)</f>
        <v>115.1</v>
      </c>
      <c r="F2861" s="1">
        <f>IFERROR(__xludf.DUMMYFUNCTION("""COMPUTED_VALUE"""),5.9850819E7)</f>
        <v>59850819</v>
      </c>
    </row>
    <row r="2862">
      <c r="A2862" s="2">
        <f>IFERROR(__xludf.DUMMYFUNCTION("""COMPUTED_VALUE"""),44330.66666666667)</f>
        <v>44330.66667</v>
      </c>
      <c r="B2862" s="1">
        <f>IFERROR(__xludf.DUMMYFUNCTION("""COMPUTED_VALUE"""),116.5)</f>
        <v>116.5</v>
      </c>
      <c r="C2862" s="1">
        <f>IFERROR(__xludf.DUMMYFUNCTION("""COMPUTED_VALUE"""),123.3)</f>
        <v>123.3</v>
      </c>
      <c r="D2862" s="1">
        <f>IFERROR(__xludf.DUMMYFUNCTION("""COMPUTED_VALUE"""),115.6)</f>
        <v>115.6</v>
      </c>
      <c r="E2862" s="1">
        <f>IFERROR(__xludf.DUMMYFUNCTION("""COMPUTED_VALUE"""),122.0)</f>
        <v>122</v>
      </c>
      <c r="F2862" s="1">
        <f>IFERROR(__xludf.DUMMYFUNCTION("""COMPUTED_VALUE"""),4.2034141E7)</f>
        <v>42034141</v>
      </c>
    </row>
    <row r="2863">
      <c r="A2863" s="2">
        <f>IFERROR(__xludf.DUMMYFUNCTION("""COMPUTED_VALUE"""),44333.66666666667)</f>
        <v>44333.66667</v>
      </c>
      <c r="B2863" s="1">
        <f>IFERROR(__xludf.DUMMYFUNCTION("""COMPUTED_VALUE"""),121.0)</f>
        <v>121</v>
      </c>
      <c r="C2863" s="1">
        <f>IFERROR(__xludf.DUMMYFUNCTION("""COMPUTED_VALUE"""),125.1)</f>
        <v>125.1</v>
      </c>
      <c r="D2863" s="1">
        <f>IFERROR(__xludf.DUMMYFUNCTION("""COMPUTED_VALUE"""),117.4)</f>
        <v>117.4</v>
      </c>
      <c r="E2863" s="1">
        <f>IFERROR(__xludf.DUMMYFUNCTION("""COMPUTED_VALUE"""),123.6)</f>
        <v>123.6</v>
      </c>
      <c r="F2863" s="1">
        <f>IFERROR(__xludf.DUMMYFUNCTION("""COMPUTED_VALUE"""),2.8580891E7)</f>
        <v>28580891</v>
      </c>
    </row>
    <row r="2864">
      <c r="A2864" s="2">
        <f>IFERROR(__xludf.DUMMYFUNCTION("""COMPUTED_VALUE"""),44334.66666666667)</f>
        <v>44334.66667</v>
      </c>
      <c r="B2864" s="1">
        <f>IFERROR(__xludf.DUMMYFUNCTION("""COMPUTED_VALUE"""),119.2)</f>
        <v>119.2</v>
      </c>
      <c r="C2864" s="1">
        <f>IFERROR(__xludf.DUMMYFUNCTION("""COMPUTED_VALUE"""),122.85)</f>
        <v>122.85</v>
      </c>
      <c r="D2864" s="1">
        <f>IFERROR(__xludf.DUMMYFUNCTION("""COMPUTED_VALUE"""),118.4)</f>
        <v>118.4</v>
      </c>
      <c r="E2864" s="1">
        <f>IFERROR(__xludf.DUMMYFUNCTION("""COMPUTED_VALUE"""),118.9)</f>
        <v>118.9</v>
      </c>
      <c r="F2864" s="1">
        <f>IFERROR(__xludf.DUMMYFUNCTION("""COMPUTED_VALUE"""),4.3602226E7)</f>
        <v>43602226</v>
      </c>
    </row>
    <row r="2865">
      <c r="A2865" s="2">
        <f>IFERROR(__xludf.DUMMYFUNCTION("""COMPUTED_VALUE"""),44335.66666666667)</f>
        <v>44335.66667</v>
      </c>
      <c r="B2865" s="1">
        <f>IFERROR(__xludf.DUMMYFUNCTION("""COMPUTED_VALUE"""),117.4)</f>
        <v>117.4</v>
      </c>
      <c r="C2865" s="1">
        <f>IFERROR(__xludf.DUMMYFUNCTION("""COMPUTED_VALUE"""),118.3)</f>
        <v>118.3</v>
      </c>
      <c r="D2865" s="1">
        <f>IFERROR(__xludf.DUMMYFUNCTION("""COMPUTED_VALUE"""),114.9)</f>
        <v>114.9</v>
      </c>
      <c r="E2865" s="1">
        <f>IFERROR(__xludf.DUMMYFUNCTION("""COMPUTED_VALUE"""),115.7)</f>
        <v>115.7</v>
      </c>
      <c r="F2865" s="1">
        <f>IFERROR(__xludf.DUMMYFUNCTION("""COMPUTED_VALUE"""),1.4718827E7)</f>
        <v>14718827</v>
      </c>
    </row>
    <row r="2866">
      <c r="A2866" s="2">
        <f>IFERROR(__xludf.DUMMYFUNCTION("""COMPUTED_VALUE"""),44336.66666666667)</f>
        <v>44336.66667</v>
      </c>
      <c r="B2866" s="1">
        <f>IFERROR(__xludf.DUMMYFUNCTION("""COMPUTED_VALUE"""),117.0)</f>
        <v>117</v>
      </c>
      <c r="C2866" s="1">
        <f>IFERROR(__xludf.DUMMYFUNCTION("""COMPUTED_VALUE"""),120.45)</f>
        <v>120.45</v>
      </c>
      <c r="D2866" s="1">
        <f>IFERROR(__xludf.DUMMYFUNCTION("""COMPUTED_VALUE"""),116.0)</f>
        <v>116</v>
      </c>
      <c r="E2866" s="1">
        <f>IFERROR(__xludf.DUMMYFUNCTION("""COMPUTED_VALUE"""),117.5)</f>
        <v>117.5</v>
      </c>
      <c r="F2866" s="1">
        <f>IFERROR(__xludf.DUMMYFUNCTION("""COMPUTED_VALUE"""),3.7042559E7)</f>
        <v>37042559</v>
      </c>
    </row>
    <row r="2867">
      <c r="A2867" s="2">
        <f>IFERROR(__xludf.DUMMYFUNCTION("""COMPUTED_VALUE"""),44337.66666666667)</f>
        <v>44337.66667</v>
      </c>
      <c r="B2867" s="1">
        <f>IFERROR(__xludf.DUMMYFUNCTION("""COMPUTED_VALUE"""),111.6)</f>
        <v>111.6</v>
      </c>
      <c r="C2867" s="1">
        <f>IFERROR(__xludf.DUMMYFUNCTION("""COMPUTED_VALUE"""),119.3)</f>
        <v>119.3</v>
      </c>
      <c r="D2867" s="1">
        <f>IFERROR(__xludf.DUMMYFUNCTION("""COMPUTED_VALUE"""),107.1)</f>
        <v>107.1</v>
      </c>
      <c r="E2867" s="1">
        <f>IFERROR(__xludf.DUMMYFUNCTION("""COMPUTED_VALUE"""),111.0)</f>
        <v>111</v>
      </c>
      <c r="F2867" s="1">
        <f>IFERROR(__xludf.DUMMYFUNCTION("""COMPUTED_VALUE"""),3.3863363E7)</f>
        <v>33863363</v>
      </c>
    </row>
    <row r="2868">
      <c r="A2868" s="2">
        <f>IFERROR(__xludf.DUMMYFUNCTION("""COMPUTED_VALUE"""),44340.66666666667)</f>
        <v>44340.66667</v>
      </c>
      <c r="B2868" s="1">
        <f>IFERROR(__xludf.DUMMYFUNCTION("""COMPUTED_VALUE"""),107.0)</f>
        <v>107</v>
      </c>
      <c r="C2868" s="1">
        <f>IFERROR(__xludf.DUMMYFUNCTION("""COMPUTED_VALUE"""),107.0)</f>
        <v>107</v>
      </c>
      <c r="D2868" s="1">
        <f>IFERROR(__xludf.DUMMYFUNCTION("""COMPUTED_VALUE"""),90.5)</f>
        <v>90.5</v>
      </c>
      <c r="E2868" s="1">
        <f>IFERROR(__xludf.DUMMYFUNCTION("""COMPUTED_VALUE"""),90.7)</f>
        <v>90.7</v>
      </c>
      <c r="F2868" s="1">
        <f>IFERROR(__xludf.DUMMYFUNCTION("""COMPUTED_VALUE"""),1.07192814E8)</f>
        <v>107192814</v>
      </c>
    </row>
    <row r="2869">
      <c r="A2869" s="2">
        <f>IFERROR(__xludf.DUMMYFUNCTION("""COMPUTED_VALUE"""),44341.66666666667)</f>
        <v>44341.66667</v>
      </c>
      <c r="B2869" s="1">
        <f>IFERROR(__xludf.DUMMYFUNCTION("""COMPUTED_VALUE"""),102.1)</f>
        <v>102.1</v>
      </c>
      <c r="C2869" s="1">
        <f>IFERROR(__xludf.DUMMYFUNCTION("""COMPUTED_VALUE"""),110.75)</f>
        <v>110.75</v>
      </c>
      <c r="D2869" s="1">
        <f>IFERROR(__xludf.DUMMYFUNCTION("""COMPUTED_VALUE"""),99.35)</f>
        <v>99.35</v>
      </c>
      <c r="E2869" s="1">
        <f>IFERROR(__xludf.DUMMYFUNCTION("""COMPUTED_VALUE"""),109.6)</f>
        <v>109.6</v>
      </c>
      <c r="F2869" s="1">
        <f>IFERROR(__xludf.DUMMYFUNCTION("""COMPUTED_VALUE"""),8.1065879E7)</f>
        <v>81065879</v>
      </c>
    </row>
    <row r="2870">
      <c r="A2870" s="2">
        <f>IFERROR(__xludf.DUMMYFUNCTION("""COMPUTED_VALUE"""),44342.66666666667)</f>
        <v>44342.66667</v>
      </c>
      <c r="B2870" s="1">
        <f>IFERROR(__xludf.DUMMYFUNCTION("""COMPUTED_VALUE"""),105.5)</f>
        <v>105.5</v>
      </c>
      <c r="C2870" s="1">
        <f>IFERROR(__xludf.DUMMYFUNCTION("""COMPUTED_VALUE"""),107.5)</f>
        <v>107.5</v>
      </c>
      <c r="D2870" s="1">
        <f>IFERROR(__xludf.DUMMYFUNCTION("""COMPUTED_VALUE"""),101.9)</f>
        <v>101.9</v>
      </c>
      <c r="E2870" s="1">
        <f>IFERROR(__xludf.DUMMYFUNCTION("""COMPUTED_VALUE"""),104.9)</f>
        <v>104.9</v>
      </c>
      <c r="F2870" s="1">
        <f>IFERROR(__xludf.DUMMYFUNCTION("""COMPUTED_VALUE"""),3.2828598E7)</f>
        <v>32828598</v>
      </c>
    </row>
    <row r="2871">
      <c r="A2871" s="2">
        <f>IFERROR(__xludf.DUMMYFUNCTION("""COMPUTED_VALUE"""),44343.66666666667)</f>
        <v>44343.66667</v>
      </c>
      <c r="B2871" s="1">
        <f>IFERROR(__xludf.DUMMYFUNCTION("""COMPUTED_VALUE"""),102.8)</f>
        <v>102.8</v>
      </c>
      <c r="C2871" s="1">
        <f>IFERROR(__xludf.DUMMYFUNCTION("""COMPUTED_VALUE"""),103.5)</f>
        <v>103.5</v>
      </c>
      <c r="D2871" s="1">
        <f>IFERROR(__xludf.DUMMYFUNCTION("""COMPUTED_VALUE"""),96.55)</f>
        <v>96.55</v>
      </c>
      <c r="E2871" s="1">
        <f>IFERROR(__xludf.DUMMYFUNCTION("""COMPUTED_VALUE"""),102.5)</f>
        <v>102.5</v>
      </c>
      <c r="F2871" s="1">
        <f>IFERROR(__xludf.DUMMYFUNCTION("""COMPUTED_VALUE"""),3.6331166E7)</f>
        <v>36331166</v>
      </c>
    </row>
    <row r="2872">
      <c r="A2872" s="2">
        <f>IFERROR(__xludf.DUMMYFUNCTION("""COMPUTED_VALUE"""),44344.66666666667)</f>
        <v>44344.66667</v>
      </c>
      <c r="B2872" s="1">
        <f>IFERROR(__xludf.DUMMYFUNCTION("""COMPUTED_VALUE"""),100.25)</f>
        <v>100.25</v>
      </c>
      <c r="C2872" s="1">
        <f>IFERROR(__xludf.DUMMYFUNCTION("""COMPUTED_VALUE"""),104.9)</f>
        <v>104.9</v>
      </c>
      <c r="D2872" s="1">
        <f>IFERROR(__xludf.DUMMYFUNCTION("""COMPUTED_VALUE"""),99.8)</f>
        <v>99.8</v>
      </c>
      <c r="E2872" s="1">
        <f>IFERROR(__xludf.DUMMYFUNCTION("""COMPUTED_VALUE"""),102.3)</f>
        <v>102.3</v>
      </c>
      <c r="F2872" s="1">
        <f>IFERROR(__xludf.DUMMYFUNCTION("""COMPUTED_VALUE"""),1.9666122E7)</f>
        <v>19666122</v>
      </c>
    </row>
    <row r="2873">
      <c r="A2873" s="2">
        <f>IFERROR(__xludf.DUMMYFUNCTION("""COMPUTED_VALUE"""),44348.66666666667)</f>
        <v>44348.66667</v>
      </c>
      <c r="B2873" s="1">
        <f>IFERROR(__xludf.DUMMYFUNCTION("""COMPUTED_VALUE"""),109.2)</f>
        <v>109.2</v>
      </c>
      <c r="C2873" s="1">
        <f>IFERROR(__xludf.DUMMYFUNCTION("""COMPUTED_VALUE"""),112.0)</f>
        <v>112</v>
      </c>
      <c r="D2873" s="1">
        <f>IFERROR(__xludf.DUMMYFUNCTION("""COMPUTED_VALUE"""),108.0)</f>
        <v>108</v>
      </c>
      <c r="E2873" s="1">
        <f>IFERROR(__xludf.DUMMYFUNCTION("""COMPUTED_VALUE"""),110.9)</f>
        <v>110.9</v>
      </c>
      <c r="F2873" s="1">
        <f>IFERROR(__xludf.DUMMYFUNCTION("""COMPUTED_VALUE"""),3.7403472E7)</f>
        <v>37403472</v>
      </c>
    </row>
    <row r="2874">
      <c r="A2874" s="2">
        <f>IFERROR(__xludf.DUMMYFUNCTION("""COMPUTED_VALUE"""),44349.66666666667)</f>
        <v>44349.66667</v>
      </c>
      <c r="B2874" s="1">
        <f>IFERROR(__xludf.DUMMYFUNCTION("""COMPUTED_VALUE"""),109.7)</f>
        <v>109.7</v>
      </c>
      <c r="C2874" s="1">
        <f>IFERROR(__xludf.DUMMYFUNCTION("""COMPUTED_VALUE"""),109.7)</f>
        <v>109.7</v>
      </c>
      <c r="D2874" s="1">
        <f>IFERROR(__xludf.DUMMYFUNCTION("""COMPUTED_VALUE"""),103.8)</f>
        <v>103.8</v>
      </c>
      <c r="E2874" s="1">
        <f>IFERROR(__xludf.DUMMYFUNCTION("""COMPUTED_VALUE"""),106.0)</f>
        <v>106</v>
      </c>
      <c r="F2874" s="1">
        <f>IFERROR(__xludf.DUMMYFUNCTION("""COMPUTED_VALUE"""),3.5466825E7)</f>
        <v>35466825</v>
      </c>
    </row>
    <row r="2875">
      <c r="A2875" s="2">
        <f>IFERROR(__xludf.DUMMYFUNCTION("""COMPUTED_VALUE"""),44350.66666666667)</f>
        <v>44350.66667</v>
      </c>
      <c r="B2875" s="1">
        <f>IFERROR(__xludf.DUMMYFUNCTION("""COMPUTED_VALUE"""),102.3)</f>
        <v>102.3</v>
      </c>
      <c r="C2875" s="1">
        <f>IFERROR(__xludf.DUMMYFUNCTION("""COMPUTED_VALUE"""),102.7)</f>
        <v>102.7</v>
      </c>
      <c r="D2875" s="1">
        <f>IFERROR(__xludf.DUMMYFUNCTION("""COMPUTED_VALUE"""),77.1)</f>
        <v>77.1</v>
      </c>
      <c r="E2875" s="1">
        <f>IFERROR(__xludf.DUMMYFUNCTION("""COMPUTED_VALUE"""),93.2)</f>
        <v>93.2</v>
      </c>
      <c r="F2875" s="1">
        <f>IFERROR(__xludf.DUMMYFUNCTION("""COMPUTED_VALUE"""),9.7366584E7)</f>
        <v>97366584</v>
      </c>
    </row>
    <row r="2876">
      <c r="A2876" s="2">
        <f>IFERROR(__xludf.DUMMYFUNCTION("""COMPUTED_VALUE"""),44351.66666666667)</f>
        <v>44351.66667</v>
      </c>
      <c r="B2876" s="1">
        <f>IFERROR(__xludf.DUMMYFUNCTION("""COMPUTED_VALUE"""),92.1)</f>
        <v>92.1</v>
      </c>
      <c r="C2876" s="1">
        <f>IFERROR(__xludf.DUMMYFUNCTION("""COMPUTED_VALUE"""),92.5)</f>
        <v>92.5</v>
      </c>
      <c r="D2876" s="1">
        <f>IFERROR(__xludf.DUMMYFUNCTION("""COMPUTED_VALUE"""),87.8)</f>
        <v>87.8</v>
      </c>
      <c r="E2876" s="1">
        <f>IFERROR(__xludf.DUMMYFUNCTION("""COMPUTED_VALUE"""),92.2)</f>
        <v>92.2</v>
      </c>
      <c r="F2876" s="1">
        <f>IFERROR(__xludf.DUMMYFUNCTION("""COMPUTED_VALUE"""),4.6884817E7)</f>
        <v>46884817</v>
      </c>
    </row>
    <row r="2877">
      <c r="A2877" s="2">
        <f>IFERROR(__xludf.DUMMYFUNCTION("""COMPUTED_VALUE"""),44354.66666666667)</f>
        <v>44354.66667</v>
      </c>
      <c r="B2877" s="1">
        <f>IFERROR(__xludf.DUMMYFUNCTION("""COMPUTED_VALUE"""),87.5)</f>
        <v>87.5</v>
      </c>
      <c r="C2877" s="1">
        <f>IFERROR(__xludf.DUMMYFUNCTION("""COMPUTED_VALUE"""),88.7)</f>
        <v>88.7</v>
      </c>
      <c r="D2877" s="1">
        <f>IFERROR(__xludf.DUMMYFUNCTION("""COMPUTED_VALUE"""),80.8)</f>
        <v>80.8</v>
      </c>
      <c r="E2877" s="1">
        <f>IFERROR(__xludf.DUMMYFUNCTION("""COMPUTED_VALUE"""),88.7)</f>
        <v>88.7</v>
      </c>
      <c r="F2877" s="1">
        <f>IFERROR(__xludf.DUMMYFUNCTION("""COMPUTED_VALUE"""),6.9855136E7)</f>
        <v>69855136</v>
      </c>
    </row>
    <row r="2878">
      <c r="A2878" s="2">
        <f>IFERROR(__xludf.DUMMYFUNCTION("""COMPUTED_VALUE"""),44355.66666666667)</f>
        <v>44355.66667</v>
      </c>
      <c r="B2878" s="1">
        <f>IFERROR(__xludf.DUMMYFUNCTION("""COMPUTED_VALUE"""),87.0)</f>
        <v>87</v>
      </c>
      <c r="C2878" s="1">
        <f>IFERROR(__xludf.DUMMYFUNCTION("""COMPUTED_VALUE"""),88.4)</f>
        <v>88.4</v>
      </c>
      <c r="D2878" s="1">
        <f>IFERROR(__xludf.DUMMYFUNCTION("""COMPUTED_VALUE"""),84.8)</f>
        <v>84.8</v>
      </c>
      <c r="E2878" s="1">
        <f>IFERROR(__xludf.DUMMYFUNCTION("""COMPUTED_VALUE"""),85.5)</f>
        <v>85.5</v>
      </c>
      <c r="F2878" s="1">
        <f>IFERROR(__xludf.DUMMYFUNCTION("""COMPUTED_VALUE"""),3.2518342E7)</f>
        <v>32518342</v>
      </c>
    </row>
    <row r="2879">
      <c r="A2879" s="2">
        <f>IFERROR(__xludf.DUMMYFUNCTION("""COMPUTED_VALUE"""),44356.66666666667)</f>
        <v>44356.66667</v>
      </c>
      <c r="B2879" s="1">
        <f>IFERROR(__xludf.DUMMYFUNCTION("""COMPUTED_VALUE"""),85.2)</f>
        <v>85.2</v>
      </c>
      <c r="C2879" s="1">
        <f>IFERROR(__xludf.DUMMYFUNCTION("""COMPUTED_VALUE"""),94.86)</f>
        <v>94.86</v>
      </c>
      <c r="D2879" s="1">
        <f>IFERROR(__xludf.DUMMYFUNCTION("""COMPUTED_VALUE"""),84.9)</f>
        <v>84.9</v>
      </c>
      <c r="E2879" s="1">
        <f>IFERROR(__xludf.DUMMYFUNCTION("""COMPUTED_VALUE"""),90.2)</f>
        <v>90.2</v>
      </c>
      <c r="F2879" s="1">
        <f>IFERROR(__xludf.DUMMYFUNCTION("""COMPUTED_VALUE"""),4.1257169E7)</f>
        <v>41257169</v>
      </c>
    </row>
    <row r="2880">
      <c r="A2880" s="2">
        <f>IFERROR(__xludf.DUMMYFUNCTION("""COMPUTED_VALUE"""),44357.66666666667)</f>
        <v>44357.66667</v>
      </c>
      <c r="B2880" s="1">
        <f>IFERROR(__xludf.DUMMYFUNCTION("""COMPUTED_VALUE"""),100.3)</f>
        <v>100.3</v>
      </c>
      <c r="C2880" s="1">
        <f>IFERROR(__xludf.DUMMYFUNCTION("""COMPUTED_VALUE"""),102.9)</f>
        <v>102.9</v>
      </c>
      <c r="D2880" s="1">
        <f>IFERROR(__xludf.DUMMYFUNCTION("""COMPUTED_VALUE"""),96.2)</f>
        <v>96.2</v>
      </c>
      <c r="E2880" s="1">
        <f>IFERROR(__xludf.DUMMYFUNCTION("""COMPUTED_VALUE"""),97.3)</f>
        <v>97.3</v>
      </c>
      <c r="F2880" s="1">
        <f>IFERROR(__xludf.DUMMYFUNCTION("""COMPUTED_VALUE"""),7.359909E7)</f>
        <v>73599090</v>
      </c>
    </row>
    <row r="2881">
      <c r="A2881" s="2">
        <f>IFERROR(__xludf.DUMMYFUNCTION("""COMPUTED_VALUE"""),44358.66666666667)</f>
        <v>44358.66667</v>
      </c>
      <c r="B2881" s="1">
        <f>IFERROR(__xludf.DUMMYFUNCTION("""COMPUTED_VALUE"""),98.8)</f>
        <v>98.8</v>
      </c>
      <c r="C2881" s="1">
        <f>IFERROR(__xludf.DUMMYFUNCTION("""COMPUTED_VALUE"""),99.3)</f>
        <v>99.3</v>
      </c>
      <c r="D2881" s="1">
        <f>IFERROR(__xludf.DUMMYFUNCTION("""COMPUTED_VALUE"""),93.3)</f>
        <v>93.3</v>
      </c>
      <c r="E2881" s="1">
        <f>IFERROR(__xludf.DUMMYFUNCTION("""COMPUTED_VALUE"""),95.4)</f>
        <v>95.4</v>
      </c>
      <c r="F2881" s="1">
        <f>IFERROR(__xludf.DUMMYFUNCTION("""COMPUTED_VALUE"""),2.2577033E7)</f>
        <v>22577033</v>
      </c>
    </row>
    <row r="2882">
      <c r="A2882" s="2">
        <f>IFERROR(__xludf.DUMMYFUNCTION("""COMPUTED_VALUE"""),44361.66666666667)</f>
        <v>44361.66667</v>
      </c>
      <c r="B2882" s="1">
        <f>IFERROR(__xludf.DUMMYFUNCTION("""COMPUTED_VALUE"""),94.6)</f>
        <v>94.6</v>
      </c>
      <c r="C2882" s="1">
        <f>IFERROR(__xludf.DUMMYFUNCTION("""COMPUTED_VALUE"""),99.05)</f>
        <v>99.05</v>
      </c>
      <c r="D2882" s="1">
        <f>IFERROR(__xludf.DUMMYFUNCTION("""COMPUTED_VALUE"""),94.5)</f>
        <v>94.5</v>
      </c>
      <c r="E2882" s="1">
        <f>IFERROR(__xludf.DUMMYFUNCTION("""COMPUTED_VALUE"""),97.5)</f>
        <v>97.5</v>
      </c>
      <c r="F2882" s="1">
        <f>IFERROR(__xludf.DUMMYFUNCTION("""COMPUTED_VALUE"""),1.7791072E7)</f>
        <v>17791072</v>
      </c>
    </row>
    <row r="2883">
      <c r="A2883" s="2">
        <f>IFERROR(__xludf.DUMMYFUNCTION("""COMPUTED_VALUE"""),44362.66666666667)</f>
        <v>44362.66667</v>
      </c>
      <c r="B2883" s="1">
        <f>IFERROR(__xludf.DUMMYFUNCTION("""COMPUTED_VALUE"""),97.9)</f>
        <v>97.9</v>
      </c>
      <c r="C2883" s="1">
        <f>IFERROR(__xludf.DUMMYFUNCTION("""COMPUTED_VALUE"""),98.6)</f>
        <v>98.6</v>
      </c>
      <c r="D2883" s="1">
        <f>IFERROR(__xludf.DUMMYFUNCTION("""COMPUTED_VALUE"""),93.6)</f>
        <v>93.6</v>
      </c>
      <c r="E2883" s="1">
        <f>IFERROR(__xludf.DUMMYFUNCTION("""COMPUTED_VALUE"""),95.4)</f>
        <v>95.4</v>
      </c>
      <c r="F2883" s="1">
        <f>IFERROR(__xludf.DUMMYFUNCTION("""COMPUTED_VALUE"""),3.0120831E7)</f>
        <v>30120831</v>
      </c>
    </row>
    <row r="2884">
      <c r="A2884" s="2">
        <f>IFERROR(__xludf.DUMMYFUNCTION("""COMPUTED_VALUE"""),44363.66666666667)</f>
        <v>44363.66667</v>
      </c>
      <c r="B2884" s="1">
        <f>IFERROR(__xludf.DUMMYFUNCTION("""COMPUTED_VALUE"""),88.2)</f>
        <v>88.2</v>
      </c>
      <c r="C2884" s="1">
        <f>IFERROR(__xludf.DUMMYFUNCTION("""COMPUTED_VALUE"""),91.2)</f>
        <v>91.2</v>
      </c>
      <c r="D2884" s="1">
        <f>IFERROR(__xludf.DUMMYFUNCTION("""COMPUTED_VALUE"""),82.6)</f>
        <v>82.6</v>
      </c>
      <c r="E2884" s="1">
        <f>IFERROR(__xludf.DUMMYFUNCTION("""COMPUTED_VALUE"""),83.7)</f>
        <v>83.7</v>
      </c>
      <c r="F2884" s="1">
        <f>IFERROR(__xludf.DUMMYFUNCTION("""COMPUTED_VALUE"""),5.4530385E7)</f>
        <v>54530385</v>
      </c>
    </row>
    <row r="2885">
      <c r="A2885" s="2">
        <f>IFERROR(__xludf.DUMMYFUNCTION("""COMPUTED_VALUE"""),44364.66666666667)</f>
        <v>44364.66667</v>
      </c>
      <c r="B2885" s="1">
        <f>IFERROR(__xludf.DUMMYFUNCTION("""COMPUTED_VALUE"""),84.7)</f>
        <v>84.7</v>
      </c>
      <c r="C2885" s="1">
        <f>IFERROR(__xludf.DUMMYFUNCTION("""COMPUTED_VALUE"""),84.8)</f>
        <v>84.8</v>
      </c>
      <c r="D2885" s="1">
        <f>IFERROR(__xludf.DUMMYFUNCTION("""COMPUTED_VALUE"""),73.6)</f>
        <v>73.6</v>
      </c>
      <c r="E2885" s="1">
        <f>IFERROR(__xludf.DUMMYFUNCTION("""COMPUTED_VALUE"""),76.3)</f>
        <v>76.3</v>
      </c>
      <c r="F2885" s="1">
        <f>IFERROR(__xludf.DUMMYFUNCTION("""COMPUTED_VALUE"""),7.6949756E7)</f>
        <v>76949756</v>
      </c>
    </row>
    <row r="2886">
      <c r="A2886" s="2">
        <f>IFERROR(__xludf.DUMMYFUNCTION("""COMPUTED_VALUE"""),44365.66666666667)</f>
        <v>44365.66667</v>
      </c>
      <c r="B2886" s="1">
        <f>IFERROR(__xludf.DUMMYFUNCTION("""COMPUTED_VALUE"""),79.3)</f>
        <v>79.3</v>
      </c>
      <c r="C2886" s="1">
        <f>IFERROR(__xludf.DUMMYFUNCTION("""COMPUTED_VALUE"""),80.5)</f>
        <v>80.5</v>
      </c>
      <c r="D2886" s="1">
        <f>IFERROR(__xludf.DUMMYFUNCTION("""COMPUTED_VALUE"""),75.5)</f>
        <v>75.5</v>
      </c>
      <c r="E2886" s="1">
        <f>IFERROR(__xludf.DUMMYFUNCTION("""COMPUTED_VALUE"""),75.9)</f>
        <v>75.9</v>
      </c>
      <c r="F2886" s="1">
        <f>IFERROR(__xludf.DUMMYFUNCTION("""COMPUTED_VALUE"""),5.9631794E7)</f>
        <v>59631794</v>
      </c>
    </row>
    <row r="2887">
      <c r="A2887" s="2">
        <f>IFERROR(__xludf.DUMMYFUNCTION("""COMPUTED_VALUE"""),44368.66666666667)</f>
        <v>44368.66667</v>
      </c>
      <c r="B2887" s="1">
        <f>IFERROR(__xludf.DUMMYFUNCTION("""COMPUTED_VALUE"""),75.0)</f>
        <v>75</v>
      </c>
      <c r="C2887" s="1">
        <f>IFERROR(__xludf.DUMMYFUNCTION("""COMPUTED_VALUE"""),83.45)</f>
        <v>83.45</v>
      </c>
      <c r="D2887" s="1">
        <f>IFERROR(__xludf.DUMMYFUNCTION("""COMPUTED_VALUE"""),72.7)</f>
        <v>72.7</v>
      </c>
      <c r="E2887" s="1">
        <f>IFERROR(__xludf.DUMMYFUNCTION("""COMPUTED_VALUE"""),81.0)</f>
        <v>81</v>
      </c>
      <c r="F2887" s="1">
        <f>IFERROR(__xludf.DUMMYFUNCTION("""COMPUTED_VALUE"""),3.4918338E7)</f>
        <v>34918338</v>
      </c>
    </row>
    <row r="2888">
      <c r="A2888" s="2">
        <f>IFERROR(__xludf.DUMMYFUNCTION("""COMPUTED_VALUE"""),44369.66666666667)</f>
        <v>44369.66667</v>
      </c>
      <c r="B2888" s="1">
        <f>IFERROR(__xludf.DUMMYFUNCTION("""COMPUTED_VALUE"""),81.8)</f>
        <v>81.8</v>
      </c>
      <c r="C2888" s="1">
        <f>IFERROR(__xludf.DUMMYFUNCTION("""COMPUTED_VALUE"""),81.9)</f>
        <v>81.9</v>
      </c>
      <c r="D2888" s="1">
        <f>IFERROR(__xludf.DUMMYFUNCTION("""COMPUTED_VALUE"""),77.2)</f>
        <v>77.2</v>
      </c>
      <c r="E2888" s="1">
        <f>IFERROR(__xludf.DUMMYFUNCTION("""COMPUTED_VALUE"""),78.0)</f>
        <v>78</v>
      </c>
      <c r="F2888" s="1">
        <f>IFERROR(__xludf.DUMMYFUNCTION("""COMPUTED_VALUE"""),2.4979669E7)</f>
        <v>24979669</v>
      </c>
    </row>
    <row r="2889">
      <c r="A2889" s="2">
        <f>IFERROR(__xludf.DUMMYFUNCTION("""COMPUTED_VALUE"""),44370.66666666667)</f>
        <v>44370.66667</v>
      </c>
      <c r="B2889" s="1">
        <f>IFERROR(__xludf.DUMMYFUNCTION("""COMPUTED_VALUE"""),78.8)</f>
        <v>78.8</v>
      </c>
      <c r="C2889" s="1">
        <f>IFERROR(__xludf.DUMMYFUNCTION("""COMPUTED_VALUE"""),82.9)</f>
        <v>82.9</v>
      </c>
      <c r="D2889" s="1">
        <f>IFERROR(__xludf.DUMMYFUNCTION("""COMPUTED_VALUE"""),78.5)</f>
        <v>78.5</v>
      </c>
      <c r="E2889" s="1">
        <f>IFERROR(__xludf.DUMMYFUNCTION("""COMPUTED_VALUE"""),81.1)</f>
        <v>81.1</v>
      </c>
      <c r="F2889" s="1">
        <f>IFERROR(__xludf.DUMMYFUNCTION("""COMPUTED_VALUE"""),2.2399155E7)</f>
        <v>22399155</v>
      </c>
    </row>
    <row r="2890">
      <c r="A2890" s="2">
        <f>IFERROR(__xludf.DUMMYFUNCTION("""COMPUTED_VALUE"""),44371.66666666667)</f>
        <v>44371.66667</v>
      </c>
      <c r="B2890" s="1">
        <f>IFERROR(__xludf.DUMMYFUNCTION("""COMPUTED_VALUE"""),80.0)</f>
        <v>80</v>
      </c>
      <c r="C2890" s="1">
        <f>IFERROR(__xludf.DUMMYFUNCTION("""COMPUTED_VALUE"""),88.1)</f>
        <v>88.1</v>
      </c>
      <c r="D2890" s="1">
        <f>IFERROR(__xludf.DUMMYFUNCTION("""COMPUTED_VALUE"""),80.0)</f>
        <v>80</v>
      </c>
      <c r="E2890" s="1">
        <f>IFERROR(__xludf.DUMMYFUNCTION("""COMPUTED_VALUE"""),85.5)</f>
        <v>85.5</v>
      </c>
      <c r="F2890" s="1">
        <f>IFERROR(__xludf.DUMMYFUNCTION("""COMPUTED_VALUE"""),3.5764694E7)</f>
        <v>35764694</v>
      </c>
    </row>
    <row r="2891">
      <c r="A2891" s="2">
        <f>IFERROR(__xludf.DUMMYFUNCTION("""COMPUTED_VALUE"""),44372.66666666667)</f>
        <v>44372.66667</v>
      </c>
      <c r="B2891" s="1">
        <f>IFERROR(__xludf.DUMMYFUNCTION("""COMPUTED_VALUE"""),85.2)</f>
        <v>85.2</v>
      </c>
      <c r="C2891" s="1">
        <f>IFERROR(__xludf.DUMMYFUNCTION("""COMPUTED_VALUE"""),86.2)</f>
        <v>86.2</v>
      </c>
      <c r="D2891" s="1">
        <f>IFERROR(__xludf.DUMMYFUNCTION("""COMPUTED_VALUE"""),80.3)</f>
        <v>80.3</v>
      </c>
      <c r="E2891" s="1">
        <f>IFERROR(__xludf.DUMMYFUNCTION("""COMPUTED_VALUE"""),81.2)</f>
        <v>81.2</v>
      </c>
      <c r="F2891" s="1">
        <f>IFERROR(__xludf.DUMMYFUNCTION("""COMPUTED_VALUE"""),2.5482447E7)</f>
        <v>25482447</v>
      </c>
    </row>
    <row r="2892">
      <c r="A2892" s="2">
        <f>IFERROR(__xludf.DUMMYFUNCTION("""COMPUTED_VALUE"""),44375.66666666667)</f>
        <v>44375.66667</v>
      </c>
      <c r="B2892" s="1">
        <f>IFERROR(__xludf.DUMMYFUNCTION("""COMPUTED_VALUE"""),82.0)</f>
        <v>82</v>
      </c>
      <c r="C2892" s="1">
        <f>IFERROR(__xludf.DUMMYFUNCTION("""COMPUTED_VALUE"""),85.5)</f>
        <v>85.5</v>
      </c>
      <c r="D2892" s="1">
        <f>IFERROR(__xludf.DUMMYFUNCTION("""COMPUTED_VALUE"""),80.5)</f>
        <v>80.5</v>
      </c>
      <c r="E2892" s="1">
        <f>IFERROR(__xludf.DUMMYFUNCTION("""COMPUTED_VALUE"""),81.3)</f>
        <v>81.3</v>
      </c>
      <c r="F2892" s="1">
        <f>IFERROR(__xludf.DUMMYFUNCTION("""COMPUTED_VALUE"""),2.1782653E7)</f>
        <v>21782653</v>
      </c>
    </row>
    <row r="2893">
      <c r="A2893" s="2">
        <f>IFERROR(__xludf.DUMMYFUNCTION("""COMPUTED_VALUE"""),44376.66666666667)</f>
        <v>44376.66667</v>
      </c>
      <c r="B2893" s="1">
        <f>IFERROR(__xludf.DUMMYFUNCTION("""COMPUTED_VALUE"""),80.1)</f>
        <v>80.1</v>
      </c>
      <c r="C2893" s="1">
        <f>IFERROR(__xludf.DUMMYFUNCTION("""COMPUTED_VALUE"""),84.3)</f>
        <v>84.3</v>
      </c>
      <c r="D2893" s="1">
        <f>IFERROR(__xludf.DUMMYFUNCTION("""COMPUTED_VALUE"""),78.15)</f>
        <v>78.15</v>
      </c>
      <c r="E2893" s="1">
        <f>IFERROR(__xludf.DUMMYFUNCTION("""COMPUTED_VALUE"""),83.8)</f>
        <v>83.8</v>
      </c>
      <c r="F2893" s="1">
        <f>IFERROR(__xludf.DUMMYFUNCTION("""COMPUTED_VALUE"""),1.9222047E7)</f>
        <v>19222047</v>
      </c>
    </row>
    <row r="2894">
      <c r="A2894" s="2">
        <f>IFERROR(__xludf.DUMMYFUNCTION("""COMPUTED_VALUE"""),44377.66666666667)</f>
        <v>44377.66667</v>
      </c>
      <c r="B2894" s="1">
        <f>IFERROR(__xludf.DUMMYFUNCTION("""COMPUTED_VALUE"""),82.3)</f>
        <v>82.3</v>
      </c>
      <c r="C2894" s="1">
        <f>IFERROR(__xludf.DUMMYFUNCTION("""COMPUTED_VALUE"""),82.8)</f>
        <v>82.8</v>
      </c>
      <c r="D2894" s="1">
        <f>IFERROR(__xludf.DUMMYFUNCTION("""COMPUTED_VALUE"""),80.2)</f>
        <v>80.2</v>
      </c>
      <c r="E2894" s="1">
        <f>IFERROR(__xludf.DUMMYFUNCTION("""COMPUTED_VALUE"""),81.9)</f>
        <v>81.9</v>
      </c>
      <c r="F2894" s="1">
        <f>IFERROR(__xludf.DUMMYFUNCTION("""COMPUTED_VALUE"""),1.60728E7)</f>
        <v>16072800</v>
      </c>
    </row>
    <row r="2895">
      <c r="A2895" s="2">
        <f>IFERROR(__xludf.DUMMYFUNCTION("""COMPUTED_VALUE"""),44378.66666666667)</f>
        <v>44378.66667</v>
      </c>
      <c r="B2895" s="1">
        <f>IFERROR(__xludf.DUMMYFUNCTION("""COMPUTED_VALUE"""),81.9)</f>
        <v>81.9</v>
      </c>
      <c r="C2895" s="1">
        <f>IFERROR(__xludf.DUMMYFUNCTION("""COMPUTED_VALUE"""),83.0)</f>
        <v>83</v>
      </c>
      <c r="D2895" s="1">
        <f>IFERROR(__xludf.DUMMYFUNCTION("""COMPUTED_VALUE"""),77.1)</f>
        <v>77.1</v>
      </c>
      <c r="E2895" s="1">
        <f>IFERROR(__xludf.DUMMYFUNCTION("""COMPUTED_VALUE"""),78.1)</f>
        <v>78.1</v>
      </c>
      <c r="F2895" s="1">
        <f>IFERROR(__xludf.DUMMYFUNCTION("""COMPUTED_VALUE"""),1.6688431E7)</f>
        <v>16688431</v>
      </c>
    </row>
    <row r="2896">
      <c r="A2896" s="2">
        <f>IFERROR(__xludf.DUMMYFUNCTION("""COMPUTED_VALUE"""),44379.66666666667)</f>
        <v>44379.66667</v>
      </c>
      <c r="B2896" s="1">
        <f>IFERROR(__xludf.DUMMYFUNCTION("""COMPUTED_VALUE"""),76.9)</f>
        <v>76.9</v>
      </c>
      <c r="C2896" s="1">
        <f>IFERROR(__xludf.DUMMYFUNCTION("""COMPUTED_VALUE"""),77.8)</f>
        <v>77.8</v>
      </c>
      <c r="D2896" s="1">
        <f>IFERROR(__xludf.DUMMYFUNCTION("""COMPUTED_VALUE"""),74.8)</f>
        <v>74.8</v>
      </c>
      <c r="E2896" s="1">
        <f>IFERROR(__xludf.DUMMYFUNCTION("""COMPUTED_VALUE"""),75.7)</f>
        <v>75.7</v>
      </c>
      <c r="F2896" s="1">
        <f>IFERROR(__xludf.DUMMYFUNCTION("""COMPUTED_VALUE"""),2.257743E7)</f>
        <v>22577430</v>
      </c>
    </row>
    <row r="2897">
      <c r="A2897" s="2">
        <f>IFERROR(__xludf.DUMMYFUNCTION("""COMPUTED_VALUE"""),44383.66666666667)</f>
        <v>44383.66667</v>
      </c>
      <c r="B2897" s="1">
        <f>IFERROR(__xludf.DUMMYFUNCTION("""COMPUTED_VALUE"""),74.3)</f>
        <v>74.3</v>
      </c>
      <c r="C2897" s="1">
        <f>IFERROR(__xludf.DUMMYFUNCTION("""COMPUTED_VALUE"""),80.25)</f>
        <v>80.25</v>
      </c>
      <c r="D2897" s="1">
        <f>IFERROR(__xludf.DUMMYFUNCTION("""COMPUTED_VALUE"""),72.7)</f>
        <v>72.7</v>
      </c>
      <c r="E2897" s="1">
        <f>IFERROR(__xludf.DUMMYFUNCTION("""COMPUTED_VALUE"""),76.7)</f>
        <v>76.7</v>
      </c>
      <c r="F2897" s="1">
        <f>IFERROR(__xludf.DUMMYFUNCTION("""COMPUTED_VALUE"""),2.0230151E7)</f>
        <v>20230151</v>
      </c>
    </row>
    <row r="2898">
      <c r="A2898" s="2">
        <f>IFERROR(__xludf.DUMMYFUNCTION("""COMPUTED_VALUE"""),44384.66666666667)</f>
        <v>44384.66667</v>
      </c>
      <c r="B2898" s="1">
        <f>IFERROR(__xludf.DUMMYFUNCTION("""COMPUTED_VALUE"""),76.6)</f>
        <v>76.6</v>
      </c>
      <c r="C2898" s="1">
        <f>IFERROR(__xludf.DUMMYFUNCTION("""COMPUTED_VALUE"""),76.9)</f>
        <v>76.9</v>
      </c>
      <c r="D2898" s="1">
        <f>IFERROR(__xludf.DUMMYFUNCTION("""COMPUTED_VALUE"""),68.2)</f>
        <v>68.2</v>
      </c>
      <c r="E2898" s="1">
        <f>IFERROR(__xludf.DUMMYFUNCTION("""COMPUTED_VALUE"""),69.3)</f>
        <v>69.3</v>
      </c>
      <c r="F2898" s="1">
        <f>IFERROR(__xludf.DUMMYFUNCTION("""COMPUTED_VALUE"""),2.9422401E7)</f>
        <v>29422401</v>
      </c>
    </row>
    <row r="2899">
      <c r="A2899" s="2">
        <f>IFERROR(__xludf.DUMMYFUNCTION("""COMPUTED_VALUE"""),44385.66666666667)</f>
        <v>44385.66667</v>
      </c>
      <c r="B2899" s="1">
        <f>IFERROR(__xludf.DUMMYFUNCTION("""COMPUTED_VALUE"""),63.5)</f>
        <v>63.5</v>
      </c>
      <c r="C2899" s="1">
        <f>IFERROR(__xludf.DUMMYFUNCTION("""COMPUTED_VALUE"""),63.8)</f>
        <v>63.8</v>
      </c>
      <c r="D2899" s="1">
        <f>IFERROR(__xludf.DUMMYFUNCTION("""COMPUTED_VALUE"""),61.0)</f>
        <v>61</v>
      </c>
      <c r="E2899" s="1">
        <f>IFERROR(__xludf.DUMMYFUNCTION("""COMPUTED_VALUE"""),62.5)</f>
        <v>62.5</v>
      </c>
      <c r="F2899" s="1">
        <f>IFERROR(__xludf.DUMMYFUNCTION("""COMPUTED_VALUE"""),7.8720842E7)</f>
        <v>78720842</v>
      </c>
    </row>
    <row r="2900">
      <c r="A2900" s="2">
        <f>IFERROR(__xludf.DUMMYFUNCTION("""COMPUTED_VALUE"""),44386.66666666667)</f>
        <v>44386.66667</v>
      </c>
      <c r="B2900" s="1">
        <f>IFERROR(__xludf.DUMMYFUNCTION("""COMPUTED_VALUE"""),66.2)</f>
        <v>66.2</v>
      </c>
      <c r="C2900" s="1">
        <f>IFERROR(__xludf.DUMMYFUNCTION("""COMPUTED_VALUE"""),67.1)</f>
        <v>67.1</v>
      </c>
      <c r="D2900" s="1">
        <f>IFERROR(__xludf.DUMMYFUNCTION("""COMPUTED_VALUE"""),63.7)</f>
        <v>63.7</v>
      </c>
      <c r="E2900" s="1">
        <f>IFERROR(__xludf.DUMMYFUNCTION("""COMPUTED_VALUE"""),66.0)</f>
        <v>66</v>
      </c>
      <c r="F2900" s="1">
        <f>IFERROR(__xludf.DUMMYFUNCTION("""COMPUTED_VALUE"""),8.6161099E7)</f>
        <v>86161099</v>
      </c>
    </row>
    <row r="2901">
      <c r="A2901" s="2">
        <f>IFERROR(__xludf.DUMMYFUNCTION("""COMPUTED_VALUE"""),44389.66666666667)</f>
        <v>44389.66667</v>
      </c>
      <c r="B2901" s="1">
        <f>IFERROR(__xludf.DUMMYFUNCTION("""COMPUTED_VALUE"""),66.2)</f>
        <v>66.2</v>
      </c>
      <c r="C2901" s="1">
        <f>IFERROR(__xludf.DUMMYFUNCTION("""COMPUTED_VALUE"""),66.33)</f>
        <v>66.33</v>
      </c>
      <c r="D2901" s="1">
        <f>IFERROR(__xludf.DUMMYFUNCTION("""COMPUTED_VALUE"""),63.7)</f>
        <v>63.7</v>
      </c>
      <c r="E2901" s="1">
        <f>IFERROR(__xludf.DUMMYFUNCTION("""COMPUTED_VALUE"""),64.8)</f>
        <v>64.8</v>
      </c>
      <c r="F2901" s="1">
        <f>IFERROR(__xludf.DUMMYFUNCTION("""COMPUTED_VALUE"""),4.6832452E7)</f>
        <v>46832452</v>
      </c>
    </row>
    <row r="2902">
      <c r="A2902" s="2">
        <f>IFERROR(__xludf.DUMMYFUNCTION("""COMPUTED_VALUE"""),44390.66666666667)</f>
        <v>44390.66667</v>
      </c>
      <c r="B2902" s="1">
        <f>IFERROR(__xludf.DUMMYFUNCTION("""COMPUTED_VALUE"""),66.4)</f>
        <v>66.4</v>
      </c>
      <c r="C2902" s="1">
        <f>IFERROR(__xludf.DUMMYFUNCTION("""COMPUTED_VALUE"""),71.2)</f>
        <v>71.2</v>
      </c>
      <c r="D2902" s="1">
        <f>IFERROR(__xludf.DUMMYFUNCTION("""COMPUTED_VALUE"""),66.3)</f>
        <v>66.3</v>
      </c>
      <c r="E2902" s="1">
        <f>IFERROR(__xludf.DUMMYFUNCTION("""COMPUTED_VALUE"""),68.5)</f>
        <v>68.5</v>
      </c>
      <c r="F2902" s="1">
        <f>IFERROR(__xludf.DUMMYFUNCTION("""COMPUTED_VALUE"""),3.3868483E7)</f>
        <v>33868483</v>
      </c>
    </row>
    <row r="2903">
      <c r="A2903" s="2">
        <f>IFERROR(__xludf.DUMMYFUNCTION("""COMPUTED_VALUE"""),44391.66666666667)</f>
        <v>44391.66667</v>
      </c>
      <c r="B2903" s="1">
        <f>IFERROR(__xludf.DUMMYFUNCTION("""COMPUTED_VALUE"""),69.0)</f>
        <v>69</v>
      </c>
      <c r="C2903" s="1">
        <f>IFERROR(__xludf.DUMMYFUNCTION("""COMPUTED_VALUE"""),69.8)</f>
        <v>69.8</v>
      </c>
      <c r="D2903" s="1">
        <f>IFERROR(__xludf.DUMMYFUNCTION("""COMPUTED_VALUE"""),67.85)</f>
        <v>67.85</v>
      </c>
      <c r="E2903" s="1">
        <f>IFERROR(__xludf.DUMMYFUNCTION("""COMPUTED_VALUE"""),69.1)</f>
        <v>69.1</v>
      </c>
      <c r="F2903" s="1">
        <f>IFERROR(__xludf.DUMMYFUNCTION("""COMPUTED_VALUE"""),1.9229641E7)</f>
        <v>19229641</v>
      </c>
    </row>
    <row r="2904">
      <c r="A2904" s="2">
        <f>IFERROR(__xludf.DUMMYFUNCTION("""COMPUTED_VALUE"""),44392.66666666667)</f>
        <v>44392.66667</v>
      </c>
      <c r="B2904" s="1">
        <f>IFERROR(__xludf.DUMMYFUNCTION("""COMPUTED_VALUE"""),68.1)</f>
        <v>68.1</v>
      </c>
      <c r="C2904" s="1">
        <f>IFERROR(__xludf.DUMMYFUNCTION("""COMPUTED_VALUE"""),70.5)</f>
        <v>70.5</v>
      </c>
      <c r="D2904" s="1">
        <f>IFERROR(__xludf.DUMMYFUNCTION("""COMPUTED_VALUE"""),68.1)</f>
        <v>68.1</v>
      </c>
      <c r="E2904" s="1">
        <f>IFERROR(__xludf.DUMMYFUNCTION("""COMPUTED_VALUE"""),68.4)</f>
        <v>68.4</v>
      </c>
      <c r="F2904" s="1">
        <f>IFERROR(__xludf.DUMMYFUNCTION("""COMPUTED_VALUE"""),2.9165157E7)</f>
        <v>29165157</v>
      </c>
    </row>
    <row r="2905">
      <c r="A2905" s="2">
        <f>IFERROR(__xludf.DUMMYFUNCTION("""COMPUTED_VALUE"""),44393.66666666667)</f>
        <v>44393.66667</v>
      </c>
      <c r="B2905" s="1">
        <f>IFERROR(__xludf.DUMMYFUNCTION("""COMPUTED_VALUE"""),66.8)</f>
        <v>66.8</v>
      </c>
      <c r="C2905" s="1">
        <f>IFERROR(__xludf.DUMMYFUNCTION("""COMPUTED_VALUE"""),66.9)</f>
        <v>66.9</v>
      </c>
      <c r="D2905" s="1">
        <f>IFERROR(__xludf.DUMMYFUNCTION("""COMPUTED_VALUE"""),63.6)</f>
        <v>63.6</v>
      </c>
      <c r="E2905" s="1">
        <f>IFERROR(__xludf.DUMMYFUNCTION("""COMPUTED_VALUE"""),64.6)</f>
        <v>64.6</v>
      </c>
      <c r="F2905" s="1">
        <f>IFERROR(__xludf.DUMMYFUNCTION("""COMPUTED_VALUE"""),3.1527846E7)</f>
        <v>31527846</v>
      </c>
    </row>
    <row r="2906">
      <c r="A2906" s="2">
        <f>IFERROR(__xludf.DUMMYFUNCTION("""COMPUTED_VALUE"""),44396.66666666667)</f>
        <v>44396.66667</v>
      </c>
      <c r="B2906" s="1">
        <f>IFERROR(__xludf.DUMMYFUNCTION("""COMPUTED_VALUE"""),62.2)</f>
        <v>62.2</v>
      </c>
      <c r="C2906" s="1">
        <f>IFERROR(__xludf.DUMMYFUNCTION("""COMPUTED_VALUE"""),62.3)</f>
        <v>62.3</v>
      </c>
      <c r="D2906" s="1">
        <f>IFERROR(__xludf.DUMMYFUNCTION("""COMPUTED_VALUE"""),57.5)</f>
        <v>57.5</v>
      </c>
      <c r="E2906" s="1">
        <f>IFERROR(__xludf.DUMMYFUNCTION("""COMPUTED_VALUE"""),58.4)</f>
        <v>58.4</v>
      </c>
      <c r="F2906" s="1">
        <f>IFERROR(__xludf.DUMMYFUNCTION("""COMPUTED_VALUE"""),4.7748101E7)</f>
        <v>47748101</v>
      </c>
    </row>
    <row r="2907">
      <c r="A2907" s="2">
        <f>IFERROR(__xludf.DUMMYFUNCTION("""COMPUTED_VALUE"""),44397.66666666667)</f>
        <v>44397.66667</v>
      </c>
      <c r="B2907" s="1">
        <f>IFERROR(__xludf.DUMMYFUNCTION("""COMPUTED_VALUE"""),63.4)</f>
        <v>63.4</v>
      </c>
      <c r="C2907" s="1">
        <f>IFERROR(__xludf.DUMMYFUNCTION("""COMPUTED_VALUE"""),65.2)</f>
        <v>65.2</v>
      </c>
      <c r="D2907" s="1">
        <f>IFERROR(__xludf.DUMMYFUNCTION("""COMPUTED_VALUE"""),58.9)</f>
        <v>58.9</v>
      </c>
      <c r="E2907" s="1">
        <f>IFERROR(__xludf.DUMMYFUNCTION("""COMPUTED_VALUE"""),61.8)</f>
        <v>61.8</v>
      </c>
      <c r="F2907" s="1">
        <f>IFERROR(__xludf.DUMMYFUNCTION("""COMPUTED_VALUE"""),6.9829199E7)</f>
        <v>69829199</v>
      </c>
    </row>
    <row r="2908">
      <c r="A2908" s="2">
        <f>IFERROR(__xludf.DUMMYFUNCTION("""COMPUTED_VALUE"""),44398.66666666667)</f>
        <v>44398.66667</v>
      </c>
      <c r="B2908" s="1">
        <f>IFERROR(__xludf.DUMMYFUNCTION("""COMPUTED_VALUE"""),61.0)</f>
        <v>61</v>
      </c>
      <c r="C2908" s="1">
        <f>IFERROR(__xludf.DUMMYFUNCTION("""COMPUTED_VALUE"""),65.7)</f>
        <v>65.7</v>
      </c>
      <c r="D2908" s="1">
        <f>IFERROR(__xludf.DUMMYFUNCTION("""COMPUTED_VALUE"""),59.35)</f>
        <v>59.35</v>
      </c>
      <c r="E2908" s="1">
        <f>IFERROR(__xludf.DUMMYFUNCTION("""COMPUTED_VALUE"""),65.2)</f>
        <v>65.2</v>
      </c>
      <c r="F2908" s="1">
        <f>IFERROR(__xludf.DUMMYFUNCTION("""COMPUTED_VALUE"""),4.0435624E7)</f>
        <v>40435624</v>
      </c>
    </row>
    <row r="2909">
      <c r="A2909" s="2">
        <f>IFERROR(__xludf.DUMMYFUNCTION("""COMPUTED_VALUE"""),44399.66666666667)</f>
        <v>44399.66667</v>
      </c>
      <c r="B2909" s="1">
        <f>IFERROR(__xludf.DUMMYFUNCTION("""COMPUTED_VALUE"""),64.9)</f>
        <v>64.9</v>
      </c>
      <c r="C2909" s="1">
        <f>IFERROR(__xludf.DUMMYFUNCTION("""COMPUTED_VALUE"""),65.5)</f>
        <v>65.5</v>
      </c>
      <c r="D2909" s="1">
        <f>IFERROR(__xludf.DUMMYFUNCTION("""COMPUTED_VALUE"""),61.85)</f>
        <v>61.85</v>
      </c>
      <c r="E2909" s="1">
        <f>IFERROR(__xludf.DUMMYFUNCTION("""COMPUTED_VALUE"""),64.0)</f>
        <v>64</v>
      </c>
      <c r="F2909" s="1">
        <f>IFERROR(__xludf.DUMMYFUNCTION("""COMPUTED_VALUE"""),3.239415E7)</f>
        <v>32394150</v>
      </c>
    </row>
    <row r="2910">
      <c r="A2910" s="2">
        <f>IFERROR(__xludf.DUMMYFUNCTION("""COMPUTED_VALUE"""),44400.66666666667)</f>
        <v>44400.66667</v>
      </c>
      <c r="B2910" s="1">
        <f>IFERROR(__xludf.DUMMYFUNCTION("""COMPUTED_VALUE"""),24.7)</f>
        <v>24.7</v>
      </c>
      <c r="C2910" s="1">
        <f>IFERROR(__xludf.DUMMYFUNCTION("""COMPUTED_VALUE"""),29.6)</f>
        <v>29.6</v>
      </c>
      <c r="D2910" s="1">
        <f>IFERROR(__xludf.DUMMYFUNCTION("""COMPUTED_VALUE"""),24.5)</f>
        <v>24.5</v>
      </c>
      <c r="E2910" s="1">
        <f>IFERROR(__xludf.DUMMYFUNCTION("""COMPUTED_VALUE"""),29.3)</f>
        <v>29.3</v>
      </c>
      <c r="F2910" s="1">
        <f>IFERROR(__xludf.DUMMYFUNCTION("""COMPUTED_VALUE"""),8.06731554E8)</f>
        <v>806731554</v>
      </c>
    </row>
    <row r="2911">
      <c r="A2911" s="2">
        <f>IFERROR(__xludf.DUMMYFUNCTION("""COMPUTED_VALUE"""),44403.66666666667)</f>
        <v>44403.66667</v>
      </c>
      <c r="B2911" s="1">
        <f>IFERROR(__xludf.DUMMYFUNCTION("""COMPUTED_VALUE"""),21.15)</f>
        <v>21.15</v>
      </c>
      <c r="C2911" s="1">
        <f>IFERROR(__xludf.DUMMYFUNCTION("""COMPUTED_VALUE"""),26.0)</f>
        <v>26</v>
      </c>
      <c r="D2911" s="1">
        <f>IFERROR(__xludf.DUMMYFUNCTION("""COMPUTED_VALUE"""),19.4)</f>
        <v>19.4</v>
      </c>
      <c r="E2911" s="1">
        <f>IFERROR(__xludf.DUMMYFUNCTION("""COMPUTED_VALUE"""),19.4)</f>
        <v>19.4</v>
      </c>
      <c r="F2911" s="1">
        <f>IFERROR(__xludf.DUMMYFUNCTION("""COMPUTED_VALUE"""),5.71288155E8)</f>
        <v>571288155</v>
      </c>
    </row>
    <row r="2912">
      <c r="A2912" s="2">
        <f>IFERROR(__xludf.DUMMYFUNCTION("""COMPUTED_VALUE"""),44404.66666666667)</f>
        <v>44404.66667</v>
      </c>
      <c r="B2912" s="1">
        <f>IFERROR(__xludf.DUMMYFUNCTION("""COMPUTED_VALUE"""),20.5)</f>
        <v>20.5</v>
      </c>
      <c r="C2912" s="1">
        <f>IFERROR(__xludf.DUMMYFUNCTION("""COMPUTED_VALUE"""),22.3)</f>
        <v>22.3</v>
      </c>
      <c r="D2912" s="1">
        <f>IFERROR(__xludf.DUMMYFUNCTION("""COMPUTED_VALUE"""),19.4)</f>
        <v>19.4</v>
      </c>
      <c r="E2912" s="1">
        <f>IFERROR(__xludf.DUMMYFUNCTION("""COMPUTED_VALUE"""),21.9)</f>
        <v>21.9</v>
      </c>
      <c r="F2912" s="1">
        <f>IFERROR(__xludf.DUMMYFUNCTION("""COMPUTED_VALUE"""),3.4217424E8)</f>
        <v>342174240</v>
      </c>
    </row>
    <row r="2913">
      <c r="A2913" s="2">
        <f>IFERROR(__xludf.DUMMYFUNCTION("""COMPUTED_VALUE"""),44405.66666666667)</f>
        <v>44405.66667</v>
      </c>
      <c r="B2913" s="1">
        <f>IFERROR(__xludf.DUMMYFUNCTION("""COMPUTED_VALUE"""),23.3)</f>
        <v>23.3</v>
      </c>
      <c r="C2913" s="1">
        <f>IFERROR(__xludf.DUMMYFUNCTION("""COMPUTED_VALUE"""),25.3)</f>
        <v>25.3</v>
      </c>
      <c r="D2913" s="1">
        <f>IFERROR(__xludf.DUMMYFUNCTION("""COMPUTED_VALUE"""),22.1)</f>
        <v>22.1</v>
      </c>
      <c r="E2913" s="1">
        <f>IFERROR(__xludf.DUMMYFUNCTION("""COMPUTED_VALUE"""),23.6)</f>
        <v>23.6</v>
      </c>
      <c r="F2913" s="1">
        <f>IFERROR(__xludf.DUMMYFUNCTION("""COMPUTED_VALUE"""),2.95601448E8)</f>
        <v>295601448</v>
      </c>
    </row>
    <row r="2914">
      <c r="A2914" s="2">
        <f>IFERROR(__xludf.DUMMYFUNCTION("""COMPUTED_VALUE"""),44406.66666666667)</f>
        <v>44406.66667</v>
      </c>
      <c r="B2914" s="1">
        <f>IFERROR(__xludf.DUMMYFUNCTION("""COMPUTED_VALUE"""),24.2)</f>
        <v>24.2</v>
      </c>
      <c r="C2914" s="1">
        <f>IFERROR(__xludf.DUMMYFUNCTION("""COMPUTED_VALUE"""),24.4)</f>
        <v>24.4</v>
      </c>
      <c r="D2914" s="1">
        <f>IFERROR(__xludf.DUMMYFUNCTION("""COMPUTED_VALUE"""),22.1)</f>
        <v>22.1</v>
      </c>
      <c r="E2914" s="1">
        <f>IFERROR(__xludf.DUMMYFUNCTION("""COMPUTED_VALUE"""),22.1)</f>
        <v>22.1</v>
      </c>
      <c r="F2914" s="1">
        <f>IFERROR(__xludf.DUMMYFUNCTION("""COMPUTED_VALUE"""),1.24230687E8)</f>
        <v>124230687</v>
      </c>
    </row>
    <row r="2915">
      <c r="A2915" s="2">
        <f>IFERROR(__xludf.DUMMYFUNCTION("""COMPUTED_VALUE"""),44407.66666666667)</f>
        <v>44407.66667</v>
      </c>
      <c r="B2915" s="1">
        <f>IFERROR(__xludf.DUMMYFUNCTION("""COMPUTED_VALUE"""),21.7)</f>
        <v>21.7</v>
      </c>
      <c r="C2915" s="1">
        <f>IFERROR(__xludf.DUMMYFUNCTION("""COMPUTED_VALUE"""),23.3)</f>
        <v>23.3</v>
      </c>
      <c r="D2915" s="1">
        <f>IFERROR(__xludf.DUMMYFUNCTION("""COMPUTED_VALUE"""),21.4)</f>
        <v>21.4</v>
      </c>
      <c r="E2915" s="1">
        <f>IFERROR(__xludf.DUMMYFUNCTION("""COMPUTED_VALUE"""),21.7)</f>
        <v>21.7</v>
      </c>
      <c r="F2915" s="1">
        <f>IFERROR(__xludf.DUMMYFUNCTION("""COMPUTED_VALUE"""),6.2897444E7)</f>
        <v>62897444</v>
      </c>
    </row>
    <row r="2916">
      <c r="A2916" s="2">
        <f>IFERROR(__xludf.DUMMYFUNCTION("""COMPUTED_VALUE"""),44410.66666666667)</f>
        <v>44410.66667</v>
      </c>
      <c r="B2916" s="1">
        <f>IFERROR(__xludf.DUMMYFUNCTION("""COMPUTED_VALUE"""),22.6)</f>
        <v>22.6</v>
      </c>
      <c r="C2916" s="1">
        <f>IFERROR(__xludf.DUMMYFUNCTION("""COMPUTED_VALUE"""),22.6)</f>
        <v>22.6</v>
      </c>
      <c r="D2916" s="1">
        <f>IFERROR(__xludf.DUMMYFUNCTION("""COMPUTED_VALUE"""),20.5)</f>
        <v>20.5</v>
      </c>
      <c r="E2916" s="1">
        <f>IFERROR(__xludf.DUMMYFUNCTION("""COMPUTED_VALUE"""),21.7)</f>
        <v>21.7</v>
      </c>
      <c r="F2916" s="1">
        <f>IFERROR(__xludf.DUMMYFUNCTION("""COMPUTED_VALUE"""),1.26512578E8)</f>
        <v>126512578</v>
      </c>
    </row>
    <row r="2917">
      <c r="A2917" s="2">
        <f>IFERROR(__xludf.DUMMYFUNCTION("""COMPUTED_VALUE"""),44411.66666666667)</f>
        <v>44411.66667</v>
      </c>
      <c r="B2917" s="1">
        <f>IFERROR(__xludf.DUMMYFUNCTION("""COMPUTED_VALUE"""),21.3)</f>
        <v>21.3</v>
      </c>
      <c r="C2917" s="1">
        <f>IFERROR(__xludf.DUMMYFUNCTION("""COMPUTED_VALUE"""),23.6)</f>
        <v>23.6</v>
      </c>
      <c r="D2917" s="1">
        <f>IFERROR(__xludf.DUMMYFUNCTION("""COMPUTED_VALUE"""),19.6)</f>
        <v>19.6</v>
      </c>
      <c r="E2917" s="1">
        <f>IFERROR(__xludf.DUMMYFUNCTION("""COMPUTED_VALUE"""),22.2)</f>
        <v>22.2</v>
      </c>
      <c r="F2917" s="1">
        <f>IFERROR(__xludf.DUMMYFUNCTION("""COMPUTED_VALUE"""),1.0889366E8)</f>
        <v>108893660</v>
      </c>
    </row>
    <row r="2918">
      <c r="A2918" s="2">
        <f>IFERROR(__xludf.DUMMYFUNCTION("""COMPUTED_VALUE"""),44412.66666666667)</f>
        <v>44412.66667</v>
      </c>
      <c r="B2918" s="1">
        <f>IFERROR(__xludf.DUMMYFUNCTION("""COMPUTED_VALUE"""),23.0)</f>
        <v>23</v>
      </c>
      <c r="C2918" s="1">
        <f>IFERROR(__xludf.DUMMYFUNCTION("""COMPUTED_VALUE"""),23.8)</f>
        <v>23.8</v>
      </c>
      <c r="D2918" s="1">
        <f>IFERROR(__xludf.DUMMYFUNCTION("""COMPUTED_VALUE"""),20.5)</f>
        <v>20.5</v>
      </c>
      <c r="E2918" s="1">
        <f>IFERROR(__xludf.DUMMYFUNCTION("""COMPUTED_VALUE"""),21.0)</f>
        <v>21</v>
      </c>
      <c r="F2918" s="1">
        <f>IFERROR(__xludf.DUMMYFUNCTION("""COMPUTED_VALUE"""),7.9433816E7)</f>
        <v>79433816</v>
      </c>
    </row>
    <row r="2919">
      <c r="A2919" s="2">
        <f>IFERROR(__xludf.DUMMYFUNCTION("""COMPUTED_VALUE"""),44413.66666666667)</f>
        <v>44413.66667</v>
      </c>
      <c r="B2919" s="1">
        <f>IFERROR(__xludf.DUMMYFUNCTION("""COMPUTED_VALUE"""),21.2)</f>
        <v>21.2</v>
      </c>
      <c r="C2919" s="1">
        <f>IFERROR(__xludf.DUMMYFUNCTION("""COMPUTED_VALUE"""),22.2)</f>
        <v>22.2</v>
      </c>
      <c r="D2919" s="1">
        <f>IFERROR(__xludf.DUMMYFUNCTION("""COMPUTED_VALUE"""),20.8)</f>
        <v>20.8</v>
      </c>
      <c r="E2919" s="1">
        <f>IFERROR(__xludf.DUMMYFUNCTION("""COMPUTED_VALUE"""),21.4)</f>
        <v>21.4</v>
      </c>
      <c r="F2919" s="1">
        <f>IFERROR(__xludf.DUMMYFUNCTION("""COMPUTED_VALUE"""),4.9343069E7)</f>
        <v>49343069</v>
      </c>
    </row>
    <row r="2920">
      <c r="A2920" s="2">
        <f>IFERROR(__xludf.DUMMYFUNCTION("""COMPUTED_VALUE"""),44414.66666666667)</f>
        <v>44414.66667</v>
      </c>
      <c r="B2920" s="1">
        <f>IFERROR(__xludf.DUMMYFUNCTION("""COMPUTED_VALUE"""),21.4)</f>
        <v>21.4</v>
      </c>
      <c r="C2920" s="1">
        <f>IFERROR(__xludf.DUMMYFUNCTION("""COMPUTED_VALUE"""),22.5)</f>
        <v>22.5</v>
      </c>
      <c r="D2920" s="1">
        <f>IFERROR(__xludf.DUMMYFUNCTION("""COMPUTED_VALUE"""),21.0)</f>
        <v>21</v>
      </c>
      <c r="E2920" s="1">
        <f>IFERROR(__xludf.DUMMYFUNCTION("""COMPUTED_VALUE"""),21.0)</f>
        <v>21</v>
      </c>
      <c r="F2920" s="1">
        <f>IFERROR(__xludf.DUMMYFUNCTION("""COMPUTED_VALUE"""),4.0865927E7)</f>
        <v>40865927</v>
      </c>
    </row>
    <row r="2921">
      <c r="A2921" s="2">
        <f>IFERROR(__xludf.DUMMYFUNCTION("""COMPUTED_VALUE"""),44417.66666666667)</f>
        <v>44417.66667</v>
      </c>
      <c r="B2921" s="1">
        <f>IFERROR(__xludf.DUMMYFUNCTION("""COMPUTED_VALUE"""),21.4)</f>
        <v>21.4</v>
      </c>
      <c r="C2921" s="1">
        <f>IFERROR(__xludf.DUMMYFUNCTION("""COMPUTED_VALUE"""),22.6)</f>
        <v>22.6</v>
      </c>
      <c r="D2921" s="1">
        <f>IFERROR(__xludf.DUMMYFUNCTION("""COMPUTED_VALUE"""),21.1)</f>
        <v>21.1</v>
      </c>
      <c r="E2921" s="1">
        <f>IFERROR(__xludf.DUMMYFUNCTION("""COMPUTED_VALUE"""),22.0)</f>
        <v>22</v>
      </c>
      <c r="F2921" s="1">
        <f>IFERROR(__xludf.DUMMYFUNCTION("""COMPUTED_VALUE"""),6.0792567E7)</f>
        <v>60792567</v>
      </c>
    </row>
    <row r="2922">
      <c r="A2922" s="2">
        <f>IFERROR(__xludf.DUMMYFUNCTION("""COMPUTED_VALUE"""),44418.66666666667)</f>
        <v>44418.66667</v>
      </c>
      <c r="B2922" s="1">
        <f>IFERROR(__xludf.DUMMYFUNCTION("""COMPUTED_VALUE"""),22.4)</f>
        <v>22.4</v>
      </c>
      <c r="C2922" s="1">
        <f>IFERROR(__xludf.DUMMYFUNCTION("""COMPUTED_VALUE"""),23.4)</f>
        <v>23.4</v>
      </c>
      <c r="D2922" s="1">
        <f>IFERROR(__xludf.DUMMYFUNCTION("""COMPUTED_VALUE"""),21.7)</f>
        <v>21.7</v>
      </c>
      <c r="E2922" s="1">
        <f>IFERROR(__xludf.DUMMYFUNCTION("""COMPUTED_VALUE"""),21.9)</f>
        <v>21.9</v>
      </c>
      <c r="F2922" s="1">
        <f>IFERROR(__xludf.DUMMYFUNCTION("""COMPUTED_VALUE"""),4.3697086E7)</f>
        <v>43697086</v>
      </c>
    </row>
    <row r="2923">
      <c r="A2923" s="2">
        <f>IFERROR(__xludf.DUMMYFUNCTION("""COMPUTED_VALUE"""),44419.66666666667)</f>
        <v>44419.66667</v>
      </c>
      <c r="B2923" s="1">
        <f>IFERROR(__xludf.DUMMYFUNCTION("""COMPUTED_VALUE"""),22.1)</f>
        <v>22.1</v>
      </c>
      <c r="C2923" s="1">
        <f>IFERROR(__xludf.DUMMYFUNCTION("""COMPUTED_VALUE"""),22.14)</f>
        <v>22.14</v>
      </c>
      <c r="D2923" s="1">
        <f>IFERROR(__xludf.DUMMYFUNCTION("""COMPUTED_VALUE"""),21.1)</f>
        <v>21.1</v>
      </c>
      <c r="E2923" s="1">
        <f>IFERROR(__xludf.DUMMYFUNCTION("""COMPUTED_VALUE"""),21.4)</f>
        <v>21.4</v>
      </c>
      <c r="F2923" s="1">
        <f>IFERROR(__xludf.DUMMYFUNCTION("""COMPUTED_VALUE"""),3.0657811E7)</f>
        <v>30657811</v>
      </c>
    </row>
    <row r="2924">
      <c r="A2924" s="2">
        <f>IFERROR(__xludf.DUMMYFUNCTION("""COMPUTED_VALUE"""),44420.66666666667)</f>
        <v>44420.66667</v>
      </c>
      <c r="B2924" s="1">
        <f>IFERROR(__xludf.DUMMYFUNCTION("""COMPUTED_VALUE"""),21.2)</f>
        <v>21.2</v>
      </c>
      <c r="C2924" s="1">
        <f>IFERROR(__xludf.DUMMYFUNCTION("""COMPUTED_VALUE"""),21.2)</f>
        <v>21.2</v>
      </c>
      <c r="D2924" s="1">
        <f>IFERROR(__xludf.DUMMYFUNCTION("""COMPUTED_VALUE"""),19.8)</f>
        <v>19.8</v>
      </c>
      <c r="E2924" s="1">
        <f>IFERROR(__xludf.DUMMYFUNCTION("""COMPUTED_VALUE"""),20.1)</f>
        <v>20.1</v>
      </c>
      <c r="F2924" s="1">
        <f>IFERROR(__xludf.DUMMYFUNCTION("""COMPUTED_VALUE"""),4.7331215E7)</f>
        <v>47331215</v>
      </c>
    </row>
    <row r="2925">
      <c r="A2925" s="2">
        <f>IFERROR(__xludf.DUMMYFUNCTION("""COMPUTED_VALUE"""),44421.66666666667)</f>
        <v>44421.66667</v>
      </c>
      <c r="B2925" s="1">
        <f>IFERROR(__xludf.DUMMYFUNCTION("""COMPUTED_VALUE"""),20.1)</f>
        <v>20.1</v>
      </c>
      <c r="C2925" s="1">
        <f>IFERROR(__xludf.DUMMYFUNCTION("""COMPUTED_VALUE"""),20.2)</f>
        <v>20.2</v>
      </c>
      <c r="D2925" s="1">
        <f>IFERROR(__xludf.DUMMYFUNCTION("""COMPUTED_VALUE"""),19.5)</f>
        <v>19.5</v>
      </c>
      <c r="E2925" s="1">
        <f>IFERROR(__xludf.DUMMYFUNCTION("""COMPUTED_VALUE"""),19.7)</f>
        <v>19.7</v>
      </c>
      <c r="F2925" s="1">
        <f>IFERROR(__xludf.DUMMYFUNCTION("""COMPUTED_VALUE"""),3.5219979E7)</f>
        <v>35219979</v>
      </c>
    </row>
    <row r="2926">
      <c r="A2926" s="2">
        <f>IFERROR(__xludf.DUMMYFUNCTION("""COMPUTED_VALUE"""),44424.66666666667)</f>
        <v>44424.66667</v>
      </c>
      <c r="B2926" s="1">
        <f>IFERROR(__xludf.DUMMYFUNCTION("""COMPUTED_VALUE"""),19.3)</f>
        <v>19.3</v>
      </c>
      <c r="C2926" s="1">
        <f>IFERROR(__xludf.DUMMYFUNCTION("""COMPUTED_VALUE"""),19.5)</f>
        <v>19.5</v>
      </c>
      <c r="D2926" s="1">
        <f>IFERROR(__xludf.DUMMYFUNCTION("""COMPUTED_VALUE"""),18.5)</f>
        <v>18.5</v>
      </c>
      <c r="E2926" s="1">
        <f>IFERROR(__xludf.DUMMYFUNCTION("""COMPUTED_VALUE"""),18.8)</f>
        <v>18.8</v>
      </c>
      <c r="F2926" s="1">
        <f>IFERROR(__xludf.DUMMYFUNCTION("""COMPUTED_VALUE"""),3.7853813E7)</f>
        <v>37853813</v>
      </c>
    </row>
    <row r="2927">
      <c r="A2927" s="2">
        <f>IFERROR(__xludf.DUMMYFUNCTION("""COMPUTED_VALUE"""),44425.66666666667)</f>
        <v>44425.66667</v>
      </c>
      <c r="B2927" s="1">
        <f>IFERROR(__xludf.DUMMYFUNCTION("""COMPUTED_VALUE"""),18.1)</f>
        <v>18.1</v>
      </c>
      <c r="C2927" s="1">
        <f>IFERROR(__xludf.DUMMYFUNCTION("""COMPUTED_VALUE"""),19.4)</f>
        <v>19.4</v>
      </c>
      <c r="D2927" s="1">
        <f>IFERROR(__xludf.DUMMYFUNCTION("""COMPUTED_VALUE"""),17.4)</f>
        <v>17.4</v>
      </c>
      <c r="E2927" s="1">
        <f>IFERROR(__xludf.DUMMYFUNCTION("""COMPUTED_VALUE"""),18.5)</f>
        <v>18.5</v>
      </c>
      <c r="F2927" s="1">
        <f>IFERROR(__xludf.DUMMYFUNCTION("""COMPUTED_VALUE"""),5.9146891E7)</f>
        <v>59146891</v>
      </c>
    </row>
    <row r="2928">
      <c r="A2928" s="2">
        <f>IFERROR(__xludf.DUMMYFUNCTION("""COMPUTED_VALUE"""),44426.66666666667)</f>
        <v>44426.66667</v>
      </c>
      <c r="B2928" s="1">
        <f>IFERROR(__xludf.DUMMYFUNCTION("""COMPUTED_VALUE"""),19.1)</f>
        <v>19.1</v>
      </c>
      <c r="C2928" s="1">
        <f>IFERROR(__xludf.DUMMYFUNCTION("""COMPUTED_VALUE"""),20.0)</f>
        <v>20</v>
      </c>
      <c r="D2928" s="1">
        <f>IFERROR(__xludf.DUMMYFUNCTION("""COMPUTED_VALUE"""),18.5)</f>
        <v>18.5</v>
      </c>
      <c r="E2928" s="1">
        <f>IFERROR(__xludf.DUMMYFUNCTION("""COMPUTED_VALUE"""),19.5)</f>
        <v>19.5</v>
      </c>
      <c r="F2928" s="1">
        <f>IFERROR(__xludf.DUMMYFUNCTION("""COMPUTED_VALUE"""),4.2300446E7)</f>
        <v>42300446</v>
      </c>
    </row>
    <row r="2929">
      <c r="A2929" s="2">
        <f>IFERROR(__xludf.DUMMYFUNCTION("""COMPUTED_VALUE"""),44427.66666666667)</f>
        <v>44427.66667</v>
      </c>
      <c r="B2929" s="1">
        <f>IFERROR(__xludf.DUMMYFUNCTION("""COMPUTED_VALUE"""),18.8)</f>
        <v>18.8</v>
      </c>
      <c r="C2929" s="1">
        <f>IFERROR(__xludf.DUMMYFUNCTION("""COMPUTED_VALUE"""),19.2)</f>
        <v>19.2</v>
      </c>
      <c r="D2929" s="1">
        <f>IFERROR(__xludf.DUMMYFUNCTION("""COMPUTED_VALUE"""),17.9)</f>
        <v>17.9</v>
      </c>
      <c r="E2929" s="1">
        <f>IFERROR(__xludf.DUMMYFUNCTION("""COMPUTED_VALUE"""),18.1)</f>
        <v>18.1</v>
      </c>
      <c r="F2929" s="1">
        <f>IFERROR(__xludf.DUMMYFUNCTION("""COMPUTED_VALUE"""),4.0350975E7)</f>
        <v>40350975</v>
      </c>
    </row>
    <row r="2930">
      <c r="A2930" s="2">
        <f>IFERROR(__xludf.DUMMYFUNCTION("""COMPUTED_VALUE"""),44428.66666666667)</f>
        <v>44428.66667</v>
      </c>
      <c r="B2930" s="1">
        <f>IFERROR(__xludf.DUMMYFUNCTION("""COMPUTED_VALUE"""),18.0)</f>
        <v>18</v>
      </c>
      <c r="C2930" s="1">
        <f>IFERROR(__xludf.DUMMYFUNCTION("""COMPUTED_VALUE"""),18.9)</f>
        <v>18.9</v>
      </c>
      <c r="D2930" s="1">
        <f>IFERROR(__xludf.DUMMYFUNCTION("""COMPUTED_VALUE"""),17.9)</f>
        <v>17.9</v>
      </c>
      <c r="E2930" s="1">
        <f>IFERROR(__xludf.DUMMYFUNCTION("""COMPUTED_VALUE"""),18.2)</f>
        <v>18.2</v>
      </c>
      <c r="F2930" s="1">
        <f>IFERROR(__xludf.DUMMYFUNCTION("""COMPUTED_VALUE"""),4.2955726E7)</f>
        <v>42955726</v>
      </c>
    </row>
    <row r="2931">
      <c r="A2931" s="2">
        <f>IFERROR(__xludf.DUMMYFUNCTION("""COMPUTED_VALUE"""),44431.66666666667)</f>
        <v>44431.66667</v>
      </c>
      <c r="B2931" s="1">
        <f>IFERROR(__xludf.DUMMYFUNCTION("""COMPUTED_VALUE"""),18.6)</f>
        <v>18.6</v>
      </c>
      <c r="C2931" s="1">
        <f>IFERROR(__xludf.DUMMYFUNCTION("""COMPUTED_VALUE"""),18.7)</f>
        <v>18.7</v>
      </c>
      <c r="D2931" s="1">
        <f>IFERROR(__xludf.DUMMYFUNCTION("""COMPUTED_VALUE"""),16.8)</f>
        <v>16.8</v>
      </c>
      <c r="E2931" s="1">
        <f>IFERROR(__xludf.DUMMYFUNCTION("""COMPUTED_VALUE"""),17.0)</f>
        <v>17</v>
      </c>
      <c r="F2931" s="1">
        <f>IFERROR(__xludf.DUMMYFUNCTION("""COMPUTED_VALUE"""),6.0376718E7)</f>
        <v>60376718</v>
      </c>
    </row>
    <row r="2932">
      <c r="A2932" s="2">
        <f>IFERROR(__xludf.DUMMYFUNCTION("""COMPUTED_VALUE"""),44432.66666666667)</f>
        <v>44432.66667</v>
      </c>
      <c r="B2932" s="1">
        <f>IFERROR(__xludf.DUMMYFUNCTION("""COMPUTED_VALUE"""),17.6)</f>
        <v>17.6</v>
      </c>
      <c r="C2932" s="1">
        <f>IFERROR(__xludf.DUMMYFUNCTION("""COMPUTED_VALUE"""),22.3)</f>
        <v>22.3</v>
      </c>
      <c r="D2932" s="1">
        <f>IFERROR(__xludf.DUMMYFUNCTION("""COMPUTED_VALUE"""),17.6)</f>
        <v>17.6</v>
      </c>
      <c r="E2932" s="1">
        <f>IFERROR(__xludf.DUMMYFUNCTION("""COMPUTED_VALUE"""),21.5)</f>
        <v>21.5</v>
      </c>
      <c r="F2932" s="1">
        <f>IFERROR(__xludf.DUMMYFUNCTION("""COMPUTED_VALUE"""),2.33401031E8)</f>
        <v>233401031</v>
      </c>
    </row>
    <row r="2933">
      <c r="A2933" s="2">
        <f>IFERROR(__xludf.DUMMYFUNCTION("""COMPUTED_VALUE"""),44433.66666666667)</f>
        <v>44433.66667</v>
      </c>
      <c r="B2933" s="1">
        <f>IFERROR(__xludf.DUMMYFUNCTION("""COMPUTED_VALUE"""),21.0)</f>
        <v>21</v>
      </c>
      <c r="C2933" s="1">
        <f>IFERROR(__xludf.DUMMYFUNCTION("""COMPUTED_VALUE"""),21.2)</f>
        <v>21.2</v>
      </c>
      <c r="D2933" s="1">
        <f>IFERROR(__xludf.DUMMYFUNCTION("""COMPUTED_VALUE"""),19.7)</f>
        <v>19.7</v>
      </c>
      <c r="E2933" s="1">
        <f>IFERROR(__xludf.DUMMYFUNCTION("""COMPUTED_VALUE"""),20.3)</f>
        <v>20.3</v>
      </c>
      <c r="F2933" s="1">
        <f>IFERROR(__xludf.DUMMYFUNCTION("""COMPUTED_VALUE"""),9.3925581E7)</f>
        <v>93925581</v>
      </c>
    </row>
    <row r="2934">
      <c r="A2934" s="2">
        <f>IFERROR(__xludf.DUMMYFUNCTION("""COMPUTED_VALUE"""),44434.66666666667)</f>
        <v>44434.66667</v>
      </c>
      <c r="B2934" s="1">
        <f>IFERROR(__xludf.DUMMYFUNCTION("""COMPUTED_VALUE"""),20.0)</f>
        <v>20</v>
      </c>
      <c r="C2934" s="1">
        <f>IFERROR(__xludf.DUMMYFUNCTION("""COMPUTED_VALUE"""),21.7)</f>
        <v>21.7</v>
      </c>
      <c r="D2934" s="1">
        <f>IFERROR(__xludf.DUMMYFUNCTION("""COMPUTED_VALUE"""),19.7)</f>
        <v>19.7</v>
      </c>
      <c r="E2934" s="1">
        <f>IFERROR(__xludf.DUMMYFUNCTION("""COMPUTED_VALUE"""),20.0)</f>
        <v>20</v>
      </c>
      <c r="F2934" s="1">
        <f>IFERROR(__xludf.DUMMYFUNCTION("""COMPUTED_VALUE"""),5.1280776E7)</f>
        <v>51280776</v>
      </c>
    </row>
    <row r="2935">
      <c r="A2935" s="2">
        <f>IFERROR(__xludf.DUMMYFUNCTION("""COMPUTED_VALUE"""),44435.66666666667)</f>
        <v>44435.66667</v>
      </c>
      <c r="B2935" s="1">
        <f>IFERROR(__xludf.DUMMYFUNCTION("""COMPUTED_VALUE"""),20.6)</f>
        <v>20.6</v>
      </c>
      <c r="C2935" s="1">
        <f>IFERROR(__xludf.DUMMYFUNCTION("""COMPUTED_VALUE"""),20.6)</f>
        <v>20.6</v>
      </c>
      <c r="D2935" s="1">
        <f>IFERROR(__xludf.DUMMYFUNCTION("""COMPUTED_VALUE"""),19.9)</f>
        <v>19.9</v>
      </c>
      <c r="E2935" s="1">
        <f>IFERROR(__xludf.DUMMYFUNCTION("""COMPUTED_VALUE"""),20.0)</f>
        <v>20</v>
      </c>
      <c r="F2935" s="1">
        <f>IFERROR(__xludf.DUMMYFUNCTION("""COMPUTED_VALUE"""),4.1571825E7)</f>
        <v>41571825</v>
      </c>
    </row>
    <row r="2936">
      <c r="A2936" s="2">
        <f>IFERROR(__xludf.DUMMYFUNCTION("""COMPUTED_VALUE"""),44438.66666666667)</f>
        <v>44438.66667</v>
      </c>
      <c r="B2936" s="1">
        <f>IFERROR(__xludf.DUMMYFUNCTION("""COMPUTED_VALUE"""),21.5)</f>
        <v>21.5</v>
      </c>
      <c r="C2936" s="1">
        <f>IFERROR(__xludf.DUMMYFUNCTION("""COMPUTED_VALUE"""),22.9)</f>
        <v>22.9</v>
      </c>
      <c r="D2936" s="1">
        <f>IFERROR(__xludf.DUMMYFUNCTION("""COMPUTED_VALUE"""),20.0)</f>
        <v>20</v>
      </c>
      <c r="E2936" s="1">
        <f>IFERROR(__xludf.DUMMYFUNCTION("""COMPUTED_VALUE"""),22.5)</f>
        <v>22.5</v>
      </c>
      <c r="F2936" s="1">
        <f>IFERROR(__xludf.DUMMYFUNCTION("""COMPUTED_VALUE"""),1.02406078E8)</f>
        <v>102406078</v>
      </c>
    </row>
    <row r="2937">
      <c r="A2937" s="2">
        <f>IFERROR(__xludf.DUMMYFUNCTION("""COMPUTED_VALUE"""),44439.66666666667)</f>
        <v>44439.66667</v>
      </c>
      <c r="B2937" s="1">
        <f>IFERROR(__xludf.DUMMYFUNCTION("""COMPUTED_VALUE"""),22.0)</f>
        <v>22</v>
      </c>
      <c r="C2937" s="1">
        <f>IFERROR(__xludf.DUMMYFUNCTION("""COMPUTED_VALUE"""),23.5)</f>
        <v>23.5</v>
      </c>
      <c r="D2937" s="1">
        <f>IFERROR(__xludf.DUMMYFUNCTION("""COMPUTED_VALUE"""),21.9)</f>
        <v>21.9</v>
      </c>
      <c r="E2937" s="1">
        <f>IFERROR(__xludf.DUMMYFUNCTION("""COMPUTED_VALUE"""),22.6)</f>
        <v>22.6</v>
      </c>
      <c r="F2937" s="1">
        <f>IFERROR(__xludf.DUMMYFUNCTION("""COMPUTED_VALUE"""),7.6808639E7)</f>
        <v>76808639</v>
      </c>
    </row>
    <row r="2938">
      <c r="A2938" s="2">
        <f>IFERROR(__xludf.DUMMYFUNCTION("""COMPUTED_VALUE"""),44440.66666666667)</f>
        <v>44440.66667</v>
      </c>
      <c r="B2938" s="1">
        <f>IFERROR(__xludf.DUMMYFUNCTION("""COMPUTED_VALUE"""),22.8)</f>
        <v>22.8</v>
      </c>
      <c r="C2938" s="1">
        <f>IFERROR(__xludf.DUMMYFUNCTION("""COMPUTED_VALUE"""),25.4)</f>
        <v>25.4</v>
      </c>
      <c r="D2938" s="1">
        <f>IFERROR(__xludf.DUMMYFUNCTION("""COMPUTED_VALUE"""),22.5)</f>
        <v>22.5</v>
      </c>
      <c r="E2938" s="1">
        <f>IFERROR(__xludf.DUMMYFUNCTION("""COMPUTED_VALUE"""),23.5)</f>
        <v>23.5</v>
      </c>
      <c r="F2938" s="1">
        <f>IFERROR(__xludf.DUMMYFUNCTION("""COMPUTED_VALUE"""),1.23114794E8)</f>
        <v>123114794</v>
      </c>
    </row>
    <row r="2939">
      <c r="A2939" s="2">
        <f>IFERROR(__xludf.DUMMYFUNCTION("""COMPUTED_VALUE"""),44441.66666666667)</f>
        <v>44441.66667</v>
      </c>
      <c r="B2939" s="1">
        <f>IFERROR(__xludf.DUMMYFUNCTION("""COMPUTED_VALUE"""),24.2)</f>
        <v>24.2</v>
      </c>
      <c r="C2939" s="1">
        <f>IFERROR(__xludf.DUMMYFUNCTION("""COMPUTED_VALUE"""),24.4)</f>
        <v>24.4</v>
      </c>
      <c r="D2939" s="1">
        <f>IFERROR(__xludf.DUMMYFUNCTION("""COMPUTED_VALUE"""),22.4)</f>
        <v>22.4</v>
      </c>
      <c r="E2939" s="1">
        <f>IFERROR(__xludf.DUMMYFUNCTION("""COMPUTED_VALUE"""),23.1)</f>
        <v>23.1</v>
      </c>
      <c r="F2939" s="1">
        <f>IFERROR(__xludf.DUMMYFUNCTION("""COMPUTED_VALUE"""),5.0774663E7)</f>
        <v>50774663</v>
      </c>
    </row>
    <row r="2940">
      <c r="A2940" s="2">
        <f>IFERROR(__xludf.DUMMYFUNCTION("""COMPUTED_VALUE"""),44442.66666666667)</f>
        <v>44442.66667</v>
      </c>
      <c r="B2940" s="1">
        <f>IFERROR(__xludf.DUMMYFUNCTION("""COMPUTED_VALUE"""),23.0)</f>
        <v>23</v>
      </c>
      <c r="C2940" s="1">
        <f>IFERROR(__xludf.DUMMYFUNCTION("""COMPUTED_VALUE"""),24.4)</f>
        <v>24.4</v>
      </c>
      <c r="D2940" s="1">
        <f>IFERROR(__xludf.DUMMYFUNCTION("""COMPUTED_VALUE"""),22.5)</f>
        <v>22.5</v>
      </c>
      <c r="E2940" s="1">
        <f>IFERROR(__xludf.DUMMYFUNCTION("""COMPUTED_VALUE"""),23.6)</f>
        <v>23.6</v>
      </c>
      <c r="F2940" s="1">
        <f>IFERROR(__xludf.DUMMYFUNCTION("""COMPUTED_VALUE"""),4.3579161E7)</f>
        <v>43579161</v>
      </c>
    </row>
    <row r="2941">
      <c r="A2941" s="2">
        <f>IFERROR(__xludf.DUMMYFUNCTION("""COMPUTED_VALUE"""),44446.66666666667)</f>
        <v>44446.66667</v>
      </c>
      <c r="B2941" s="1">
        <f>IFERROR(__xludf.DUMMYFUNCTION("""COMPUTED_VALUE"""),24.0)</f>
        <v>24</v>
      </c>
      <c r="C2941" s="1">
        <f>IFERROR(__xludf.DUMMYFUNCTION("""COMPUTED_VALUE"""),25.3)</f>
        <v>25.3</v>
      </c>
      <c r="D2941" s="1">
        <f>IFERROR(__xludf.DUMMYFUNCTION("""COMPUTED_VALUE"""),23.8)</f>
        <v>23.8</v>
      </c>
      <c r="E2941" s="1">
        <f>IFERROR(__xludf.DUMMYFUNCTION("""COMPUTED_VALUE"""),24.3)</f>
        <v>24.3</v>
      </c>
      <c r="F2941" s="1">
        <f>IFERROR(__xludf.DUMMYFUNCTION("""COMPUTED_VALUE"""),7.9814557E7)</f>
        <v>79814557</v>
      </c>
    </row>
    <row r="2942">
      <c r="A2942" s="2">
        <f>IFERROR(__xludf.DUMMYFUNCTION("""COMPUTED_VALUE"""),44447.66666666667)</f>
        <v>44447.66667</v>
      </c>
      <c r="B2942" s="1">
        <f>IFERROR(__xludf.DUMMYFUNCTION("""COMPUTED_VALUE"""),23.8)</f>
        <v>23.8</v>
      </c>
      <c r="C2942" s="1">
        <f>IFERROR(__xludf.DUMMYFUNCTION("""COMPUTED_VALUE"""),24.4)</f>
        <v>24.4</v>
      </c>
      <c r="D2942" s="1">
        <f>IFERROR(__xludf.DUMMYFUNCTION("""COMPUTED_VALUE"""),22.2)</f>
        <v>22.2</v>
      </c>
      <c r="E2942" s="1">
        <f>IFERROR(__xludf.DUMMYFUNCTION("""COMPUTED_VALUE"""),22.8)</f>
        <v>22.8</v>
      </c>
      <c r="F2942" s="1">
        <f>IFERROR(__xludf.DUMMYFUNCTION("""COMPUTED_VALUE"""),4.2874764E7)</f>
        <v>42874764</v>
      </c>
    </row>
    <row r="2943">
      <c r="A2943" s="2">
        <f>IFERROR(__xludf.DUMMYFUNCTION("""COMPUTED_VALUE"""),44448.66666666667)</f>
        <v>44448.66667</v>
      </c>
      <c r="B2943" s="1">
        <f>IFERROR(__xludf.DUMMYFUNCTION("""COMPUTED_VALUE"""),22.2)</f>
        <v>22.2</v>
      </c>
      <c r="C2943" s="1">
        <f>IFERROR(__xludf.DUMMYFUNCTION("""COMPUTED_VALUE"""),22.9)</f>
        <v>22.9</v>
      </c>
      <c r="D2943" s="1">
        <f>IFERROR(__xludf.DUMMYFUNCTION("""COMPUTED_VALUE"""),21.3)</f>
        <v>21.3</v>
      </c>
      <c r="E2943" s="1">
        <f>IFERROR(__xludf.DUMMYFUNCTION("""COMPUTED_VALUE"""),22.5)</f>
        <v>22.5</v>
      </c>
      <c r="F2943" s="1">
        <f>IFERROR(__xludf.DUMMYFUNCTION("""COMPUTED_VALUE"""),4.0103119E7)</f>
        <v>40103119</v>
      </c>
    </row>
    <row r="2944">
      <c r="A2944" s="2">
        <f>IFERROR(__xludf.DUMMYFUNCTION("""COMPUTED_VALUE"""),44449.66666666667)</f>
        <v>44449.66667</v>
      </c>
      <c r="B2944" s="1">
        <f>IFERROR(__xludf.DUMMYFUNCTION("""COMPUTED_VALUE"""),23.2)</f>
        <v>23.2</v>
      </c>
      <c r="C2944" s="1">
        <f>IFERROR(__xludf.DUMMYFUNCTION("""COMPUTED_VALUE"""),23.4)</f>
        <v>23.4</v>
      </c>
      <c r="D2944" s="1">
        <f>IFERROR(__xludf.DUMMYFUNCTION("""COMPUTED_VALUE"""),20.7)</f>
        <v>20.7</v>
      </c>
      <c r="E2944" s="1">
        <f>IFERROR(__xludf.DUMMYFUNCTION("""COMPUTED_VALUE"""),21.0)</f>
        <v>21</v>
      </c>
      <c r="F2944" s="1">
        <f>IFERROR(__xludf.DUMMYFUNCTION("""COMPUTED_VALUE"""),5.214E7)</f>
        <v>52140000</v>
      </c>
    </row>
    <row r="2945">
      <c r="A2945" s="2">
        <f>IFERROR(__xludf.DUMMYFUNCTION("""COMPUTED_VALUE"""),44452.66666666667)</f>
        <v>44452.66667</v>
      </c>
      <c r="B2945" s="1">
        <f>IFERROR(__xludf.DUMMYFUNCTION("""COMPUTED_VALUE"""),20.9)</f>
        <v>20.9</v>
      </c>
      <c r="C2945" s="1">
        <f>IFERROR(__xludf.DUMMYFUNCTION("""COMPUTED_VALUE"""),21.5)</f>
        <v>21.5</v>
      </c>
      <c r="D2945" s="1">
        <f>IFERROR(__xludf.DUMMYFUNCTION("""COMPUTED_VALUE"""),20.1)</f>
        <v>20.1</v>
      </c>
      <c r="E2945" s="1">
        <f>IFERROR(__xludf.DUMMYFUNCTION("""COMPUTED_VALUE"""),20.9)</f>
        <v>20.9</v>
      </c>
      <c r="F2945" s="1">
        <f>IFERROR(__xludf.DUMMYFUNCTION("""COMPUTED_VALUE"""),3.442833E7)</f>
        <v>34428330</v>
      </c>
    </row>
    <row r="2946">
      <c r="A2946" s="2">
        <f>IFERROR(__xludf.DUMMYFUNCTION("""COMPUTED_VALUE"""),44453.66666666667)</f>
        <v>44453.66667</v>
      </c>
      <c r="B2946" s="1">
        <f>IFERROR(__xludf.DUMMYFUNCTION("""COMPUTED_VALUE"""),20.6)</f>
        <v>20.6</v>
      </c>
      <c r="C2946" s="1">
        <f>IFERROR(__xludf.DUMMYFUNCTION("""COMPUTED_VALUE"""),21.4)</f>
        <v>21.4</v>
      </c>
      <c r="D2946" s="1">
        <f>IFERROR(__xludf.DUMMYFUNCTION("""COMPUTED_VALUE"""),20.0)</f>
        <v>20</v>
      </c>
      <c r="E2946" s="1">
        <f>IFERROR(__xludf.DUMMYFUNCTION("""COMPUTED_VALUE"""),20.0)</f>
        <v>20</v>
      </c>
      <c r="F2946" s="1">
        <f>IFERROR(__xludf.DUMMYFUNCTION("""COMPUTED_VALUE"""),2.8300509E7)</f>
        <v>28300509</v>
      </c>
    </row>
    <row r="2947">
      <c r="A2947" s="2">
        <f>IFERROR(__xludf.DUMMYFUNCTION("""COMPUTED_VALUE"""),44454.66666666667)</f>
        <v>44454.66667</v>
      </c>
      <c r="B2947" s="1">
        <f>IFERROR(__xludf.DUMMYFUNCTION("""COMPUTED_VALUE"""),20.4)</f>
        <v>20.4</v>
      </c>
      <c r="C2947" s="1">
        <f>IFERROR(__xludf.DUMMYFUNCTION("""COMPUTED_VALUE"""),20.5)</f>
        <v>20.5</v>
      </c>
      <c r="D2947" s="1">
        <f>IFERROR(__xludf.DUMMYFUNCTION("""COMPUTED_VALUE"""),19.0)</f>
        <v>19</v>
      </c>
      <c r="E2947" s="1">
        <f>IFERROR(__xludf.DUMMYFUNCTION("""COMPUTED_VALUE"""),19.2)</f>
        <v>19.2</v>
      </c>
      <c r="F2947" s="1">
        <f>IFERROR(__xludf.DUMMYFUNCTION("""COMPUTED_VALUE"""),4.9864423E7)</f>
        <v>49864423</v>
      </c>
    </row>
    <row r="2948">
      <c r="A2948" s="2">
        <f>IFERROR(__xludf.DUMMYFUNCTION("""COMPUTED_VALUE"""),44455.66666666667)</f>
        <v>44455.66667</v>
      </c>
      <c r="B2948" s="1">
        <f>IFERROR(__xludf.DUMMYFUNCTION("""COMPUTED_VALUE"""),18.8)</f>
        <v>18.8</v>
      </c>
      <c r="C2948" s="1">
        <f>IFERROR(__xludf.DUMMYFUNCTION("""COMPUTED_VALUE"""),19.5)</f>
        <v>19.5</v>
      </c>
      <c r="D2948" s="1">
        <f>IFERROR(__xludf.DUMMYFUNCTION("""COMPUTED_VALUE"""),18.5)</f>
        <v>18.5</v>
      </c>
      <c r="E2948" s="1">
        <f>IFERROR(__xludf.DUMMYFUNCTION("""COMPUTED_VALUE"""),18.8)</f>
        <v>18.8</v>
      </c>
      <c r="F2948" s="1">
        <f>IFERROR(__xludf.DUMMYFUNCTION("""COMPUTED_VALUE"""),5.7421852E7)</f>
        <v>57421852</v>
      </c>
    </row>
    <row r="2949">
      <c r="A2949" s="2">
        <f>IFERROR(__xludf.DUMMYFUNCTION("""COMPUTED_VALUE"""),44456.66666666667)</f>
        <v>44456.66667</v>
      </c>
      <c r="B2949" s="1">
        <f>IFERROR(__xludf.DUMMYFUNCTION("""COMPUTED_VALUE"""),19.0)</f>
        <v>19</v>
      </c>
      <c r="C2949" s="1">
        <f>IFERROR(__xludf.DUMMYFUNCTION("""COMPUTED_VALUE"""),19.1)</f>
        <v>19.1</v>
      </c>
      <c r="D2949" s="1">
        <f>IFERROR(__xludf.DUMMYFUNCTION("""COMPUTED_VALUE"""),18.5)</f>
        <v>18.5</v>
      </c>
      <c r="E2949" s="1">
        <f>IFERROR(__xludf.DUMMYFUNCTION("""COMPUTED_VALUE"""),19.0)</f>
        <v>19</v>
      </c>
      <c r="F2949" s="1">
        <f>IFERROR(__xludf.DUMMYFUNCTION("""COMPUTED_VALUE"""),3.8866303E7)</f>
        <v>38866303</v>
      </c>
    </row>
    <row r="2950">
      <c r="A2950" s="2">
        <f>IFERROR(__xludf.DUMMYFUNCTION("""COMPUTED_VALUE"""),44459.66666666667)</f>
        <v>44459.66667</v>
      </c>
      <c r="B2950" s="1">
        <f>IFERROR(__xludf.DUMMYFUNCTION("""COMPUTED_VALUE"""),18.0)</f>
        <v>18</v>
      </c>
      <c r="C2950" s="1">
        <f>IFERROR(__xludf.DUMMYFUNCTION("""COMPUTED_VALUE"""),18.6)</f>
        <v>18.6</v>
      </c>
      <c r="D2950" s="1">
        <f>IFERROR(__xludf.DUMMYFUNCTION("""COMPUTED_VALUE"""),17.8)</f>
        <v>17.8</v>
      </c>
      <c r="E2950" s="1">
        <f>IFERROR(__xludf.DUMMYFUNCTION("""COMPUTED_VALUE"""),18.4)</f>
        <v>18.4</v>
      </c>
      <c r="F2950" s="1">
        <f>IFERROR(__xludf.DUMMYFUNCTION("""COMPUTED_VALUE"""),4.4460426E7)</f>
        <v>44460426</v>
      </c>
    </row>
    <row r="2951">
      <c r="A2951" s="2">
        <f>IFERROR(__xludf.DUMMYFUNCTION("""COMPUTED_VALUE"""),44460.66666666667)</f>
        <v>44460.66667</v>
      </c>
      <c r="B2951" s="1">
        <f>IFERROR(__xludf.DUMMYFUNCTION("""COMPUTED_VALUE"""),18.4)</f>
        <v>18.4</v>
      </c>
      <c r="C2951" s="1">
        <f>IFERROR(__xludf.DUMMYFUNCTION("""COMPUTED_VALUE"""),19.4)</f>
        <v>19.4</v>
      </c>
      <c r="D2951" s="1">
        <f>IFERROR(__xludf.DUMMYFUNCTION("""COMPUTED_VALUE"""),18.4)</f>
        <v>18.4</v>
      </c>
      <c r="E2951" s="1">
        <f>IFERROR(__xludf.DUMMYFUNCTION("""COMPUTED_VALUE"""),19.0)</f>
        <v>19</v>
      </c>
      <c r="F2951" s="1">
        <f>IFERROR(__xludf.DUMMYFUNCTION("""COMPUTED_VALUE"""),3.5245199E7)</f>
        <v>35245199</v>
      </c>
    </row>
    <row r="2952">
      <c r="A2952" s="2">
        <f>IFERROR(__xludf.DUMMYFUNCTION("""COMPUTED_VALUE"""),44461.66666666667)</f>
        <v>44461.66667</v>
      </c>
      <c r="B2952" s="1">
        <f>IFERROR(__xludf.DUMMYFUNCTION("""COMPUTED_VALUE"""),19.0)</f>
        <v>19</v>
      </c>
      <c r="C2952" s="1">
        <f>IFERROR(__xludf.DUMMYFUNCTION("""COMPUTED_VALUE"""),21.2)</f>
        <v>21.2</v>
      </c>
      <c r="D2952" s="1">
        <f>IFERROR(__xludf.DUMMYFUNCTION("""COMPUTED_VALUE"""),19.0)</f>
        <v>19</v>
      </c>
      <c r="E2952" s="1">
        <f>IFERROR(__xludf.DUMMYFUNCTION("""COMPUTED_VALUE"""),19.9)</f>
        <v>19.9</v>
      </c>
      <c r="F2952" s="1">
        <f>IFERROR(__xludf.DUMMYFUNCTION("""COMPUTED_VALUE"""),6.9098766E7)</f>
        <v>69098766</v>
      </c>
    </row>
    <row r="2953">
      <c r="A2953" s="2">
        <f>IFERROR(__xludf.DUMMYFUNCTION("""COMPUTED_VALUE"""),44462.66666666667)</f>
        <v>44462.66667</v>
      </c>
      <c r="B2953" s="1">
        <f>IFERROR(__xludf.DUMMYFUNCTION("""COMPUTED_VALUE"""),20.5)</f>
        <v>20.5</v>
      </c>
      <c r="C2953" s="1">
        <f>IFERROR(__xludf.DUMMYFUNCTION("""COMPUTED_VALUE"""),20.6)</f>
        <v>20.6</v>
      </c>
      <c r="D2953" s="1">
        <f>IFERROR(__xludf.DUMMYFUNCTION("""COMPUTED_VALUE"""),19.4)</f>
        <v>19.4</v>
      </c>
      <c r="E2953" s="1">
        <f>IFERROR(__xludf.DUMMYFUNCTION("""COMPUTED_VALUE"""),19.6)</f>
        <v>19.6</v>
      </c>
      <c r="F2953" s="1">
        <f>IFERROR(__xludf.DUMMYFUNCTION("""COMPUTED_VALUE"""),3.3680564E7)</f>
        <v>33680564</v>
      </c>
    </row>
    <row r="2954">
      <c r="A2954" s="2">
        <f>IFERROR(__xludf.DUMMYFUNCTION("""COMPUTED_VALUE"""),44463.66666666667)</f>
        <v>44463.66667</v>
      </c>
      <c r="B2954" s="1">
        <f>IFERROR(__xludf.DUMMYFUNCTION("""COMPUTED_VALUE"""),18.9)</f>
        <v>18.9</v>
      </c>
      <c r="C2954" s="1">
        <f>IFERROR(__xludf.DUMMYFUNCTION("""COMPUTED_VALUE"""),19.4)</f>
        <v>19.4</v>
      </c>
      <c r="D2954" s="1">
        <f>IFERROR(__xludf.DUMMYFUNCTION("""COMPUTED_VALUE"""),18.5)</f>
        <v>18.5</v>
      </c>
      <c r="E2954" s="1">
        <f>IFERROR(__xludf.DUMMYFUNCTION("""COMPUTED_VALUE"""),18.7)</f>
        <v>18.7</v>
      </c>
      <c r="F2954" s="1">
        <f>IFERROR(__xludf.DUMMYFUNCTION("""COMPUTED_VALUE"""),2.8886001E7)</f>
        <v>28886001</v>
      </c>
    </row>
    <row r="2955">
      <c r="A2955" s="2">
        <f>IFERROR(__xludf.DUMMYFUNCTION("""COMPUTED_VALUE"""),44466.66666666667)</f>
        <v>44466.66667</v>
      </c>
      <c r="B2955" s="1">
        <f>IFERROR(__xludf.DUMMYFUNCTION("""COMPUTED_VALUE"""),18.8)</f>
        <v>18.8</v>
      </c>
      <c r="C2955" s="1">
        <f>IFERROR(__xludf.DUMMYFUNCTION("""COMPUTED_VALUE"""),19.6)</f>
        <v>19.6</v>
      </c>
      <c r="D2955" s="1">
        <f>IFERROR(__xludf.DUMMYFUNCTION("""COMPUTED_VALUE"""),18.2)</f>
        <v>18.2</v>
      </c>
      <c r="E2955" s="1">
        <f>IFERROR(__xludf.DUMMYFUNCTION("""COMPUTED_VALUE"""),19.4)</f>
        <v>19.4</v>
      </c>
      <c r="F2955" s="1">
        <f>IFERROR(__xludf.DUMMYFUNCTION("""COMPUTED_VALUE"""),3.434251E7)</f>
        <v>34342510</v>
      </c>
    </row>
    <row r="2956">
      <c r="A2956" s="2">
        <f>IFERROR(__xludf.DUMMYFUNCTION("""COMPUTED_VALUE"""),44467.66666666667)</f>
        <v>44467.66667</v>
      </c>
      <c r="B2956" s="1">
        <f>IFERROR(__xludf.DUMMYFUNCTION("""COMPUTED_VALUE"""),19.1)</f>
        <v>19.1</v>
      </c>
      <c r="C2956" s="1">
        <f>IFERROR(__xludf.DUMMYFUNCTION("""COMPUTED_VALUE"""),19.4)</f>
        <v>19.4</v>
      </c>
      <c r="D2956" s="1">
        <f>IFERROR(__xludf.DUMMYFUNCTION("""COMPUTED_VALUE"""),18.5)</f>
        <v>18.5</v>
      </c>
      <c r="E2956" s="1">
        <f>IFERROR(__xludf.DUMMYFUNCTION("""COMPUTED_VALUE"""),18.6)</f>
        <v>18.6</v>
      </c>
      <c r="F2956" s="1">
        <f>IFERROR(__xludf.DUMMYFUNCTION("""COMPUTED_VALUE"""),3.0986126E7)</f>
        <v>30986126</v>
      </c>
    </row>
    <row r="2957">
      <c r="A2957" s="2">
        <f>IFERROR(__xludf.DUMMYFUNCTION("""COMPUTED_VALUE"""),44468.66666666667)</f>
        <v>44468.66667</v>
      </c>
      <c r="B2957" s="1">
        <f>IFERROR(__xludf.DUMMYFUNCTION("""COMPUTED_VALUE"""),18.7)</f>
        <v>18.7</v>
      </c>
      <c r="C2957" s="1">
        <f>IFERROR(__xludf.DUMMYFUNCTION("""COMPUTED_VALUE"""),19.3)</f>
        <v>19.3</v>
      </c>
      <c r="D2957" s="1">
        <f>IFERROR(__xludf.DUMMYFUNCTION("""COMPUTED_VALUE"""),18.3)</f>
        <v>18.3</v>
      </c>
      <c r="E2957" s="1">
        <f>IFERROR(__xludf.DUMMYFUNCTION("""COMPUTED_VALUE"""),18.5)</f>
        <v>18.5</v>
      </c>
      <c r="F2957" s="1">
        <f>IFERROR(__xludf.DUMMYFUNCTION("""COMPUTED_VALUE"""),3.645766E7)</f>
        <v>36457660</v>
      </c>
    </row>
    <row r="2958">
      <c r="A2958" s="2">
        <f>IFERROR(__xludf.DUMMYFUNCTION("""COMPUTED_VALUE"""),44469.66666666667)</f>
        <v>44469.66667</v>
      </c>
      <c r="B2958" s="1">
        <f>IFERROR(__xludf.DUMMYFUNCTION("""COMPUTED_VALUE"""),18.7)</f>
        <v>18.7</v>
      </c>
      <c r="C2958" s="1">
        <f>IFERROR(__xludf.DUMMYFUNCTION("""COMPUTED_VALUE"""),21.2)</f>
        <v>21.2</v>
      </c>
      <c r="D2958" s="1">
        <f>IFERROR(__xludf.DUMMYFUNCTION("""COMPUTED_VALUE"""),18.5)</f>
        <v>18.5</v>
      </c>
      <c r="E2958" s="1">
        <f>IFERROR(__xludf.DUMMYFUNCTION("""COMPUTED_VALUE"""),20.5)</f>
        <v>20.5</v>
      </c>
      <c r="F2958" s="1">
        <f>IFERROR(__xludf.DUMMYFUNCTION("""COMPUTED_VALUE"""),6.5993257E7)</f>
        <v>65993257</v>
      </c>
    </row>
    <row r="2959">
      <c r="A2959" s="2">
        <f>IFERROR(__xludf.DUMMYFUNCTION("""COMPUTED_VALUE"""),44470.66666666667)</f>
        <v>44470.66667</v>
      </c>
      <c r="B2959" s="1">
        <f>IFERROR(__xludf.DUMMYFUNCTION("""COMPUTED_VALUE"""),20.3)</f>
        <v>20.3</v>
      </c>
      <c r="C2959" s="1">
        <f>IFERROR(__xludf.DUMMYFUNCTION("""COMPUTED_VALUE"""),21.3)</f>
        <v>21.3</v>
      </c>
      <c r="D2959" s="1">
        <f>IFERROR(__xludf.DUMMYFUNCTION("""COMPUTED_VALUE"""),19.8)</f>
        <v>19.8</v>
      </c>
      <c r="E2959" s="1">
        <f>IFERROR(__xludf.DUMMYFUNCTION("""COMPUTED_VALUE"""),20.9)</f>
        <v>20.9</v>
      </c>
      <c r="F2959" s="1">
        <f>IFERROR(__xludf.DUMMYFUNCTION("""COMPUTED_VALUE"""),4.3566067E7)</f>
        <v>43566067</v>
      </c>
    </row>
    <row r="2960">
      <c r="A2960" s="2">
        <f>IFERROR(__xludf.DUMMYFUNCTION("""COMPUTED_VALUE"""),44473.66666666667)</f>
        <v>44473.66667</v>
      </c>
      <c r="B2960" s="1">
        <f>IFERROR(__xludf.DUMMYFUNCTION("""COMPUTED_VALUE"""),21.1)</f>
        <v>21.1</v>
      </c>
      <c r="C2960" s="1">
        <f>IFERROR(__xludf.DUMMYFUNCTION("""COMPUTED_VALUE"""),21.4)</f>
        <v>21.4</v>
      </c>
      <c r="D2960" s="1">
        <f>IFERROR(__xludf.DUMMYFUNCTION("""COMPUTED_VALUE"""),19.5)</f>
        <v>19.5</v>
      </c>
      <c r="E2960" s="1">
        <f>IFERROR(__xludf.DUMMYFUNCTION("""COMPUTED_VALUE"""),19.5)</f>
        <v>19.5</v>
      </c>
      <c r="F2960" s="1">
        <f>IFERROR(__xludf.DUMMYFUNCTION("""COMPUTED_VALUE"""),3.7314444E7)</f>
        <v>37314444</v>
      </c>
    </row>
    <row r="2961">
      <c r="A2961" s="2">
        <f>IFERROR(__xludf.DUMMYFUNCTION("""COMPUTED_VALUE"""),44474.66666666667)</f>
        <v>44474.66667</v>
      </c>
      <c r="B2961" s="1">
        <f>IFERROR(__xludf.DUMMYFUNCTION("""COMPUTED_VALUE"""),19.8)</f>
        <v>19.8</v>
      </c>
      <c r="C2961" s="1">
        <f>IFERROR(__xludf.DUMMYFUNCTION("""COMPUTED_VALUE"""),21.0)</f>
        <v>21</v>
      </c>
      <c r="D2961" s="1">
        <f>IFERROR(__xludf.DUMMYFUNCTION("""COMPUTED_VALUE"""),19.6)</f>
        <v>19.6</v>
      </c>
      <c r="E2961" s="1">
        <f>IFERROR(__xludf.DUMMYFUNCTION("""COMPUTED_VALUE"""),20.5)</f>
        <v>20.5</v>
      </c>
      <c r="F2961" s="1">
        <f>IFERROR(__xludf.DUMMYFUNCTION("""COMPUTED_VALUE"""),2.5865231E7)</f>
        <v>25865231</v>
      </c>
    </row>
    <row r="2962">
      <c r="A2962" s="2">
        <f>IFERROR(__xludf.DUMMYFUNCTION("""COMPUTED_VALUE"""),44475.66666666667)</f>
        <v>44475.66667</v>
      </c>
      <c r="B2962" s="1">
        <f>IFERROR(__xludf.DUMMYFUNCTION("""COMPUTED_VALUE"""),20.1)</f>
        <v>20.1</v>
      </c>
      <c r="C2962" s="1">
        <f>IFERROR(__xludf.DUMMYFUNCTION("""COMPUTED_VALUE"""),21.7)</f>
        <v>21.7</v>
      </c>
      <c r="D2962" s="1">
        <f>IFERROR(__xludf.DUMMYFUNCTION("""COMPUTED_VALUE"""),20.0)</f>
        <v>20</v>
      </c>
      <c r="E2962" s="1">
        <f>IFERROR(__xludf.DUMMYFUNCTION("""COMPUTED_VALUE"""),21.3)</f>
        <v>21.3</v>
      </c>
      <c r="F2962" s="1">
        <f>IFERROR(__xludf.DUMMYFUNCTION("""COMPUTED_VALUE"""),3.7651579E7)</f>
        <v>37651579</v>
      </c>
    </row>
    <row r="2963">
      <c r="A2963" s="2">
        <f>IFERROR(__xludf.DUMMYFUNCTION("""COMPUTED_VALUE"""),44476.66666666667)</f>
        <v>44476.66667</v>
      </c>
      <c r="B2963" s="1">
        <f>IFERROR(__xludf.DUMMYFUNCTION("""COMPUTED_VALUE"""),21.7)</f>
        <v>21.7</v>
      </c>
      <c r="C2963" s="1">
        <f>IFERROR(__xludf.DUMMYFUNCTION("""COMPUTED_VALUE"""),22.3)</f>
        <v>22.3</v>
      </c>
      <c r="D2963" s="1">
        <f>IFERROR(__xludf.DUMMYFUNCTION("""COMPUTED_VALUE"""),21.3)</f>
        <v>21.3</v>
      </c>
      <c r="E2963" s="1">
        <f>IFERROR(__xludf.DUMMYFUNCTION("""COMPUTED_VALUE"""),21.8)</f>
        <v>21.8</v>
      </c>
      <c r="F2963" s="1">
        <f>IFERROR(__xludf.DUMMYFUNCTION("""COMPUTED_VALUE"""),3.7040349E7)</f>
        <v>37040349</v>
      </c>
    </row>
    <row r="2964">
      <c r="A2964" s="2">
        <f>IFERROR(__xludf.DUMMYFUNCTION("""COMPUTED_VALUE"""),44477.66666666667)</f>
        <v>44477.66667</v>
      </c>
      <c r="B2964" s="1">
        <f>IFERROR(__xludf.DUMMYFUNCTION("""COMPUTED_VALUE"""),21.5)</f>
        <v>21.5</v>
      </c>
      <c r="C2964" s="1">
        <f>IFERROR(__xludf.DUMMYFUNCTION("""COMPUTED_VALUE"""),22.2)</f>
        <v>22.2</v>
      </c>
      <c r="D2964" s="1">
        <f>IFERROR(__xludf.DUMMYFUNCTION("""COMPUTED_VALUE"""),21.3)</f>
        <v>21.3</v>
      </c>
      <c r="E2964" s="1">
        <f>IFERROR(__xludf.DUMMYFUNCTION("""COMPUTED_VALUE"""),21.4)</f>
        <v>21.4</v>
      </c>
      <c r="F2964" s="1">
        <f>IFERROR(__xludf.DUMMYFUNCTION("""COMPUTED_VALUE"""),2.4796875E7)</f>
        <v>24796875</v>
      </c>
    </row>
    <row r="2965">
      <c r="A2965" s="2">
        <f>IFERROR(__xludf.DUMMYFUNCTION("""COMPUTED_VALUE"""),44480.66666666667)</f>
        <v>44480.66667</v>
      </c>
      <c r="B2965" s="1">
        <f>IFERROR(__xludf.DUMMYFUNCTION("""COMPUTED_VALUE"""),21.2)</f>
        <v>21.2</v>
      </c>
      <c r="C2965" s="1">
        <f>IFERROR(__xludf.DUMMYFUNCTION("""COMPUTED_VALUE"""),23.2)</f>
        <v>23.2</v>
      </c>
      <c r="D2965" s="1">
        <f>IFERROR(__xludf.DUMMYFUNCTION("""COMPUTED_VALUE"""),20.7)</f>
        <v>20.7</v>
      </c>
      <c r="E2965" s="1">
        <f>IFERROR(__xludf.DUMMYFUNCTION("""COMPUTED_VALUE"""),22.4)</f>
        <v>22.4</v>
      </c>
      <c r="F2965" s="1">
        <f>IFERROR(__xludf.DUMMYFUNCTION("""COMPUTED_VALUE"""),6.2954153E7)</f>
        <v>62954153</v>
      </c>
    </row>
    <row r="2966">
      <c r="A2966" s="2">
        <f>IFERROR(__xludf.DUMMYFUNCTION("""COMPUTED_VALUE"""),44481.66666666667)</f>
        <v>44481.66667</v>
      </c>
      <c r="B2966" s="1">
        <f>IFERROR(__xludf.DUMMYFUNCTION("""COMPUTED_VALUE"""),22.9)</f>
        <v>22.9</v>
      </c>
      <c r="C2966" s="1">
        <f>IFERROR(__xludf.DUMMYFUNCTION("""COMPUTED_VALUE"""),23.7)</f>
        <v>23.7</v>
      </c>
      <c r="D2966" s="1">
        <f>IFERROR(__xludf.DUMMYFUNCTION("""COMPUTED_VALUE"""),21.2)</f>
        <v>21.2</v>
      </c>
      <c r="E2966" s="1">
        <f>IFERROR(__xludf.DUMMYFUNCTION("""COMPUTED_VALUE"""),21.6)</f>
        <v>21.6</v>
      </c>
      <c r="F2966" s="1">
        <f>IFERROR(__xludf.DUMMYFUNCTION("""COMPUTED_VALUE"""),5.7193036E7)</f>
        <v>57193036</v>
      </c>
    </row>
    <row r="2967">
      <c r="A2967" s="2">
        <f>IFERROR(__xludf.DUMMYFUNCTION("""COMPUTED_VALUE"""),44482.66666666667)</f>
        <v>44482.66667</v>
      </c>
      <c r="B2967" s="1">
        <f>IFERROR(__xludf.DUMMYFUNCTION("""COMPUTED_VALUE"""),22.5)</f>
        <v>22.5</v>
      </c>
      <c r="C2967" s="1">
        <f>IFERROR(__xludf.DUMMYFUNCTION("""COMPUTED_VALUE"""),24.3)</f>
        <v>24.3</v>
      </c>
      <c r="D2967" s="1">
        <f>IFERROR(__xludf.DUMMYFUNCTION("""COMPUTED_VALUE"""),22.1)</f>
        <v>22.1</v>
      </c>
      <c r="E2967" s="1">
        <f>IFERROR(__xludf.DUMMYFUNCTION("""COMPUTED_VALUE"""),23.4)</f>
        <v>23.4</v>
      </c>
      <c r="F2967" s="1">
        <f>IFERROR(__xludf.DUMMYFUNCTION("""COMPUTED_VALUE"""),7.2758404E7)</f>
        <v>72758404</v>
      </c>
    </row>
    <row r="2968">
      <c r="A2968" s="2">
        <f>IFERROR(__xludf.DUMMYFUNCTION("""COMPUTED_VALUE"""),44483.66666666667)</f>
        <v>44483.66667</v>
      </c>
      <c r="B2968" s="1">
        <f>IFERROR(__xludf.DUMMYFUNCTION("""COMPUTED_VALUE"""),24.0)</f>
        <v>24</v>
      </c>
      <c r="C2968" s="1">
        <f>IFERROR(__xludf.DUMMYFUNCTION("""COMPUTED_VALUE"""),24.3)</f>
        <v>24.3</v>
      </c>
      <c r="D2968" s="1">
        <f>IFERROR(__xludf.DUMMYFUNCTION("""COMPUTED_VALUE"""),22.6)</f>
        <v>22.6</v>
      </c>
      <c r="E2968" s="1">
        <f>IFERROR(__xludf.DUMMYFUNCTION("""COMPUTED_VALUE"""),23.7)</f>
        <v>23.7</v>
      </c>
      <c r="F2968" s="1">
        <f>IFERROR(__xludf.DUMMYFUNCTION("""COMPUTED_VALUE"""),4.3881695E7)</f>
        <v>43881695</v>
      </c>
    </row>
    <row r="2969">
      <c r="A2969" s="2">
        <f>IFERROR(__xludf.DUMMYFUNCTION("""COMPUTED_VALUE"""),44484.66666666667)</f>
        <v>44484.66667</v>
      </c>
      <c r="B2969" s="1">
        <f>IFERROR(__xludf.DUMMYFUNCTION("""COMPUTED_VALUE"""),23.6)</f>
        <v>23.6</v>
      </c>
      <c r="C2969" s="1">
        <f>IFERROR(__xludf.DUMMYFUNCTION("""COMPUTED_VALUE"""),24.2)</f>
        <v>24.2</v>
      </c>
      <c r="D2969" s="1">
        <f>IFERROR(__xludf.DUMMYFUNCTION("""COMPUTED_VALUE"""),23.05)</f>
        <v>23.05</v>
      </c>
      <c r="E2969" s="1">
        <f>IFERROR(__xludf.DUMMYFUNCTION("""COMPUTED_VALUE"""),23.8)</f>
        <v>23.8</v>
      </c>
      <c r="F2969" s="1">
        <f>IFERROR(__xludf.DUMMYFUNCTION("""COMPUTED_VALUE"""),2.8727697E7)</f>
        <v>28727697</v>
      </c>
    </row>
    <row r="2970">
      <c r="A2970" s="2">
        <f>IFERROR(__xludf.DUMMYFUNCTION("""COMPUTED_VALUE"""),44487.66666666667)</f>
        <v>44487.66667</v>
      </c>
      <c r="B2970" s="1">
        <f>IFERROR(__xludf.DUMMYFUNCTION("""COMPUTED_VALUE"""),23.6)</f>
        <v>23.6</v>
      </c>
      <c r="C2970" s="1">
        <f>IFERROR(__xludf.DUMMYFUNCTION("""COMPUTED_VALUE"""),24.1)</f>
        <v>24.1</v>
      </c>
      <c r="D2970" s="1">
        <f>IFERROR(__xludf.DUMMYFUNCTION("""COMPUTED_VALUE"""),22.5)</f>
        <v>22.5</v>
      </c>
      <c r="E2970" s="1">
        <f>IFERROR(__xludf.DUMMYFUNCTION("""COMPUTED_VALUE"""),23.6)</f>
        <v>23.6</v>
      </c>
      <c r="F2970" s="1">
        <f>IFERROR(__xludf.DUMMYFUNCTION("""COMPUTED_VALUE"""),2.9190601E7)</f>
        <v>29190601</v>
      </c>
    </row>
    <row r="2971">
      <c r="A2971" s="2">
        <f>IFERROR(__xludf.DUMMYFUNCTION("""COMPUTED_VALUE"""),44488.66666666667)</f>
        <v>44488.66667</v>
      </c>
      <c r="B2971" s="1">
        <f>IFERROR(__xludf.DUMMYFUNCTION("""COMPUTED_VALUE"""),23.5)</f>
        <v>23.5</v>
      </c>
      <c r="C2971" s="1">
        <f>IFERROR(__xludf.DUMMYFUNCTION("""COMPUTED_VALUE"""),24.7)</f>
        <v>24.7</v>
      </c>
      <c r="D2971" s="1">
        <f>IFERROR(__xludf.DUMMYFUNCTION("""COMPUTED_VALUE"""),23.1)</f>
        <v>23.1</v>
      </c>
      <c r="E2971" s="1">
        <f>IFERROR(__xludf.DUMMYFUNCTION("""COMPUTED_VALUE"""),24.7)</f>
        <v>24.7</v>
      </c>
      <c r="F2971" s="1">
        <f>IFERROR(__xludf.DUMMYFUNCTION("""COMPUTED_VALUE"""),2.6938379E7)</f>
        <v>26938379</v>
      </c>
    </row>
    <row r="2972">
      <c r="A2972" s="2">
        <f>IFERROR(__xludf.DUMMYFUNCTION("""COMPUTED_VALUE"""),44489.66666666667)</f>
        <v>44489.66667</v>
      </c>
      <c r="B2972" s="1">
        <f>IFERROR(__xludf.DUMMYFUNCTION("""COMPUTED_VALUE"""),24.7)</f>
        <v>24.7</v>
      </c>
      <c r="C2972" s="1">
        <f>IFERROR(__xludf.DUMMYFUNCTION("""COMPUTED_VALUE"""),25.6)</f>
        <v>25.6</v>
      </c>
      <c r="D2972" s="1">
        <f>IFERROR(__xludf.DUMMYFUNCTION("""COMPUTED_VALUE"""),24.3)</f>
        <v>24.3</v>
      </c>
      <c r="E2972" s="1">
        <f>IFERROR(__xludf.DUMMYFUNCTION("""COMPUTED_VALUE"""),25.0)</f>
        <v>25</v>
      </c>
      <c r="F2972" s="1">
        <f>IFERROR(__xludf.DUMMYFUNCTION("""COMPUTED_VALUE"""),3.1040682E7)</f>
        <v>31040682</v>
      </c>
    </row>
    <row r="2973">
      <c r="A2973" s="2">
        <f>IFERROR(__xludf.DUMMYFUNCTION("""COMPUTED_VALUE"""),44490.66666666667)</f>
        <v>44490.66667</v>
      </c>
      <c r="B2973" s="1">
        <f>IFERROR(__xludf.DUMMYFUNCTION("""COMPUTED_VALUE"""),24.7)</f>
        <v>24.7</v>
      </c>
      <c r="C2973" s="1">
        <f>IFERROR(__xludf.DUMMYFUNCTION("""COMPUTED_VALUE"""),25.0)</f>
        <v>25</v>
      </c>
      <c r="D2973" s="1">
        <f>IFERROR(__xludf.DUMMYFUNCTION("""COMPUTED_VALUE"""),23.4)</f>
        <v>23.4</v>
      </c>
      <c r="E2973" s="1">
        <f>IFERROR(__xludf.DUMMYFUNCTION("""COMPUTED_VALUE"""),24.1)</f>
        <v>24.1</v>
      </c>
      <c r="F2973" s="1">
        <f>IFERROR(__xludf.DUMMYFUNCTION("""COMPUTED_VALUE"""),3.4396992E7)</f>
        <v>34396992</v>
      </c>
    </row>
    <row r="2974">
      <c r="A2974" s="2">
        <f>IFERROR(__xludf.DUMMYFUNCTION("""COMPUTED_VALUE"""),44491.66666666667)</f>
        <v>44491.66667</v>
      </c>
      <c r="B2974" s="1">
        <f>IFERROR(__xludf.DUMMYFUNCTION("""COMPUTED_VALUE"""),23.8)</f>
        <v>23.8</v>
      </c>
      <c r="C2974" s="1">
        <f>IFERROR(__xludf.DUMMYFUNCTION("""COMPUTED_VALUE"""),24.9)</f>
        <v>24.9</v>
      </c>
      <c r="D2974" s="1">
        <f>IFERROR(__xludf.DUMMYFUNCTION("""COMPUTED_VALUE"""),23.5)</f>
        <v>23.5</v>
      </c>
      <c r="E2974" s="1">
        <f>IFERROR(__xludf.DUMMYFUNCTION("""COMPUTED_VALUE"""),23.9)</f>
        <v>23.9</v>
      </c>
      <c r="F2974" s="1">
        <f>IFERROR(__xludf.DUMMYFUNCTION("""COMPUTED_VALUE"""),2.4965833E7)</f>
        <v>24965833</v>
      </c>
    </row>
    <row r="2975">
      <c r="A2975" s="2">
        <f>IFERROR(__xludf.DUMMYFUNCTION("""COMPUTED_VALUE"""),44494.66666666667)</f>
        <v>44494.66667</v>
      </c>
      <c r="B2975" s="1">
        <f>IFERROR(__xludf.DUMMYFUNCTION("""COMPUTED_VALUE"""),23.6)</f>
        <v>23.6</v>
      </c>
      <c r="C2975" s="1">
        <f>IFERROR(__xludf.DUMMYFUNCTION("""COMPUTED_VALUE"""),23.7)</f>
        <v>23.7</v>
      </c>
      <c r="D2975" s="1">
        <f>IFERROR(__xludf.DUMMYFUNCTION("""COMPUTED_VALUE"""),22.1)</f>
        <v>22.1</v>
      </c>
      <c r="E2975" s="1">
        <f>IFERROR(__xludf.DUMMYFUNCTION("""COMPUTED_VALUE"""),23.2)</f>
        <v>23.2</v>
      </c>
      <c r="F2975" s="1">
        <f>IFERROR(__xludf.DUMMYFUNCTION("""COMPUTED_VALUE"""),3.5833591E7)</f>
        <v>35833591</v>
      </c>
    </row>
    <row r="2976">
      <c r="A2976" s="2">
        <f>IFERROR(__xludf.DUMMYFUNCTION("""COMPUTED_VALUE"""),44495.66666666667)</f>
        <v>44495.66667</v>
      </c>
      <c r="B2976" s="1">
        <f>IFERROR(__xludf.DUMMYFUNCTION("""COMPUTED_VALUE"""),22.6)</f>
        <v>22.6</v>
      </c>
      <c r="C2976" s="1">
        <f>IFERROR(__xludf.DUMMYFUNCTION("""COMPUTED_VALUE"""),23.0)</f>
        <v>23</v>
      </c>
      <c r="D2976" s="1">
        <f>IFERROR(__xludf.DUMMYFUNCTION("""COMPUTED_VALUE"""),21.5)</f>
        <v>21.5</v>
      </c>
      <c r="E2976" s="1">
        <f>IFERROR(__xludf.DUMMYFUNCTION("""COMPUTED_VALUE"""),21.9)</f>
        <v>21.9</v>
      </c>
      <c r="F2976" s="1">
        <f>IFERROR(__xludf.DUMMYFUNCTION("""COMPUTED_VALUE"""),3.7130467E7)</f>
        <v>37130467</v>
      </c>
    </row>
    <row r="2977">
      <c r="A2977" s="2">
        <f>IFERROR(__xludf.DUMMYFUNCTION("""COMPUTED_VALUE"""),44496.66666666667)</f>
        <v>44496.66667</v>
      </c>
      <c r="B2977" s="1">
        <f>IFERROR(__xludf.DUMMYFUNCTION("""COMPUTED_VALUE"""),21.5)</f>
        <v>21.5</v>
      </c>
      <c r="C2977" s="1">
        <f>IFERROR(__xludf.DUMMYFUNCTION("""COMPUTED_VALUE"""),22.7)</f>
        <v>22.7</v>
      </c>
      <c r="D2977" s="1">
        <f>IFERROR(__xludf.DUMMYFUNCTION("""COMPUTED_VALUE"""),21.4)</f>
        <v>21.4</v>
      </c>
      <c r="E2977" s="1">
        <f>IFERROR(__xludf.DUMMYFUNCTION("""COMPUTED_VALUE"""),21.4)</f>
        <v>21.4</v>
      </c>
      <c r="F2977" s="1">
        <f>IFERROR(__xludf.DUMMYFUNCTION("""COMPUTED_VALUE"""),1.7719474E7)</f>
        <v>17719474</v>
      </c>
    </row>
    <row r="2978">
      <c r="A2978" s="2">
        <f>IFERROR(__xludf.DUMMYFUNCTION("""COMPUTED_VALUE"""),44497.66666666667)</f>
        <v>44497.66667</v>
      </c>
      <c r="B2978" s="1">
        <f>IFERROR(__xludf.DUMMYFUNCTION("""COMPUTED_VALUE"""),21.3)</f>
        <v>21.3</v>
      </c>
      <c r="C2978" s="1">
        <f>IFERROR(__xludf.DUMMYFUNCTION("""COMPUTED_VALUE"""),21.8)</f>
        <v>21.8</v>
      </c>
      <c r="D2978" s="1">
        <f>IFERROR(__xludf.DUMMYFUNCTION("""COMPUTED_VALUE"""),20.75)</f>
        <v>20.75</v>
      </c>
      <c r="E2978" s="1">
        <f>IFERROR(__xludf.DUMMYFUNCTION("""COMPUTED_VALUE"""),21.3)</f>
        <v>21.3</v>
      </c>
      <c r="F2978" s="1">
        <f>IFERROR(__xludf.DUMMYFUNCTION("""COMPUTED_VALUE"""),1.9585658E7)</f>
        <v>19585658</v>
      </c>
    </row>
    <row r="2979">
      <c r="A2979" s="2">
        <f>IFERROR(__xludf.DUMMYFUNCTION("""COMPUTED_VALUE"""),44498.66666666667)</f>
        <v>44498.66667</v>
      </c>
      <c r="B2979" s="1">
        <f>IFERROR(__xludf.DUMMYFUNCTION("""COMPUTED_VALUE"""),21.2)</f>
        <v>21.2</v>
      </c>
      <c r="C2979" s="1">
        <f>IFERROR(__xludf.DUMMYFUNCTION("""COMPUTED_VALUE"""),21.4)</f>
        <v>21.4</v>
      </c>
      <c r="D2979" s="1">
        <f>IFERROR(__xludf.DUMMYFUNCTION("""COMPUTED_VALUE"""),20.3)</f>
        <v>20.3</v>
      </c>
      <c r="E2979" s="1">
        <f>IFERROR(__xludf.DUMMYFUNCTION("""COMPUTED_VALUE"""),20.5)</f>
        <v>20.5</v>
      </c>
      <c r="F2979" s="1">
        <f>IFERROR(__xludf.DUMMYFUNCTION("""COMPUTED_VALUE"""),2.9895396E7)</f>
        <v>29895396</v>
      </c>
    </row>
    <row r="2980">
      <c r="A2980" s="2">
        <f>IFERROR(__xludf.DUMMYFUNCTION("""COMPUTED_VALUE"""),44501.66666666667)</f>
        <v>44501.66667</v>
      </c>
      <c r="B2980" s="1">
        <f>IFERROR(__xludf.DUMMYFUNCTION("""COMPUTED_VALUE"""),20.7)</f>
        <v>20.7</v>
      </c>
      <c r="C2980" s="1">
        <f>IFERROR(__xludf.DUMMYFUNCTION("""COMPUTED_VALUE"""),22.2)</f>
        <v>22.2</v>
      </c>
      <c r="D2980" s="1">
        <f>IFERROR(__xludf.DUMMYFUNCTION("""COMPUTED_VALUE"""),20.6)</f>
        <v>20.6</v>
      </c>
      <c r="E2980" s="1">
        <f>IFERROR(__xludf.DUMMYFUNCTION("""COMPUTED_VALUE"""),22.2)</f>
        <v>22.2</v>
      </c>
      <c r="F2980" s="1">
        <f>IFERROR(__xludf.DUMMYFUNCTION("""COMPUTED_VALUE"""),2.5153609E7)</f>
        <v>25153609</v>
      </c>
    </row>
    <row r="2981">
      <c r="A2981" s="2">
        <f>IFERROR(__xludf.DUMMYFUNCTION("""COMPUTED_VALUE"""),44502.66666666667)</f>
        <v>44502.66667</v>
      </c>
      <c r="B2981" s="1">
        <f>IFERROR(__xludf.DUMMYFUNCTION("""COMPUTED_VALUE"""),21.5)</f>
        <v>21.5</v>
      </c>
      <c r="C2981" s="1">
        <f>IFERROR(__xludf.DUMMYFUNCTION("""COMPUTED_VALUE"""),21.6)</f>
        <v>21.6</v>
      </c>
      <c r="D2981" s="1">
        <f>IFERROR(__xludf.DUMMYFUNCTION("""COMPUTED_VALUE"""),20.3)</f>
        <v>20.3</v>
      </c>
      <c r="E2981" s="1">
        <f>IFERROR(__xludf.DUMMYFUNCTION("""COMPUTED_VALUE"""),20.5)</f>
        <v>20.5</v>
      </c>
      <c r="F2981" s="1">
        <f>IFERROR(__xludf.DUMMYFUNCTION("""COMPUTED_VALUE"""),2.9307841E7)</f>
        <v>29307841</v>
      </c>
    </row>
    <row r="2982">
      <c r="A2982" s="2">
        <f>IFERROR(__xludf.DUMMYFUNCTION("""COMPUTED_VALUE"""),44503.66666666667)</f>
        <v>44503.66667</v>
      </c>
      <c r="B2982" s="1">
        <f>IFERROR(__xludf.DUMMYFUNCTION("""COMPUTED_VALUE"""),20.5)</f>
        <v>20.5</v>
      </c>
      <c r="C2982" s="1">
        <f>IFERROR(__xludf.DUMMYFUNCTION("""COMPUTED_VALUE"""),21.0)</f>
        <v>21</v>
      </c>
      <c r="D2982" s="1">
        <f>IFERROR(__xludf.DUMMYFUNCTION("""COMPUTED_VALUE"""),20.2)</f>
        <v>20.2</v>
      </c>
      <c r="E2982" s="1">
        <f>IFERROR(__xludf.DUMMYFUNCTION("""COMPUTED_VALUE"""),20.5)</f>
        <v>20.5</v>
      </c>
      <c r="F2982" s="1">
        <f>IFERROR(__xludf.DUMMYFUNCTION("""COMPUTED_VALUE"""),1.8507018E7)</f>
        <v>18507018</v>
      </c>
    </row>
    <row r="2983">
      <c r="A2983" s="2">
        <f>IFERROR(__xludf.DUMMYFUNCTION("""COMPUTED_VALUE"""),44504.66666666667)</f>
        <v>44504.66667</v>
      </c>
      <c r="B2983" s="1">
        <f>IFERROR(__xludf.DUMMYFUNCTION("""COMPUTED_VALUE"""),20.8)</f>
        <v>20.8</v>
      </c>
      <c r="C2983" s="1">
        <f>IFERROR(__xludf.DUMMYFUNCTION("""COMPUTED_VALUE"""),20.85)</f>
        <v>20.85</v>
      </c>
      <c r="D2983" s="1">
        <f>IFERROR(__xludf.DUMMYFUNCTION("""COMPUTED_VALUE"""),20.0)</f>
        <v>20</v>
      </c>
      <c r="E2983" s="1">
        <f>IFERROR(__xludf.DUMMYFUNCTION("""COMPUTED_VALUE"""),20.3)</f>
        <v>20.3</v>
      </c>
      <c r="F2983" s="1">
        <f>IFERROR(__xludf.DUMMYFUNCTION("""COMPUTED_VALUE"""),2.1065172E7)</f>
        <v>21065172</v>
      </c>
    </row>
    <row r="2984">
      <c r="A2984" s="2">
        <f>IFERROR(__xludf.DUMMYFUNCTION("""COMPUTED_VALUE"""),44505.66666666667)</f>
        <v>44505.66667</v>
      </c>
      <c r="B2984" s="1">
        <f>IFERROR(__xludf.DUMMYFUNCTION("""COMPUTED_VALUE"""),20.3)</f>
        <v>20.3</v>
      </c>
      <c r="C2984" s="1">
        <f>IFERROR(__xludf.DUMMYFUNCTION("""COMPUTED_VALUE"""),20.7)</f>
        <v>20.7</v>
      </c>
      <c r="D2984" s="1">
        <f>IFERROR(__xludf.DUMMYFUNCTION("""COMPUTED_VALUE"""),20.0)</f>
        <v>20</v>
      </c>
      <c r="E2984" s="1">
        <f>IFERROR(__xludf.DUMMYFUNCTION("""COMPUTED_VALUE"""),20.4)</f>
        <v>20.4</v>
      </c>
      <c r="F2984" s="1">
        <f>IFERROR(__xludf.DUMMYFUNCTION("""COMPUTED_VALUE"""),2.0029018E7)</f>
        <v>20029018</v>
      </c>
    </row>
    <row r="2985">
      <c r="A2985" s="2">
        <f>IFERROR(__xludf.DUMMYFUNCTION("""COMPUTED_VALUE"""),44508.66666666667)</f>
        <v>44508.66667</v>
      </c>
      <c r="B2985" s="1">
        <f>IFERROR(__xludf.DUMMYFUNCTION("""COMPUTED_VALUE"""),21.95)</f>
        <v>21.95</v>
      </c>
      <c r="C2985" s="1">
        <f>IFERROR(__xludf.DUMMYFUNCTION("""COMPUTED_VALUE"""),22.3)</f>
        <v>22.3</v>
      </c>
      <c r="D2985" s="1">
        <f>IFERROR(__xludf.DUMMYFUNCTION("""COMPUTED_VALUE"""),21.0)</f>
        <v>21</v>
      </c>
      <c r="E2985" s="1">
        <f>IFERROR(__xludf.DUMMYFUNCTION("""COMPUTED_VALUE"""),21.1)</f>
        <v>21.1</v>
      </c>
      <c r="F2985" s="1">
        <f>IFERROR(__xludf.DUMMYFUNCTION("""COMPUTED_VALUE"""),1.20343582E8)</f>
        <v>120343582</v>
      </c>
    </row>
    <row r="2986">
      <c r="A2986" s="2">
        <f>IFERROR(__xludf.DUMMYFUNCTION("""COMPUTED_VALUE"""),44509.66666666667)</f>
        <v>44509.66667</v>
      </c>
      <c r="B2986" s="1">
        <f>IFERROR(__xludf.DUMMYFUNCTION("""COMPUTED_VALUE"""),21.15)</f>
        <v>21.15</v>
      </c>
      <c r="C2986" s="1">
        <f>IFERROR(__xludf.DUMMYFUNCTION("""COMPUTED_VALUE"""),21.4)</f>
        <v>21.4</v>
      </c>
      <c r="D2986" s="1">
        <f>IFERROR(__xludf.DUMMYFUNCTION("""COMPUTED_VALUE"""),20.2)</f>
        <v>20.2</v>
      </c>
      <c r="E2986" s="1">
        <f>IFERROR(__xludf.DUMMYFUNCTION("""COMPUTED_VALUE"""),20.4)</f>
        <v>20.4</v>
      </c>
      <c r="F2986" s="1">
        <f>IFERROR(__xludf.DUMMYFUNCTION("""COMPUTED_VALUE"""),3.2665962E7)</f>
        <v>32665962</v>
      </c>
    </row>
    <row r="2987">
      <c r="A2987" s="2">
        <f>IFERROR(__xludf.DUMMYFUNCTION("""COMPUTED_VALUE"""),44510.66666666667)</f>
        <v>44510.66667</v>
      </c>
      <c r="B2987" s="1">
        <f>IFERROR(__xludf.DUMMYFUNCTION("""COMPUTED_VALUE"""),20.4)</f>
        <v>20.4</v>
      </c>
      <c r="C2987" s="1">
        <f>IFERROR(__xludf.DUMMYFUNCTION("""COMPUTED_VALUE"""),21.1)</f>
        <v>21.1</v>
      </c>
      <c r="D2987" s="1">
        <f>IFERROR(__xludf.DUMMYFUNCTION("""COMPUTED_VALUE"""),20.0)</f>
        <v>20</v>
      </c>
      <c r="E2987" s="1">
        <f>IFERROR(__xludf.DUMMYFUNCTION("""COMPUTED_VALUE"""),20.3)</f>
        <v>20.3</v>
      </c>
      <c r="F2987" s="1">
        <f>IFERROR(__xludf.DUMMYFUNCTION("""COMPUTED_VALUE"""),2.0658428E7)</f>
        <v>20658428</v>
      </c>
    </row>
    <row r="2988">
      <c r="A2988" s="2">
        <f>IFERROR(__xludf.DUMMYFUNCTION("""COMPUTED_VALUE"""),44511.66666666667)</f>
        <v>44511.66667</v>
      </c>
      <c r="B2988" s="1">
        <f>IFERROR(__xludf.DUMMYFUNCTION("""COMPUTED_VALUE"""),21.0)</f>
        <v>21</v>
      </c>
      <c r="C2988" s="1">
        <f>IFERROR(__xludf.DUMMYFUNCTION("""COMPUTED_VALUE"""),21.8)</f>
        <v>21.8</v>
      </c>
      <c r="D2988" s="1">
        <f>IFERROR(__xludf.DUMMYFUNCTION("""COMPUTED_VALUE"""),20.9)</f>
        <v>20.9</v>
      </c>
      <c r="E2988" s="1">
        <f>IFERROR(__xludf.DUMMYFUNCTION("""COMPUTED_VALUE"""),21.7)</f>
        <v>21.7</v>
      </c>
      <c r="F2988" s="1">
        <f>IFERROR(__xludf.DUMMYFUNCTION("""COMPUTED_VALUE"""),3.3084653E7)</f>
        <v>33084653</v>
      </c>
    </row>
    <row r="2989">
      <c r="A2989" s="2">
        <f>IFERROR(__xludf.DUMMYFUNCTION("""COMPUTED_VALUE"""),44512.66666666667)</f>
        <v>44512.66667</v>
      </c>
      <c r="B2989" s="1">
        <f>IFERROR(__xludf.DUMMYFUNCTION("""COMPUTED_VALUE"""),22.15)</f>
        <v>22.15</v>
      </c>
      <c r="C2989" s="1">
        <f>IFERROR(__xludf.DUMMYFUNCTION("""COMPUTED_VALUE"""),22.5)</f>
        <v>22.5</v>
      </c>
      <c r="D2989" s="1">
        <f>IFERROR(__xludf.DUMMYFUNCTION("""COMPUTED_VALUE"""),21.5)</f>
        <v>21.5</v>
      </c>
      <c r="E2989" s="1">
        <f>IFERROR(__xludf.DUMMYFUNCTION("""COMPUTED_VALUE"""),22.0)</f>
        <v>22</v>
      </c>
      <c r="F2989" s="1">
        <f>IFERROR(__xludf.DUMMYFUNCTION("""COMPUTED_VALUE"""),3.7454424E7)</f>
        <v>37454424</v>
      </c>
    </row>
    <row r="2990">
      <c r="A2990" s="2">
        <f>IFERROR(__xludf.DUMMYFUNCTION("""COMPUTED_VALUE"""),44515.66666666667)</f>
        <v>44515.66667</v>
      </c>
      <c r="B2990" s="1">
        <f>IFERROR(__xludf.DUMMYFUNCTION("""COMPUTED_VALUE"""),22.0)</f>
        <v>22</v>
      </c>
      <c r="C2990" s="1">
        <f>IFERROR(__xludf.DUMMYFUNCTION("""COMPUTED_VALUE"""),22.0)</f>
        <v>22</v>
      </c>
      <c r="D2990" s="1">
        <f>IFERROR(__xludf.DUMMYFUNCTION("""COMPUTED_VALUE"""),20.9)</f>
        <v>20.9</v>
      </c>
      <c r="E2990" s="1">
        <f>IFERROR(__xludf.DUMMYFUNCTION("""COMPUTED_VALUE"""),21.3)</f>
        <v>21.3</v>
      </c>
      <c r="F2990" s="1">
        <f>IFERROR(__xludf.DUMMYFUNCTION("""COMPUTED_VALUE"""),2.6888143E7)</f>
        <v>26888143</v>
      </c>
    </row>
    <row r="2991">
      <c r="A2991" s="2">
        <f>IFERROR(__xludf.DUMMYFUNCTION("""COMPUTED_VALUE"""),44516.66666666667)</f>
        <v>44516.66667</v>
      </c>
      <c r="B2991" s="1">
        <f>IFERROR(__xludf.DUMMYFUNCTION("""COMPUTED_VALUE"""),21.8)</f>
        <v>21.8</v>
      </c>
      <c r="C2991" s="1">
        <f>IFERROR(__xludf.DUMMYFUNCTION("""COMPUTED_VALUE"""),22.0)</f>
        <v>22</v>
      </c>
      <c r="D2991" s="1">
        <f>IFERROR(__xludf.DUMMYFUNCTION("""COMPUTED_VALUE"""),21.3)</f>
        <v>21.3</v>
      </c>
      <c r="E2991" s="1">
        <f>IFERROR(__xludf.DUMMYFUNCTION("""COMPUTED_VALUE"""),21.5)</f>
        <v>21.5</v>
      </c>
      <c r="F2991" s="1">
        <f>IFERROR(__xludf.DUMMYFUNCTION("""COMPUTED_VALUE"""),4.1611525E7)</f>
        <v>41611525</v>
      </c>
    </row>
    <row r="2992">
      <c r="A2992" s="2">
        <f>IFERROR(__xludf.DUMMYFUNCTION("""COMPUTED_VALUE"""),44517.66666666667)</f>
        <v>44517.66667</v>
      </c>
      <c r="B2992" s="1">
        <f>IFERROR(__xludf.DUMMYFUNCTION("""COMPUTED_VALUE"""),22.3)</f>
        <v>22.3</v>
      </c>
      <c r="C2992" s="1">
        <f>IFERROR(__xludf.DUMMYFUNCTION("""COMPUTED_VALUE"""),23.0)</f>
        <v>23</v>
      </c>
      <c r="D2992" s="1">
        <f>IFERROR(__xludf.DUMMYFUNCTION("""COMPUTED_VALUE"""),21.6)</f>
        <v>21.6</v>
      </c>
      <c r="E2992" s="1">
        <f>IFERROR(__xludf.DUMMYFUNCTION("""COMPUTED_VALUE"""),22.0)</f>
        <v>22</v>
      </c>
      <c r="F2992" s="1">
        <f>IFERROR(__xludf.DUMMYFUNCTION("""COMPUTED_VALUE"""),6.8714692E7)</f>
        <v>68714692</v>
      </c>
    </row>
    <row r="2993">
      <c r="A2993" s="2">
        <f>IFERROR(__xludf.DUMMYFUNCTION("""COMPUTED_VALUE"""),44518.66666666667)</f>
        <v>44518.66667</v>
      </c>
      <c r="B2993" s="1">
        <f>IFERROR(__xludf.DUMMYFUNCTION("""COMPUTED_VALUE"""),21.7)</f>
        <v>21.7</v>
      </c>
      <c r="C2993" s="1">
        <f>IFERROR(__xludf.DUMMYFUNCTION("""COMPUTED_VALUE"""),21.8)</f>
        <v>21.8</v>
      </c>
      <c r="D2993" s="1">
        <f>IFERROR(__xludf.DUMMYFUNCTION("""COMPUTED_VALUE"""),20.6)</f>
        <v>20.6</v>
      </c>
      <c r="E2993" s="1">
        <f>IFERROR(__xludf.DUMMYFUNCTION("""COMPUTED_VALUE"""),20.8)</f>
        <v>20.8</v>
      </c>
      <c r="F2993" s="1">
        <f>IFERROR(__xludf.DUMMYFUNCTION("""COMPUTED_VALUE"""),4.163657E7)</f>
        <v>41636570</v>
      </c>
    </row>
    <row r="2994">
      <c r="A2994" s="2">
        <f>IFERROR(__xludf.DUMMYFUNCTION("""COMPUTED_VALUE"""),44519.66666666667)</f>
        <v>44519.66667</v>
      </c>
      <c r="B2994" s="1">
        <f>IFERROR(__xludf.DUMMYFUNCTION("""COMPUTED_VALUE"""),21.2)</f>
        <v>21.2</v>
      </c>
      <c r="C2994" s="1">
        <f>IFERROR(__xludf.DUMMYFUNCTION("""COMPUTED_VALUE"""),22.2)</f>
        <v>22.2</v>
      </c>
      <c r="D2994" s="1">
        <f>IFERROR(__xludf.DUMMYFUNCTION("""COMPUTED_VALUE"""),20.9)</f>
        <v>20.9</v>
      </c>
      <c r="E2994" s="1">
        <f>IFERROR(__xludf.DUMMYFUNCTION("""COMPUTED_VALUE"""),21.9)</f>
        <v>21.9</v>
      </c>
      <c r="F2994" s="1">
        <f>IFERROR(__xludf.DUMMYFUNCTION("""COMPUTED_VALUE"""),3.5966233E7)</f>
        <v>35966233</v>
      </c>
    </row>
    <row r="2995">
      <c r="A2995" s="2">
        <f>IFERROR(__xludf.DUMMYFUNCTION("""COMPUTED_VALUE"""),44522.66666666667)</f>
        <v>44522.66667</v>
      </c>
      <c r="B2995" s="1">
        <f>IFERROR(__xludf.DUMMYFUNCTION("""COMPUTED_VALUE"""),22.5)</f>
        <v>22.5</v>
      </c>
      <c r="C2995" s="1">
        <f>IFERROR(__xludf.DUMMYFUNCTION("""COMPUTED_VALUE"""),23.5)</f>
        <v>23.5</v>
      </c>
      <c r="D2995" s="1">
        <f>IFERROR(__xludf.DUMMYFUNCTION("""COMPUTED_VALUE"""),22.0)</f>
        <v>22</v>
      </c>
      <c r="E2995" s="1">
        <f>IFERROR(__xludf.DUMMYFUNCTION("""COMPUTED_VALUE"""),23.2)</f>
        <v>23.2</v>
      </c>
      <c r="F2995" s="1">
        <f>IFERROR(__xludf.DUMMYFUNCTION("""COMPUTED_VALUE"""),6.9296954E7)</f>
        <v>69296954</v>
      </c>
    </row>
    <row r="2996">
      <c r="A2996" s="2">
        <f>IFERROR(__xludf.DUMMYFUNCTION("""COMPUTED_VALUE"""),44523.66666666667)</f>
        <v>44523.66667</v>
      </c>
      <c r="B2996" s="1">
        <f>IFERROR(__xludf.DUMMYFUNCTION("""COMPUTED_VALUE"""),23.0)</f>
        <v>23</v>
      </c>
      <c r="C2996" s="1">
        <f>IFERROR(__xludf.DUMMYFUNCTION("""COMPUTED_VALUE"""),24.8)</f>
        <v>24.8</v>
      </c>
      <c r="D2996" s="1">
        <f>IFERROR(__xludf.DUMMYFUNCTION("""COMPUTED_VALUE"""),22.4)</f>
        <v>22.4</v>
      </c>
      <c r="E2996" s="1">
        <f>IFERROR(__xludf.DUMMYFUNCTION("""COMPUTED_VALUE"""),23.1)</f>
        <v>23.1</v>
      </c>
      <c r="F2996" s="1">
        <f>IFERROR(__xludf.DUMMYFUNCTION("""COMPUTED_VALUE"""),5.7815649E7)</f>
        <v>57815649</v>
      </c>
    </row>
    <row r="2997">
      <c r="A2997" s="2">
        <f>IFERROR(__xludf.DUMMYFUNCTION("""COMPUTED_VALUE"""),44524.66666666667)</f>
        <v>44524.66667</v>
      </c>
      <c r="B2997" s="1">
        <f>IFERROR(__xludf.DUMMYFUNCTION("""COMPUTED_VALUE"""),22.0)</f>
        <v>22</v>
      </c>
      <c r="C2997" s="1">
        <f>IFERROR(__xludf.DUMMYFUNCTION("""COMPUTED_VALUE"""),23.0)</f>
        <v>23</v>
      </c>
      <c r="D2997" s="1">
        <f>IFERROR(__xludf.DUMMYFUNCTION("""COMPUTED_VALUE"""),21.62)</f>
        <v>21.62</v>
      </c>
      <c r="E2997" s="1">
        <f>IFERROR(__xludf.DUMMYFUNCTION("""COMPUTED_VALUE"""),22.9)</f>
        <v>22.9</v>
      </c>
      <c r="F2997" s="1">
        <f>IFERROR(__xludf.DUMMYFUNCTION("""COMPUTED_VALUE"""),2.445648E7)</f>
        <v>24456480</v>
      </c>
    </row>
    <row r="2998">
      <c r="A2998" s="2">
        <f>IFERROR(__xludf.DUMMYFUNCTION("""COMPUTED_VALUE"""),44526.54166666667)</f>
        <v>44526.54167</v>
      </c>
      <c r="B2998" s="1">
        <f>IFERROR(__xludf.DUMMYFUNCTION("""COMPUTED_VALUE"""),21.7)</f>
        <v>21.7</v>
      </c>
      <c r="C2998" s="1">
        <f>IFERROR(__xludf.DUMMYFUNCTION("""COMPUTED_VALUE"""),22.65)</f>
        <v>22.65</v>
      </c>
      <c r="D2998" s="1">
        <f>IFERROR(__xludf.DUMMYFUNCTION("""COMPUTED_VALUE"""),21.4)</f>
        <v>21.4</v>
      </c>
      <c r="E2998" s="1">
        <f>IFERROR(__xludf.DUMMYFUNCTION("""COMPUTED_VALUE"""),22.3)</f>
        <v>22.3</v>
      </c>
      <c r="F2998" s="1">
        <f>IFERROR(__xludf.DUMMYFUNCTION("""COMPUTED_VALUE"""),2.4722822E7)</f>
        <v>24722822</v>
      </c>
    </row>
    <row r="2999">
      <c r="A2999" s="2">
        <f>IFERROR(__xludf.DUMMYFUNCTION("""COMPUTED_VALUE"""),44529.66666666667)</f>
        <v>44529.66667</v>
      </c>
      <c r="B2999" s="1">
        <f>IFERROR(__xludf.DUMMYFUNCTION("""COMPUTED_VALUE"""),22.5)</f>
        <v>22.5</v>
      </c>
      <c r="C2999" s="1">
        <f>IFERROR(__xludf.DUMMYFUNCTION("""COMPUTED_VALUE"""),22.6)</f>
        <v>22.6</v>
      </c>
      <c r="D2999" s="1">
        <f>IFERROR(__xludf.DUMMYFUNCTION("""COMPUTED_VALUE"""),21.5)</f>
        <v>21.5</v>
      </c>
      <c r="E2999" s="1">
        <f>IFERROR(__xludf.DUMMYFUNCTION("""COMPUTED_VALUE"""),21.6)</f>
        <v>21.6</v>
      </c>
      <c r="F2999" s="1">
        <f>IFERROR(__xludf.DUMMYFUNCTION("""COMPUTED_VALUE"""),1.8671624E7)</f>
        <v>18671624</v>
      </c>
    </row>
    <row r="3000">
      <c r="A3000" s="2">
        <f>IFERROR(__xludf.DUMMYFUNCTION("""COMPUTED_VALUE"""),44530.66666666667)</f>
        <v>44530.66667</v>
      </c>
      <c r="B3000" s="1">
        <f>IFERROR(__xludf.DUMMYFUNCTION("""COMPUTED_VALUE"""),21.4)</f>
        <v>21.4</v>
      </c>
      <c r="C3000" s="1">
        <f>IFERROR(__xludf.DUMMYFUNCTION("""COMPUTED_VALUE"""),22.2)</f>
        <v>22.2</v>
      </c>
      <c r="D3000" s="1">
        <f>IFERROR(__xludf.DUMMYFUNCTION("""COMPUTED_VALUE"""),21.0)</f>
        <v>21</v>
      </c>
      <c r="E3000" s="1">
        <f>IFERROR(__xludf.DUMMYFUNCTION("""COMPUTED_VALUE"""),22.1)</f>
        <v>22.1</v>
      </c>
      <c r="F3000" s="1">
        <f>IFERROR(__xludf.DUMMYFUNCTION("""COMPUTED_VALUE"""),3.2287741E7)</f>
        <v>32287741</v>
      </c>
    </row>
    <row r="3001">
      <c r="A3001" s="2">
        <f>IFERROR(__xludf.DUMMYFUNCTION("""COMPUTED_VALUE"""),44531.66666666667)</f>
        <v>44531.66667</v>
      </c>
      <c r="B3001" s="1">
        <f>IFERROR(__xludf.DUMMYFUNCTION("""COMPUTED_VALUE"""),21.9)</f>
        <v>21.9</v>
      </c>
      <c r="C3001" s="1">
        <f>IFERROR(__xludf.DUMMYFUNCTION("""COMPUTED_VALUE"""),22.5)</f>
        <v>22.5</v>
      </c>
      <c r="D3001" s="1">
        <f>IFERROR(__xludf.DUMMYFUNCTION("""COMPUTED_VALUE"""),20.3)</f>
        <v>20.3</v>
      </c>
      <c r="E3001" s="1">
        <f>IFERROR(__xludf.DUMMYFUNCTION("""COMPUTED_VALUE"""),20.6)</f>
        <v>20.6</v>
      </c>
      <c r="F3001" s="1">
        <f>IFERROR(__xludf.DUMMYFUNCTION("""COMPUTED_VALUE"""),2.6922382E7)</f>
        <v>26922382</v>
      </c>
    </row>
    <row r="3002">
      <c r="A3002" s="2">
        <f>IFERROR(__xludf.DUMMYFUNCTION("""COMPUTED_VALUE"""),44532.66666666667)</f>
        <v>44532.66667</v>
      </c>
      <c r="B3002" s="1">
        <f>IFERROR(__xludf.DUMMYFUNCTION("""COMPUTED_VALUE"""),20.8)</f>
        <v>20.8</v>
      </c>
      <c r="C3002" s="1">
        <f>IFERROR(__xludf.DUMMYFUNCTION("""COMPUTED_VALUE"""),21.2)</f>
        <v>21.2</v>
      </c>
      <c r="D3002" s="1">
        <f>IFERROR(__xludf.DUMMYFUNCTION("""COMPUTED_VALUE"""),20.2)</f>
        <v>20.2</v>
      </c>
      <c r="E3002" s="1">
        <f>IFERROR(__xludf.DUMMYFUNCTION("""COMPUTED_VALUE"""),20.6)</f>
        <v>20.6</v>
      </c>
      <c r="F3002" s="1">
        <f>IFERROR(__xludf.DUMMYFUNCTION("""COMPUTED_VALUE"""),2.6188312E7)</f>
        <v>26188312</v>
      </c>
    </row>
    <row r="3003">
      <c r="A3003" s="2">
        <f>IFERROR(__xludf.DUMMYFUNCTION("""COMPUTED_VALUE"""),44533.66666666667)</f>
        <v>44533.66667</v>
      </c>
      <c r="B3003" s="1">
        <f>IFERROR(__xludf.DUMMYFUNCTION("""COMPUTED_VALUE"""),20.1)</f>
        <v>20.1</v>
      </c>
      <c r="C3003" s="1">
        <f>IFERROR(__xludf.DUMMYFUNCTION("""COMPUTED_VALUE"""),20.2)</f>
        <v>20.2</v>
      </c>
      <c r="D3003" s="1">
        <f>IFERROR(__xludf.DUMMYFUNCTION("""COMPUTED_VALUE"""),18.3)</f>
        <v>18.3</v>
      </c>
      <c r="E3003" s="1">
        <f>IFERROR(__xludf.DUMMYFUNCTION("""COMPUTED_VALUE"""),18.7)</f>
        <v>18.7</v>
      </c>
      <c r="F3003" s="1">
        <f>IFERROR(__xludf.DUMMYFUNCTION("""COMPUTED_VALUE"""),6.1788901E7)</f>
        <v>61788901</v>
      </c>
    </row>
    <row r="3004">
      <c r="A3004" s="2">
        <f>IFERROR(__xludf.DUMMYFUNCTION("""COMPUTED_VALUE"""),44536.66666666667)</f>
        <v>44536.66667</v>
      </c>
      <c r="B3004" s="1">
        <f>IFERROR(__xludf.DUMMYFUNCTION("""COMPUTED_VALUE"""),18.4)</f>
        <v>18.4</v>
      </c>
      <c r="C3004" s="1">
        <f>IFERROR(__xludf.DUMMYFUNCTION("""COMPUTED_VALUE"""),18.9)</f>
        <v>18.9</v>
      </c>
      <c r="D3004" s="1">
        <f>IFERROR(__xludf.DUMMYFUNCTION("""COMPUTED_VALUE"""),18.0)</f>
        <v>18</v>
      </c>
      <c r="E3004" s="1">
        <f>IFERROR(__xludf.DUMMYFUNCTION("""COMPUTED_VALUE"""),18.5)</f>
        <v>18.5</v>
      </c>
      <c r="F3004" s="1">
        <f>IFERROR(__xludf.DUMMYFUNCTION("""COMPUTED_VALUE"""),3.2640042E7)</f>
        <v>32640042</v>
      </c>
    </row>
    <row r="3005">
      <c r="A3005" s="2">
        <f>IFERROR(__xludf.DUMMYFUNCTION("""COMPUTED_VALUE"""),44537.66666666667)</f>
        <v>44537.66667</v>
      </c>
      <c r="B3005" s="1">
        <f>IFERROR(__xludf.DUMMYFUNCTION("""COMPUTED_VALUE"""),19.4)</f>
        <v>19.4</v>
      </c>
      <c r="C3005" s="1">
        <f>IFERROR(__xludf.DUMMYFUNCTION("""COMPUTED_VALUE"""),20.1)</f>
        <v>20.1</v>
      </c>
      <c r="D3005" s="1">
        <f>IFERROR(__xludf.DUMMYFUNCTION("""COMPUTED_VALUE"""),19.0)</f>
        <v>19</v>
      </c>
      <c r="E3005" s="1">
        <f>IFERROR(__xludf.DUMMYFUNCTION("""COMPUTED_VALUE"""),19.9)</f>
        <v>19.9</v>
      </c>
      <c r="F3005" s="1">
        <f>IFERROR(__xludf.DUMMYFUNCTION("""COMPUTED_VALUE"""),2.4762726E7)</f>
        <v>24762726</v>
      </c>
    </row>
    <row r="3006">
      <c r="A3006" s="2">
        <f>IFERROR(__xludf.DUMMYFUNCTION("""COMPUTED_VALUE"""),44538.66666666667)</f>
        <v>44538.66667</v>
      </c>
      <c r="B3006" s="1">
        <f>IFERROR(__xludf.DUMMYFUNCTION("""COMPUTED_VALUE"""),20.7)</f>
        <v>20.7</v>
      </c>
      <c r="C3006" s="1">
        <f>IFERROR(__xludf.DUMMYFUNCTION("""COMPUTED_VALUE"""),22.5)</f>
        <v>22.5</v>
      </c>
      <c r="D3006" s="1">
        <f>IFERROR(__xludf.DUMMYFUNCTION("""COMPUTED_VALUE"""),20.3)</f>
        <v>20.3</v>
      </c>
      <c r="E3006" s="1">
        <f>IFERROR(__xludf.DUMMYFUNCTION("""COMPUTED_VALUE"""),21.5)</f>
        <v>21.5</v>
      </c>
      <c r="F3006" s="1">
        <f>IFERROR(__xludf.DUMMYFUNCTION("""COMPUTED_VALUE"""),5.8619854E7)</f>
        <v>58619854</v>
      </c>
    </row>
    <row r="3007">
      <c r="A3007" s="2">
        <f>IFERROR(__xludf.DUMMYFUNCTION("""COMPUTED_VALUE"""),44539.66666666667)</f>
        <v>44539.66667</v>
      </c>
      <c r="B3007" s="1">
        <f>IFERROR(__xludf.DUMMYFUNCTION("""COMPUTED_VALUE"""),22.5)</f>
        <v>22.5</v>
      </c>
      <c r="C3007" s="1">
        <f>IFERROR(__xludf.DUMMYFUNCTION("""COMPUTED_VALUE"""),24.7)</f>
        <v>24.7</v>
      </c>
      <c r="D3007" s="1">
        <f>IFERROR(__xludf.DUMMYFUNCTION("""COMPUTED_VALUE"""),21.9)</f>
        <v>21.9</v>
      </c>
      <c r="E3007" s="1">
        <f>IFERROR(__xludf.DUMMYFUNCTION("""COMPUTED_VALUE"""),22.1)</f>
        <v>22.1</v>
      </c>
      <c r="F3007" s="1">
        <f>IFERROR(__xludf.DUMMYFUNCTION("""COMPUTED_VALUE"""),8.8739155E7)</f>
        <v>88739155</v>
      </c>
    </row>
    <row r="3008">
      <c r="A3008" s="2">
        <f>IFERROR(__xludf.DUMMYFUNCTION("""COMPUTED_VALUE"""),44540.66666666667)</f>
        <v>44540.66667</v>
      </c>
      <c r="B3008" s="1">
        <f>IFERROR(__xludf.DUMMYFUNCTION("""COMPUTED_VALUE"""),22.3)</f>
        <v>22.3</v>
      </c>
      <c r="C3008" s="1">
        <f>IFERROR(__xludf.DUMMYFUNCTION("""COMPUTED_VALUE"""),23.35)</f>
        <v>23.35</v>
      </c>
      <c r="D3008" s="1">
        <f>IFERROR(__xludf.DUMMYFUNCTION("""COMPUTED_VALUE"""),21.9)</f>
        <v>21.9</v>
      </c>
      <c r="E3008" s="1">
        <f>IFERROR(__xludf.DUMMYFUNCTION("""COMPUTED_VALUE"""),23.0)</f>
        <v>23</v>
      </c>
      <c r="F3008" s="1">
        <f>IFERROR(__xludf.DUMMYFUNCTION("""COMPUTED_VALUE"""),4.1498652E7)</f>
        <v>41498652</v>
      </c>
    </row>
    <row r="3009">
      <c r="A3009" s="2">
        <f>IFERROR(__xludf.DUMMYFUNCTION("""COMPUTED_VALUE"""),44543.66666666667)</f>
        <v>44543.66667</v>
      </c>
      <c r="B3009" s="1">
        <f>IFERROR(__xludf.DUMMYFUNCTION("""COMPUTED_VALUE"""),22.3)</f>
        <v>22.3</v>
      </c>
      <c r="C3009" s="1">
        <f>IFERROR(__xludf.DUMMYFUNCTION("""COMPUTED_VALUE"""),23.4)</f>
        <v>23.4</v>
      </c>
      <c r="D3009" s="1">
        <f>IFERROR(__xludf.DUMMYFUNCTION("""COMPUTED_VALUE"""),21.7)</f>
        <v>21.7</v>
      </c>
      <c r="E3009" s="1">
        <f>IFERROR(__xludf.DUMMYFUNCTION("""COMPUTED_VALUE"""),22.0)</f>
        <v>22</v>
      </c>
      <c r="F3009" s="1">
        <f>IFERROR(__xludf.DUMMYFUNCTION("""COMPUTED_VALUE"""),5.1125673E7)</f>
        <v>51125673</v>
      </c>
    </row>
    <row r="3010">
      <c r="A3010" s="2">
        <f>IFERROR(__xludf.DUMMYFUNCTION("""COMPUTED_VALUE"""),44544.66666666667)</f>
        <v>44544.66667</v>
      </c>
      <c r="B3010" s="1">
        <f>IFERROR(__xludf.DUMMYFUNCTION("""COMPUTED_VALUE"""),21.5)</f>
        <v>21.5</v>
      </c>
      <c r="C3010" s="1">
        <f>IFERROR(__xludf.DUMMYFUNCTION("""COMPUTED_VALUE"""),22.5)</f>
        <v>22.5</v>
      </c>
      <c r="D3010" s="1">
        <f>IFERROR(__xludf.DUMMYFUNCTION("""COMPUTED_VALUE"""),21.0)</f>
        <v>21</v>
      </c>
      <c r="E3010" s="1">
        <f>IFERROR(__xludf.DUMMYFUNCTION("""COMPUTED_VALUE"""),22.0)</f>
        <v>22</v>
      </c>
      <c r="F3010" s="1">
        <f>IFERROR(__xludf.DUMMYFUNCTION("""COMPUTED_VALUE"""),3.2889336E7)</f>
        <v>32889336</v>
      </c>
    </row>
    <row r="3011">
      <c r="A3011" s="2">
        <f>IFERROR(__xludf.DUMMYFUNCTION("""COMPUTED_VALUE"""),44545.66666666667)</f>
        <v>44545.66667</v>
      </c>
      <c r="B3011" s="1">
        <f>IFERROR(__xludf.DUMMYFUNCTION("""COMPUTED_VALUE"""),21.7)</f>
        <v>21.7</v>
      </c>
      <c r="C3011" s="1">
        <f>IFERROR(__xludf.DUMMYFUNCTION("""COMPUTED_VALUE"""),22.3)</f>
        <v>22.3</v>
      </c>
      <c r="D3011" s="1">
        <f>IFERROR(__xludf.DUMMYFUNCTION("""COMPUTED_VALUE"""),21.0)</f>
        <v>21</v>
      </c>
      <c r="E3011" s="1">
        <f>IFERROR(__xludf.DUMMYFUNCTION("""COMPUTED_VALUE"""),22.0)</f>
        <v>22</v>
      </c>
      <c r="F3011" s="1">
        <f>IFERROR(__xludf.DUMMYFUNCTION("""COMPUTED_VALUE"""),4.6270726E7)</f>
        <v>46270726</v>
      </c>
    </row>
    <row r="3012">
      <c r="A3012" s="2">
        <f>IFERROR(__xludf.DUMMYFUNCTION("""COMPUTED_VALUE"""),44546.66666666667)</f>
        <v>44546.66667</v>
      </c>
      <c r="B3012" s="1">
        <f>IFERROR(__xludf.DUMMYFUNCTION("""COMPUTED_VALUE"""),22.3)</f>
        <v>22.3</v>
      </c>
      <c r="C3012" s="1">
        <f>IFERROR(__xludf.DUMMYFUNCTION("""COMPUTED_VALUE"""),22.4)</f>
        <v>22.4</v>
      </c>
      <c r="D3012" s="1">
        <f>IFERROR(__xludf.DUMMYFUNCTION("""COMPUTED_VALUE"""),21.3)</f>
        <v>21.3</v>
      </c>
      <c r="E3012" s="1">
        <f>IFERROR(__xludf.DUMMYFUNCTION("""COMPUTED_VALUE"""),21.5)</f>
        <v>21.5</v>
      </c>
      <c r="F3012" s="1">
        <f>IFERROR(__xludf.DUMMYFUNCTION("""COMPUTED_VALUE"""),1.8545174E7)</f>
        <v>18545174</v>
      </c>
    </row>
    <row r="3013">
      <c r="A3013" s="2">
        <f>IFERROR(__xludf.DUMMYFUNCTION("""COMPUTED_VALUE"""),44547.66666666667)</f>
        <v>44547.66667</v>
      </c>
      <c r="B3013" s="1">
        <f>IFERROR(__xludf.DUMMYFUNCTION("""COMPUTED_VALUE"""),20.8)</f>
        <v>20.8</v>
      </c>
      <c r="C3013" s="1">
        <f>IFERROR(__xludf.DUMMYFUNCTION("""COMPUTED_VALUE"""),21.7)</f>
        <v>21.7</v>
      </c>
      <c r="D3013" s="1">
        <f>IFERROR(__xludf.DUMMYFUNCTION("""COMPUTED_VALUE"""),20.2)</f>
        <v>20.2</v>
      </c>
      <c r="E3013" s="1">
        <f>IFERROR(__xludf.DUMMYFUNCTION("""COMPUTED_VALUE"""),21.6)</f>
        <v>21.6</v>
      </c>
      <c r="F3013" s="1">
        <f>IFERROR(__xludf.DUMMYFUNCTION("""COMPUTED_VALUE"""),3.4176148E7)</f>
        <v>34176148</v>
      </c>
    </row>
    <row r="3014">
      <c r="A3014" s="2">
        <f>IFERROR(__xludf.DUMMYFUNCTION("""COMPUTED_VALUE"""),44550.66666666667)</f>
        <v>44550.66667</v>
      </c>
      <c r="B3014" s="1">
        <f>IFERROR(__xludf.DUMMYFUNCTION("""COMPUTED_VALUE"""),20.7)</f>
        <v>20.7</v>
      </c>
      <c r="C3014" s="1">
        <f>IFERROR(__xludf.DUMMYFUNCTION("""COMPUTED_VALUE"""),21.1)</f>
        <v>21.1</v>
      </c>
      <c r="D3014" s="1">
        <f>IFERROR(__xludf.DUMMYFUNCTION("""COMPUTED_VALUE"""),20.2)</f>
        <v>20.2</v>
      </c>
      <c r="E3014" s="1">
        <f>IFERROR(__xludf.DUMMYFUNCTION("""COMPUTED_VALUE"""),20.5)</f>
        <v>20.5</v>
      </c>
      <c r="F3014" s="1">
        <f>IFERROR(__xludf.DUMMYFUNCTION("""COMPUTED_VALUE"""),2.5417604E7)</f>
        <v>25417604</v>
      </c>
    </row>
    <row r="3015">
      <c r="A3015" s="2">
        <f>IFERROR(__xludf.DUMMYFUNCTION("""COMPUTED_VALUE"""),44551.66666666667)</f>
        <v>44551.66667</v>
      </c>
      <c r="B3015" s="1">
        <f>IFERROR(__xludf.DUMMYFUNCTION("""COMPUTED_VALUE"""),20.7)</f>
        <v>20.7</v>
      </c>
      <c r="C3015" s="1">
        <f>IFERROR(__xludf.DUMMYFUNCTION("""COMPUTED_VALUE"""),21.4)</f>
        <v>21.4</v>
      </c>
      <c r="D3015" s="1">
        <f>IFERROR(__xludf.DUMMYFUNCTION("""COMPUTED_VALUE"""),20.7)</f>
        <v>20.7</v>
      </c>
      <c r="E3015" s="1">
        <f>IFERROR(__xludf.DUMMYFUNCTION("""COMPUTED_VALUE"""),21.3)</f>
        <v>21.3</v>
      </c>
      <c r="F3015" s="1">
        <f>IFERROR(__xludf.DUMMYFUNCTION("""COMPUTED_VALUE"""),4.8835153E7)</f>
        <v>48835153</v>
      </c>
    </row>
    <row r="3016">
      <c r="A3016" s="2">
        <f>IFERROR(__xludf.DUMMYFUNCTION("""COMPUTED_VALUE"""),44552.66666666667)</f>
        <v>44552.66667</v>
      </c>
      <c r="B3016" s="1">
        <f>IFERROR(__xludf.DUMMYFUNCTION("""COMPUTED_VALUE"""),21.0)</f>
        <v>21</v>
      </c>
      <c r="C3016" s="1">
        <f>IFERROR(__xludf.DUMMYFUNCTION("""COMPUTED_VALUE"""),21.4)</f>
        <v>21.4</v>
      </c>
      <c r="D3016" s="1">
        <f>IFERROR(__xludf.DUMMYFUNCTION("""COMPUTED_VALUE"""),20.6)</f>
        <v>20.6</v>
      </c>
      <c r="E3016" s="1">
        <f>IFERROR(__xludf.DUMMYFUNCTION("""COMPUTED_VALUE"""),21.0)</f>
        <v>21</v>
      </c>
      <c r="F3016" s="1">
        <f>IFERROR(__xludf.DUMMYFUNCTION("""COMPUTED_VALUE"""),2.9963565E7)</f>
        <v>29963565</v>
      </c>
    </row>
    <row r="3017">
      <c r="A3017" s="2">
        <f>IFERROR(__xludf.DUMMYFUNCTION("""COMPUTED_VALUE"""),44553.66666666667)</f>
        <v>44553.66667</v>
      </c>
      <c r="B3017" s="1">
        <f>IFERROR(__xludf.DUMMYFUNCTION("""COMPUTED_VALUE"""),20.8)</f>
        <v>20.8</v>
      </c>
      <c r="C3017" s="1">
        <f>IFERROR(__xludf.DUMMYFUNCTION("""COMPUTED_VALUE"""),20.9)</f>
        <v>20.9</v>
      </c>
      <c r="D3017" s="1">
        <f>IFERROR(__xludf.DUMMYFUNCTION("""COMPUTED_VALUE"""),20.3)</f>
        <v>20.3</v>
      </c>
      <c r="E3017" s="1">
        <f>IFERROR(__xludf.DUMMYFUNCTION("""COMPUTED_VALUE"""),20.5)</f>
        <v>20.5</v>
      </c>
      <c r="F3017" s="1">
        <f>IFERROR(__xludf.DUMMYFUNCTION("""COMPUTED_VALUE"""),1.2889086E7)</f>
        <v>12889086</v>
      </c>
    </row>
    <row r="3018">
      <c r="A3018" s="2">
        <f>IFERROR(__xludf.DUMMYFUNCTION("""COMPUTED_VALUE"""),44557.66666666667)</f>
        <v>44557.66667</v>
      </c>
      <c r="B3018" s="1">
        <f>IFERROR(__xludf.DUMMYFUNCTION("""COMPUTED_VALUE"""),20.5)</f>
        <v>20.5</v>
      </c>
      <c r="C3018" s="1">
        <f>IFERROR(__xludf.DUMMYFUNCTION("""COMPUTED_VALUE"""),20.52)</f>
        <v>20.52</v>
      </c>
      <c r="D3018" s="1">
        <f>IFERROR(__xludf.DUMMYFUNCTION("""COMPUTED_VALUE"""),20.1)</f>
        <v>20.1</v>
      </c>
      <c r="E3018" s="1">
        <f>IFERROR(__xludf.DUMMYFUNCTION("""COMPUTED_VALUE"""),20.3)</f>
        <v>20.3</v>
      </c>
      <c r="F3018" s="1">
        <f>IFERROR(__xludf.DUMMYFUNCTION("""COMPUTED_VALUE"""),1.2020753E7)</f>
        <v>12020753</v>
      </c>
    </row>
    <row r="3019">
      <c r="A3019" s="2">
        <f>IFERROR(__xludf.DUMMYFUNCTION("""COMPUTED_VALUE"""),44558.66666666667)</f>
        <v>44558.66667</v>
      </c>
      <c r="B3019" s="1">
        <f>IFERROR(__xludf.DUMMYFUNCTION("""COMPUTED_VALUE"""),20.6)</f>
        <v>20.6</v>
      </c>
      <c r="C3019" s="1">
        <f>IFERROR(__xludf.DUMMYFUNCTION("""COMPUTED_VALUE"""),20.6)</f>
        <v>20.6</v>
      </c>
      <c r="D3019" s="1">
        <f>IFERROR(__xludf.DUMMYFUNCTION("""COMPUTED_VALUE"""),19.8)</f>
        <v>19.8</v>
      </c>
      <c r="E3019" s="1">
        <f>IFERROR(__xludf.DUMMYFUNCTION("""COMPUTED_VALUE"""),20.2)</f>
        <v>20.2</v>
      </c>
      <c r="F3019" s="1">
        <f>IFERROR(__xludf.DUMMYFUNCTION("""COMPUTED_VALUE"""),1.3926446E7)</f>
        <v>13926446</v>
      </c>
    </row>
    <row r="3020">
      <c r="A3020" s="2">
        <f>IFERROR(__xludf.DUMMYFUNCTION("""COMPUTED_VALUE"""),44559.66666666667)</f>
        <v>44559.66667</v>
      </c>
      <c r="B3020" s="1">
        <f>IFERROR(__xludf.DUMMYFUNCTION("""COMPUTED_VALUE"""),19.8)</f>
        <v>19.8</v>
      </c>
      <c r="C3020" s="1">
        <f>IFERROR(__xludf.DUMMYFUNCTION("""COMPUTED_VALUE"""),19.9)</f>
        <v>19.9</v>
      </c>
      <c r="D3020" s="1">
        <f>IFERROR(__xludf.DUMMYFUNCTION("""COMPUTED_VALUE"""),18.7)</f>
        <v>18.7</v>
      </c>
      <c r="E3020" s="1">
        <f>IFERROR(__xludf.DUMMYFUNCTION("""COMPUTED_VALUE"""),19.0)</f>
        <v>19</v>
      </c>
      <c r="F3020" s="1">
        <f>IFERROR(__xludf.DUMMYFUNCTION("""COMPUTED_VALUE"""),2.8719392E7)</f>
        <v>28719392</v>
      </c>
    </row>
    <row r="3021">
      <c r="A3021" s="2">
        <f>IFERROR(__xludf.DUMMYFUNCTION("""COMPUTED_VALUE"""),44560.66666666667)</f>
        <v>44560.66667</v>
      </c>
      <c r="B3021" s="1">
        <f>IFERROR(__xludf.DUMMYFUNCTION("""COMPUTED_VALUE"""),18.7)</f>
        <v>18.7</v>
      </c>
      <c r="C3021" s="1">
        <f>IFERROR(__xludf.DUMMYFUNCTION("""COMPUTED_VALUE"""),21.7)</f>
        <v>21.7</v>
      </c>
      <c r="D3021" s="1">
        <f>IFERROR(__xludf.DUMMYFUNCTION("""COMPUTED_VALUE"""),18.7)</f>
        <v>18.7</v>
      </c>
      <c r="E3021" s="1">
        <f>IFERROR(__xludf.DUMMYFUNCTION("""COMPUTED_VALUE"""),21.1)</f>
        <v>21.1</v>
      </c>
      <c r="F3021" s="1">
        <f>IFERROR(__xludf.DUMMYFUNCTION("""COMPUTED_VALUE"""),3.2397497E7)</f>
        <v>32397497</v>
      </c>
    </row>
    <row r="3022">
      <c r="A3022" s="2">
        <f>IFERROR(__xludf.DUMMYFUNCTION("""COMPUTED_VALUE"""),44561.66666666667)</f>
        <v>44561.66667</v>
      </c>
      <c r="B3022" s="1">
        <f>IFERROR(__xludf.DUMMYFUNCTION("""COMPUTED_VALUE"""),20.9)</f>
        <v>20.9</v>
      </c>
      <c r="C3022" s="1">
        <f>IFERROR(__xludf.DUMMYFUNCTION("""COMPUTED_VALUE"""),22.3)</f>
        <v>22.3</v>
      </c>
      <c r="D3022" s="1">
        <f>IFERROR(__xludf.DUMMYFUNCTION("""COMPUTED_VALUE"""),20.7)</f>
        <v>20.7</v>
      </c>
      <c r="E3022" s="1">
        <f>IFERROR(__xludf.DUMMYFUNCTION("""COMPUTED_VALUE"""),21.0)</f>
        <v>21</v>
      </c>
      <c r="F3022" s="1">
        <f>IFERROR(__xludf.DUMMYFUNCTION("""COMPUTED_VALUE"""),2.0949437E7)</f>
        <v>20949437</v>
      </c>
    </row>
    <row r="3023">
      <c r="A3023" s="2">
        <f>IFERROR(__xludf.DUMMYFUNCTION("""COMPUTED_VALUE"""),44564.66666666667)</f>
        <v>44564.66667</v>
      </c>
      <c r="B3023" s="1">
        <f>IFERROR(__xludf.DUMMYFUNCTION("""COMPUTED_VALUE"""),21.1)</f>
        <v>21.1</v>
      </c>
      <c r="C3023" s="1">
        <f>IFERROR(__xludf.DUMMYFUNCTION("""COMPUTED_VALUE"""),21.3)</f>
        <v>21.3</v>
      </c>
      <c r="D3023" s="1">
        <f>IFERROR(__xludf.DUMMYFUNCTION("""COMPUTED_VALUE"""),20.1)</f>
        <v>20.1</v>
      </c>
      <c r="E3023" s="1">
        <f>IFERROR(__xludf.DUMMYFUNCTION("""COMPUTED_VALUE"""),20.3)</f>
        <v>20.3</v>
      </c>
      <c r="F3023" s="1">
        <f>IFERROR(__xludf.DUMMYFUNCTION("""COMPUTED_VALUE"""),1.6640979E7)</f>
        <v>16640979</v>
      </c>
    </row>
    <row r="3024">
      <c r="A3024" s="2">
        <f>IFERROR(__xludf.DUMMYFUNCTION("""COMPUTED_VALUE"""),44565.66666666667)</f>
        <v>44565.66667</v>
      </c>
      <c r="B3024" s="1">
        <f>IFERROR(__xludf.DUMMYFUNCTION("""COMPUTED_VALUE"""),20.35)</f>
        <v>20.35</v>
      </c>
      <c r="C3024" s="1">
        <f>IFERROR(__xludf.DUMMYFUNCTION("""COMPUTED_VALUE"""),20.35)</f>
        <v>20.35</v>
      </c>
      <c r="D3024" s="1">
        <f>IFERROR(__xludf.DUMMYFUNCTION("""COMPUTED_VALUE"""),18.7)</f>
        <v>18.7</v>
      </c>
      <c r="E3024" s="1">
        <f>IFERROR(__xludf.DUMMYFUNCTION("""COMPUTED_VALUE"""),19.1)</f>
        <v>19.1</v>
      </c>
      <c r="F3024" s="1">
        <f>IFERROR(__xludf.DUMMYFUNCTION("""COMPUTED_VALUE"""),2.7157962E7)</f>
        <v>27157962</v>
      </c>
    </row>
    <row r="3025">
      <c r="A3025" s="2">
        <f>IFERROR(__xludf.DUMMYFUNCTION("""COMPUTED_VALUE"""),44566.66666666667)</f>
        <v>44566.66667</v>
      </c>
      <c r="B3025" s="1">
        <f>IFERROR(__xludf.DUMMYFUNCTION("""COMPUTED_VALUE"""),18.8)</f>
        <v>18.8</v>
      </c>
      <c r="C3025" s="1">
        <f>IFERROR(__xludf.DUMMYFUNCTION("""COMPUTED_VALUE"""),19.6)</f>
        <v>19.6</v>
      </c>
      <c r="D3025" s="1">
        <f>IFERROR(__xludf.DUMMYFUNCTION("""COMPUTED_VALUE"""),18.1)</f>
        <v>18.1</v>
      </c>
      <c r="E3025" s="1">
        <f>IFERROR(__xludf.DUMMYFUNCTION("""COMPUTED_VALUE"""),18.1)</f>
        <v>18.1</v>
      </c>
      <c r="F3025" s="1">
        <f>IFERROR(__xludf.DUMMYFUNCTION("""COMPUTED_VALUE"""),2.6498674E7)</f>
        <v>26498674</v>
      </c>
    </row>
    <row r="3026">
      <c r="A3026" s="2">
        <f>IFERROR(__xludf.DUMMYFUNCTION("""COMPUTED_VALUE"""),44567.66666666667)</f>
        <v>44567.66667</v>
      </c>
      <c r="B3026" s="1">
        <f>IFERROR(__xludf.DUMMYFUNCTION("""COMPUTED_VALUE"""),18.9)</f>
        <v>18.9</v>
      </c>
      <c r="C3026" s="1">
        <f>IFERROR(__xludf.DUMMYFUNCTION("""COMPUTED_VALUE"""),19.2)</f>
        <v>19.2</v>
      </c>
      <c r="D3026" s="1">
        <f>IFERROR(__xludf.DUMMYFUNCTION("""COMPUTED_VALUE"""),18.4)</f>
        <v>18.4</v>
      </c>
      <c r="E3026" s="1">
        <f>IFERROR(__xludf.DUMMYFUNCTION("""COMPUTED_VALUE"""),18.7)</f>
        <v>18.7</v>
      </c>
      <c r="F3026" s="1">
        <f>IFERROR(__xludf.DUMMYFUNCTION("""COMPUTED_VALUE"""),1.5436791E7)</f>
        <v>15436791</v>
      </c>
    </row>
    <row r="3027">
      <c r="A3027" s="2">
        <f>IFERROR(__xludf.DUMMYFUNCTION("""COMPUTED_VALUE"""),44568.66666666667)</f>
        <v>44568.66667</v>
      </c>
      <c r="B3027" s="1">
        <f>IFERROR(__xludf.DUMMYFUNCTION("""COMPUTED_VALUE"""),18.8)</f>
        <v>18.8</v>
      </c>
      <c r="C3027" s="1">
        <f>IFERROR(__xludf.DUMMYFUNCTION("""COMPUTED_VALUE"""),19.4)</f>
        <v>19.4</v>
      </c>
      <c r="D3027" s="1">
        <f>IFERROR(__xludf.DUMMYFUNCTION("""COMPUTED_VALUE"""),18.45)</f>
        <v>18.45</v>
      </c>
      <c r="E3027" s="1">
        <f>IFERROR(__xludf.DUMMYFUNCTION("""COMPUTED_VALUE"""),18.6)</f>
        <v>18.6</v>
      </c>
      <c r="F3027" s="1">
        <f>IFERROR(__xludf.DUMMYFUNCTION("""COMPUTED_VALUE"""),2.1857491E7)</f>
        <v>21857491</v>
      </c>
    </row>
    <row r="3028">
      <c r="A3028" s="2">
        <f>IFERROR(__xludf.DUMMYFUNCTION("""COMPUTED_VALUE"""),44571.66666666667)</f>
        <v>44571.66667</v>
      </c>
      <c r="B3028" s="1">
        <f>IFERROR(__xludf.DUMMYFUNCTION("""COMPUTED_VALUE"""),18.7)</f>
        <v>18.7</v>
      </c>
      <c r="C3028" s="1">
        <f>IFERROR(__xludf.DUMMYFUNCTION("""COMPUTED_VALUE"""),18.9)</f>
        <v>18.9</v>
      </c>
      <c r="D3028" s="1">
        <f>IFERROR(__xludf.DUMMYFUNCTION("""COMPUTED_VALUE"""),17.7)</f>
        <v>17.7</v>
      </c>
      <c r="E3028" s="1">
        <f>IFERROR(__xludf.DUMMYFUNCTION("""COMPUTED_VALUE"""),17.7)</f>
        <v>17.7</v>
      </c>
      <c r="F3028" s="1">
        <f>IFERROR(__xludf.DUMMYFUNCTION("""COMPUTED_VALUE"""),2.5204808E7)</f>
        <v>25204808</v>
      </c>
    </row>
    <row r="3029">
      <c r="A3029" s="2">
        <f>IFERROR(__xludf.DUMMYFUNCTION("""COMPUTED_VALUE"""),44572.66666666667)</f>
        <v>44572.66667</v>
      </c>
      <c r="B3029" s="1">
        <f>IFERROR(__xludf.DUMMYFUNCTION("""COMPUTED_VALUE"""),17.9)</f>
        <v>17.9</v>
      </c>
      <c r="C3029" s="1">
        <f>IFERROR(__xludf.DUMMYFUNCTION("""COMPUTED_VALUE"""),19.1)</f>
        <v>19.1</v>
      </c>
      <c r="D3029" s="1">
        <f>IFERROR(__xludf.DUMMYFUNCTION("""COMPUTED_VALUE"""),17.8)</f>
        <v>17.8</v>
      </c>
      <c r="E3029" s="1">
        <f>IFERROR(__xludf.DUMMYFUNCTION("""COMPUTED_VALUE"""),19.0)</f>
        <v>19</v>
      </c>
      <c r="F3029" s="1">
        <f>IFERROR(__xludf.DUMMYFUNCTION("""COMPUTED_VALUE"""),1.5686057E7)</f>
        <v>15686057</v>
      </c>
    </row>
    <row r="3030">
      <c r="A3030" s="2">
        <f>IFERROR(__xludf.DUMMYFUNCTION("""COMPUTED_VALUE"""),44573.66666666667)</f>
        <v>44573.66667</v>
      </c>
      <c r="B3030" s="1">
        <f>IFERROR(__xludf.DUMMYFUNCTION("""COMPUTED_VALUE"""),19.4)</f>
        <v>19.4</v>
      </c>
      <c r="C3030" s="1">
        <f>IFERROR(__xludf.DUMMYFUNCTION("""COMPUTED_VALUE"""),19.9)</f>
        <v>19.9</v>
      </c>
      <c r="D3030" s="1">
        <f>IFERROR(__xludf.DUMMYFUNCTION("""COMPUTED_VALUE"""),19.2)</f>
        <v>19.2</v>
      </c>
      <c r="E3030" s="1">
        <f>IFERROR(__xludf.DUMMYFUNCTION("""COMPUTED_VALUE"""),19.4)</f>
        <v>19.4</v>
      </c>
      <c r="F3030" s="1">
        <f>IFERROR(__xludf.DUMMYFUNCTION("""COMPUTED_VALUE"""),1.607513E7)</f>
        <v>16075130</v>
      </c>
    </row>
    <row r="3031">
      <c r="A3031" s="2">
        <f>IFERROR(__xludf.DUMMYFUNCTION("""COMPUTED_VALUE"""),44574.66666666667)</f>
        <v>44574.66667</v>
      </c>
      <c r="B3031" s="1">
        <f>IFERROR(__xludf.DUMMYFUNCTION("""COMPUTED_VALUE"""),19.2)</f>
        <v>19.2</v>
      </c>
      <c r="C3031" s="1">
        <f>IFERROR(__xludf.DUMMYFUNCTION("""COMPUTED_VALUE"""),19.2)</f>
        <v>19.2</v>
      </c>
      <c r="D3031" s="1">
        <f>IFERROR(__xludf.DUMMYFUNCTION("""COMPUTED_VALUE"""),17.8)</f>
        <v>17.8</v>
      </c>
      <c r="E3031" s="1">
        <f>IFERROR(__xludf.DUMMYFUNCTION("""COMPUTED_VALUE"""),17.9)</f>
        <v>17.9</v>
      </c>
      <c r="F3031" s="1">
        <f>IFERROR(__xludf.DUMMYFUNCTION("""COMPUTED_VALUE"""),2.6312304E7)</f>
        <v>26312304</v>
      </c>
    </row>
    <row r="3032">
      <c r="A3032" s="2">
        <f>IFERROR(__xludf.DUMMYFUNCTION("""COMPUTED_VALUE"""),44575.66666666667)</f>
        <v>44575.66667</v>
      </c>
      <c r="B3032" s="1">
        <f>IFERROR(__xludf.DUMMYFUNCTION("""COMPUTED_VALUE"""),18.3)</f>
        <v>18.3</v>
      </c>
      <c r="C3032" s="1">
        <f>IFERROR(__xludf.DUMMYFUNCTION("""COMPUTED_VALUE"""),18.6)</f>
        <v>18.6</v>
      </c>
      <c r="D3032" s="1">
        <f>IFERROR(__xludf.DUMMYFUNCTION("""COMPUTED_VALUE"""),17.5)</f>
        <v>17.5</v>
      </c>
      <c r="E3032" s="1">
        <f>IFERROR(__xludf.DUMMYFUNCTION("""COMPUTED_VALUE"""),18.1)</f>
        <v>18.1</v>
      </c>
      <c r="F3032" s="1">
        <f>IFERROR(__xludf.DUMMYFUNCTION("""COMPUTED_VALUE"""),2.1632103E7)</f>
        <v>21632103</v>
      </c>
    </row>
    <row r="3033">
      <c r="A3033" s="2">
        <f>IFERROR(__xludf.DUMMYFUNCTION("""COMPUTED_VALUE"""),44579.66666666667)</f>
        <v>44579.66667</v>
      </c>
      <c r="B3033" s="1">
        <f>IFERROR(__xludf.DUMMYFUNCTION("""COMPUTED_VALUE"""),17.7)</f>
        <v>17.7</v>
      </c>
      <c r="C3033" s="1">
        <f>IFERROR(__xludf.DUMMYFUNCTION("""COMPUTED_VALUE"""),17.8)</f>
        <v>17.8</v>
      </c>
      <c r="D3033" s="1">
        <f>IFERROR(__xludf.DUMMYFUNCTION("""COMPUTED_VALUE"""),16.6)</f>
        <v>16.6</v>
      </c>
      <c r="E3033" s="1">
        <f>IFERROR(__xludf.DUMMYFUNCTION("""COMPUTED_VALUE"""),16.9)</f>
        <v>16.9</v>
      </c>
      <c r="F3033" s="1">
        <f>IFERROR(__xludf.DUMMYFUNCTION("""COMPUTED_VALUE"""),2.9956474E7)</f>
        <v>29956474</v>
      </c>
    </row>
    <row r="3034">
      <c r="A3034" s="2">
        <f>IFERROR(__xludf.DUMMYFUNCTION("""COMPUTED_VALUE"""),44580.66666666667)</f>
        <v>44580.66667</v>
      </c>
      <c r="B3034" s="1">
        <f>IFERROR(__xludf.DUMMYFUNCTION("""COMPUTED_VALUE"""),17.3)</f>
        <v>17.3</v>
      </c>
      <c r="C3034" s="1">
        <f>IFERROR(__xludf.DUMMYFUNCTION("""COMPUTED_VALUE"""),17.5)</f>
        <v>17.5</v>
      </c>
      <c r="D3034" s="1">
        <f>IFERROR(__xludf.DUMMYFUNCTION("""COMPUTED_VALUE"""),16.8)</f>
        <v>16.8</v>
      </c>
      <c r="E3034" s="1">
        <f>IFERROR(__xludf.DUMMYFUNCTION("""COMPUTED_VALUE"""),17.3)</f>
        <v>17.3</v>
      </c>
      <c r="F3034" s="1">
        <f>IFERROR(__xludf.DUMMYFUNCTION("""COMPUTED_VALUE"""),1.7032956E7)</f>
        <v>17032956</v>
      </c>
    </row>
    <row r="3035">
      <c r="A3035" s="2">
        <f>IFERROR(__xludf.DUMMYFUNCTION("""COMPUTED_VALUE"""),44581.66666666667)</f>
        <v>44581.66667</v>
      </c>
      <c r="B3035" s="1">
        <f>IFERROR(__xludf.DUMMYFUNCTION("""COMPUTED_VALUE"""),18.05)</f>
        <v>18.05</v>
      </c>
      <c r="C3035" s="1">
        <f>IFERROR(__xludf.DUMMYFUNCTION("""COMPUTED_VALUE"""),18.1)</f>
        <v>18.1</v>
      </c>
      <c r="D3035" s="1">
        <f>IFERROR(__xludf.DUMMYFUNCTION("""COMPUTED_VALUE"""),17.0)</f>
        <v>17</v>
      </c>
      <c r="E3035" s="1">
        <f>IFERROR(__xludf.DUMMYFUNCTION("""COMPUTED_VALUE"""),17.0)</f>
        <v>17</v>
      </c>
      <c r="F3035" s="1">
        <f>IFERROR(__xludf.DUMMYFUNCTION("""COMPUTED_VALUE"""),1.9002872E7)</f>
        <v>19002872</v>
      </c>
    </row>
    <row r="3036">
      <c r="A3036" s="2">
        <f>IFERROR(__xludf.DUMMYFUNCTION("""COMPUTED_VALUE"""),44582.66666666667)</f>
        <v>44582.66667</v>
      </c>
      <c r="B3036" s="1">
        <f>IFERROR(__xludf.DUMMYFUNCTION("""COMPUTED_VALUE"""),16.75)</f>
        <v>16.75</v>
      </c>
      <c r="C3036" s="1">
        <f>IFERROR(__xludf.DUMMYFUNCTION("""COMPUTED_VALUE"""),16.8)</f>
        <v>16.8</v>
      </c>
      <c r="D3036" s="1">
        <f>IFERROR(__xludf.DUMMYFUNCTION("""COMPUTED_VALUE"""),15.6)</f>
        <v>15.6</v>
      </c>
      <c r="E3036" s="1">
        <f>IFERROR(__xludf.DUMMYFUNCTION("""COMPUTED_VALUE"""),15.7)</f>
        <v>15.7</v>
      </c>
      <c r="F3036" s="1">
        <f>IFERROR(__xludf.DUMMYFUNCTION("""COMPUTED_VALUE"""),2.848008E7)</f>
        <v>28480080</v>
      </c>
    </row>
    <row r="3037">
      <c r="A3037" s="2">
        <f>IFERROR(__xludf.DUMMYFUNCTION("""COMPUTED_VALUE"""),44585.66666666667)</f>
        <v>44585.66667</v>
      </c>
      <c r="B3037" s="1">
        <f>IFERROR(__xludf.DUMMYFUNCTION("""COMPUTED_VALUE"""),15.1)</f>
        <v>15.1</v>
      </c>
      <c r="C3037" s="1">
        <f>IFERROR(__xludf.DUMMYFUNCTION("""COMPUTED_VALUE"""),15.3)</f>
        <v>15.3</v>
      </c>
      <c r="D3037" s="1">
        <f>IFERROR(__xludf.DUMMYFUNCTION("""COMPUTED_VALUE"""),13.8)</f>
        <v>13.8</v>
      </c>
      <c r="E3037" s="1">
        <f>IFERROR(__xludf.DUMMYFUNCTION("""COMPUTED_VALUE"""),14.9)</f>
        <v>14.9</v>
      </c>
      <c r="F3037" s="1">
        <f>IFERROR(__xludf.DUMMYFUNCTION("""COMPUTED_VALUE"""),3.9376779E7)</f>
        <v>39376779</v>
      </c>
    </row>
    <row r="3038">
      <c r="A3038" s="2">
        <f>IFERROR(__xludf.DUMMYFUNCTION("""COMPUTED_VALUE"""),44586.66666666667)</f>
        <v>44586.66667</v>
      </c>
      <c r="B3038" s="1">
        <f>IFERROR(__xludf.DUMMYFUNCTION("""COMPUTED_VALUE"""),14.5)</f>
        <v>14.5</v>
      </c>
      <c r="C3038" s="1">
        <f>IFERROR(__xludf.DUMMYFUNCTION("""COMPUTED_VALUE"""),14.8)</f>
        <v>14.8</v>
      </c>
      <c r="D3038" s="1">
        <f>IFERROR(__xludf.DUMMYFUNCTION("""COMPUTED_VALUE"""),14.1)</f>
        <v>14.1</v>
      </c>
      <c r="E3038" s="1">
        <f>IFERROR(__xludf.DUMMYFUNCTION("""COMPUTED_VALUE"""),14.6)</f>
        <v>14.6</v>
      </c>
      <c r="F3038" s="1">
        <f>IFERROR(__xludf.DUMMYFUNCTION("""COMPUTED_VALUE"""),1.7106388E7)</f>
        <v>17106388</v>
      </c>
    </row>
    <row r="3039">
      <c r="A3039" s="2">
        <f>IFERROR(__xludf.DUMMYFUNCTION("""COMPUTED_VALUE"""),44587.66666666667)</f>
        <v>44587.66667</v>
      </c>
      <c r="B3039" s="1">
        <f>IFERROR(__xludf.DUMMYFUNCTION("""COMPUTED_VALUE"""),14.8)</f>
        <v>14.8</v>
      </c>
      <c r="C3039" s="1">
        <f>IFERROR(__xludf.DUMMYFUNCTION("""COMPUTED_VALUE"""),15.0)</f>
        <v>15</v>
      </c>
      <c r="D3039" s="1">
        <f>IFERROR(__xludf.DUMMYFUNCTION("""COMPUTED_VALUE"""),13.7)</f>
        <v>13.7</v>
      </c>
      <c r="E3039" s="1">
        <f>IFERROR(__xludf.DUMMYFUNCTION("""COMPUTED_VALUE"""),13.7)</f>
        <v>13.7</v>
      </c>
      <c r="F3039" s="1">
        <f>IFERROR(__xludf.DUMMYFUNCTION("""COMPUTED_VALUE"""),2.091768E7)</f>
        <v>20917680</v>
      </c>
    </row>
    <row r="3040">
      <c r="A3040" s="2">
        <f>IFERROR(__xludf.DUMMYFUNCTION("""COMPUTED_VALUE"""),44588.66666666667)</f>
        <v>44588.66667</v>
      </c>
      <c r="B3040" s="1">
        <f>IFERROR(__xludf.DUMMYFUNCTION("""COMPUTED_VALUE"""),13.3)</f>
        <v>13.3</v>
      </c>
      <c r="C3040" s="1">
        <f>IFERROR(__xludf.DUMMYFUNCTION("""COMPUTED_VALUE"""),13.5)</f>
        <v>13.5</v>
      </c>
      <c r="D3040" s="1">
        <f>IFERROR(__xludf.DUMMYFUNCTION("""COMPUTED_VALUE"""),12.4)</f>
        <v>12.4</v>
      </c>
      <c r="E3040" s="1">
        <f>IFERROR(__xludf.DUMMYFUNCTION("""COMPUTED_VALUE"""),12.6)</f>
        <v>12.6</v>
      </c>
      <c r="F3040" s="1">
        <f>IFERROR(__xludf.DUMMYFUNCTION("""COMPUTED_VALUE"""),2.9843938E7)</f>
        <v>29843938</v>
      </c>
    </row>
    <row r="3041">
      <c r="A3041" s="2">
        <f>IFERROR(__xludf.DUMMYFUNCTION("""COMPUTED_VALUE"""),44589.66666666667)</f>
        <v>44589.66667</v>
      </c>
      <c r="B3041" s="1">
        <f>IFERROR(__xludf.DUMMYFUNCTION("""COMPUTED_VALUE"""),12.7)</f>
        <v>12.7</v>
      </c>
      <c r="C3041" s="1">
        <f>IFERROR(__xludf.DUMMYFUNCTION("""COMPUTED_VALUE"""),13.3)</f>
        <v>13.3</v>
      </c>
      <c r="D3041" s="1">
        <f>IFERROR(__xludf.DUMMYFUNCTION("""COMPUTED_VALUE"""),12.2)</f>
        <v>12.2</v>
      </c>
      <c r="E3041" s="1">
        <f>IFERROR(__xludf.DUMMYFUNCTION("""COMPUTED_VALUE"""),13.3)</f>
        <v>13.3</v>
      </c>
      <c r="F3041" s="1">
        <f>IFERROR(__xludf.DUMMYFUNCTION("""COMPUTED_VALUE"""),2.9032715E7)</f>
        <v>29032715</v>
      </c>
    </row>
    <row r="3042">
      <c r="A3042" s="2">
        <f>IFERROR(__xludf.DUMMYFUNCTION("""COMPUTED_VALUE"""),44592.66666666667)</f>
        <v>44592.66667</v>
      </c>
      <c r="B3042" s="1">
        <f>IFERROR(__xludf.DUMMYFUNCTION("""COMPUTED_VALUE"""),13.8)</f>
        <v>13.8</v>
      </c>
      <c r="C3042" s="1">
        <f>IFERROR(__xludf.DUMMYFUNCTION("""COMPUTED_VALUE"""),14.3)</f>
        <v>14.3</v>
      </c>
      <c r="D3042" s="1">
        <f>IFERROR(__xludf.DUMMYFUNCTION("""COMPUTED_VALUE"""),13.1)</f>
        <v>13.1</v>
      </c>
      <c r="E3042" s="1">
        <f>IFERROR(__xludf.DUMMYFUNCTION("""COMPUTED_VALUE"""),14.3)</f>
        <v>14.3</v>
      </c>
      <c r="F3042" s="1">
        <f>IFERROR(__xludf.DUMMYFUNCTION("""COMPUTED_VALUE"""),2.9662096E7)</f>
        <v>29662096</v>
      </c>
    </row>
    <row r="3043">
      <c r="A3043" s="2">
        <f>IFERROR(__xludf.DUMMYFUNCTION("""COMPUTED_VALUE"""),44593.66666666667)</f>
        <v>44593.66667</v>
      </c>
      <c r="B3043" s="1">
        <f>IFERROR(__xludf.DUMMYFUNCTION("""COMPUTED_VALUE"""),14.0)</f>
        <v>14</v>
      </c>
      <c r="C3043" s="1">
        <f>IFERROR(__xludf.DUMMYFUNCTION("""COMPUTED_VALUE"""),14.2)</f>
        <v>14.2</v>
      </c>
      <c r="D3043" s="1">
        <f>IFERROR(__xludf.DUMMYFUNCTION("""COMPUTED_VALUE"""),13.3)</f>
        <v>13.3</v>
      </c>
      <c r="E3043" s="1">
        <f>IFERROR(__xludf.DUMMYFUNCTION("""COMPUTED_VALUE"""),14.1)</f>
        <v>14.1</v>
      </c>
      <c r="F3043" s="1">
        <f>IFERROR(__xludf.DUMMYFUNCTION("""COMPUTED_VALUE"""),2.2716117E7)</f>
        <v>22716117</v>
      </c>
    </row>
    <row r="3044">
      <c r="A3044" s="2">
        <f>IFERROR(__xludf.DUMMYFUNCTION("""COMPUTED_VALUE"""),44594.66666666667)</f>
        <v>44594.66667</v>
      </c>
      <c r="B3044" s="1">
        <f>IFERROR(__xludf.DUMMYFUNCTION("""COMPUTED_VALUE"""),14.3)</f>
        <v>14.3</v>
      </c>
      <c r="C3044" s="1">
        <f>IFERROR(__xludf.DUMMYFUNCTION("""COMPUTED_VALUE"""),14.5)</f>
        <v>14.5</v>
      </c>
      <c r="D3044" s="1">
        <f>IFERROR(__xludf.DUMMYFUNCTION("""COMPUTED_VALUE"""),13.6)</f>
        <v>13.6</v>
      </c>
      <c r="E3044" s="1">
        <f>IFERROR(__xludf.DUMMYFUNCTION("""COMPUTED_VALUE"""),13.8)</f>
        <v>13.8</v>
      </c>
      <c r="F3044" s="1">
        <f>IFERROR(__xludf.DUMMYFUNCTION("""COMPUTED_VALUE"""),3.5955352E7)</f>
        <v>35955352</v>
      </c>
    </row>
    <row r="3045">
      <c r="A3045" s="2">
        <f>IFERROR(__xludf.DUMMYFUNCTION("""COMPUTED_VALUE"""),44595.66666666667)</f>
        <v>44595.66667</v>
      </c>
      <c r="B3045" s="1">
        <f>IFERROR(__xludf.DUMMYFUNCTION("""COMPUTED_VALUE"""),13.5)</f>
        <v>13.5</v>
      </c>
      <c r="C3045" s="1">
        <f>IFERROR(__xludf.DUMMYFUNCTION("""COMPUTED_VALUE"""),14.5)</f>
        <v>14.5</v>
      </c>
      <c r="D3045" s="1">
        <f>IFERROR(__xludf.DUMMYFUNCTION("""COMPUTED_VALUE"""),13.4)</f>
        <v>13.4</v>
      </c>
      <c r="E3045" s="1">
        <f>IFERROR(__xludf.DUMMYFUNCTION("""COMPUTED_VALUE"""),14.0)</f>
        <v>14</v>
      </c>
      <c r="F3045" s="1">
        <f>IFERROR(__xludf.DUMMYFUNCTION("""COMPUTED_VALUE"""),1.3432916E7)</f>
        <v>13432916</v>
      </c>
    </row>
    <row r="3046">
      <c r="A3046" s="2">
        <f>IFERROR(__xludf.DUMMYFUNCTION("""COMPUTED_VALUE"""),44596.66666666667)</f>
        <v>44596.66667</v>
      </c>
      <c r="B3046" s="1">
        <f>IFERROR(__xludf.DUMMYFUNCTION("""COMPUTED_VALUE"""),14.0)</f>
        <v>14</v>
      </c>
      <c r="C3046" s="1">
        <f>IFERROR(__xludf.DUMMYFUNCTION("""COMPUTED_VALUE"""),14.8)</f>
        <v>14.8</v>
      </c>
      <c r="D3046" s="1">
        <f>IFERROR(__xludf.DUMMYFUNCTION("""COMPUTED_VALUE"""),13.6)</f>
        <v>13.6</v>
      </c>
      <c r="E3046" s="1">
        <f>IFERROR(__xludf.DUMMYFUNCTION("""COMPUTED_VALUE"""),14.7)</f>
        <v>14.7</v>
      </c>
      <c r="F3046" s="1">
        <f>IFERROR(__xludf.DUMMYFUNCTION("""COMPUTED_VALUE"""),9578494.0)</f>
        <v>9578494</v>
      </c>
    </row>
    <row r="3047">
      <c r="A3047" s="2">
        <f>IFERROR(__xludf.DUMMYFUNCTION("""COMPUTED_VALUE"""),44599.66666666667)</f>
        <v>44599.66667</v>
      </c>
      <c r="B3047" s="1">
        <f>IFERROR(__xludf.DUMMYFUNCTION("""COMPUTED_VALUE"""),14.3)</f>
        <v>14.3</v>
      </c>
      <c r="C3047" s="1">
        <f>IFERROR(__xludf.DUMMYFUNCTION("""COMPUTED_VALUE"""),15.8)</f>
        <v>15.8</v>
      </c>
      <c r="D3047" s="1">
        <f>IFERROR(__xludf.DUMMYFUNCTION("""COMPUTED_VALUE"""),14.3)</f>
        <v>14.3</v>
      </c>
      <c r="E3047" s="1">
        <f>IFERROR(__xludf.DUMMYFUNCTION("""COMPUTED_VALUE"""),15.2)</f>
        <v>15.2</v>
      </c>
      <c r="F3047" s="1">
        <f>IFERROR(__xludf.DUMMYFUNCTION("""COMPUTED_VALUE"""),1.9424916E7)</f>
        <v>19424916</v>
      </c>
    </row>
    <row r="3048">
      <c r="A3048" s="2">
        <f>IFERROR(__xludf.DUMMYFUNCTION("""COMPUTED_VALUE"""),44600.66666666667)</f>
        <v>44600.66667</v>
      </c>
      <c r="B3048" s="1">
        <f>IFERROR(__xludf.DUMMYFUNCTION("""COMPUTED_VALUE"""),14.8)</f>
        <v>14.8</v>
      </c>
      <c r="C3048" s="1">
        <f>IFERROR(__xludf.DUMMYFUNCTION("""COMPUTED_VALUE"""),15.9)</f>
        <v>15.9</v>
      </c>
      <c r="D3048" s="1">
        <f>IFERROR(__xludf.DUMMYFUNCTION("""COMPUTED_VALUE"""),14.65)</f>
        <v>14.65</v>
      </c>
      <c r="E3048" s="1">
        <f>IFERROR(__xludf.DUMMYFUNCTION("""COMPUTED_VALUE"""),15.7)</f>
        <v>15.7</v>
      </c>
      <c r="F3048" s="1">
        <f>IFERROR(__xludf.DUMMYFUNCTION("""COMPUTED_VALUE"""),9764062.0)</f>
        <v>9764062</v>
      </c>
    </row>
    <row r="3049">
      <c r="A3049" s="2">
        <f>IFERROR(__xludf.DUMMYFUNCTION("""COMPUTED_VALUE"""),44601.66666666667)</f>
        <v>44601.66667</v>
      </c>
      <c r="B3049" s="1">
        <f>IFERROR(__xludf.DUMMYFUNCTION("""COMPUTED_VALUE"""),16.2)</f>
        <v>16.2</v>
      </c>
      <c r="C3049" s="1">
        <f>IFERROR(__xludf.DUMMYFUNCTION("""COMPUTED_VALUE"""),16.5)</f>
        <v>16.5</v>
      </c>
      <c r="D3049" s="1">
        <f>IFERROR(__xludf.DUMMYFUNCTION("""COMPUTED_VALUE"""),15.8)</f>
        <v>15.8</v>
      </c>
      <c r="E3049" s="1">
        <f>IFERROR(__xludf.DUMMYFUNCTION("""COMPUTED_VALUE"""),16.4)</f>
        <v>16.4</v>
      </c>
      <c r="F3049" s="1">
        <f>IFERROR(__xludf.DUMMYFUNCTION("""COMPUTED_VALUE"""),1.1612539E7)</f>
        <v>11612539</v>
      </c>
    </row>
    <row r="3050">
      <c r="A3050" s="2">
        <f>IFERROR(__xludf.DUMMYFUNCTION("""COMPUTED_VALUE"""),44602.66666666667)</f>
        <v>44602.66667</v>
      </c>
      <c r="B3050" s="1">
        <f>IFERROR(__xludf.DUMMYFUNCTION("""COMPUTED_VALUE"""),16.1)</f>
        <v>16.1</v>
      </c>
      <c r="C3050" s="1">
        <f>IFERROR(__xludf.DUMMYFUNCTION("""COMPUTED_VALUE"""),16.8)</f>
        <v>16.8</v>
      </c>
      <c r="D3050" s="1">
        <f>IFERROR(__xludf.DUMMYFUNCTION("""COMPUTED_VALUE"""),15.8)</f>
        <v>15.8</v>
      </c>
      <c r="E3050" s="1">
        <f>IFERROR(__xludf.DUMMYFUNCTION("""COMPUTED_VALUE"""),16.0)</f>
        <v>16</v>
      </c>
      <c r="F3050" s="1">
        <f>IFERROR(__xludf.DUMMYFUNCTION("""COMPUTED_VALUE"""),1.42782E7)</f>
        <v>14278200</v>
      </c>
    </row>
    <row r="3051">
      <c r="A3051" s="2">
        <f>IFERROR(__xludf.DUMMYFUNCTION("""COMPUTED_VALUE"""),44603.66666666667)</f>
        <v>44603.66667</v>
      </c>
      <c r="B3051" s="1">
        <f>IFERROR(__xludf.DUMMYFUNCTION("""COMPUTED_VALUE"""),15.9)</f>
        <v>15.9</v>
      </c>
      <c r="C3051" s="1">
        <f>IFERROR(__xludf.DUMMYFUNCTION("""COMPUTED_VALUE"""),16.15)</f>
        <v>16.15</v>
      </c>
      <c r="D3051" s="1">
        <f>IFERROR(__xludf.DUMMYFUNCTION("""COMPUTED_VALUE"""),15.0)</f>
        <v>15</v>
      </c>
      <c r="E3051" s="1">
        <f>IFERROR(__xludf.DUMMYFUNCTION("""COMPUTED_VALUE"""),15.2)</f>
        <v>15.2</v>
      </c>
      <c r="F3051" s="1">
        <f>IFERROR(__xludf.DUMMYFUNCTION("""COMPUTED_VALUE"""),1.6454959E7)</f>
        <v>16454959</v>
      </c>
    </row>
    <row r="3052">
      <c r="A3052" s="2">
        <f>IFERROR(__xludf.DUMMYFUNCTION("""COMPUTED_VALUE"""),44606.66666666667)</f>
        <v>44606.66667</v>
      </c>
      <c r="B3052" s="1">
        <f>IFERROR(__xludf.DUMMYFUNCTION("""COMPUTED_VALUE"""),15.0)</f>
        <v>15</v>
      </c>
      <c r="C3052" s="1">
        <f>IFERROR(__xludf.DUMMYFUNCTION("""COMPUTED_VALUE"""),15.2)</f>
        <v>15.2</v>
      </c>
      <c r="D3052" s="1">
        <f>IFERROR(__xludf.DUMMYFUNCTION("""COMPUTED_VALUE"""),14.5)</f>
        <v>14.5</v>
      </c>
      <c r="E3052" s="1">
        <f>IFERROR(__xludf.DUMMYFUNCTION("""COMPUTED_VALUE"""),14.7)</f>
        <v>14.7</v>
      </c>
      <c r="F3052" s="1">
        <f>IFERROR(__xludf.DUMMYFUNCTION("""COMPUTED_VALUE"""),4.1214972E7)</f>
        <v>41214972</v>
      </c>
    </row>
    <row r="3053">
      <c r="A3053" s="2">
        <f>IFERROR(__xludf.DUMMYFUNCTION("""COMPUTED_VALUE"""),44607.66666666667)</f>
        <v>44607.66667</v>
      </c>
      <c r="B3053" s="1">
        <f>IFERROR(__xludf.DUMMYFUNCTION("""COMPUTED_VALUE"""),15.0)</f>
        <v>15</v>
      </c>
      <c r="C3053" s="1">
        <f>IFERROR(__xludf.DUMMYFUNCTION("""COMPUTED_VALUE"""),16.5)</f>
        <v>16.5</v>
      </c>
      <c r="D3053" s="1">
        <f>IFERROR(__xludf.DUMMYFUNCTION("""COMPUTED_VALUE"""),15.0)</f>
        <v>15</v>
      </c>
      <c r="E3053" s="1">
        <f>IFERROR(__xludf.DUMMYFUNCTION("""COMPUTED_VALUE"""),16.4)</f>
        <v>16.4</v>
      </c>
      <c r="F3053" s="1">
        <f>IFERROR(__xludf.DUMMYFUNCTION("""COMPUTED_VALUE"""),1.8808199E7)</f>
        <v>18808199</v>
      </c>
    </row>
    <row r="3054">
      <c r="A3054" s="2">
        <f>IFERROR(__xludf.DUMMYFUNCTION("""COMPUTED_VALUE"""),44608.66666666667)</f>
        <v>44608.66667</v>
      </c>
      <c r="B3054" s="1">
        <f>IFERROR(__xludf.DUMMYFUNCTION("""COMPUTED_VALUE"""),16.0)</f>
        <v>16</v>
      </c>
      <c r="C3054" s="1">
        <f>IFERROR(__xludf.DUMMYFUNCTION("""COMPUTED_VALUE"""),17.0)</f>
        <v>17</v>
      </c>
      <c r="D3054" s="1">
        <f>IFERROR(__xludf.DUMMYFUNCTION("""COMPUTED_VALUE"""),15.8)</f>
        <v>15.8</v>
      </c>
      <c r="E3054" s="1">
        <f>IFERROR(__xludf.DUMMYFUNCTION("""COMPUTED_VALUE"""),16.2)</f>
        <v>16.2</v>
      </c>
      <c r="F3054" s="1">
        <f>IFERROR(__xludf.DUMMYFUNCTION("""COMPUTED_VALUE"""),3.3266439E7)</f>
        <v>33266439</v>
      </c>
    </row>
    <row r="3055">
      <c r="A3055" s="2">
        <f>IFERROR(__xludf.DUMMYFUNCTION("""COMPUTED_VALUE"""),44609.66666666667)</f>
        <v>44609.66667</v>
      </c>
      <c r="B3055" s="1">
        <f>IFERROR(__xludf.DUMMYFUNCTION("""COMPUTED_VALUE"""),16.1)</f>
        <v>16.1</v>
      </c>
      <c r="C3055" s="1">
        <f>IFERROR(__xludf.DUMMYFUNCTION("""COMPUTED_VALUE"""),16.5)</f>
        <v>16.5</v>
      </c>
      <c r="D3055" s="1">
        <f>IFERROR(__xludf.DUMMYFUNCTION("""COMPUTED_VALUE"""),15.6)</f>
        <v>15.6</v>
      </c>
      <c r="E3055" s="1">
        <f>IFERROR(__xludf.DUMMYFUNCTION("""COMPUTED_VALUE"""),15.7)</f>
        <v>15.7</v>
      </c>
      <c r="F3055" s="1">
        <f>IFERROR(__xludf.DUMMYFUNCTION("""COMPUTED_VALUE"""),1.0302231E7)</f>
        <v>10302231</v>
      </c>
    </row>
    <row r="3056">
      <c r="A3056" s="2">
        <f>IFERROR(__xludf.DUMMYFUNCTION("""COMPUTED_VALUE"""),44610.66666666667)</f>
        <v>44610.66667</v>
      </c>
      <c r="B3056" s="1">
        <f>IFERROR(__xludf.DUMMYFUNCTION("""COMPUTED_VALUE"""),15.7)</f>
        <v>15.7</v>
      </c>
      <c r="C3056" s="1">
        <f>IFERROR(__xludf.DUMMYFUNCTION("""COMPUTED_VALUE"""),15.8)</f>
        <v>15.8</v>
      </c>
      <c r="D3056" s="1">
        <f>IFERROR(__xludf.DUMMYFUNCTION("""COMPUTED_VALUE"""),14.72)</f>
        <v>14.72</v>
      </c>
      <c r="E3056" s="1">
        <f>IFERROR(__xludf.DUMMYFUNCTION("""COMPUTED_VALUE"""),15.2)</f>
        <v>15.2</v>
      </c>
      <c r="F3056" s="1">
        <f>IFERROR(__xludf.DUMMYFUNCTION("""COMPUTED_VALUE"""),1.1737734E7)</f>
        <v>11737734</v>
      </c>
    </row>
    <row r="3057">
      <c r="A3057" s="2">
        <f>IFERROR(__xludf.DUMMYFUNCTION("""COMPUTED_VALUE"""),44614.66666666667)</f>
        <v>44614.66667</v>
      </c>
      <c r="B3057" s="1">
        <f>IFERROR(__xludf.DUMMYFUNCTION("""COMPUTED_VALUE"""),14.9)</f>
        <v>14.9</v>
      </c>
      <c r="C3057" s="1">
        <f>IFERROR(__xludf.DUMMYFUNCTION("""COMPUTED_VALUE"""),15.3)</f>
        <v>15.3</v>
      </c>
      <c r="D3057" s="1">
        <f>IFERROR(__xludf.DUMMYFUNCTION("""COMPUTED_VALUE"""),14.65)</f>
        <v>14.65</v>
      </c>
      <c r="E3057" s="1">
        <f>IFERROR(__xludf.DUMMYFUNCTION("""COMPUTED_VALUE"""),15.0)</f>
        <v>15</v>
      </c>
      <c r="F3057" s="1">
        <f>IFERROR(__xludf.DUMMYFUNCTION("""COMPUTED_VALUE"""),1.6627358E7)</f>
        <v>16627358</v>
      </c>
    </row>
    <row r="3058">
      <c r="A3058" s="2">
        <f>IFERROR(__xludf.DUMMYFUNCTION("""COMPUTED_VALUE"""),44615.66666666667)</f>
        <v>44615.66667</v>
      </c>
      <c r="B3058" s="1">
        <f>IFERROR(__xludf.DUMMYFUNCTION("""COMPUTED_VALUE"""),15.55)</f>
        <v>15.55</v>
      </c>
      <c r="C3058" s="1">
        <f>IFERROR(__xludf.DUMMYFUNCTION("""COMPUTED_VALUE"""),16.0)</f>
        <v>16</v>
      </c>
      <c r="D3058" s="1">
        <f>IFERROR(__xludf.DUMMYFUNCTION("""COMPUTED_VALUE"""),14.5)</f>
        <v>14.5</v>
      </c>
      <c r="E3058" s="1">
        <f>IFERROR(__xludf.DUMMYFUNCTION("""COMPUTED_VALUE"""),14.8)</f>
        <v>14.8</v>
      </c>
      <c r="F3058" s="1">
        <f>IFERROR(__xludf.DUMMYFUNCTION("""COMPUTED_VALUE"""),1.8192743E7)</f>
        <v>18192743</v>
      </c>
    </row>
    <row r="3059">
      <c r="A3059" s="2">
        <f>IFERROR(__xludf.DUMMYFUNCTION("""COMPUTED_VALUE"""),44616.66666666667)</f>
        <v>44616.66667</v>
      </c>
      <c r="B3059" s="1">
        <f>IFERROR(__xludf.DUMMYFUNCTION("""COMPUTED_VALUE"""),13.8)</f>
        <v>13.8</v>
      </c>
      <c r="C3059" s="1">
        <f>IFERROR(__xludf.DUMMYFUNCTION("""COMPUTED_VALUE"""),14.6)</f>
        <v>14.6</v>
      </c>
      <c r="D3059" s="1">
        <f>IFERROR(__xludf.DUMMYFUNCTION("""COMPUTED_VALUE"""),13.4)</f>
        <v>13.4</v>
      </c>
      <c r="E3059" s="1">
        <f>IFERROR(__xludf.DUMMYFUNCTION("""COMPUTED_VALUE"""),14.4)</f>
        <v>14.4</v>
      </c>
      <c r="F3059" s="1">
        <f>IFERROR(__xludf.DUMMYFUNCTION("""COMPUTED_VALUE"""),3.0015324E7)</f>
        <v>30015324</v>
      </c>
    </row>
    <row r="3060">
      <c r="A3060" s="2">
        <f>IFERROR(__xludf.DUMMYFUNCTION("""COMPUTED_VALUE"""),44617.66666666667)</f>
        <v>44617.66667</v>
      </c>
      <c r="B3060" s="1">
        <f>IFERROR(__xludf.DUMMYFUNCTION("""COMPUTED_VALUE"""),14.1)</f>
        <v>14.1</v>
      </c>
      <c r="C3060" s="1">
        <f>IFERROR(__xludf.DUMMYFUNCTION("""COMPUTED_VALUE"""),14.1)</f>
        <v>14.1</v>
      </c>
      <c r="D3060" s="1">
        <f>IFERROR(__xludf.DUMMYFUNCTION("""COMPUTED_VALUE"""),13.5)</f>
        <v>13.5</v>
      </c>
      <c r="E3060" s="1">
        <f>IFERROR(__xludf.DUMMYFUNCTION("""COMPUTED_VALUE"""),14.1)</f>
        <v>14.1</v>
      </c>
      <c r="F3060" s="1">
        <f>IFERROR(__xludf.DUMMYFUNCTION("""COMPUTED_VALUE"""),1.8674107E7)</f>
        <v>18674107</v>
      </c>
    </row>
    <row r="3061">
      <c r="A3061" s="2">
        <f>IFERROR(__xludf.DUMMYFUNCTION("""COMPUTED_VALUE"""),44620.66666666667)</f>
        <v>44620.66667</v>
      </c>
      <c r="B3061" s="1">
        <f>IFERROR(__xludf.DUMMYFUNCTION("""COMPUTED_VALUE"""),13.8)</f>
        <v>13.8</v>
      </c>
      <c r="C3061" s="1">
        <f>IFERROR(__xludf.DUMMYFUNCTION("""COMPUTED_VALUE"""),15.1)</f>
        <v>15.1</v>
      </c>
      <c r="D3061" s="1">
        <f>IFERROR(__xludf.DUMMYFUNCTION("""COMPUTED_VALUE"""),13.75)</f>
        <v>13.75</v>
      </c>
      <c r="E3061" s="1">
        <f>IFERROR(__xludf.DUMMYFUNCTION("""COMPUTED_VALUE"""),15.1)</f>
        <v>15.1</v>
      </c>
      <c r="F3061" s="1">
        <f>IFERROR(__xludf.DUMMYFUNCTION("""COMPUTED_VALUE"""),2.9197724E7)</f>
        <v>29197724</v>
      </c>
    </row>
    <row r="3062">
      <c r="A3062" s="2">
        <f>IFERROR(__xludf.DUMMYFUNCTION("""COMPUTED_VALUE"""),44621.66666666667)</f>
        <v>44621.66667</v>
      </c>
      <c r="B3062" s="1">
        <f>IFERROR(__xludf.DUMMYFUNCTION("""COMPUTED_VALUE"""),15.0)</f>
        <v>15</v>
      </c>
      <c r="C3062" s="1">
        <f>IFERROR(__xludf.DUMMYFUNCTION("""COMPUTED_VALUE"""),15.4)</f>
        <v>15.4</v>
      </c>
      <c r="D3062" s="1">
        <f>IFERROR(__xludf.DUMMYFUNCTION("""COMPUTED_VALUE"""),14.4)</f>
        <v>14.4</v>
      </c>
      <c r="E3062" s="1">
        <f>IFERROR(__xludf.DUMMYFUNCTION("""COMPUTED_VALUE"""),14.6)</f>
        <v>14.6</v>
      </c>
      <c r="F3062" s="1">
        <f>IFERROR(__xludf.DUMMYFUNCTION("""COMPUTED_VALUE"""),1.3795944E7)</f>
        <v>13795944</v>
      </c>
    </row>
    <row r="3063">
      <c r="A3063" s="2">
        <f>IFERROR(__xludf.DUMMYFUNCTION("""COMPUTED_VALUE"""),44622.66666666667)</f>
        <v>44622.66667</v>
      </c>
      <c r="B3063" s="1">
        <f>IFERROR(__xludf.DUMMYFUNCTION("""COMPUTED_VALUE"""),14.5)</f>
        <v>14.5</v>
      </c>
      <c r="C3063" s="1">
        <f>IFERROR(__xludf.DUMMYFUNCTION("""COMPUTED_VALUE"""),14.6)</f>
        <v>14.6</v>
      </c>
      <c r="D3063" s="1">
        <f>IFERROR(__xludf.DUMMYFUNCTION("""COMPUTED_VALUE"""),13.7)</f>
        <v>13.7</v>
      </c>
      <c r="E3063" s="1">
        <f>IFERROR(__xludf.DUMMYFUNCTION("""COMPUTED_VALUE"""),13.8)</f>
        <v>13.8</v>
      </c>
      <c r="F3063" s="1">
        <f>IFERROR(__xludf.DUMMYFUNCTION("""COMPUTED_VALUE"""),2.3630338E7)</f>
        <v>23630338</v>
      </c>
    </row>
    <row r="3064">
      <c r="A3064" s="2">
        <f>IFERROR(__xludf.DUMMYFUNCTION("""COMPUTED_VALUE"""),44623.66666666667)</f>
        <v>44623.66667</v>
      </c>
      <c r="B3064" s="1">
        <f>IFERROR(__xludf.DUMMYFUNCTION("""COMPUTED_VALUE"""),13.7)</f>
        <v>13.7</v>
      </c>
      <c r="C3064" s="1">
        <f>IFERROR(__xludf.DUMMYFUNCTION("""COMPUTED_VALUE"""),13.8)</f>
        <v>13.8</v>
      </c>
      <c r="D3064" s="1">
        <f>IFERROR(__xludf.DUMMYFUNCTION("""COMPUTED_VALUE"""),12.8)</f>
        <v>12.8</v>
      </c>
      <c r="E3064" s="1">
        <f>IFERROR(__xludf.DUMMYFUNCTION("""COMPUTED_VALUE"""),12.9)</f>
        <v>12.9</v>
      </c>
      <c r="F3064" s="1">
        <f>IFERROR(__xludf.DUMMYFUNCTION("""COMPUTED_VALUE"""),5.1059664E7)</f>
        <v>51059664</v>
      </c>
    </row>
    <row r="3065">
      <c r="A3065" s="2">
        <f>IFERROR(__xludf.DUMMYFUNCTION("""COMPUTED_VALUE"""),44624.66666666667)</f>
        <v>44624.66667</v>
      </c>
      <c r="B3065" s="1">
        <f>IFERROR(__xludf.DUMMYFUNCTION("""COMPUTED_VALUE"""),12.5)</f>
        <v>12.5</v>
      </c>
      <c r="C3065" s="1">
        <f>IFERROR(__xludf.DUMMYFUNCTION("""COMPUTED_VALUE"""),12.7)</f>
        <v>12.7</v>
      </c>
      <c r="D3065" s="1">
        <f>IFERROR(__xludf.DUMMYFUNCTION("""COMPUTED_VALUE"""),11.7)</f>
        <v>11.7</v>
      </c>
      <c r="E3065" s="1">
        <f>IFERROR(__xludf.DUMMYFUNCTION("""COMPUTED_VALUE"""),11.9)</f>
        <v>11.9</v>
      </c>
      <c r="F3065" s="1">
        <f>IFERROR(__xludf.DUMMYFUNCTION("""COMPUTED_VALUE"""),7.0547595E7)</f>
        <v>70547595</v>
      </c>
    </row>
    <row r="3066">
      <c r="A3066" s="2">
        <f>IFERROR(__xludf.DUMMYFUNCTION("""COMPUTED_VALUE"""),44627.66666666667)</f>
        <v>44627.66667</v>
      </c>
      <c r="B3066" s="1">
        <f>IFERROR(__xludf.DUMMYFUNCTION("""COMPUTED_VALUE"""),11.9)</f>
        <v>11.9</v>
      </c>
      <c r="C3066" s="1">
        <f>IFERROR(__xludf.DUMMYFUNCTION("""COMPUTED_VALUE"""),12.35)</f>
        <v>12.35</v>
      </c>
      <c r="D3066" s="1">
        <f>IFERROR(__xludf.DUMMYFUNCTION("""COMPUTED_VALUE"""),11.5)</f>
        <v>11.5</v>
      </c>
      <c r="E3066" s="1">
        <f>IFERROR(__xludf.DUMMYFUNCTION("""COMPUTED_VALUE"""),11.7)</f>
        <v>11.7</v>
      </c>
      <c r="F3066" s="1">
        <f>IFERROR(__xludf.DUMMYFUNCTION("""COMPUTED_VALUE"""),5.229835E7)</f>
        <v>52298350</v>
      </c>
    </row>
    <row r="3067">
      <c r="A3067" s="2">
        <f>IFERROR(__xludf.DUMMYFUNCTION("""COMPUTED_VALUE"""),44628.66666666667)</f>
        <v>44628.66667</v>
      </c>
      <c r="B3067" s="1">
        <f>IFERROR(__xludf.DUMMYFUNCTION("""COMPUTED_VALUE"""),11.9)</f>
        <v>11.9</v>
      </c>
      <c r="C3067" s="1">
        <f>IFERROR(__xludf.DUMMYFUNCTION("""COMPUTED_VALUE"""),12.2)</f>
        <v>12.2</v>
      </c>
      <c r="D3067" s="1">
        <f>IFERROR(__xludf.DUMMYFUNCTION("""COMPUTED_VALUE"""),11.5)</f>
        <v>11.5</v>
      </c>
      <c r="E3067" s="1">
        <f>IFERROR(__xludf.DUMMYFUNCTION("""COMPUTED_VALUE"""),11.7)</f>
        <v>11.7</v>
      </c>
      <c r="F3067" s="1">
        <f>IFERROR(__xludf.DUMMYFUNCTION("""COMPUTED_VALUE"""),2.4439626E7)</f>
        <v>24439626</v>
      </c>
    </row>
    <row r="3068">
      <c r="A3068" s="2">
        <f>IFERROR(__xludf.DUMMYFUNCTION("""COMPUTED_VALUE"""),44629.66666666667)</f>
        <v>44629.66667</v>
      </c>
      <c r="B3068" s="1">
        <f>IFERROR(__xludf.DUMMYFUNCTION("""COMPUTED_VALUE"""),12.3)</f>
        <v>12.3</v>
      </c>
      <c r="C3068" s="1">
        <f>IFERROR(__xludf.DUMMYFUNCTION("""COMPUTED_VALUE"""),12.9)</f>
        <v>12.9</v>
      </c>
      <c r="D3068" s="1">
        <f>IFERROR(__xludf.DUMMYFUNCTION("""COMPUTED_VALUE"""),12.2)</f>
        <v>12.2</v>
      </c>
      <c r="E3068" s="1">
        <f>IFERROR(__xludf.DUMMYFUNCTION("""COMPUTED_VALUE"""),12.6)</f>
        <v>12.6</v>
      </c>
      <c r="F3068" s="1">
        <f>IFERROR(__xludf.DUMMYFUNCTION("""COMPUTED_VALUE"""),1.6265651E7)</f>
        <v>16265651</v>
      </c>
    </row>
    <row r="3069">
      <c r="A3069" s="2">
        <f>IFERROR(__xludf.DUMMYFUNCTION("""COMPUTED_VALUE"""),44630.66666666667)</f>
        <v>44630.66667</v>
      </c>
      <c r="B3069" s="1">
        <f>IFERROR(__xludf.DUMMYFUNCTION("""COMPUTED_VALUE"""),12.1)</f>
        <v>12.1</v>
      </c>
      <c r="C3069" s="1">
        <f>IFERROR(__xludf.DUMMYFUNCTION("""COMPUTED_VALUE"""),12.1)</f>
        <v>12.1</v>
      </c>
      <c r="D3069" s="1">
        <f>IFERROR(__xludf.DUMMYFUNCTION("""COMPUTED_VALUE"""),11.4)</f>
        <v>11.4</v>
      </c>
      <c r="E3069" s="1">
        <f>IFERROR(__xludf.DUMMYFUNCTION("""COMPUTED_VALUE"""),11.4)</f>
        <v>11.4</v>
      </c>
      <c r="F3069" s="1">
        <f>IFERROR(__xludf.DUMMYFUNCTION("""COMPUTED_VALUE"""),2.6374043E7)</f>
        <v>26374043</v>
      </c>
    </row>
    <row r="3070">
      <c r="A3070" s="2">
        <f>IFERROR(__xludf.DUMMYFUNCTION("""COMPUTED_VALUE"""),44631.66666666667)</f>
        <v>44631.66667</v>
      </c>
      <c r="B3070" s="1">
        <f>IFERROR(__xludf.DUMMYFUNCTION("""COMPUTED_VALUE"""),11.4)</f>
        <v>11.4</v>
      </c>
      <c r="C3070" s="1">
        <f>IFERROR(__xludf.DUMMYFUNCTION("""COMPUTED_VALUE"""),11.6)</f>
        <v>11.6</v>
      </c>
      <c r="D3070" s="1">
        <f>IFERROR(__xludf.DUMMYFUNCTION("""COMPUTED_VALUE"""),9.7)</f>
        <v>9.7</v>
      </c>
      <c r="E3070" s="1">
        <f>IFERROR(__xludf.DUMMYFUNCTION("""COMPUTED_VALUE"""),10.2)</f>
        <v>10.2</v>
      </c>
      <c r="F3070" s="1">
        <f>IFERROR(__xludf.DUMMYFUNCTION("""COMPUTED_VALUE"""),6.2857557E7)</f>
        <v>62857557</v>
      </c>
    </row>
    <row r="3071">
      <c r="A3071" s="2">
        <f>IFERROR(__xludf.DUMMYFUNCTION("""COMPUTED_VALUE"""),44634.66666666667)</f>
        <v>44634.66667</v>
      </c>
      <c r="B3071" s="1">
        <f>IFERROR(__xludf.DUMMYFUNCTION("""COMPUTED_VALUE"""),9.1)</f>
        <v>9.1</v>
      </c>
      <c r="C3071" s="1">
        <f>IFERROR(__xludf.DUMMYFUNCTION("""COMPUTED_VALUE"""),9.88)</f>
        <v>9.88</v>
      </c>
      <c r="D3071" s="1">
        <f>IFERROR(__xludf.DUMMYFUNCTION("""COMPUTED_VALUE"""),8.5)</f>
        <v>8.5</v>
      </c>
      <c r="E3071" s="1">
        <f>IFERROR(__xludf.DUMMYFUNCTION("""COMPUTED_VALUE"""),8.64)</f>
        <v>8.64</v>
      </c>
      <c r="F3071" s="1">
        <f>IFERROR(__xludf.DUMMYFUNCTION("""COMPUTED_VALUE"""),3.2850737E7)</f>
        <v>32850737</v>
      </c>
    </row>
    <row r="3072">
      <c r="A3072" s="2">
        <f>IFERROR(__xludf.DUMMYFUNCTION("""COMPUTED_VALUE"""),44635.66666666667)</f>
        <v>44635.66667</v>
      </c>
      <c r="B3072" s="1">
        <f>IFERROR(__xludf.DUMMYFUNCTION("""COMPUTED_VALUE"""),8.4)</f>
        <v>8.4</v>
      </c>
      <c r="C3072" s="1">
        <f>IFERROR(__xludf.DUMMYFUNCTION("""COMPUTED_VALUE"""),10.9)</f>
        <v>10.9</v>
      </c>
      <c r="D3072" s="1">
        <f>IFERROR(__xludf.DUMMYFUNCTION("""COMPUTED_VALUE"""),8.4)</f>
        <v>8.4</v>
      </c>
      <c r="E3072" s="1">
        <f>IFERROR(__xludf.DUMMYFUNCTION("""COMPUTED_VALUE"""),10.6)</f>
        <v>10.6</v>
      </c>
      <c r="F3072" s="1">
        <f>IFERROR(__xludf.DUMMYFUNCTION("""COMPUTED_VALUE"""),4.8055653E7)</f>
        <v>48055653</v>
      </c>
    </row>
    <row r="3073">
      <c r="A3073" s="2">
        <f>IFERROR(__xludf.DUMMYFUNCTION("""COMPUTED_VALUE"""),44636.66666666667)</f>
        <v>44636.66667</v>
      </c>
      <c r="B3073" s="1">
        <f>IFERROR(__xludf.DUMMYFUNCTION("""COMPUTED_VALUE"""),12.2)</f>
        <v>12.2</v>
      </c>
      <c r="C3073" s="1">
        <f>IFERROR(__xludf.DUMMYFUNCTION("""COMPUTED_VALUE"""),12.3)</f>
        <v>12.3</v>
      </c>
      <c r="D3073" s="1">
        <f>IFERROR(__xludf.DUMMYFUNCTION("""COMPUTED_VALUE"""),10.7)</f>
        <v>10.7</v>
      </c>
      <c r="E3073" s="1">
        <f>IFERROR(__xludf.DUMMYFUNCTION("""COMPUTED_VALUE"""),11.9)</f>
        <v>11.9</v>
      </c>
      <c r="F3073" s="1">
        <f>IFERROR(__xludf.DUMMYFUNCTION("""COMPUTED_VALUE"""),5.27054E7)</f>
        <v>52705400</v>
      </c>
    </row>
    <row r="3074">
      <c r="A3074" s="2">
        <f>IFERROR(__xludf.DUMMYFUNCTION("""COMPUTED_VALUE"""),44637.66666666667)</f>
        <v>44637.66667</v>
      </c>
      <c r="B3074" s="1">
        <f>IFERROR(__xludf.DUMMYFUNCTION("""COMPUTED_VALUE"""),10.9)</f>
        <v>10.9</v>
      </c>
      <c r="C3074" s="1">
        <f>IFERROR(__xludf.DUMMYFUNCTION("""COMPUTED_VALUE"""),11.8)</f>
        <v>11.8</v>
      </c>
      <c r="D3074" s="1">
        <f>IFERROR(__xludf.DUMMYFUNCTION("""COMPUTED_VALUE"""),10.8)</f>
        <v>10.8</v>
      </c>
      <c r="E3074" s="1">
        <f>IFERROR(__xludf.DUMMYFUNCTION("""COMPUTED_VALUE"""),11.1)</f>
        <v>11.1</v>
      </c>
      <c r="F3074" s="1">
        <f>IFERROR(__xludf.DUMMYFUNCTION("""COMPUTED_VALUE"""),2.5094425E7)</f>
        <v>25094425</v>
      </c>
    </row>
    <row r="3075">
      <c r="A3075" s="2">
        <f>IFERROR(__xludf.DUMMYFUNCTION("""COMPUTED_VALUE"""),44638.66666666667)</f>
        <v>44638.66667</v>
      </c>
      <c r="B3075" s="1">
        <f>IFERROR(__xludf.DUMMYFUNCTION("""COMPUTED_VALUE"""),11.3)</f>
        <v>11.3</v>
      </c>
      <c r="C3075" s="1">
        <f>IFERROR(__xludf.DUMMYFUNCTION("""COMPUTED_VALUE"""),13.4)</f>
        <v>13.4</v>
      </c>
      <c r="D3075" s="1">
        <f>IFERROR(__xludf.DUMMYFUNCTION("""COMPUTED_VALUE"""),11.1)</f>
        <v>11.1</v>
      </c>
      <c r="E3075" s="1">
        <f>IFERROR(__xludf.DUMMYFUNCTION("""COMPUTED_VALUE"""),12.8)</f>
        <v>12.8</v>
      </c>
      <c r="F3075" s="1">
        <f>IFERROR(__xludf.DUMMYFUNCTION("""COMPUTED_VALUE"""),8.6426995E7)</f>
        <v>86426995</v>
      </c>
    </row>
    <row r="3076">
      <c r="A3076" s="2">
        <f>IFERROR(__xludf.DUMMYFUNCTION("""COMPUTED_VALUE"""),44641.66666666667)</f>
        <v>44641.66667</v>
      </c>
      <c r="B3076" s="1">
        <f>IFERROR(__xludf.DUMMYFUNCTION("""COMPUTED_VALUE"""),12.3)</f>
        <v>12.3</v>
      </c>
      <c r="C3076" s="1">
        <f>IFERROR(__xludf.DUMMYFUNCTION("""COMPUTED_VALUE"""),13.0)</f>
        <v>13</v>
      </c>
      <c r="D3076" s="1">
        <f>IFERROR(__xludf.DUMMYFUNCTION("""COMPUTED_VALUE"""),11.8)</f>
        <v>11.8</v>
      </c>
      <c r="E3076" s="1">
        <f>IFERROR(__xludf.DUMMYFUNCTION("""COMPUTED_VALUE"""),12.1)</f>
        <v>12.1</v>
      </c>
      <c r="F3076" s="1">
        <f>IFERROR(__xludf.DUMMYFUNCTION("""COMPUTED_VALUE"""),2.7439437E7)</f>
        <v>27439437</v>
      </c>
    </row>
    <row r="3077">
      <c r="A3077" s="2">
        <f>IFERROR(__xludf.DUMMYFUNCTION("""COMPUTED_VALUE"""),44642.66666666667)</f>
        <v>44642.66667</v>
      </c>
      <c r="B3077" s="1">
        <f>IFERROR(__xludf.DUMMYFUNCTION("""COMPUTED_VALUE"""),12.6)</f>
        <v>12.6</v>
      </c>
      <c r="C3077" s="1">
        <f>IFERROR(__xludf.DUMMYFUNCTION("""COMPUTED_VALUE"""),13.7)</f>
        <v>13.7</v>
      </c>
      <c r="D3077" s="1">
        <f>IFERROR(__xludf.DUMMYFUNCTION("""COMPUTED_VALUE"""),12.2)</f>
        <v>12.2</v>
      </c>
      <c r="E3077" s="1">
        <f>IFERROR(__xludf.DUMMYFUNCTION("""COMPUTED_VALUE"""),13.0)</f>
        <v>13</v>
      </c>
      <c r="F3077" s="1">
        <f>IFERROR(__xludf.DUMMYFUNCTION("""COMPUTED_VALUE"""),4.2061491E7)</f>
        <v>42061491</v>
      </c>
    </row>
    <row r="3078">
      <c r="A3078" s="2">
        <f>IFERROR(__xludf.DUMMYFUNCTION("""COMPUTED_VALUE"""),44643.66666666667)</f>
        <v>44643.66667</v>
      </c>
      <c r="B3078" s="1">
        <f>IFERROR(__xludf.DUMMYFUNCTION("""COMPUTED_VALUE"""),12.7)</f>
        <v>12.7</v>
      </c>
      <c r="C3078" s="1">
        <f>IFERROR(__xludf.DUMMYFUNCTION("""COMPUTED_VALUE"""),14.15)</f>
        <v>14.15</v>
      </c>
      <c r="D3078" s="1">
        <f>IFERROR(__xludf.DUMMYFUNCTION("""COMPUTED_VALUE"""),12.6)</f>
        <v>12.6</v>
      </c>
      <c r="E3078" s="1">
        <f>IFERROR(__xludf.DUMMYFUNCTION("""COMPUTED_VALUE"""),13.3)</f>
        <v>13.3</v>
      </c>
      <c r="F3078" s="1">
        <f>IFERROR(__xludf.DUMMYFUNCTION("""COMPUTED_VALUE"""),2.7782117E7)</f>
        <v>27782117</v>
      </c>
    </row>
    <row r="3079">
      <c r="A3079" s="2">
        <f>IFERROR(__xludf.DUMMYFUNCTION("""COMPUTED_VALUE"""),44644.66666666667)</f>
        <v>44644.66667</v>
      </c>
      <c r="B3079" s="1">
        <f>IFERROR(__xludf.DUMMYFUNCTION("""COMPUTED_VALUE"""),13.4)</f>
        <v>13.4</v>
      </c>
      <c r="C3079" s="1">
        <f>IFERROR(__xludf.DUMMYFUNCTION("""COMPUTED_VALUE"""),13.5)</f>
        <v>13.5</v>
      </c>
      <c r="D3079" s="1">
        <f>IFERROR(__xludf.DUMMYFUNCTION("""COMPUTED_VALUE"""),12.7)</f>
        <v>12.7</v>
      </c>
      <c r="E3079" s="1">
        <f>IFERROR(__xludf.DUMMYFUNCTION("""COMPUTED_VALUE"""),13.3)</f>
        <v>13.3</v>
      </c>
      <c r="F3079" s="1">
        <f>IFERROR(__xludf.DUMMYFUNCTION("""COMPUTED_VALUE"""),3.7242751E7)</f>
        <v>37242751</v>
      </c>
    </row>
    <row r="3080">
      <c r="A3080" s="2">
        <f>IFERROR(__xludf.DUMMYFUNCTION("""COMPUTED_VALUE"""),44645.66666666667)</f>
        <v>44645.66667</v>
      </c>
      <c r="B3080" s="1">
        <f>IFERROR(__xludf.DUMMYFUNCTION("""COMPUTED_VALUE"""),12.7)</f>
        <v>12.7</v>
      </c>
      <c r="C3080" s="1">
        <f>IFERROR(__xludf.DUMMYFUNCTION("""COMPUTED_VALUE"""),12.8)</f>
        <v>12.8</v>
      </c>
      <c r="D3080" s="1">
        <f>IFERROR(__xludf.DUMMYFUNCTION("""COMPUTED_VALUE"""),12.0)</f>
        <v>12</v>
      </c>
      <c r="E3080" s="1">
        <f>IFERROR(__xludf.DUMMYFUNCTION("""COMPUTED_VALUE"""),12.6)</f>
        <v>12.6</v>
      </c>
      <c r="F3080" s="1">
        <f>IFERROR(__xludf.DUMMYFUNCTION("""COMPUTED_VALUE"""),3.481438E7)</f>
        <v>34814380</v>
      </c>
    </row>
    <row r="3081">
      <c r="A3081" s="2">
        <f>IFERROR(__xludf.DUMMYFUNCTION("""COMPUTED_VALUE"""),44648.66666666667)</f>
        <v>44648.66667</v>
      </c>
      <c r="B3081" s="1">
        <f>IFERROR(__xludf.DUMMYFUNCTION("""COMPUTED_VALUE"""),12.8)</f>
        <v>12.8</v>
      </c>
      <c r="C3081" s="1">
        <f>IFERROR(__xludf.DUMMYFUNCTION("""COMPUTED_VALUE"""),13.5)</f>
        <v>13.5</v>
      </c>
      <c r="D3081" s="1">
        <f>IFERROR(__xludf.DUMMYFUNCTION("""COMPUTED_VALUE"""),12.2)</f>
        <v>12.2</v>
      </c>
      <c r="E3081" s="1">
        <f>IFERROR(__xludf.DUMMYFUNCTION("""COMPUTED_VALUE"""),12.5)</f>
        <v>12.5</v>
      </c>
      <c r="F3081" s="1">
        <f>IFERROR(__xludf.DUMMYFUNCTION("""COMPUTED_VALUE"""),4.0716669E7)</f>
        <v>40716669</v>
      </c>
    </row>
    <row r="3082">
      <c r="A3082" s="2">
        <f>IFERROR(__xludf.DUMMYFUNCTION("""COMPUTED_VALUE"""),44649.66666666667)</f>
        <v>44649.66667</v>
      </c>
      <c r="B3082" s="1">
        <f>IFERROR(__xludf.DUMMYFUNCTION("""COMPUTED_VALUE"""),12.8)</f>
        <v>12.8</v>
      </c>
      <c r="C3082" s="1">
        <f>IFERROR(__xludf.DUMMYFUNCTION("""COMPUTED_VALUE"""),13.1)</f>
        <v>13.1</v>
      </c>
      <c r="D3082" s="1">
        <f>IFERROR(__xludf.DUMMYFUNCTION("""COMPUTED_VALUE"""),12.1)</f>
        <v>12.1</v>
      </c>
      <c r="E3082" s="1">
        <f>IFERROR(__xludf.DUMMYFUNCTION("""COMPUTED_VALUE"""),12.2)</f>
        <v>12.2</v>
      </c>
      <c r="F3082" s="1">
        <f>IFERROR(__xludf.DUMMYFUNCTION("""COMPUTED_VALUE"""),3.4125958E7)</f>
        <v>34125958</v>
      </c>
    </row>
    <row r="3083">
      <c r="A3083" s="2">
        <f>IFERROR(__xludf.DUMMYFUNCTION("""COMPUTED_VALUE"""),44650.66666666667)</f>
        <v>44650.66667</v>
      </c>
      <c r="B3083" s="1">
        <f>IFERROR(__xludf.DUMMYFUNCTION("""COMPUTED_VALUE"""),12.4)</f>
        <v>12.4</v>
      </c>
      <c r="C3083" s="1">
        <f>IFERROR(__xludf.DUMMYFUNCTION("""COMPUTED_VALUE"""),12.8)</f>
        <v>12.8</v>
      </c>
      <c r="D3083" s="1">
        <f>IFERROR(__xludf.DUMMYFUNCTION("""COMPUTED_VALUE"""),12.2)</f>
        <v>12.2</v>
      </c>
      <c r="E3083" s="1">
        <f>IFERROR(__xludf.DUMMYFUNCTION("""COMPUTED_VALUE"""),12.4)</f>
        <v>12.4</v>
      </c>
      <c r="F3083" s="1">
        <f>IFERROR(__xludf.DUMMYFUNCTION("""COMPUTED_VALUE"""),2.7485854E7)</f>
        <v>27485854</v>
      </c>
    </row>
    <row r="3084">
      <c r="A3084" s="2">
        <f>IFERROR(__xludf.DUMMYFUNCTION("""COMPUTED_VALUE"""),44651.66666666667)</f>
        <v>44651.66667</v>
      </c>
      <c r="B3084" s="1">
        <f>IFERROR(__xludf.DUMMYFUNCTION("""COMPUTED_VALUE"""),12.3)</f>
        <v>12.3</v>
      </c>
      <c r="C3084" s="1">
        <f>IFERROR(__xludf.DUMMYFUNCTION("""COMPUTED_VALUE"""),12.5)</f>
        <v>12.5</v>
      </c>
      <c r="D3084" s="1">
        <f>IFERROR(__xludf.DUMMYFUNCTION("""COMPUTED_VALUE"""),11.4)</f>
        <v>11.4</v>
      </c>
      <c r="E3084" s="1">
        <f>IFERROR(__xludf.DUMMYFUNCTION("""COMPUTED_VALUE"""),11.5)</f>
        <v>11.5</v>
      </c>
      <c r="F3084" s="1">
        <f>IFERROR(__xludf.DUMMYFUNCTION("""COMPUTED_VALUE"""),2.8829001E7)</f>
        <v>28829001</v>
      </c>
    </row>
    <row r="3085">
      <c r="A3085" s="2">
        <f>IFERROR(__xludf.DUMMYFUNCTION("""COMPUTED_VALUE"""),44652.66666666667)</f>
        <v>44652.66667</v>
      </c>
      <c r="B3085" s="1">
        <f>IFERROR(__xludf.DUMMYFUNCTION("""COMPUTED_VALUE"""),12.3)</f>
        <v>12.3</v>
      </c>
      <c r="C3085" s="1">
        <f>IFERROR(__xludf.DUMMYFUNCTION("""COMPUTED_VALUE"""),12.5)</f>
        <v>12.5</v>
      </c>
      <c r="D3085" s="1">
        <f>IFERROR(__xludf.DUMMYFUNCTION("""COMPUTED_VALUE"""),11.7)</f>
        <v>11.7</v>
      </c>
      <c r="E3085" s="1">
        <f>IFERROR(__xludf.DUMMYFUNCTION("""COMPUTED_VALUE"""),12.1)</f>
        <v>12.1</v>
      </c>
      <c r="F3085" s="1">
        <f>IFERROR(__xludf.DUMMYFUNCTION("""COMPUTED_VALUE"""),1.7023235E7)</f>
        <v>17023235</v>
      </c>
    </row>
    <row r="3086">
      <c r="A3086" s="2">
        <f>IFERROR(__xludf.DUMMYFUNCTION("""COMPUTED_VALUE"""),44655.66666666667)</f>
        <v>44655.66667</v>
      </c>
      <c r="B3086" s="1">
        <f>IFERROR(__xludf.DUMMYFUNCTION("""COMPUTED_VALUE"""),12.6)</f>
        <v>12.6</v>
      </c>
      <c r="C3086" s="1">
        <f>IFERROR(__xludf.DUMMYFUNCTION("""COMPUTED_VALUE"""),13.1)</f>
        <v>13.1</v>
      </c>
      <c r="D3086" s="1">
        <f>IFERROR(__xludf.DUMMYFUNCTION("""COMPUTED_VALUE"""),12.3)</f>
        <v>12.3</v>
      </c>
      <c r="E3086" s="1">
        <f>IFERROR(__xludf.DUMMYFUNCTION("""COMPUTED_VALUE"""),12.9)</f>
        <v>12.9</v>
      </c>
      <c r="F3086" s="1">
        <f>IFERROR(__xludf.DUMMYFUNCTION("""COMPUTED_VALUE"""),7.0128437E7)</f>
        <v>70128437</v>
      </c>
    </row>
    <row r="3087">
      <c r="A3087" s="2">
        <f>IFERROR(__xludf.DUMMYFUNCTION("""COMPUTED_VALUE"""),44656.66666666667)</f>
        <v>44656.66667</v>
      </c>
      <c r="B3087" s="1">
        <f>IFERROR(__xludf.DUMMYFUNCTION("""COMPUTED_VALUE"""),12.7)</f>
        <v>12.7</v>
      </c>
      <c r="C3087" s="1">
        <f>IFERROR(__xludf.DUMMYFUNCTION("""COMPUTED_VALUE"""),12.8)</f>
        <v>12.8</v>
      </c>
      <c r="D3087" s="1">
        <f>IFERROR(__xludf.DUMMYFUNCTION("""COMPUTED_VALUE"""),12.3)</f>
        <v>12.3</v>
      </c>
      <c r="E3087" s="1">
        <f>IFERROR(__xludf.DUMMYFUNCTION("""COMPUTED_VALUE"""),12.5)</f>
        <v>12.5</v>
      </c>
      <c r="F3087" s="1">
        <f>IFERROR(__xludf.DUMMYFUNCTION("""COMPUTED_VALUE"""),6.0598487E7)</f>
        <v>60598487</v>
      </c>
    </row>
    <row r="3088">
      <c r="A3088" s="2">
        <f>IFERROR(__xludf.DUMMYFUNCTION("""COMPUTED_VALUE"""),44657.66666666667)</f>
        <v>44657.66667</v>
      </c>
      <c r="B3088" s="1">
        <f>IFERROR(__xludf.DUMMYFUNCTION("""COMPUTED_VALUE"""),12.0)</f>
        <v>12</v>
      </c>
      <c r="C3088" s="1">
        <f>IFERROR(__xludf.DUMMYFUNCTION("""COMPUTED_VALUE"""),12.7)</f>
        <v>12.7</v>
      </c>
      <c r="D3088" s="1">
        <f>IFERROR(__xludf.DUMMYFUNCTION("""COMPUTED_VALUE"""),11.9)</f>
        <v>11.9</v>
      </c>
      <c r="E3088" s="1">
        <f>IFERROR(__xludf.DUMMYFUNCTION("""COMPUTED_VALUE"""),12.6)</f>
        <v>12.6</v>
      </c>
      <c r="F3088" s="1">
        <f>IFERROR(__xludf.DUMMYFUNCTION("""COMPUTED_VALUE"""),2.7831995E7)</f>
        <v>27831995</v>
      </c>
    </row>
    <row r="3089">
      <c r="A3089" s="2">
        <f>IFERROR(__xludf.DUMMYFUNCTION("""COMPUTED_VALUE"""),44658.66666666667)</f>
        <v>44658.66667</v>
      </c>
      <c r="B3089" s="1">
        <f>IFERROR(__xludf.DUMMYFUNCTION("""COMPUTED_VALUE"""),12.4)</f>
        <v>12.4</v>
      </c>
      <c r="C3089" s="1">
        <f>IFERROR(__xludf.DUMMYFUNCTION("""COMPUTED_VALUE"""),12.4)</f>
        <v>12.4</v>
      </c>
      <c r="D3089" s="1">
        <f>IFERROR(__xludf.DUMMYFUNCTION("""COMPUTED_VALUE"""),11.8)</f>
        <v>11.8</v>
      </c>
      <c r="E3089" s="1">
        <f>IFERROR(__xludf.DUMMYFUNCTION("""COMPUTED_VALUE"""),11.9)</f>
        <v>11.9</v>
      </c>
      <c r="F3089" s="1">
        <f>IFERROR(__xludf.DUMMYFUNCTION("""COMPUTED_VALUE"""),2.4855487E7)</f>
        <v>24855487</v>
      </c>
    </row>
    <row r="3090">
      <c r="A3090" s="2">
        <f>IFERROR(__xludf.DUMMYFUNCTION("""COMPUTED_VALUE"""),44659.66666666667)</f>
        <v>44659.66667</v>
      </c>
      <c r="B3090" s="1">
        <f>IFERROR(__xludf.DUMMYFUNCTION("""COMPUTED_VALUE"""),11.51)</f>
        <v>11.51</v>
      </c>
      <c r="C3090" s="1">
        <f>IFERROR(__xludf.DUMMYFUNCTION("""COMPUTED_VALUE"""),12.1)</f>
        <v>12.1</v>
      </c>
      <c r="D3090" s="1">
        <f>IFERROR(__xludf.DUMMYFUNCTION("""COMPUTED_VALUE"""),10.98)</f>
        <v>10.98</v>
      </c>
      <c r="E3090" s="1">
        <f>IFERROR(__xludf.DUMMYFUNCTION("""COMPUTED_VALUE"""),12.03)</f>
        <v>12.03</v>
      </c>
      <c r="F3090" s="1">
        <f>IFERROR(__xludf.DUMMYFUNCTION("""COMPUTED_VALUE"""),1.3039667E7)</f>
        <v>13039667</v>
      </c>
    </row>
    <row r="3091">
      <c r="A3091" s="2">
        <f>IFERROR(__xludf.DUMMYFUNCTION("""COMPUTED_VALUE"""),44662.66666666667)</f>
        <v>44662.66667</v>
      </c>
      <c r="B3091" s="1">
        <f>IFERROR(__xludf.DUMMYFUNCTION("""COMPUTED_VALUE"""),11.23)</f>
        <v>11.23</v>
      </c>
      <c r="C3091" s="1">
        <f>IFERROR(__xludf.DUMMYFUNCTION("""COMPUTED_VALUE"""),11.66)</f>
        <v>11.66</v>
      </c>
      <c r="D3091" s="1">
        <f>IFERROR(__xludf.DUMMYFUNCTION("""COMPUTED_VALUE"""),10.6)</f>
        <v>10.6</v>
      </c>
      <c r="E3091" s="1">
        <f>IFERROR(__xludf.DUMMYFUNCTION("""COMPUTED_VALUE"""),10.88)</f>
        <v>10.88</v>
      </c>
      <c r="F3091" s="1">
        <f>IFERROR(__xludf.DUMMYFUNCTION("""COMPUTED_VALUE"""),6183961.0)</f>
        <v>6183961</v>
      </c>
    </row>
    <row r="3092">
      <c r="A3092" s="2">
        <f>IFERROR(__xludf.DUMMYFUNCTION("""COMPUTED_VALUE"""),44663.66666666667)</f>
        <v>44663.66667</v>
      </c>
      <c r="B3092" s="1">
        <f>IFERROR(__xludf.DUMMYFUNCTION("""COMPUTED_VALUE"""),11.17)</f>
        <v>11.17</v>
      </c>
      <c r="C3092" s="1">
        <f>IFERROR(__xludf.DUMMYFUNCTION("""COMPUTED_VALUE"""),12.07)</f>
        <v>12.07</v>
      </c>
      <c r="D3092" s="1">
        <f>IFERROR(__xludf.DUMMYFUNCTION("""COMPUTED_VALUE"""),11.06)</f>
        <v>11.06</v>
      </c>
      <c r="E3092" s="1">
        <f>IFERROR(__xludf.DUMMYFUNCTION("""COMPUTED_VALUE"""),11.25)</f>
        <v>11.25</v>
      </c>
      <c r="F3092" s="1">
        <f>IFERROR(__xludf.DUMMYFUNCTION("""COMPUTED_VALUE"""),4937832.0)</f>
        <v>4937832</v>
      </c>
    </row>
    <row r="3093">
      <c r="A3093" s="2">
        <f>IFERROR(__xludf.DUMMYFUNCTION("""COMPUTED_VALUE"""),44664.66666666667)</f>
        <v>44664.66667</v>
      </c>
      <c r="B3093" s="1">
        <f>IFERROR(__xludf.DUMMYFUNCTION("""COMPUTED_VALUE"""),11.14)</f>
        <v>11.14</v>
      </c>
      <c r="C3093" s="1">
        <f>IFERROR(__xludf.DUMMYFUNCTION("""COMPUTED_VALUE"""),11.61)</f>
        <v>11.61</v>
      </c>
      <c r="D3093" s="1">
        <f>IFERROR(__xludf.DUMMYFUNCTION("""COMPUTED_VALUE"""),11.09)</f>
        <v>11.09</v>
      </c>
      <c r="E3093" s="1">
        <f>IFERROR(__xludf.DUMMYFUNCTION("""COMPUTED_VALUE"""),11.28)</f>
        <v>11.28</v>
      </c>
      <c r="F3093" s="1">
        <f>IFERROR(__xludf.DUMMYFUNCTION("""COMPUTED_VALUE"""),1.2834463E7)</f>
        <v>12834463</v>
      </c>
    </row>
    <row r="3094">
      <c r="A3094" s="2">
        <f>IFERROR(__xludf.DUMMYFUNCTION("""COMPUTED_VALUE"""),44665.66666666667)</f>
        <v>44665.66667</v>
      </c>
      <c r="B3094" s="1">
        <f>IFERROR(__xludf.DUMMYFUNCTION("""COMPUTED_VALUE"""),11.1)</f>
        <v>11.1</v>
      </c>
      <c r="C3094" s="1">
        <f>IFERROR(__xludf.DUMMYFUNCTION("""COMPUTED_VALUE"""),11.36)</f>
        <v>11.36</v>
      </c>
      <c r="D3094" s="1">
        <f>IFERROR(__xludf.DUMMYFUNCTION("""COMPUTED_VALUE"""),10.95)</f>
        <v>10.95</v>
      </c>
      <c r="E3094" s="1">
        <f>IFERROR(__xludf.DUMMYFUNCTION("""COMPUTED_VALUE"""),11.08)</f>
        <v>11.08</v>
      </c>
      <c r="F3094" s="1">
        <f>IFERROR(__xludf.DUMMYFUNCTION("""COMPUTED_VALUE"""),1.3104267E7)</f>
        <v>13104267</v>
      </c>
    </row>
    <row r="3095">
      <c r="A3095" s="2">
        <f>IFERROR(__xludf.DUMMYFUNCTION("""COMPUTED_VALUE"""),44669.66666666667)</f>
        <v>44669.66667</v>
      </c>
      <c r="B3095" s="1">
        <f>IFERROR(__xludf.DUMMYFUNCTION("""COMPUTED_VALUE"""),10.84)</f>
        <v>10.84</v>
      </c>
      <c r="C3095" s="1">
        <f>IFERROR(__xludf.DUMMYFUNCTION("""COMPUTED_VALUE"""),10.92)</f>
        <v>10.92</v>
      </c>
      <c r="D3095" s="1">
        <f>IFERROR(__xludf.DUMMYFUNCTION("""COMPUTED_VALUE"""),10.43)</f>
        <v>10.43</v>
      </c>
      <c r="E3095" s="1">
        <f>IFERROR(__xludf.DUMMYFUNCTION("""COMPUTED_VALUE"""),10.55)</f>
        <v>10.55</v>
      </c>
      <c r="F3095" s="1">
        <f>IFERROR(__xludf.DUMMYFUNCTION("""COMPUTED_VALUE"""),1.1660288E7)</f>
        <v>11660288</v>
      </c>
    </row>
    <row r="3096">
      <c r="A3096" s="2">
        <f>IFERROR(__xludf.DUMMYFUNCTION("""COMPUTED_VALUE"""),44670.66666666667)</f>
        <v>44670.66667</v>
      </c>
      <c r="B3096" s="1">
        <f>IFERROR(__xludf.DUMMYFUNCTION("""COMPUTED_VALUE"""),10.29)</f>
        <v>10.29</v>
      </c>
      <c r="C3096" s="1">
        <f>IFERROR(__xludf.DUMMYFUNCTION("""COMPUTED_VALUE"""),10.96)</f>
        <v>10.96</v>
      </c>
      <c r="D3096" s="1">
        <f>IFERROR(__xludf.DUMMYFUNCTION("""COMPUTED_VALUE"""),10.18)</f>
        <v>10.18</v>
      </c>
      <c r="E3096" s="1">
        <f>IFERROR(__xludf.DUMMYFUNCTION("""COMPUTED_VALUE"""),10.94)</f>
        <v>10.94</v>
      </c>
      <c r="F3096" s="1">
        <f>IFERROR(__xludf.DUMMYFUNCTION("""COMPUTED_VALUE"""),1.1611357E7)</f>
        <v>11611357</v>
      </c>
    </row>
    <row r="3097">
      <c r="A3097" s="2">
        <f>IFERROR(__xludf.DUMMYFUNCTION("""COMPUTED_VALUE"""),44671.66666666667)</f>
        <v>44671.66667</v>
      </c>
      <c r="B3097" s="1">
        <f>IFERROR(__xludf.DUMMYFUNCTION("""COMPUTED_VALUE"""),10.82)</f>
        <v>10.82</v>
      </c>
      <c r="C3097" s="1">
        <f>IFERROR(__xludf.DUMMYFUNCTION("""COMPUTED_VALUE"""),10.9)</f>
        <v>10.9</v>
      </c>
      <c r="D3097" s="1">
        <f>IFERROR(__xludf.DUMMYFUNCTION("""COMPUTED_VALUE"""),10.51)</f>
        <v>10.51</v>
      </c>
      <c r="E3097" s="1">
        <f>IFERROR(__xludf.DUMMYFUNCTION("""COMPUTED_VALUE"""),10.69)</f>
        <v>10.69</v>
      </c>
      <c r="F3097" s="1">
        <f>IFERROR(__xludf.DUMMYFUNCTION("""COMPUTED_VALUE"""),1.1954746E7)</f>
        <v>11954746</v>
      </c>
    </row>
    <row r="3098">
      <c r="A3098" s="2">
        <f>IFERROR(__xludf.DUMMYFUNCTION("""COMPUTED_VALUE"""),44672.66666666667)</f>
        <v>44672.66667</v>
      </c>
      <c r="B3098" s="1">
        <f>IFERROR(__xludf.DUMMYFUNCTION("""COMPUTED_VALUE"""),10.75)</f>
        <v>10.75</v>
      </c>
      <c r="C3098" s="1">
        <f>IFERROR(__xludf.DUMMYFUNCTION("""COMPUTED_VALUE"""),10.97)</f>
        <v>10.97</v>
      </c>
      <c r="D3098" s="1">
        <f>IFERROR(__xludf.DUMMYFUNCTION("""COMPUTED_VALUE"""),10.08)</f>
        <v>10.08</v>
      </c>
      <c r="E3098" s="1">
        <f>IFERROR(__xludf.DUMMYFUNCTION("""COMPUTED_VALUE"""),10.19)</f>
        <v>10.19</v>
      </c>
      <c r="F3098" s="1">
        <f>IFERROR(__xludf.DUMMYFUNCTION("""COMPUTED_VALUE"""),1.1959305E7)</f>
        <v>11959305</v>
      </c>
    </row>
    <row r="3099">
      <c r="A3099" s="2">
        <f>IFERROR(__xludf.DUMMYFUNCTION("""COMPUTED_VALUE"""),44673.66666666667)</f>
        <v>44673.66667</v>
      </c>
      <c r="B3099" s="1">
        <f>IFERROR(__xludf.DUMMYFUNCTION("""COMPUTED_VALUE"""),10.25)</f>
        <v>10.25</v>
      </c>
      <c r="C3099" s="1">
        <f>IFERROR(__xludf.DUMMYFUNCTION("""COMPUTED_VALUE"""),10.85)</f>
        <v>10.85</v>
      </c>
      <c r="D3099" s="1">
        <f>IFERROR(__xludf.DUMMYFUNCTION("""COMPUTED_VALUE"""),10.19)</f>
        <v>10.19</v>
      </c>
      <c r="E3099" s="1">
        <f>IFERROR(__xludf.DUMMYFUNCTION("""COMPUTED_VALUE"""),10.23)</f>
        <v>10.23</v>
      </c>
      <c r="F3099" s="1">
        <f>IFERROR(__xludf.DUMMYFUNCTION("""COMPUTED_VALUE"""),1.3378605E7)</f>
        <v>13378605</v>
      </c>
    </row>
    <row r="3100">
      <c r="A3100" s="2">
        <f>IFERROR(__xludf.DUMMYFUNCTION("""COMPUTED_VALUE"""),44676.66666666667)</f>
        <v>44676.66667</v>
      </c>
      <c r="B3100" s="1">
        <f>IFERROR(__xludf.DUMMYFUNCTION("""COMPUTED_VALUE"""),10.08)</f>
        <v>10.08</v>
      </c>
      <c r="C3100" s="1">
        <f>IFERROR(__xludf.DUMMYFUNCTION("""COMPUTED_VALUE"""),10.45)</f>
        <v>10.45</v>
      </c>
      <c r="D3100" s="1">
        <f>IFERROR(__xludf.DUMMYFUNCTION("""COMPUTED_VALUE"""),9.96)</f>
        <v>9.96</v>
      </c>
      <c r="E3100" s="1">
        <f>IFERROR(__xludf.DUMMYFUNCTION("""COMPUTED_VALUE"""),10.4)</f>
        <v>10.4</v>
      </c>
      <c r="F3100" s="1">
        <f>IFERROR(__xludf.DUMMYFUNCTION("""COMPUTED_VALUE"""),5073664.0)</f>
        <v>5073664</v>
      </c>
    </row>
    <row r="3101">
      <c r="A3101" s="2">
        <f>IFERROR(__xludf.DUMMYFUNCTION("""COMPUTED_VALUE"""),44677.66666666667)</f>
        <v>44677.66667</v>
      </c>
      <c r="B3101" s="1">
        <f>IFERROR(__xludf.DUMMYFUNCTION("""COMPUTED_VALUE"""),10.26)</f>
        <v>10.26</v>
      </c>
      <c r="C3101" s="1">
        <f>IFERROR(__xludf.DUMMYFUNCTION("""COMPUTED_VALUE"""),10.33)</f>
        <v>10.33</v>
      </c>
      <c r="D3101" s="1">
        <f>IFERROR(__xludf.DUMMYFUNCTION("""COMPUTED_VALUE"""),9.69)</f>
        <v>9.69</v>
      </c>
      <c r="E3101" s="1">
        <f>IFERROR(__xludf.DUMMYFUNCTION("""COMPUTED_VALUE"""),9.75)</f>
        <v>9.75</v>
      </c>
      <c r="F3101" s="1">
        <f>IFERROR(__xludf.DUMMYFUNCTION("""COMPUTED_VALUE"""),5029244.0)</f>
        <v>5029244</v>
      </c>
    </row>
    <row r="3102">
      <c r="A3102" s="2">
        <f>IFERROR(__xludf.DUMMYFUNCTION("""COMPUTED_VALUE"""),44678.66666666667)</f>
        <v>44678.66667</v>
      </c>
      <c r="B3102" s="1">
        <f>IFERROR(__xludf.DUMMYFUNCTION("""COMPUTED_VALUE"""),9.72)</f>
        <v>9.72</v>
      </c>
      <c r="C3102" s="1">
        <f>IFERROR(__xludf.DUMMYFUNCTION("""COMPUTED_VALUE"""),10.81)</f>
        <v>10.81</v>
      </c>
      <c r="D3102" s="1">
        <f>IFERROR(__xludf.DUMMYFUNCTION("""COMPUTED_VALUE"""),9.72)</f>
        <v>9.72</v>
      </c>
      <c r="E3102" s="1">
        <f>IFERROR(__xludf.DUMMYFUNCTION("""COMPUTED_VALUE"""),10.79)</f>
        <v>10.79</v>
      </c>
      <c r="F3102" s="1">
        <f>IFERROR(__xludf.DUMMYFUNCTION("""COMPUTED_VALUE"""),3338841.0)</f>
        <v>3338841</v>
      </c>
    </row>
    <row r="3103">
      <c r="A3103" s="2">
        <f>IFERROR(__xludf.DUMMYFUNCTION("""COMPUTED_VALUE"""),44679.66666666667)</f>
        <v>44679.66667</v>
      </c>
      <c r="B3103" s="1">
        <f>IFERROR(__xludf.DUMMYFUNCTION("""COMPUTED_VALUE"""),10.71)</f>
        <v>10.71</v>
      </c>
      <c r="C3103" s="1">
        <f>IFERROR(__xludf.DUMMYFUNCTION("""COMPUTED_VALUE"""),11.3)</f>
        <v>11.3</v>
      </c>
      <c r="D3103" s="1">
        <f>IFERROR(__xludf.DUMMYFUNCTION("""COMPUTED_VALUE"""),10.53)</f>
        <v>10.53</v>
      </c>
      <c r="E3103" s="1">
        <f>IFERROR(__xludf.DUMMYFUNCTION("""COMPUTED_VALUE"""),11.25)</f>
        <v>11.25</v>
      </c>
      <c r="F3103" s="1">
        <f>IFERROR(__xludf.DUMMYFUNCTION("""COMPUTED_VALUE"""),2763400.0)</f>
        <v>2763400</v>
      </c>
    </row>
    <row r="3104">
      <c r="A3104" s="2">
        <f>IFERROR(__xludf.DUMMYFUNCTION("""COMPUTED_VALUE"""),44680.66666666667)</f>
        <v>44680.66667</v>
      </c>
      <c r="B3104" s="1">
        <f>IFERROR(__xludf.DUMMYFUNCTION("""COMPUTED_VALUE"""),11.6)</f>
        <v>11.6</v>
      </c>
      <c r="C3104" s="1">
        <f>IFERROR(__xludf.DUMMYFUNCTION("""COMPUTED_VALUE"""),12.98)</f>
        <v>12.98</v>
      </c>
      <c r="D3104" s="1">
        <f>IFERROR(__xludf.DUMMYFUNCTION("""COMPUTED_VALUE"""),11.56)</f>
        <v>11.56</v>
      </c>
      <c r="E3104" s="1">
        <f>IFERROR(__xludf.DUMMYFUNCTION("""COMPUTED_VALUE"""),12.55)</f>
        <v>12.55</v>
      </c>
      <c r="F3104" s="1">
        <f>IFERROR(__xludf.DUMMYFUNCTION("""COMPUTED_VALUE"""),5220840.0)</f>
        <v>5220840</v>
      </c>
    </row>
    <row r="3105">
      <c r="A3105" s="2">
        <f>IFERROR(__xludf.DUMMYFUNCTION("""COMPUTED_VALUE"""),44683.66666666667)</f>
        <v>44683.66667</v>
      </c>
      <c r="B3105" s="1">
        <f>IFERROR(__xludf.DUMMYFUNCTION("""COMPUTED_VALUE"""),12.8)</f>
        <v>12.8</v>
      </c>
      <c r="C3105" s="1">
        <f>IFERROR(__xludf.DUMMYFUNCTION("""COMPUTED_VALUE"""),13.19)</f>
        <v>13.19</v>
      </c>
      <c r="D3105" s="1">
        <f>IFERROR(__xludf.DUMMYFUNCTION("""COMPUTED_VALUE"""),12.54)</f>
        <v>12.54</v>
      </c>
      <c r="E3105" s="1">
        <f>IFERROR(__xludf.DUMMYFUNCTION("""COMPUTED_VALUE"""),12.87)</f>
        <v>12.87</v>
      </c>
      <c r="F3105" s="1">
        <f>IFERROR(__xludf.DUMMYFUNCTION("""COMPUTED_VALUE"""),3831739.0)</f>
        <v>3831739</v>
      </c>
    </row>
    <row r="3106">
      <c r="A3106" s="2">
        <f>IFERROR(__xludf.DUMMYFUNCTION("""COMPUTED_VALUE"""),44684.66666666667)</f>
        <v>44684.66667</v>
      </c>
      <c r="B3106" s="1">
        <f>IFERROR(__xludf.DUMMYFUNCTION("""COMPUTED_VALUE"""),12.72)</f>
        <v>12.72</v>
      </c>
      <c r="C3106" s="1">
        <f>IFERROR(__xludf.DUMMYFUNCTION("""COMPUTED_VALUE"""),13.43)</f>
        <v>13.43</v>
      </c>
      <c r="D3106" s="1">
        <f>IFERROR(__xludf.DUMMYFUNCTION("""COMPUTED_VALUE"""),12.65)</f>
        <v>12.65</v>
      </c>
      <c r="E3106" s="1">
        <f>IFERROR(__xludf.DUMMYFUNCTION("""COMPUTED_VALUE"""),13.15)</f>
        <v>13.15</v>
      </c>
      <c r="F3106" s="1">
        <f>IFERROR(__xludf.DUMMYFUNCTION("""COMPUTED_VALUE"""),3631091.0)</f>
        <v>3631091</v>
      </c>
    </row>
    <row r="3107">
      <c r="A3107" s="2">
        <f>IFERROR(__xludf.DUMMYFUNCTION("""COMPUTED_VALUE"""),44685.66666666667)</f>
        <v>44685.66667</v>
      </c>
      <c r="B3107" s="1">
        <f>IFERROR(__xludf.DUMMYFUNCTION("""COMPUTED_VALUE"""),12.77)</f>
        <v>12.77</v>
      </c>
      <c r="C3107" s="1">
        <f>IFERROR(__xludf.DUMMYFUNCTION("""COMPUTED_VALUE"""),13.15)</f>
        <v>13.15</v>
      </c>
      <c r="D3107" s="1">
        <f>IFERROR(__xludf.DUMMYFUNCTION("""COMPUTED_VALUE"""),12.38)</f>
        <v>12.38</v>
      </c>
      <c r="E3107" s="1">
        <f>IFERROR(__xludf.DUMMYFUNCTION("""COMPUTED_VALUE"""),13.07)</f>
        <v>13.07</v>
      </c>
      <c r="F3107" s="1">
        <f>IFERROR(__xludf.DUMMYFUNCTION("""COMPUTED_VALUE"""),3219212.0)</f>
        <v>3219212</v>
      </c>
    </row>
    <row r="3108">
      <c r="A3108" s="2">
        <f>IFERROR(__xludf.DUMMYFUNCTION("""COMPUTED_VALUE"""),44686.66666666667)</f>
        <v>44686.66667</v>
      </c>
      <c r="B3108" s="1">
        <f>IFERROR(__xludf.DUMMYFUNCTION("""COMPUTED_VALUE"""),12.69)</f>
        <v>12.69</v>
      </c>
      <c r="C3108" s="1">
        <f>IFERROR(__xludf.DUMMYFUNCTION("""COMPUTED_VALUE"""),12.88)</f>
        <v>12.88</v>
      </c>
      <c r="D3108" s="1">
        <f>IFERROR(__xludf.DUMMYFUNCTION("""COMPUTED_VALUE"""),12.43)</f>
        <v>12.43</v>
      </c>
      <c r="E3108" s="1">
        <f>IFERROR(__xludf.DUMMYFUNCTION("""COMPUTED_VALUE"""),12.51)</f>
        <v>12.51</v>
      </c>
      <c r="F3108" s="1">
        <f>IFERROR(__xludf.DUMMYFUNCTION("""COMPUTED_VALUE"""),4710409.0)</f>
        <v>4710409</v>
      </c>
    </row>
    <row r="3109">
      <c r="A3109" s="2">
        <f>IFERROR(__xludf.DUMMYFUNCTION("""COMPUTED_VALUE"""),44687.66666666667)</f>
        <v>44687.66667</v>
      </c>
      <c r="B3109" s="1">
        <f>IFERROR(__xludf.DUMMYFUNCTION("""COMPUTED_VALUE"""),12.28)</f>
        <v>12.28</v>
      </c>
      <c r="C3109" s="1">
        <f>IFERROR(__xludf.DUMMYFUNCTION("""COMPUTED_VALUE"""),12.56)</f>
        <v>12.56</v>
      </c>
      <c r="D3109" s="1">
        <f>IFERROR(__xludf.DUMMYFUNCTION("""COMPUTED_VALUE"""),11.96)</f>
        <v>11.96</v>
      </c>
      <c r="E3109" s="1">
        <f>IFERROR(__xludf.DUMMYFUNCTION("""COMPUTED_VALUE"""),12.2)</f>
        <v>12.2</v>
      </c>
      <c r="F3109" s="1">
        <f>IFERROR(__xludf.DUMMYFUNCTION("""COMPUTED_VALUE"""),4628901.0)</f>
        <v>4628901</v>
      </c>
    </row>
    <row r="3110">
      <c r="A3110" s="2">
        <f>IFERROR(__xludf.DUMMYFUNCTION("""COMPUTED_VALUE"""),44690.66666666667)</f>
        <v>44690.66667</v>
      </c>
      <c r="B3110" s="1">
        <f>IFERROR(__xludf.DUMMYFUNCTION("""COMPUTED_VALUE"""),12.0)</f>
        <v>12</v>
      </c>
      <c r="C3110" s="1">
        <f>IFERROR(__xludf.DUMMYFUNCTION("""COMPUTED_VALUE"""),12.0)</f>
        <v>12</v>
      </c>
      <c r="D3110" s="1">
        <f>IFERROR(__xludf.DUMMYFUNCTION("""COMPUTED_VALUE"""),10.14)</f>
        <v>10.14</v>
      </c>
      <c r="E3110" s="1">
        <f>IFERROR(__xludf.DUMMYFUNCTION("""COMPUTED_VALUE"""),10.2)</f>
        <v>10.2</v>
      </c>
      <c r="F3110" s="1">
        <f>IFERROR(__xludf.DUMMYFUNCTION("""COMPUTED_VALUE"""),4760648.0)</f>
        <v>4760648</v>
      </c>
    </row>
    <row r="3111">
      <c r="A3111" s="2">
        <f>IFERROR(__xludf.DUMMYFUNCTION("""COMPUTED_VALUE"""),44691.66666666667)</f>
        <v>44691.66667</v>
      </c>
      <c r="B3111" s="1">
        <f>IFERROR(__xludf.DUMMYFUNCTION("""COMPUTED_VALUE"""),10.32)</f>
        <v>10.32</v>
      </c>
      <c r="C3111" s="1">
        <f>IFERROR(__xludf.DUMMYFUNCTION("""COMPUTED_VALUE"""),10.48)</f>
        <v>10.48</v>
      </c>
      <c r="D3111" s="1">
        <f>IFERROR(__xludf.DUMMYFUNCTION("""COMPUTED_VALUE"""),9.85)</f>
        <v>9.85</v>
      </c>
      <c r="E3111" s="1">
        <f>IFERROR(__xludf.DUMMYFUNCTION("""COMPUTED_VALUE"""),9.94)</f>
        <v>9.94</v>
      </c>
      <c r="F3111" s="1">
        <f>IFERROR(__xludf.DUMMYFUNCTION("""COMPUTED_VALUE"""),5802834.0)</f>
        <v>5802834</v>
      </c>
    </row>
    <row r="3112">
      <c r="A3112" s="2">
        <f>IFERROR(__xludf.DUMMYFUNCTION("""COMPUTED_VALUE"""),44692.66666666667)</f>
        <v>44692.66667</v>
      </c>
      <c r="B3112" s="1">
        <f>IFERROR(__xludf.DUMMYFUNCTION("""COMPUTED_VALUE"""),9.9)</f>
        <v>9.9</v>
      </c>
      <c r="C3112" s="1">
        <f>IFERROR(__xludf.DUMMYFUNCTION("""COMPUTED_VALUE"""),10.19)</f>
        <v>10.19</v>
      </c>
      <c r="D3112" s="1">
        <f>IFERROR(__xludf.DUMMYFUNCTION("""COMPUTED_VALUE"""),9.66)</f>
        <v>9.66</v>
      </c>
      <c r="E3112" s="1">
        <f>IFERROR(__xludf.DUMMYFUNCTION("""COMPUTED_VALUE"""),9.84)</f>
        <v>9.84</v>
      </c>
      <c r="F3112" s="1">
        <f>IFERROR(__xludf.DUMMYFUNCTION("""COMPUTED_VALUE"""),4190091.0)</f>
        <v>4190091</v>
      </c>
    </row>
    <row r="3113">
      <c r="A3113" s="2">
        <f>IFERROR(__xludf.DUMMYFUNCTION("""COMPUTED_VALUE"""),44693.66666666667)</f>
        <v>44693.66667</v>
      </c>
      <c r="B3113" s="1">
        <f>IFERROR(__xludf.DUMMYFUNCTION("""COMPUTED_VALUE"""),9.64)</f>
        <v>9.64</v>
      </c>
      <c r="C3113" s="1">
        <f>IFERROR(__xludf.DUMMYFUNCTION("""COMPUTED_VALUE"""),10.13)</f>
        <v>10.13</v>
      </c>
      <c r="D3113" s="1">
        <f>IFERROR(__xludf.DUMMYFUNCTION("""COMPUTED_VALUE"""),9.29)</f>
        <v>9.29</v>
      </c>
      <c r="E3113" s="1">
        <f>IFERROR(__xludf.DUMMYFUNCTION("""COMPUTED_VALUE"""),9.78)</f>
        <v>9.78</v>
      </c>
      <c r="F3113" s="1">
        <f>IFERROR(__xludf.DUMMYFUNCTION("""COMPUTED_VALUE"""),4380634.0)</f>
        <v>4380634</v>
      </c>
    </row>
    <row r="3114">
      <c r="A3114" s="2">
        <f>IFERROR(__xludf.DUMMYFUNCTION("""COMPUTED_VALUE"""),44694.66666666667)</f>
        <v>44694.66667</v>
      </c>
      <c r="B3114" s="1">
        <f>IFERROR(__xludf.DUMMYFUNCTION("""COMPUTED_VALUE"""),9.9)</f>
        <v>9.9</v>
      </c>
      <c r="C3114" s="1">
        <f>IFERROR(__xludf.DUMMYFUNCTION("""COMPUTED_VALUE"""),11.24)</f>
        <v>11.24</v>
      </c>
      <c r="D3114" s="1">
        <f>IFERROR(__xludf.DUMMYFUNCTION("""COMPUTED_VALUE"""),9.9)</f>
        <v>9.9</v>
      </c>
      <c r="E3114" s="1">
        <f>IFERROR(__xludf.DUMMYFUNCTION("""COMPUTED_VALUE"""),11.08)</f>
        <v>11.08</v>
      </c>
      <c r="F3114" s="1">
        <f>IFERROR(__xludf.DUMMYFUNCTION("""COMPUTED_VALUE"""),3021485.0)</f>
        <v>3021485</v>
      </c>
    </row>
    <row r="3115">
      <c r="A3115" s="2">
        <f>IFERROR(__xludf.DUMMYFUNCTION("""COMPUTED_VALUE"""),44697.66666666667)</f>
        <v>44697.66667</v>
      </c>
      <c r="B3115" s="1">
        <f>IFERROR(__xludf.DUMMYFUNCTION("""COMPUTED_VALUE"""),11.0)</f>
        <v>11</v>
      </c>
      <c r="C3115" s="1">
        <f>IFERROR(__xludf.DUMMYFUNCTION("""COMPUTED_VALUE"""),11.32)</f>
        <v>11.32</v>
      </c>
      <c r="D3115" s="1">
        <f>IFERROR(__xludf.DUMMYFUNCTION("""COMPUTED_VALUE"""),10.9)</f>
        <v>10.9</v>
      </c>
      <c r="E3115" s="1">
        <f>IFERROR(__xludf.DUMMYFUNCTION("""COMPUTED_VALUE"""),11.09)</f>
        <v>11.09</v>
      </c>
      <c r="F3115" s="1">
        <f>IFERROR(__xludf.DUMMYFUNCTION("""COMPUTED_VALUE"""),3301412.0)</f>
        <v>3301412</v>
      </c>
    </row>
    <row r="3116">
      <c r="A3116" s="2">
        <f>IFERROR(__xludf.DUMMYFUNCTION("""COMPUTED_VALUE"""),44698.66666666667)</f>
        <v>44698.66667</v>
      </c>
      <c r="B3116" s="1">
        <f>IFERROR(__xludf.DUMMYFUNCTION("""COMPUTED_VALUE"""),11.71)</f>
        <v>11.71</v>
      </c>
      <c r="C3116" s="1">
        <f>IFERROR(__xludf.DUMMYFUNCTION("""COMPUTED_VALUE"""),12.11)</f>
        <v>12.11</v>
      </c>
      <c r="D3116" s="1">
        <f>IFERROR(__xludf.DUMMYFUNCTION("""COMPUTED_VALUE"""),11.25)</f>
        <v>11.25</v>
      </c>
      <c r="E3116" s="1">
        <f>IFERROR(__xludf.DUMMYFUNCTION("""COMPUTED_VALUE"""),11.3)</f>
        <v>11.3</v>
      </c>
      <c r="F3116" s="1">
        <f>IFERROR(__xludf.DUMMYFUNCTION("""COMPUTED_VALUE"""),3140557.0)</f>
        <v>3140557</v>
      </c>
    </row>
    <row r="3117">
      <c r="A3117" s="2">
        <f>IFERROR(__xludf.DUMMYFUNCTION("""COMPUTED_VALUE"""),44699.66666666667)</f>
        <v>44699.66667</v>
      </c>
      <c r="B3117" s="1">
        <f>IFERROR(__xludf.DUMMYFUNCTION("""COMPUTED_VALUE"""),11.13)</f>
        <v>11.13</v>
      </c>
      <c r="C3117" s="1">
        <f>IFERROR(__xludf.DUMMYFUNCTION("""COMPUTED_VALUE"""),11.6)</f>
        <v>11.6</v>
      </c>
      <c r="D3117" s="1">
        <f>IFERROR(__xludf.DUMMYFUNCTION("""COMPUTED_VALUE"""),11.1)</f>
        <v>11.1</v>
      </c>
      <c r="E3117" s="1">
        <f>IFERROR(__xludf.DUMMYFUNCTION("""COMPUTED_VALUE"""),11.27)</f>
        <v>11.27</v>
      </c>
      <c r="F3117" s="1">
        <f>IFERROR(__xludf.DUMMYFUNCTION("""COMPUTED_VALUE"""),2273241.0)</f>
        <v>2273241</v>
      </c>
    </row>
    <row r="3118">
      <c r="A3118" s="2">
        <f>IFERROR(__xludf.DUMMYFUNCTION("""COMPUTED_VALUE"""),44700.66666666667)</f>
        <v>44700.66667</v>
      </c>
      <c r="B3118" s="1">
        <f>IFERROR(__xludf.DUMMYFUNCTION("""COMPUTED_VALUE"""),11.11)</f>
        <v>11.11</v>
      </c>
      <c r="C3118" s="1">
        <f>IFERROR(__xludf.DUMMYFUNCTION("""COMPUTED_VALUE"""),12.63)</f>
        <v>12.63</v>
      </c>
      <c r="D3118" s="1">
        <f>IFERROR(__xludf.DUMMYFUNCTION("""COMPUTED_VALUE"""),11.11)</f>
        <v>11.11</v>
      </c>
      <c r="E3118" s="1">
        <f>IFERROR(__xludf.DUMMYFUNCTION("""COMPUTED_VALUE"""),12.55)</f>
        <v>12.55</v>
      </c>
      <c r="F3118" s="1">
        <f>IFERROR(__xludf.DUMMYFUNCTION("""COMPUTED_VALUE"""),4413869.0)</f>
        <v>4413869</v>
      </c>
    </row>
    <row r="3119">
      <c r="A3119" s="2">
        <f>IFERROR(__xludf.DUMMYFUNCTION("""COMPUTED_VALUE"""),44701.66666666667)</f>
        <v>44701.66667</v>
      </c>
      <c r="B3119" s="1">
        <f>IFERROR(__xludf.DUMMYFUNCTION("""COMPUTED_VALUE"""),12.72)</f>
        <v>12.72</v>
      </c>
      <c r="C3119" s="1">
        <f>IFERROR(__xludf.DUMMYFUNCTION("""COMPUTED_VALUE"""),12.92)</f>
        <v>12.92</v>
      </c>
      <c r="D3119" s="1">
        <f>IFERROR(__xludf.DUMMYFUNCTION("""COMPUTED_VALUE"""),12.32)</f>
        <v>12.32</v>
      </c>
      <c r="E3119" s="1">
        <f>IFERROR(__xludf.DUMMYFUNCTION("""COMPUTED_VALUE"""),12.48)</f>
        <v>12.48</v>
      </c>
      <c r="F3119" s="1">
        <f>IFERROR(__xludf.DUMMYFUNCTION("""COMPUTED_VALUE"""),4304147.0)</f>
        <v>4304147</v>
      </c>
    </row>
    <row r="3120">
      <c r="A3120" s="2">
        <f>IFERROR(__xludf.DUMMYFUNCTION("""COMPUTED_VALUE"""),44704.66666666667)</f>
        <v>44704.66667</v>
      </c>
      <c r="B3120" s="1">
        <f>IFERROR(__xludf.DUMMYFUNCTION("""COMPUTED_VALUE"""),12.36)</f>
        <v>12.36</v>
      </c>
      <c r="C3120" s="1">
        <f>IFERROR(__xludf.DUMMYFUNCTION("""COMPUTED_VALUE"""),12.36)</f>
        <v>12.36</v>
      </c>
      <c r="D3120" s="1">
        <f>IFERROR(__xludf.DUMMYFUNCTION("""COMPUTED_VALUE"""),11.85)</f>
        <v>11.85</v>
      </c>
      <c r="E3120" s="1">
        <f>IFERROR(__xludf.DUMMYFUNCTION("""COMPUTED_VALUE"""),12.0)</f>
        <v>12</v>
      </c>
      <c r="F3120" s="1">
        <f>IFERROR(__xludf.DUMMYFUNCTION("""COMPUTED_VALUE"""),4452494.0)</f>
        <v>4452494</v>
      </c>
    </row>
    <row r="3121">
      <c r="A3121" s="2">
        <f>IFERROR(__xludf.DUMMYFUNCTION("""COMPUTED_VALUE"""),44705.66666666667)</f>
        <v>44705.66667</v>
      </c>
      <c r="B3121" s="1">
        <f>IFERROR(__xludf.DUMMYFUNCTION("""COMPUTED_VALUE"""),11.75)</f>
        <v>11.75</v>
      </c>
      <c r="C3121" s="1">
        <f>IFERROR(__xludf.DUMMYFUNCTION("""COMPUTED_VALUE"""),11.75)</f>
        <v>11.75</v>
      </c>
      <c r="D3121" s="1">
        <f>IFERROR(__xludf.DUMMYFUNCTION("""COMPUTED_VALUE"""),10.71)</f>
        <v>10.71</v>
      </c>
      <c r="E3121" s="1">
        <f>IFERROR(__xludf.DUMMYFUNCTION("""COMPUTED_VALUE"""),10.8)</f>
        <v>10.8</v>
      </c>
      <c r="F3121" s="1">
        <f>IFERROR(__xludf.DUMMYFUNCTION("""COMPUTED_VALUE"""),1538832.0)</f>
        <v>1538832</v>
      </c>
    </row>
    <row r="3122">
      <c r="A3122" s="2">
        <f>IFERROR(__xludf.DUMMYFUNCTION("""COMPUTED_VALUE"""),44706.66666666667)</f>
        <v>44706.66667</v>
      </c>
      <c r="B3122" s="1">
        <f>IFERROR(__xludf.DUMMYFUNCTION("""COMPUTED_VALUE"""),10.9)</f>
        <v>10.9</v>
      </c>
      <c r="C3122" s="1">
        <f>IFERROR(__xludf.DUMMYFUNCTION("""COMPUTED_VALUE"""),11.11)</f>
        <v>11.11</v>
      </c>
      <c r="D3122" s="1">
        <f>IFERROR(__xludf.DUMMYFUNCTION("""COMPUTED_VALUE"""),10.75)</f>
        <v>10.75</v>
      </c>
      <c r="E3122" s="1">
        <f>IFERROR(__xludf.DUMMYFUNCTION("""COMPUTED_VALUE"""),10.94)</f>
        <v>10.94</v>
      </c>
      <c r="F3122" s="1">
        <f>IFERROR(__xludf.DUMMYFUNCTION("""COMPUTED_VALUE"""),1334854.0)</f>
        <v>1334854</v>
      </c>
    </row>
    <row r="3123">
      <c r="A3123" s="2">
        <f>IFERROR(__xludf.DUMMYFUNCTION("""COMPUTED_VALUE"""),44707.66666666667)</f>
        <v>44707.66667</v>
      </c>
      <c r="B3123" s="1">
        <f>IFERROR(__xludf.DUMMYFUNCTION("""COMPUTED_VALUE"""),11.03)</f>
        <v>11.03</v>
      </c>
      <c r="C3123" s="1">
        <f>IFERROR(__xludf.DUMMYFUNCTION("""COMPUTED_VALUE"""),11.86)</f>
        <v>11.86</v>
      </c>
      <c r="D3123" s="1">
        <f>IFERROR(__xludf.DUMMYFUNCTION("""COMPUTED_VALUE"""),10.92)</f>
        <v>10.92</v>
      </c>
      <c r="E3123" s="1">
        <f>IFERROR(__xludf.DUMMYFUNCTION("""COMPUTED_VALUE"""),11.81)</f>
        <v>11.81</v>
      </c>
      <c r="F3123" s="1">
        <f>IFERROR(__xludf.DUMMYFUNCTION("""COMPUTED_VALUE"""),1970206.0)</f>
        <v>1970206</v>
      </c>
    </row>
    <row r="3124">
      <c r="A3124" s="2">
        <f>IFERROR(__xludf.DUMMYFUNCTION("""COMPUTED_VALUE"""),44708.66666666667)</f>
        <v>44708.66667</v>
      </c>
      <c r="B3124" s="1">
        <f>IFERROR(__xludf.DUMMYFUNCTION("""COMPUTED_VALUE"""),11.77)</f>
        <v>11.77</v>
      </c>
      <c r="C3124" s="1">
        <f>IFERROR(__xludf.DUMMYFUNCTION("""COMPUTED_VALUE"""),12.01)</f>
        <v>12.01</v>
      </c>
      <c r="D3124" s="1">
        <f>IFERROR(__xludf.DUMMYFUNCTION("""COMPUTED_VALUE"""),11.45)</f>
        <v>11.45</v>
      </c>
      <c r="E3124" s="1">
        <f>IFERROR(__xludf.DUMMYFUNCTION("""COMPUTED_VALUE"""),11.92)</f>
        <v>11.92</v>
      </c>
      <c r="F3124" s="1">
        <f>IFERROR(__xludf.DUMMYFUNCTION("""COMPUTED_VALUE"""),1523565.0)</f>
        <v>1523565</v>
      </c>
    </row>
    <row r="3125">
      <c r="A3125" s="2">
        <f>IFERROR(__xludf.DUMMYFUNCTION("""COMPUTED_VALUE"""),44712.66666666667)</f>
        <v>44712.66667</v>
      </c>
      <c r="B3125" s="1">
        <f>IFERROR(__xludf.DUMMYFUNCTION("""COMPUTED_VALUE"""),12.9)</f>
        <v>12.9</v>
      </c>
      <c r="C3125" s="1">
        <f>IFERROR(__xludf.DUMMYFUNCTION("""COMPUTED_VALUE"""),13.71)</f>
        <v>13.71</v>
      </c>
      <c r="D3125" s="1">
        <f>IFERROR(__xludf.DUMMYFUNCTION("""COMPUTED_VALUE"""),12.84)</f>
        <v>12.84</v>
      </c>
      <c r="E3125" s="1">
        <f>IFERROR(__xludf.DUMMYFUNCTION("""COMPUTED_VALUE"""),13.06)</f>
        <v>13.06</v>
      </c>
      <c r="F3125" s="1">
        <f>IFERROR(__xludf.DUMMYFUNCTION("""COMPUTED_VALUE"""),4949902.0)</f>
        <v>4949902</v>
      </c>
    </row>
    <row r="3126">
      <c r="A3126" s="2">
        <f>IFERROR(__xludf.DUMMYFUNCTION("""COMPUTED_VALUE"""),44713.66666666667)</f>
        <v>44713.66667</v>
      </c>
      <c r="B3126" s="1">
        <f>IFERROR(__xludf.DUMMYFUNCTION("""COMPUTED_VALUE"""),13.1)</f>
        <v>13.1</v>
      </c>
      <c r="C3126" s="1">
        <f>IFERROR(__xludf.DUMMYFUNCTION("""COMPUTED_VALUE"""),13.44)</f>
        <v>13.44</v>
      </c>
      <c r="D3126" s="1">
        <f>IFERROR(__xludf.DUMMYFUNCTION("""COMPUTED_VALUE"""),12.54)</f>
        <v>12.54</v>
      </c>
      <c r="E3126" s="1">
        <f>IFERROR(__xludf.DUMMYFUNCTION("""COMPUTED_VALUE"""),12.6)</f>
        <v>12.6</v>
      </c>
      <c r="F3126" s="1">
        <f>IFERROR(__xludf.DUMMYFUNCTION("""COMPUTED_VALUE"""),2618324.0)</f>
        <v>2618324</v>
      </c>
    </row>
    <row r="3127">
      <c r="A3127" s="2">
        <f>IFERROR(__xludf.DUMMYFUNCTION("""COMPUTED_VALUE"""),44714.66666666667)</f>
        <v>44714.66667</v>
      </c>
      <c r="B3127" s="1">
        <f>IFERROR(__xludf.DUMMYFUNCTION("""COMPUTED_VALUE"""),12.8)</f>
        <v>12.8</v>
      </c>
      <c r="C3127" s="1">
        <f>IFERROR(__xludf.DUMMYFUNCTION("""COMPUTED_VALUE"""),13.51)</f>
        <v>13.51</v>
      </c>
      <c r="D3127" s="1">
        <f>IFERROR(__xludf.DUMMYFUNCTION("""COMPUTED_VALUE"""),12.7)</f>
        <v>12.7</v>
      </c>
      <c r="E3127" s="1">
        <f>IFERROR(__xludf.DUMMYFUNCTION("""COMPUTED_VALUE"""),13.46)</f>
        <v>13.46</v>
      </c>
      <c r="F3127" s="1">
        <f>IFERROR(__xludf.DUMMYFUNCTION("""COMPUTED_VALUE"""),2431563.0)</f>
        <v>2431563</v>
      </c>
    </row>
    <row r="3128">
      <c r="A3128" s="2">
        <f>IFERROR(__xludf.DUMMYFUNCTION("""COMPUTED_VALUE"""),44715.66666666667)</f>
        <v>44715.66667</v>
      </c>
      <c r="B3128" s="1">
        <f>IFERROR(__xludf.DUMMYFUNCTION("""COMPUTED_VALUE"""),13.28)</f>
        <v>13.28</v>
      </c>
      <c r="C3128" s="1">
        <f>IFERROR(__xludf.DUMMYFUNCTION("""COMPUTED_VALUE"""),13.36)</f>
        <v>13.36</v>
      </c>
      <c r="D3128" s="1">
        <f>IFERROR(__xludf.DUMMYFUNCTION("""COMPUTED_VALUE"""),12.77)</f>
        <v>12.77</v>
      </c>
      <c r="E3128" s="1">
        <f>IFERROR(__xludf.DUMMYFUNCTION("""COMPUTED_VALUE"""),12.85)</f>
        <v>12.85</v>
      </c>
      <c r="F3128" s="1">
        <f>IFERROR(__xludf.DUMMYFUNCTION("""COMPUTED_VALUE"""),1551404.0)</f>
        <v>1551404</v>
      </c>
    </row>
    <row r="3129">
      <c r="A3129" s="2">
        <f>IFERROR(__xludf.DUMMYFUNCTION("""COMPUTED_VALUE"""),44718.66666666667)</f>
        <v>44718.66667</v>
      </c>
      <c r="B3129" s="1">
        <f>IFERROR(__xludf.DUMMYFUNCTION("""COMPUTED_VALUE"""),13.67)</f>
        <v>13.67</v>
      </c>
      <c r="C3129" s="1">
        <f>IFERROR(__xludf.DUMMYFUNCTION("""COMPUTED_VALUE"""),14.63)</f>
        <v>14.63</v>
      </c>
      <c r="D3129" s="1">
        <f>IFERROR(__xludf.DUMMYFUNCTION("""COMPUTED_VALUE"""),13.62)</f>
        <v>13.62</v>
      </c>
      <c r="E3129" s="1">
        <f>IFERROR(__xludf.DUMMYFUNCTION("""COMPUTED_VALUE"""),14.11)</f>
        <v>14.11</v>
      </c>
      <c r="F3129" s="1">
        <f>IFERROR(__xludf.DUMMYFUNCTION("""COMPUTED_VALUE"""),4547138.0)</f>
        <v>4547138</v>
      </c>
    </row>
    <row r="3130">
      <c r="A3130" s="2">
        <f>IFERROR(__xludf.DUMMYFUNCTION("""COMPUTED_VALUE"""),44719.66666666667)</f>
        <v>44719.66667</v>
      </c>
      <c r="B3130" s="1">
        <f>IFERROR(__xludf.DUMMYFUNCTION("""COMPUTED_VALUE"""),13.97)</f>
        <v>13.97</v>
      </c>
      <c r="C3130" s="1">
        <f>IFERROR(__xludf.DUMMYFUNCTION("""COMPUTED_VALUE"""),14.86)</f>
        <v>14.86</v>
      </c>
      <c r="D3130" s="1">
        <f>IFERROR(__xludf.DUMMYFUNCTION("""COMPUTED_VALUE"""),13.86)</f>
        <v>13.86</v>
      </c>
      <c r="E3130" s="1">
        <f>IFERROR(__xludf.DUMMYFUNCTION("""COMPUTED_VALUE"""),14.78)</f>
        <v>14.78</v>
      </c>
      <c r="F3130" s="1">
        <f>IFERROR(__xludf.DUMMYFUNCTION("""COMPUTED_VALUE"""),2771670.0)</f>
        <v>2771670</v>
      </c>
    </row>
    <row r="3131">
      <c r="A3131" s="2">
        <f>IFERROR(__xludf.DUMMYFUNCTION("""COMPUTED_VALUE"""),44720.66666666667)</f>
        <v>44720.66667</v>
      </c>
      <c r="B3131" s="1">
        <f>IFERROR(__xludf.DUMMYFUNCTION("""COMPUTED_VALUE"""),15.04)</f>
        <v>15.04</v>
      </c>
      <c r="C3131" s="1">
        <f>IFERROR(__xludf.DUMMYFUNCTION("""COMPUTED_VALUE"""),17.47)</f>
        <v>17.47</v>
      </c>
      <c r="D3131" s="1">
        <f>IFERROR(__xludf.DUMMYFUNCTION("""COMPUTED_VALUE"""),15.04)</f>
        <v>15.04</v>
      </c>
      <c r="E3131" s="1">
        <f>IFERROR(__xludf.DUMMYFUNCTION("""COMPUTED_VALUE"""),17.27)</f>
        <v>17.27</v>
      </c>
      <c r="F3131" s="1">
        <f>IFERROR(__xludf.DUMMYFUNCTION("""COMPUTED_VALUE"""),1.0851171E7)</f>
        <v>10851171</v>
      </c>
    </row>
    <row r="3132">
      <c r="A3132" s="2">
        <f>IFERROR(__xludf.DUMMYFUNCTION("""COMPUTED_VALUE"""),44721.66666666667)</f>
        <v>44721.66667</v>
      </c>
      <c r="B3132" s="1">
        <f>IFERROR(__xludf.DUMMYFUNCTION("""COMPUTED_VALUE"""),16.5)</f>
        <v>16.5</v>
      </c>
      <c r="C3132" s="1">
        <f>IFERROR(__xludf.DUMMYFUNCTION("""COMPUTED_VALUE"""),16.58)</f>
        <v>16.58</v>
      </c>
      <c r="D3132" s="1">
        <f>IFERROR(__xludf.DUMMYFUNCTION("""COMPUTED_VALUE"""),14.45)</f>
        <v>14.45</v>
      </c>
      <c r="E3132" s="1">
        <f>IFERROR(__xludf.DUMMYFUNCTION("""COMPUTED_VALUE"""),14.72)</f>
        <v>14.72</v>
      </c>
      <c r="F3132" s="1">
        <f>IFERROR(__xludf.DUMMYFUNCTION("""COMPUTED_VALUE"""),3352144.0)</f>
        <v>3352144</v>
      </c>
    </row>
    <row r="3133">
      <c r="A3133" s="2">
        <f>IFERROR(__xludf.DUMMYFUNCTION("""COMPUTED_VALUE"""),44722.66666666667)</f>
        <v>44722.66667</v>
      </c>
      <c r="B3133" s="1">
        <f>IFERROR(__xludf.DUMMYFUNCTION("""COMPUTED_VALUE"""),16.41)</f>
        <v>16.41</v>
      </c>
      <c r="C3133" s="1">
        <f>IFERROR(__xludf.DUMMYFUNCTION("""COMPUTED_VALUE"""),17.24)</f>
        <v>17.24</v>
      </c>
      <c r="D3133" s="1">
        <f>IFERROR(__xludf.DUMMYFUNCTION("""COMPUTED_VALUE"""),15.75)</f>
        <v>15.75</v>
      </c>
      <c r="E3133" s="1">
        <f>IFERROR(__xludf.DUMMYFUNCTION("""COMPUTED_VALUE"""),16.21)</f>
        <v>16.21</v>
      </c>
      <c r="F3133" s="1">
        <f>IFERROR(__xludf.DUMMYFUNCTION("""COMPUTED_VALUE"""),6048728.0)</f>
        <v>6048728</v>
      </c>
    </row>
    <row r="3134">
      <c r="A3134" s="2">
        <f>IFERROR(__xludf.DUMMYFUNCTION("""COMPUTED_VALUE"""),44725.66666666667)</f>
        <v>44725.66667</v>
      </c>
      <c r="B3134" s="1">
        <f>IFERROR(__xludf.DUMMYFUNCTION("""COMPUTED_VALUE"""),17.91)</f>
        <v>17.91</v>
      </c>
      <c r="C3134" s="1">
        <f>IFERROR(__xludf.DUMMYFUNCTION("""COMPUTED_VALUE"""),18.47)</f>
        <v>18.47</v>
      </c>
      <c r="D3134" s="1">
        <f>IFERROR(__xludf.DUMMYFUNCTION("""COMPUTED_VALUE"""),16.31)</f>
        <v>16.31</v>
      </c>
      <c r="E3134" s="1">
        <f>IFERROR(__xludf.DUMMYFUNCTION("""COMPUTED_VALUE"""),17.1)</f>
        <v>17.1</v>
      </c>
      <c r="F3134" s="1">
        <f>IFERROR(__xludf.DUMMYFUNCTION("""COMPUTED_VALUE"""),9958943.0)</f>
        <v>9958943</v>
      </c>
    </row>
    <row r="3135">
      <c r="A3135" s="2">
        <f>IFERROR(__xludf.DUMMYFUNCTION("""COMPUTED_VALUE"""),44726.66666666667)</f>
        <v>44726.66667</v>
      </c>
      <c r="B3135" s="1">
        <f>IFERROR(__xludf.DUMMYFUNCTION("""COMPUTED_VALUE"""),18.32)</f>
        <v>18.32</v>
      </c>
      <c r="C3135" s="1">
        <f>IFERROR(__xludf.DUMMYFUNCTION("""COMPUTED_VALUE"""),22.05)</f>
        <v>22.05</v>
      </c>
      <c r="D3135" s="1">
        <f>IFERROR(__xludf.DUMMYFUNCTION("""COMPUTED_VALUE"""),18.25)</f>
        <v>18.25</v>
      </c>
      <c r="E3135" s="1">
        <f>IFERROR(__xludf.DUMMYFUNCTION("""COMPUTED_VALUE"""),21.27)</f>
        <v>21.27</v>
      </c>
      <c r="F3135" s="1">
        <f>IFERROR(__xludf.DUMMYFUNCTION("""COMPUTED_VALUE"""),2.2460121E7)</f>
        <v>22460121</v>
      </c>
    </row>
    <row r="3136">
      <c r="A3136" s="2">
        <f>IFERROR(__xludf.DUMMYFUNCTION("""COMPUTED_VALUE"""),44727.66666666667)</f>
        <v>44727.66667</v>
      </c>
      <c r="B3136" s="1">
        <f>IFERROR(__xludf.DUMMYFUNCTION("""COMPUTED_VALUE"""),22.69)</f>
        <v>22.69</v>
      </c>
      <c r="C3136" s="1">
        <f>IFERROR(__xludf.DUMMYFUNCTION("""COMPUTED_VALUE"""),23.6)</f>
        <v>23.6</v>
      </c>
      <c r="D3136" s="1">
        <f>IFERROR(__xludf.DUMMYFUNCTION("""COMPUTED_VALUE"""),21.01)</f>
        <v>21.01</v>
      </c>
      <c r="E3136" s="1">
        <f>IFERROR(__xludf.DUMMYFUNCTION("""COMPUTED_VALUE"""),23.41)</f>
        <v>23.41</v>
      </c>
      <c r="F3136" s="1">
        <f>IFERROR(__xludf.DUMMYFUNCTION("""COMPUTED_VALUE"""),2.9661788E7)</f>
        <v>29661788</v>
      </c>
    </row>
    <row r="3137">
      <c r="A3137" s="2">
        <f>IFERROR(__xludf.DUMMYFUNCTION("""COMPUTED_VALUE"""),44728.66666666667)</f>
        <v>44728.66667</v>
      </c>
      <c r="B3137" s="1">
        <f>IFERROR(__xludf.DUMMYFUNCTION("""COMPUTED_VALUE"""),21.9)</f>
        <v>21.9</v>
      </c>
      <c r="C3137" s="1">
        <f>IFERROR(__xludf.DUMMYFUNCTION("""COMPUTED_VALUE"""),22.55)</f>
        <v>22.55</v>
      </c>
      <c r="D3137" s="1">
        <f>IFERROR(__xludf.DUMMYFUNCTION("""COMPUTED_VALUE"""),21.1)</f>
        <v>21.1</v>
      </c>
      <c r="E3137" s="1">
        <f>IFERROR(__xludf.DUMMYFUNCTION("""COMPUTED_VALUE"""),22.02)</f>
        <v>22.02</v>
      </c>
      <c r="F3137" s="1">
        <f>IFERROR(__xludf.DUMMYFUNCTION("""COMPUTED_VALUE"""),1.2899607E7)</f>
        <v>12899607</v>
      </c>
    </row>
    <row r="3138">
      <c r="A3138" s="2">
        <f>IFERROR(__xludf.DUMMYFUNCTION("""COMPUTED_VALUE"""),44729.66666666667)</f>
        <v>44729.66667</v>
      </c>
      <c r="B3138" s="1">
        <f>IFERROR(__xludf.DUMMYFUNCTION("""COMPUTED_VALUE"""),22.48)</f>
        <v>22.48</v>
      </c>
      <c r="C3138" s="1">
        <f>IFERROR(__xludf.DUMMYFUNCTION("""COMPUTED_VALUE"""),22.82)</f>
        <v>22.82</v>
      </c>
      <c r="D3138" s="1">
        <f>IFERROR(__xludf.DUMMYFUNCTION("""COMPUTED_VALUE"""),20.81)</f>
        <v>20.81</v>
      </c>
      <c r="E3138" s="1">
        <f>IFERROR(__xludf.DUMMYFUNCTION("""COMPUTED_VALUE"""),21.57)</f>
        <v>21.57</v>
      </c>
      <c r="F3138" s="1">
        <f>IFERROR(__xludf.DUMMYFUNCTION("""COMPUTED_VALUE"""),9726501.0)</f>
        <v>9726501</v>
      </c>
    </row>
    <row r="3139">
      <c r="A3139" s="2">
        <f>IFERROR(__xludf.DUMMYFUNCTION("""COMPUTED_VALUE"""),44733.66666666667)</f>
        <v>44733.66667</v>
      </c>
      <c r="B3139" s="1">
        <f>IFERROR(__xludf.DUMMYFUNCTION("""COMPUTED_VALUE"""),19.88)</f>
        <v>19.88</v>
      </c>
      <c r="C3139" s="1">
        <f>IFERROR(__xludf.DUMMYFUNCTION("""COMPUTED_VALUE"""),20.78)</f>
        <v>20.78</v>
      </c>
      <c r="D3139" s="1">
        <f>IFERROR(__xludf.DUMMYFUNCTION("""COMPUTED_VALUE"""),19.2)</f>
        <v>19.2</v>
      </c>
      <c r="E3139" s="1">
        <f>IFERROR(__xludf.DUMMYFUNCTION("""COMPUTED_VALUE"""),20.76)</f>
        <v>20.76</v>
      </c>
      <c r="F3139" s="1">
        <f>IFERROR(__xludf.DUMMYFUNCTION("""COMPUTED_VALUE"""),1.1476698E7)</f>
        <v>11476698</v>
      </c>
    </row>
    <row r="3140">
      <c r="A3140" s="2">
        <f>IFERROR(__xludf.DUMMYFUNCTION("""COMPUTED_VALUE"""),44734.66666666667)</f>
        <v>44734.66667</v>
      </c>
      <c r="B3140" s="1">
        <f>IFERROR(__xludf.DUMMYFUNCTION("""COMPUTED_VALUE"""),20.45)</f>
        <v>20.45</v>
      </c>
      <c r="C3140" s="1">
        <f>IFERROR(__xludf.DUMMYFUNCTION("""COMPUTED_VALUE"""),21.33)</f>
        <v>21.33</v>
      </c>
      <c r="D3140" s="1">
        <f>IFERROR(__xludf.DUMMYFUNCTION("""COMPUTED_VALUE"""),20.42)</f>
        <v>20.42</v>
      </c>
      <c r="E3140" s="1">
        <f>IFERROR(__xludf.DUMMYFUNCTION("""COMPUTED_VALUE"""),20.82)</f>
        <v>20.82</v>
      </c>
      <c r="F3140" s="1">
        <f>IFERROR(__xludf.DUMMYFUNCTION("""COMPUTED_VALUE"""),2573016.0)</f>
        <v>2573016</v>
      </c>
    </row>
    <row r="3141">
      <c r="A3141" s="2">
        <f>IFERROR(__xludf.DUMMYFUNCTION("""COMPUTED_VALUE"""),44735.66666666667)</f>
        <v>44735.66667</v>
      </c>
      <c r="B3141" s="1">
        <f>IFERROR(__xludf.DUMMYFUNCTION("""COMPUTED_VALUE"""),20.92)</f>
        <v>20.92</v>
      </c>
      <c r="C3141" s="1">
        <f>IFERROR(__xludf.DUMMYFUNCTION("""COMPUTED_VALUE"""),22.21)</f>
        <v>22.21</v>
      </c>
      <c r="D3141" s="1">
        <f>IFERROR(__xludf.DUMMYFUNCTION("""COMPUTED_VALUE"""),18.68)</f>
        <v>18.68</v>
      </c>
      <c r="E3141" s="1">
        <f>IFERROR(__xludf.DUMMYFUNCTION("""COMPUTED_VALUE"""),18.98)</f>
        <v>18.98</v>
      </c>
      <c r="F3141" s="1">
        <f>IFERROR(__xludf.DUMMYFUNCTION("""COMPUTED_VALUE"""),8903577.0)</f>
        <v>8903577</v>
      </c>
    </row>
    <row r="3142">
      <c r="A3142" s="2">
        <f>IFERROR(__xludf.DUMMYFUNCTION("""COMPUTED_VALUE"""),44736.66666666667)</f>
        <v>44736.66667</v>
      </c>
      <c r="B3142" s="1">
        <f>IFERROR(__xludf.DUMMYFUNCTION("""COMPUTED_VALUE"""),19.68)</f>
        <v>19.68</v>
      </c>
      <c r="C3142" s="1">
        <f>IFERROR(__xludf.DUMMYFUNCTION("""COMPUTED_VALUE"""),20.31)</f>
        <v>20.31</v>
      </c>
      <c r="D3142" s="1">
        <f>IFERROR(__xludf.DUMMYFUNCTION("""COMPUTED_VALUE"""),19.05)</f>
        <v>19.05</v>
      </c>
      <c r="E3142" s="1">
        <f>IFERROR(__xludf.DUMMYFUNCTION("""COMPUTED_VALUE"""),19.85)</f>
        <v>19.85</v>
      </c>
      <c r="F3142" s="1">
        <f>IFERROR(__xludf.DUMMYFUNCTION("""COMPUTED_VALUE"""),3950534.0)</f>
        <v>3950534</v>
      </c>
    </row>
    <row r="3143">
      <c r="A3143" s="2">
        <f>IFERROR(__xludf.DUMMYFUNCTION("""COMPUTED_VALUE"""),44739.66666666667)</f>
        <v>44739.66667</v>
      </c>
      <c r="B3143" s="1">
        <f>IFERROR(__xludf.DUMMYFUNCTION("""COMPUTED_VALUE"""),19.98)</f>
        <v>19.98</v>
      </c>
      <c r="C3143" s="1">
        <f>IFERROR(__xludf.DUMMYFUNCTION("""COMPUTED_VALUE"""),20.05)</f>
        <v>20.05</v>
      </c>
      <c r="D3143" s="1">
        <f>IFERROR(__xludf.DUMMYFUNCTION("""COMPUTED_VALUE"""),18.29)</f>
        <v>18.29</v>
      </c>
      <c r="E3143" s="1">
        <f>IFERROR(__xludf.DUMMYFUNCTION("""COMPUTED_VALUE"""),18.99)</f>
        <v>18.99</v>
      </c>
      <c r="F3143" s="1">
        <f>IFERROR(__xludf.DUMMYFUNCTION("""COMPUTED_VALUE"""),4341599.0)</f>
        <v>4341599</v>
      </c>
    </row>
    <row r="3144">
      <c r="A3144" s="2">
        <f>IFERROR(__xludf.DUMMYFUNCTION("""COMPUTED_VALUE"""),44740.66666666667)</f>
        <v>44740.66667</v>
      </c>
      <c r="B3144" s="1">
        <f>IFERROR(__xludf.DUMMYFUNCTION("""COMPUTED_VALUE"""),19.13)</f>
        <v>19.13</v>
      </c>
      <c r="C3144" s="1">
        <f>IFERROR(__xludf.DUMMYFUNCTION("""COMPUTED_VALUE"""),19.27)</f>
        <v>19.27</v>
      </c>
      <c r="D3144" s="1">
        <f>IFERROR(__xludf.DUMMYFUNCTION("""COMPUTED_VALUE"""),18.35)</f>
        <v>18.35</v>
      </c>
      <c r="E3144" s="1">
        <f>IFERROR(__xludf.DUMMYFUNCTION("""COMPUTED_VALUE"""),18.37)</f>
        <v>18.37</v>
      </c>
      <c r="F3144" s="1">
        <f>IFERROR(__xludf.DUMMYFUNCTION("""COMPUTED_VALUE"""),6110365.0)</f>
        <v>6110365</v>
      </c>
    </row>
    <row r="3145">
      <c r="A3145" s="2">
        <f>IFERROR(__xludf.DUMMYFUNCTION("""COMPUTED_VALUE"""),44741.66666666667)</f>
        <v>44741.66667</v>
      </c>
      <c r="B3145" s="1">
        <f>IFERROR(__xludf.DUMMYFUNCTION("""COMPUTED_VALUE"""),18.42)</f>
        <v>18.42</v>
      </c>
      <c r="C3145" s="1">
        <f>IFERROR(__xludf.DUMMYFUNCTION("""COMPUTED_VALUE"""),20.25)</f>
        <v>20.25</v>
      </c>
      <c r="D3145" s="1">
        <f>IFERROR(__xludf.DUMMYFUNCTION("""COMPUTED_VALUE"""),18.31)</f>
        <v>18.31</v>
      </c>
      <c r="E3145" s="1">
        <f>IFERROR(__xludf.DUMMYFUNCTION("""COMPUTED_VALUE"""),20.14)</f>
        <v>20.14</v>
      </c>
      <c r="F3145" s="1">
        <f>IFERROR(__xludf.DUMMYFUNCTION("""COMPUTED_VALUE"""),6050780.0)</f>
        <v>6050780</v>
      </c>
    </row>
    <row r="3146">
      <c r="A3146" s="2">
        <f>IFERROR(__xludf.DUMMYFUNCTION("""COMPUTED_VALUE"""),44742.66666666667)</f>
        <v>44742.66667</v>
      </c>
      <c r="B3146" s="1">
        <f>IFERROR(__xludf.DUMMYFUNCTION("""COMPUTED_VALUE"""),20.0)</f>
        <v>20</v>
      </c>
      <c r="C3146" s="1">
        <f>IFERROR(__xludf.DUMMYFUNCTION("""COMPUTED_VALUE"""),20.89)</f>
        <v>20.89</v>
      </c>
      <c r="D3146" s="1">
        <f>IFERROR(__xludf.DUMMYFUNCTION("""COMPUTED_VALUE"""),19.47)</f>
        <v>19.47</v>
      </c>
      <c r="E3146" s="1">
        <f>IFERROR(__xludf.DUMMYFUNCTION("""COMPUTED_VALUE"""),20.36)</f>
        <v>20.36</v>
      </c>
      <c r="F3146" s="1">
        <f>IFERROR(__xludf.DUMMYFUNCTION("""COMPUTED_VALUE"""),5144448.0)</f>
        <v>5144448</v>
      </c>
    </row>
    <row r="3147">
      <c r="A3147" s="2">
        <f>IFERROR(__xludf.DUMMYFUNCTION("""COMPUTED_VALUE"""),44743.66666666667)</f>
        <v>44743.66667</v>
      </c>
      <c r="B3147" s="1">
        <f>IFERROR(__xludf.DUMMYFUNCTION("""COMPUTED_VALUE"""),20.2)</f>
        <v>20.2</v>
      </c>
      <c r="C3147" s="1">
        <f>IFERROR(__xludf.DUMMYFUNCTION("""COMPUTED_VALUE"""),20.88)</f>
        <v>20.88</v>
      </c>
      <c r="D3147" s="1">
        <f>IFERROR(__xludf.DUMMYFUNCTION("""COMPUTED_VALUE"""),19.67)</f>
        <v>19.67</v>
      </c>
      <c r="E3147" s="1">
        <f>IFERROR(__xludf.DUMMYFUNCTION("""COMPUTED_VALUE"""),20.21)</f>
        <v>20.21</v>
      </c>
      <c r="F3147" s="1">
        <f>IFERROR(__xludf.DUMMYFUNCTION("""COMPUTED_VALUE"""),2247220.0)</f>
        <v>2247220</v>
      </c>
    </row>
    <row r="3148">
      <c r="A3148" s="2">
        <f>IFERROR(__xludf.DUMMYFUNCTION("""COMPUTED_VALUE"""),44747.66666666667)</f>
        <v>44747.66667</v>
      </c>
      <c r="B3148" s="1">
        <f>IFERROR(__xludf.DUMMYFUNCTION("""COMPUTED_VALUE"""),20.14)</f>
        <v>20.14</v>
      </c>
      <c r="C3148" s="1">
        <f>IFERROR(__xludf.DUMMYFUNCTION("""COMPUTED_VALUE"""),22.64)</f>
        <v>22.64</v>
      </c>
      <c r="D3148" s="1">
        <f>IFERROR(__xludf.DUMMYFUNCTION("""COMPUTED_VALUE"""),20.07)</f>
        <v>20.07</v>
      </c>
      <c r="E3148" s="1">
        <f>IFERROR(__xludf.DUMMYFUNCTION("""COMPUTED_VALUE"""),22.49)</f>
        <v>22.49</v>
      </c>
      <c r="F3148" s="1">
        <f>IFERROR(__xludf.DUMMYFUNCTION("""COMPUTED_VALUE"""),6108783.0)</f>
        <v>6108783</v>
      </c>
    </row>
    <row r="3149">
      <c r="A3149" s="2">
        <f>IFERROR(__xludf.DUMMYFUNCTION("""COMPUTED_VALUE"""),44748.66666666667)</f>
        <v>44748.66667</v>
      </c>
      <c r="B3149" s="1">
        <f>IFERROR(__xludf.DUMMYFUNCTION("""COMPUTED_VALUE"""),22.41)</f>
        <v>22.41</v>
      </c>
      <c r="C3149" s="1">
        <f>IFERROR(__xludf.DUMMYFUNCTION("""COMPUTED_VALUE"""),22.63)</f>
        <v>22.63</v>
      </c>
      <c r="D3149" s="1">
        <f>IFERROR(__xludf.DUMMYFUNCTION("""COMPUTED_VALUE"""),21.55)</f>
        <v>21.55</v>
      </c>
      <c r="E3149" s="1">
        <f>IFERROR(__xludf.DUMMYFUNCTION("""COMPUTED_VALUE"""),22.44)</f>
        <v>22.44</v>
      </c>
      <c r="F3149" s="1">
        <f>IFERROR(__xludf.DUMMYFUNCTION("""COMPUTED_VALUE"""),3945621.0)</f>
        <v>3945621</v>
      </c>
    </row>
    <row r="3150">
      <c r="A3150" s="2">
        <f>IFERROR(__xludf.DUMMYFUNCTION("""COMPUTED_VALUE"""),44749.66666666667)</f>
        <v>44749.66667</v>
      </c>
      <c r="B3150" s="1">
        <f>IFERROR(__xludf.DUMMYFUNCTION("""COMPUTED_VALUE"""),22.66)</f>
        <v>22.66</v>
      </c>
      <c r="C3150" s="1">
        <f>IFERROR(__xludf.DUMMYFUNCTION("""COMPUTED_VALUE"""),23.07)</f>
        <v>23.07</v>
      </c>
      <c r="D3150" s="1">
        <f>IFERROR(__xludf.DUMMYFUNCTION("""COMPUTED_VALUE"""),22.01)</f>
        <v>22.01</v>
      </c>
      <c r="E3150" s="1">
        <f>IFERROR(__xludf.DUMMYFUNCTION("""COMPUTED_VALUE"""),22.75)</f>
        <v>22.75</v>
      </c>
      <c r="F3150" s="1">
        <f>IFERROR(__xludf.DUMMYFUNCTION("""COMPUTED_VALUE"""),4820818.0)</f>
        <v>4820818</v>
      </c>
    </row>
    <row r="3151">
      <c r="A3151" s="2">
        <f>IFERROR(__xludf.DUMMYFUNCTION("""COMPUTED_VALUE"""),44750.66666666667)</f>
        <v>44750.66667</v>
      </c>
      <c r="B3151" s="1">
        <f>IFERROR(__xludf.DUMMYFUNCTION("""COMPUTED_VALUE"""),22.66)</f>
        <v>22.66</v>
      </c>
      <c r="C3151" s="1">
        <f>IFERROR(__xludf.DUMMYFUNCTION("""COMPUTED_VALUE"""),25.16)</f>
        <v>25.16</v>
      </c>
      <c r="D3151" s="1">
        <f>IFERROR(__xludf.DUMMYFUNCTION("""COMPUTED_VALUE"""),22.5)</f>
        <v>22.5</v>
      </c>
      <c r="E3151" s="1">
        <f>IFERROR(__xludf.DUMMYFUNCTION("""COMPUTED_VALUE"""),23.8)</f>
        <v>23.8</v>
      </c>
      <c r="F3151" s="1">
        <f>IFERROR(__xludf.DUMMYFUNCTION("""COMPUTED_VALUE"""),6786223.0)</f>
        <v>6786223</v>
      </c>
    </row>
    <row r="3152">
      <c r="A3152" s="2">
        <f>IFERROR(__xludf.DUMMYFUNCTION("""COMPUTED_VALUE"""),44753.66666666667)</f>
        <v>44753.66667</v>
      </c>
      <c r="B3152" s="1">
        <f>IFERROR(__xludf.DUMMYFUNCTION("""COMPUTED_VALUE"""),22.74)</f>
        <v>22.74</v>
      </c>
      <c r="C3152" s="1">
        <f>IFERROR(__xludf.DUMMYFUNCTION("""COMPUTED_VALUE"""),22.83)</f>
        <v>22.83</v>
      </c>
      <c r="D3152" s="1">
        <f>IFERROR(__xludf.DUMMYFUNCTION("""COMPUTED_VALUE"""),21.01)</f>
        <v>21.01</v>
      </c>
      <c r="E3152" s="1">
        <f>IFERROR(__xludf.DUMMYFUNCTION("""COMPUTED_VALUE"""),21.1)</f>
        <v>21.1</v>
      </c>
      <c r="F3152" s="1">
        <f>IFERROR(__xludf.DUMMYFUNCTION("""COMPUTED_VALUE"""),3902041.0)</f>
        <v>3902041</v>
      </c>
    </row>
    <row r="3153">
      <c r="A3153" s="2">
        <f>IFERROR(__xludf.DUMMYFUNCTION("""COMPUTED_VALUE"""),44754.66666666667)</f>
        <v>44754.66667</v>
      </c>
      <c r="B3153" s="1">
        <f>IFERROR(__xludf.DUMMYFUNCTION("""COMPUTED_VALUE"""),21.56)</f>
        <v>21.56</v>
      </c>
      <c r="C3153" s="1">
        <f>IFERROR(__xludf.DUMMYFUNCTION("""COMPUTED_VALUE"""),22.29)</f>
        <v>22.29</v>
      </c>
      <c r="D3153" s="1">
        <f>IFERROR(__xludf.DUMMYFUNCTION("""COMPUTED_VALUE"""),20.37)</f>
        <v>20.37</v>
      </c>
      <c r="E3153" s="1">
        <f>IFERROR(__xludf.DUMMYFUNCTION("""COMPUTED_VALUE"""),21.44)</f>
        <v>21.44</v>
      </c>
      <c r="F3153" s="1">
        <f>IFERROR(__xludf.DUMMYFUNCTION("""COMPUTED_VALUE"""),3247524.0)</f>
        <v>3247524</v>
      </c>
    </row>
    <row r="3154">
      <c r="A3154" s="2">
        <f>IFERROR(__xludf.DUMMYFUNCTION("""COMPUTED_VALUE"""),44755.66666666667)</f>
        <v>44755.66667</v>
      </c>
      <c r="B3154" s="1">
        <f>IFERROR(__xludf.DUMMYFUNCTION("""COMPUTED_VALUE"""),21.1)</f>
        <v>21.1</v>
      </c>
      <c r="C3154" s="1">
        <f>IFERROR(__xludf.DUMMYFUNCTION("""COMPUTED_VALUE"""),22.98)</f>
        <v>22.98</v>
      </c>
      <c r="D3154" s="1">
        <f>IFERROR(__xludf.DUMMYFUNCTION("""COMPUTED_VALUE"""),20.8)</f>
        <v>20.8</v>
      </c>
      <c r="E3154" s="1">
        <f>IFERROR(__xludf.DUMMYFUNCTION("""COMPUTED_VALUE"""),22.47)</f>
        <v>22.47</v>
      </c>
      <c r="F3154" s="1">
        <f>IFERROR(__xludf.DUMMYFUNCTION("""COMPUTED_VALUE"""),2943531.0)</f>
        <v>2943531</v>
      </c>
    </row>
    <row r="3155">
      <c r="A3155" s="2">
        <f>IFERROR(__xludf.DUMMYFUNCTION("""COMPUTED_VALUE"""),44756.66666666667)</f>
        <v>44756.66667</v>
      </c>
      <c r="B3155" s="1">
        <f>IFERROR(__xludf.DUMMYFUNCTION("""COMPUTED_VALUE"""),22.6)</f>
        <v>22.6</v>
      </c>
      <c r="C3155" s="1">
        <f>IFERROR(__xludf.DUMMYFUNCTION("""COMPUTED_VALUE"""),23.55)</f>
        <v>23.55</v>
      </c>
      <c r="D3155" s="1">
        <f>IFERROR(__xludf.DUMMYFUNCTION("""COMPUTED_VALUE"""),21.57)</f>
        <v>21.57</v>
      </c>
      <c r="E3155" s="1">
        <f>IFERROR(__xludf.DUMMYFUNCTION("""COMPUTED_VALUE"""),21.98)</f>
        <v>21.98</v>
      </c>
      <c r="F3155" s="1">
        <f>IFERROR(__xludf.DUMMYFUNCTION("""COMPUTED_VALUE"""),5587064.0)</f>
        <v>5587064</v>
      </c>
    </row>
    <row r="3156">
      <c r="A3156" s="2">
        <f>IFERROR(__xludf.DUMMYFUNCTION("""COMPUTED_VALUE"""),44757.66666666667)</f>
        <v>44757.66667</v>
      </c>
      <c r="B3156" s="1">
        <f>IFERROR(__xludf.DUMMYFUNCTION("""COMPUTED_VALUE"""),21.7)</f>
        <v>21.7</v>
      </c>
      <c r="C3156" s="1">
        <f>IFERROR(__xludf.DUMMYFUNCTION("""COMPUTED_VALUE"""),22.34)</f>
        <v>22.34</v>
      </c>
      <c r="D3156" s="1">
        <f>IFERROR(__xludf.DUMMYFUNCTION("""COMPUTED_VALUE"""),21.13)</f>
        <v>21.13</v>
      </c>
      <c r="E3156" s="1">
        <f>IFERROR(__xludf.DUMMYFUNCTION("""COMPUTED_VALUE"""),22.3)</f>
        <v>22.3</v>
      </c>
      <c r="F3156" s="1">
        <f>IFERROR(__xludf.DUMMYFUNCTION("""COMPUTED_VALUE"""),2603182.0)</f>
        <v>2603182</v>
      </c>
    </row>
    <row r="3157">
      <c r="A3157" s="2">
        <f>IFERROR(__xludf.DUMMYFUNCTION("""COMPUTED_VALUE"""),44760.66666666667)</f>
        <v>44760.66667</v>
      </c>
      <c r="B3157" s="1">
        <f>IFERROR(__xludf.DUMMYFUNCTION("""COMPUTED_VALUE"""),22.63)</f>
        <v>22.63</v>
      </c>
      <c r="C3157" s="1">
        <f>IFERROR(__xludf.DUMMYFUNCTION("""COMPUTED_VALUE"""),24.84)</f>
        <v>24.84</v>
      </c>
      <c r="D3157" s="1">
        <f>IFERROR(__xludf.DUMMYFUNCTION("""COMPUTED_VALUE"""),21.96)</f>
        <v>21.96</v>
      </c>
      <c r="E3157" s="1">
        <f>IFERROR(__xludf.DUMMYFUNCTION("""COMPUTED_VALUE"""),22.0)</f>
        <v>22</v>
      </c>
      <c r="F3157" s="1">
        <f>IFERROR(__xludf.DUMMYFUNCTION("""COMPUTED_VALUE"""),5716257.0)</f>
        <v>5716257</v>
      </c>
    </row>
    <row r="3158">
      <c r="A3158" s="2">
        <f>IFERROR(__xludf.DUMMYFUNCTION("""COMPUTED_VALUE"""),44761.66666666667)</f>
        <v>44761.66667</v>
      </c>
      <c r="B3158" s="1">
        <f>IFERROR(__xludf.DUMMYFUNCTION("""COMPUTED_VALUE"""),22.52)</f>
        <v>22.52</v>
      </c>
      <c r="C3158" s="1">
        <f>IFERROR(__xludf.DUMMYFUNCTION("""COMPUTED_VALUE"""),23.18)</f>
        <v>23.18</v>
      </c>
      <c r="D3158" s="1">
        <f>IFERROR(__xludf.DUMMYFUNCTION("""COMPUTED_VALUE"""),21.97)</f>
        <v>21.97</v>
      </c>
      <c r="E3158" s="1">
        <f>IFERROR(__xludf.DUMMYFUNCTION("""COMPUTED_VALUE"""),23.01)</f>
        <v>23.01</v>
      </c>
      <c r="F3158" s="1">
        <f>IFERROR(__xludf.DUMMYFUNCTION("""COMPUTED_VALUE"""),2187710.0)</f>
        <v>2187710</v>
      </c>
    </row>
    <row r="3159">
      <c r="A3159" s="2">
        <f>IFERROR(__xludf.DUMMYFUNCTION("""COMPUTED_VALUE"""),44762.66666666667)</f>
        <v>44762.66667</v>
      </c>
      <c r="B3159" s="1">
        <f>IFERROR(__xludf.DUMMYFUNCTION("""COMPUTED_VALUE"""),22.98)</f>
        <v>22.98</v>
      </c>
      <c r="C3159" s="1">
        <f>IFERROR(__xludf.DUMMYFUNCTION("""COMPUTED_VALUE"""),23.79)</f>
        <v>23.79</v>
      </c>
      <c r="D3159" s="1">
        <f>IFERROR(__xludf.DUMMYFUNCTION("""COMPUTED_VALUE"""),22.61)</f>
        <v>22.61</v>
      </c>
      <c r="E3159" s="1">
        <f>IFERROR(__xludf.DUMMYFUNCTION("""COMPUTED_VALUE"""),23.01)</f>
        <v>23.01</v>
      </c>
      <c r="F3159" s="1">
        <f>IFERROR(__xludf.DUMMYFUNCTION("""COMPUTED_VALUE"""),2583577.0)</f>
        <v>2583577</v>
      </c>
    </row>
    <row r="3160">
      <c r="A3160" s="2">
        <f>IFERROR(__xludf.DUMMYFUNCTION("""COMPUTED_VALUE"""),44763.66666666667)</f>
        <v>44763.66667</v>
      </c>
      <c r="B3160" s="1">
        <f>IFERROR(__xludf.DUMMYFUNCTION("""COMPUTED_VALUE"""),22.77)</f>
        <v>22.77</v>
      </c>
      <c r="C3160" s="1">
        <f>IFERROR(__xludf.DUMMYFUNCTION("""COMPUTED_VALUE"""),23.36)</f>
        <v>23.36</v>
      </c>
      <c r="D3160" s="1">
        <f>IFERROR(__xludf.DUMMYFUNCTION("""COMPUTED_VALUE"""),22.61)</f>
        <v>22.61</v>
      </c>
      <c r="E3160" s="1">
        <f>IFERROR(__xludf.DUMMYFUNCTION("""COMPUTED_VALUE"""),23.06)</f>
        <v>23.06</v>
      </c>
      <c r="F3160" s="1">
        <f>IFERROR(__xludf.DUMMYFUNCTION("""COMPUTED_VALUE"""),2054887.0)</f>
        <v>2054887</v>
      </c>
    </row>
    <row r="3161">
      <c r="A3161" s="2">
        <f>IFERROR(__xludf.DUMMYFUNCTION("""COMPUTED_VALUE"""),44764.66666666667)</f>
        <v>44764.66667</v>
      </c>
      <c r="B3161" s="1">
        <f>IFERROR(__xludf.DUMMYFUNCTION("""COMPUTED_VALUE"""),22.91)</f>
        <v>22.91</v>
      </c>
      <c r="C3161" s="1">
        <f>IFERROR(__xludf.DUMMYFUNCTION("""COMPUTED_VALUE"""),23.54)</f>
        <v>23.54</v>
      </c>
      <c r="D3161" s="1">
        <f>IFERROR(__xludf.DUMMYFUNCTION("""COMPUTED_VALUE"""),22.61)</f>
        <v>22.61</v>
      </c>
      <c r="E3161" s="1">
        <f>IFERROR(__xludf.DUMMYFUNCTION("""COMPUTED_VALUE"""),23.0)</f>
        <v>23</v>
      </c>
      <c r="F3161" s="1">
        <f>IFERROR(__xludf.DUMMYFUNCTION("""COMPUTED_VALUE"""),2004809.0)</f>
        <v>2004809</v>
      </c>
    </row>
    <row r="3162">
      <c r="A3162" s="2">
        <f>IFERROR(__xludf.DUMMYFUNCTION("""COMPUTED_VALUE"""),44767.66666666667)</f>
        <v>44767.66667</v>
      </c>
      <c r="B3162" s="1">
        <f>IFERROR(__xludf.DUMMYFUNCTION("""COMPUTED_VALUE"""),23.1)</f>
        <v>23.1</v>
      </c>
      <c r="C3162" s="1">
        <f>IFERROR(__xludf.DUMMYFUNCTION("""COMPUTED_VALUE"""),24.33)</f>
        <v>24.33</v>
      </c>
      <c r="D3162" s="1">
        <f>IFERROR(__xludf.DUMMYFUNCTION("""COMPUTED_VALUE"""),23.07)</f>
        <v>23.07</v>
      </c>
      <c r="E3162" s="1">
        <f>IFERROR(__xludf.DUMMYFUNCTION("""COMPUTED_VALUE"""),24.23)</f>
        <v>24.23</v>
      </c>
      <c r="F3162" s="1">
        <f>IFERROR(__xludf.DUMMYFUNCTION("""COMPUTED_VALUE"""),3525477.0)</f>
        <v>3525477</v>
      </c>
    </row>
    <row r="3163">
      <c r="A3163" s="2">
        <f>IFERROR(__xludf.DUMMYFUNCTION("""COMPUTED_VALUE"""),44768.66666666667)</f>
        <v>44768.66667</v>
      </c>
      <c r="B3163" s="1">
        <f>IFERROR(__xludf.DUMMYFUNCTION("""COMPUTED_VALUE"""),24.71)</f>
        <v>24.71</v>
      </c>
      <c r="C3163" s="1">
        <f>IFERROR(__xludf.DUMMYFUNCTION("""COMPUTED_VALUE"""),24.87)</f>
        <v>24.87</v>
      </c>
      <c r="D3163" s="1">
        <f>IFERROR(__xludf.DUMMYFUNCTION("""COMPUTED_VALUE"""),23.68)</f>
        <v>23.68</v>
      </c>
      <c r="E3163" s="1">
        <f>IFERROR(__xludf.DUMMYFUNCTION("""COMPUTED_VALUE"""),24.05)</f>
        <v>24.05</v>
      </c>
      <c r="F3163" s="1">
        <f>IFERROR(__xludf.DUMMYFUNCTION("""COMPUTED_VALUE"""),3007697.0)</f>
        <v>3007697</v>
      </c>
    </row>
    <row r="3164">
      <c r="A3164" s="2">
        <f>IFERROR(__xludf.DUMMYFUNCTION("""COMPUTED_VALUE"""),44769.66666666667)</f>
        <v>44769.66667</v>
      </c>
      <c r="B3164" s="1">
        <f>IFERROR(__xludf.DUMMYFUNCTION("""COMPUTED_VALUE"""),24.36)</f>
        <v>24.36</v>
      </c>
      <c r="C3164" s="1">
        <f>IFERROR(__xludf.DUMMYFUNCTION("""COMPUTED_VALUE"""),26.43)</f>
        <v>26.43</v>
      </c>
      <c r="D3164" s="1">
        <f>IFERROR(__xludf.DUMMYFUNCTION("""COMPUTED_VALUE"""),24.17)</f>
        <v>24.17</v>
      </c>
      <c r="E3164" s="1">
        <f>IFERROR(__xludf.DUMMYFUNCTION("""COMPUTED_VALUE"""),25.74)</f>
        <v>25.74</v>
      </c>
      <c r="F3164" s="1">
        <f>IFERROR(__xludf.DUMMYFUNCTION("""COMPUTED_VALUE"""),4251647.0)</f>
        <v>4251647</v>
      </c>
    </row>
    <row r="3165">
      <c r="A3165" s="2">
        <f>IFERROR(__xludf.DUMMYFUNCTION("""COMPUTED_VALUE"""),44770.66666666667)</f>
        <v>44770.66667</v>
      </c>
      <c r="B3165" s="1">
        <f>IFERROR(__xludf.DUMMYFUNCTION("""COMPUTED_VALUE"""),26.4)</f>
        <v>26.4</v>
      </c>
      <c r="C3165" s="1">
        <f>IFERROR(__xludf.DUMMYFUNCTION("""COMPUTED_VALUE"""),29.73)</f>
        <v>29.73</v>
      </c>
      <c r="D3165" s="1">
        <f>IFERROR(__xludf.DUMMYFUNCTION("""COMPUTED_VALUE"""),26.2)</f>
        <v>26.2</v>
      </c>
      <c r="E3165" s="1">
        <f>IFERROR(__xludf.DUMMYFUNCTION("""COMPUTED_VALUE"""),29.0)</f>
        <v>29</v>
      </c>
      <c r="F3165" s="1">
        <f>IFERROR(__xludf.DUMMYFUNCTION("""COMPUTED_VALUE"""),8367173.0)</f>
        <v>8367173</v>
      </c>
    </row>
    <row r="3166">
      <c r="A3166" s="2">
        <f>IFERROR(__xludf.DUMMYFUNCTION("""COMPUTED_VALUE"""),44771.66666666667)</f>
        <v>44771.66667</v>
      </c>
      <c r="B3166" s="1">
        <f>IFERROR(__xludf.DUMMYFUNCTION("""COMPUTED_VALUE"""),27.3)</f>
        <v>27.3</v>
      </c>
      <c r="C3166" s="1">
        <f>IFERROR(__xludf.DUMMYFUNCTION("""COMPUTED_VALUE"""),28.07)</f>
        <v>28.07</v>
      </c>
      <c r="D3166" s="1">
        <f>IFERROR(__xludf.DUMMYFUNCTION("""COMPUTED_VALUE"""),26.66)</f>
        <v>26.66</v>
      </c>
      <c r="E3166" s="1">
        <f>IFERROR(__xludf.DUMMYFUNCTION("""COMPUTED_VALUE"""),27.41)</f>
        <v>27.41</v>
      </c>
      <c r="F3166" s="1">
        <f>IFERROR(__xludf.DUMMYFUNCTION("""COMPUTED_VALUE"""),4381933.0)</f>
        <v>4381933</v>
      </c>
    </row>
    <row r="3167">
      <c r="A3167" s="2">
        <f>IFERROR(__xludf.DUMMYFUNCTION("""COMPUTED_VALUE"""),44774.66666666667)</f>
        <v>44774.66667</v>
      </c>
      <c r="B3167" s="1">
        <f>IFERROR(__xludf.DUMMYFUNCTION("""COMPUTED_VALUE"""),26.6)</f>
        <v>26.6</v>
      </c>
      <c r="C3167" s="1">
        <f>IFERROR(__xludf.DUMMYFUNCTION("""COMPUTED_VALUE"""),26.89)</f>
        <v>26.89</v>
      </c>
      <c r="D3167" s="1">
        <f>IFERROR(__xludf.DUMMYFUNCTION("""COMPUTED_VALUE"""),25.25)</f>
        <v>25.25</v>
      </c>
      <c r="E3167" s="1">
        <f>IFERROR(__xludf.DUMMYFUNCTION("""COMPUTED_VALUE"""),26.28)</f>
        <v>26.28</v>
      </c>
      <c r="F3167" s="1">
        <f>IFERROR(__xludf.DUMMYFUNCTION("""COMPUTED_VALUE"""),3518239.0)</f>
        <v>3518239</v>
      </c>
    </row>
    <row r="3168">
      <c r="A3168" s="2">
        <f>IFERROR(__xludf.DUMMYFUNCTION("""COMPUTED_VALUE"""),44775.66666666667)</f>
        <v>44775.66667</v>
      </c>
      <c r="B3168" s="1">
        <f>IFERROR(__xludf.DUMMYFUNCTION("""COMPUTED_VALUE"""),25.69)</f>
        <v>25.69</v>
      </c>
      <c r="C3168" s="1">
        <f>IFERROR(__xludf.DUMMYFUNCTION("""COMPUTED_VALUE"""),27.73)</f>
        <v>27.73</v>
      </c>
      <c r="D3168" s="1">
        <f>IFERROR(__xludf.DUMMYFUNCTION("""COMPUTED_VALUE"""),25.69)</f>
        <v>25.69</v>
      </c>
      <c r="E3168" s="1">
        <f>IFERROR(__xludf.DUMMYFUNCTION("""COMPUTED_VALUE"""),27.05)</f>
        <v>27.05</v>
      </c>
      <c r="F3168" s="1">
        <f>IFERROR(__xludf.DUMMYFUNCTION("""COMPUTED_VALUE"""),3636523.0)</f>
        <v>3636523</v>
      </c>
    </row>
    <row r="3169">
      <c r="A3169" s="2">
        <f>IFERROR(__xludf.DUMMYFUNCTION("""COMPUTED_VALUE"""),44776.66666666667)</f>
        <v>44776.66667</v>
      </c>
      <c r="B3169" s="1">
        <f>IFERROR(__xludf.DUMMYFUNCTION("""COMPUTED_VALUE"""),27.08)</f>
        <v>27.08</v>
      </c>
      <c r="C3169" s="1">
        <f>IFERROR(__xludf.DUMMYFUNCTION("""COMPUTED_VALUE"""),27.68)</f>
        <v>27.68</v>
      </c>
      <c r="D3169" s="1">
        <f>IFERROR(__xludf.DUMMYFUNCTION("""COMPUTED_VALUE"""),25.99)</f>
        <v>25.99</v>
      </c>
      <c r="E3169" s="1">
        <f>IFERROR(__xludf.DUMMYFUNCTION("""COMPUTED_VALUE"""),26.61)</f>
        <v>26.61</v>
      </c>
      <c r="F3169" s="1">
        <f>IFERROR(__xludf.DUMMYFUNCTION("""COMPUTED_VALUE"""),1842607.0)</f>
        <v>1842607</v>
      </c>
    </row>
    <row r="3170">
      <c r="A3170" s="2">
        <f>IFERROR(__xludf.DUMMYFUNCTION("""COMPUTED_VALUE"""),44777.66666666667)</f>
        <v>44777.66667</v>
      </c>
      <c r="B3170" s="1">
        <f>IFERROR(__xludf.DUMMYFUNCTION("""COMPUTED_VALUE"""),27.35)</f>
        <v>27.35</v>
      </c>
      <c r="C3170" s="1">
        <f>IFERROR(__xludf.DUMMYFUNCTION("""COMPUTED_VALUE"""),27.98)</f>
        <v>27.98</v>
      </c>
      <c r="D3170" s="1">
        <f>IFERROR(__xludf.DUMMYFUNCTION("""COMPUTED_VALUE"""),26.8)</f>
        <v>26.8</v>
      </c>
      <c r="E3170" s="1">
        <f>IFERROR(__xludf.DUMMYFUNCTION("""COMPUTED_VALUE"""),27.13)</f>
        <v>27.13</v>
      </c>
      <c r="F3170" s="1">
        <f>IFERROR(__xludf.DUMMYFUNCTION("""COMPUTED_VALUE"""),1468888.0)</f>
        <v>1468888</v>
      </c>
    </row>
    <row r="3171">
      <c r="A3171" s="2">
        <f>IFERROR(__xludf.DUMMYFUNCTION("""COMPUTED_VALUE"""),44778.66666666667)</f>
        <v>44778.66667</v>
      </c>
      <c r="B3171" s="1">
        <f>IFERROR(__xludf.DUMMYFUNCTION("""COMPUTED_VALUE"""),27.0)</f>
        <v>27</v>
      </c>
      <c r="C3171" s="1">
        <f>IFERROR(__xludf.DUMMYFUNCTION("""COMPUTED_VALUE"""),27.27)</f>
        <v>27.27</v>
      </c>
      <c r="D3171" s="1">
        <f>IFERROR(__xludf.DUMMYFUNCTION("""COMPUTED_VALUE"""),26.65)</f>
        <v>26.65</v>
      </c>
      <c r="E3171" s="1">
        <f>IFERROR(__xludf.DUMMYFUNCTION("""COMPUTED_VALUE"""),26.84)</f>
        <v>26.84</v>
      </c>
      <c r="F3171" s="1">
        <f>IFERROR(__xludf.DUMMYFUNCTION("""COMPUTED_VALUE"""),1290127.0)</f>
        <v>1290127</v>
      </c>
    </row>
    <row r="3172">
      <c r="A3172" s="2">
        <f>IFERROR(__xludf.DUMMYFUNCTION("""COMPUTED_VALUE"""),44781.66666666667)</f>
        <v>44781.66667</v>
      </c>
      <c r="B3172" s="1">
        <f>IFERROR(__xludf.DUMMYFUNCTION("""COMPUTED_VALUE"""),26.18)</f>
        <v>26.18</v>
      </c>
      <c r="C3172" s="1">
        <f>IFERROR(__xludf.DUMMYFUNCTION("""COMPUTED_VALUE"""),26.28)</f>
        <v>26.28</v>
      </c>
      <c r="D3172" s="1">
        <f>IFERROR(__xludf.DUMMYFUNCTION("""COMPUTED_VALUE"""),23.61)</f>
        <v>23.61</v>
      </c>
      <c r="E3172" s="1">
        <f>IFERROR(__xludf.DUMMYFUNCTION("""COMPUTED_VALUE"""),24.54)</f>
        <v>24.54</v>
      </c>
      <c r="F3172" s="1">
        <f>IFERROR(__xludf.DUMMYFUNCTION("""COMPUTED_VALUE"""),4837762.0)</f>
        <v>4837762</v>
      </c>
    </row>
    <row r="3173">
      <c r="A3173" s="2">
        <f>IFERROR(__xludf.DUMMYFUNCTION("""COMPUTED_VALUE"""),44782.66666666667)</f>
        <v>44782.66667</v>
      </c>
      <c r="B3173" s="1">
        <f>IFERROR(__xludf.DUMMYFUNCTION("""COMPUTED_VALUE"""),24.75)</f>
        <v>24.75</v>
      </c>
      <c r="C3173" s="1">
        <f>IFERROR(__xludf.DUMMYFUNCTION("""COMPUTED_VALUE"""),25.6)</f>
        <v>25.6</v>
      </c>
      <c r="D3173" s="1">
        <f>IFERROR(__xludf.DUMMYFUNCTION("""COMPUTED_VALUE"""),24.52)</f>
        <v>24.52</v>
      </c>
      <c r="E3173" s="1">
        <f>IFERROR(__xludf.DUMMYFUNCTION("""COMPUTED_VALUE"""),24.78)</f>
        <v>24.78</v>
      </c>
      <c r="F3173" s="1">
        <f>IFERROR(__xludf.DUMMYFUNCTION("""COMPUTED_VALUE"""),1395367.0)</f>
        <v>1395367</v>
      </c>
    </row>
    <row r="3174">
      <c r="A3174" s="2">
        <f>IFERROR(__xludf.DUMMYFUNCTION("""COMPUTED_VALUE"""),44783.66666666667)</f>
        <v>44783.66667</v>
      </c>
      <c r="B3174" s="1">
        <f>IFERROR(__xludf.DUMMYFUNCTION("""COMPUTED_VALUE"""),25.02)</f>
        <v>25.02</v>
      </c>
      <c r="C3174" s="1">
        <f>IFERROR(__xludf.DUMMYFUNCTION("""COMPUTED_VALUE"""),25.69)</f>
        <v>25.69</v>
      </c>
      <c r="D3174" s="1">
        <f>IFERROR(__xludf.DUMMYFUNCTION("""COMPUTED_VALUE"""),24.5)</f>
        <v>24.5</v>
      </c>
      <c r="E3174" s="1">
        <f>IFERROR(__xludf.DUMMYFUNCTION("""COMPUTED_VALUE"""),25.68)</f>
        <v>25.68</v>
      </c>
      <c r="F3174" s="1">
        <f>IFERROR(__xludf.DUMMYFUNCTION("""COMPUTED_VALUE"""),1531769.0)</f>
        <v>1531769</v>
      </c>
    </row>
    <row r="3175">
      <c r="A3175" s="2">
        <f>IFERROR(__xludf.DUMMYFUNCTION("""COMPUTED_VALUE"""),44784.66666666667)</f>
        <v>44784.66667</v>
      </c>
      <c r="B3175" s="1">
        <f>IFERROR(__xludf.DUMMYFUNCTION("""COMPUTED_VALUE"""),26.5)</f>
        <v>26.5</v>
      </c>
      <c r="C3175" s="1">
        <f>IFERROR(__xludf.DUMMYFUNCTION("""COMPUTED_VALUE"""),26.79)</f>
        <v>26.79</v>
      </c>
      <c r="D3175" s="1">
        <f>IFERROR(__xludf.DUMMYFUNCTION("""COMPUTED_VALUE"""),24.88)</f>
        <v>24.88</v>
      </c>
      <c r="E3175" s="1">
        <f>IFERROR(__xludf.DUMMYFUNCTION("""COMPUTED_VALUE"""),25.02)</f>
        <v>25.02</v>
      </c>
      <c r="F3175" s="1">
        <f>IFERROR(__xludf.DUMMYFUNCTION("""COMPUTED_VALUE"""),1390242.0)</f>
        <v>1390242</v>
      </c>
    </row>
    <row r="3176">
      <c r="A3176" s="2">
        <f>IFERROR(__xludf.DUMMYFUNCTION("""COMPUTED_VALUE"""),44785.66666666667)</f>
        <v>44785.66667</v>
      </c>
      <c r="B3176" s="1">
        <f>IFERROR(__xludf.DUMMYFUNCTION("""COMPUTED_VALUE"""),24.17)</f>
        <v>24.17</v>
      </c>
      <c r="C3176" s="1">
        <f>IFERROR(__xludf.DUMMYFUNCTION("""COMPUTED_VALUE"""),25.34)</f>
        <v>25.34</v>
      </c>
      <c r="D3176" s="1">
        <f>IFERROR(__xludf.DUMMYFUNCTION("""COMPUTED_VALUE"""),23.61)</f>
        <v>23.61</v>
      </c>
      <c r="E3176" s="1">
        <f>IFERROR(__xludf.DUMMYFUNCTION("""COMPUTED_VALUE"""),25.25)</f>
        <v>25.25</v>
      </c>
      <c r="F3176" s="1">
        <f>IFERROR(__xludf.DUMMYFUNCTION("""COMPUTED_VALUE"""),1614105.0)</f>
        <v>1614105</v>
      </c>
    </row>
    <row r="3177">
      <c r="A3177" s="2">
        <f>IFERROR(__xludf.DUMMYFUNCTION("""COMPUTED_VALUE"""),44788.66666666667)</f>
        <v>44788.66667</v>
      </c>
      <c r="B3177" s="1">
        <f>IFERROR(__xludf.DUMMYFUNCTION("""COMPUTED_VALUE"""),25.37)</f>
        <v>25.37</v>
      </c>
      <c r="C3177" s="1">
        <f>IFERROR(__xludf.DUMMYFUNCTION("""COMPUTED_VALUE"""),26.33)</f>
        <v>26.33</v>
      </c>
      <c r="D3177" s="1">
        <f>IFERROR(__xludf.DUMMYFUNCTION("""COMPUTED_VALUE"""),25.07)</f>
        <v>25.07</v>
      </c>
      <c r="E3177" s="1">
        <f>IFERROR(__xludf.DUMMYFUNCTION("""COMPUTED_VALUE"""),25.92)</f>
        <v>25.92</v>
      </c>
      <c r="F3177" s="1">
        <f>IFERROR(__xludf.DUMMYFUNCTION("""COMPUTED_VALUE"""),1123363.0)</f>
        <v>1123363</v>
      </c>
    </row>
    <row r="3178">
      <c r="A3178" s="2">
        <f>IFERROR(__xludf.DUMMYFUNCTION("""COMPUTED_VALUE"""),44789.66666666667)</f>
        <v>44789.66667</v>
      </c>
      <c r="B3178" s="1">
        <f>IFERROR(__xludf.DUMMYFUNCTION("""COMPUTED_VALUE"""),25.51)</f>
        <v>25.51</v>
      </c>
      <c r="C3178" s="1">
        <f>IFERROR(__xludf.DUMMYFUNCTION("""COMPUTED_VALUE"""),25.61)</f>
        <v>25.61</v>
      </c>
      <c r="D3178" s="1">
        <f>IFERROR(__xludf.DUMMYFUNCTION("""COMPUTED_VALUE"""),24.53)</f>
        <v>24.53</v>
      </c>
      <c r="E3178" s="1">
        <f>IFERROR(__xludf.DUMMYFUNCTION("""COMPUTED_VALUE"""),24.62)</f>
        <v>24.62</v>
      </c>
      <c r="F3178" s="1">
        <f>IFERROR(__xludf.DUMMYFUNCTION("""COMPUTED_VALUE"""),1361734.0)</f>
        <v>1361734</v>
      </c>
    </row>
    <row r="3179">
      <c r="A3179" s="2">
        <f>IFERROR(__xludf.DUMMYFUNCTION("""COMPUTED_VALUE"""),44790.66666666667)</f>
        <v>44790.66667</v>
      </c>
      <c r="B3179" s="1">
        <f>IFERROR(__xludf.DUMMYFUNCTION("""COMPUTED_VALUE"""),25.01)</f>
        <v>25.01</v>
      </c>
      <c r="C3179" s="1">
        <f>IFERROR(__xludf.DUMMYFUNCTION("""COMPUTED_VALUE"""),25.04)</f>
        <v>25.04</v>
      </c>
      <c r="D3179" s="1">
        <f>IFERROR(__xludf.DUMMYFUNCTION("""COMPUTED_VALUE"""),24.31)</f>
        <v>24.31</v>
      </c>
      <c r="E3179" s="1">
        <f>IFERROR(__xludf.DUMMYFUNCTION("""COMPUTED_VALUE"""),24.53)</f>
        <v>24.53</v>
      </c>
      <c r="F3179" s="1">
        <f>IFERROR(__xludf.DUMMYFUNCTION("""COMPUTED_VALUE"""),1016295.0)</f>
        <v>1016295</v>
      </c>
    </row>
    <row r="3180">
      <c r="A3180" s="2">
        <f>IFERROR(__xludf.DUMMYFUNCTION("""COMPUTED_VALUE"""),44791.66666666667)</f>
        <v>44791.66667</v>
      </c>
      <c r="B3180" s="1">
        <f>IFERROR(__xludf.DUMMYFUNCTION("""COMPUTED_VALUE"""),24.15)</f>
        <v>24.15</v>
      </c>
      <c r="C3180" s="1">
        <f>IFERROR(__xludf.DUMMYFUNCTION("""COMPUTED_VALUE"""),24.98)</f>
        <v>24.98</v>
      </c>
      <c r="D3180" s="1">
        <f>IFERROR(__xludf.DUMMYFUNCTION("""COMPUTED_VALUE"""),24.05)</f>
        <v>24.05</v>
      </c>
      <c r="E3180" s="1">
        <f>IFERROR(__xludf.DUMMYFUNCTION("""COMPUTED_VALUE"""),24.55)</f>
        <v>24.55</v>
      </c>
      <c r="F3180" s="1">
        <f>IFERROR(__xludf.DUMMYFUNCTION("""COMPUTED_VALUE"""),897607.0)</f>
        <v>897607</v>
      </c>
    </row>
    <row r="3181">
      <c r="A3181" s="2">
        <f>IFERROR(__xludf.DUMMYFUNCTION("""COMPUTED_VALUE"""),44792.66666666667)</f>
        <v>44792.66667</v>
      </c>
      <c r="B3181" s="1">
        <f>IFERROR(__xludf.DUMMYFUNCTION("""COMPUTED_VALUE"""),24.49)</f>
        <v>24.49</v>
      </c>
      <c r="C3181" s="1">
        <f>IFERROR(__xludf.DUMMYFUNCTION("""COMPUTED_VALUE"""),24.55)</f>
        <v>24.55</v>
      </c>
      <c r="D3181" s="1">
        <f>IFERROR(__xludf.DUMMYFUNCTION("""COMPUTED_VALUE"""),23.38)</f>
        <v>23.38</v>
      </c>
      <c r="E3181" s="1">
        <f>IFERROR(__xludf.DUMMYFUNCTION("""COMPUTED_VALUE"""),23.76)</f>
        <v>23.76</v>
      </c>
      <c r="F3181" s="1">
        <f>IFERROR(__xludf.DUMMYFUNCTION("""COMPUTED_VALUE"""),1148861.0)</f>
        <v>1148861</v>
      </c>
    </row>
    <row r="3182">
      <c r="A3182" s="2">
        <f>IFERROR(__xludf.DUMMYFUNCTION("""COMPUTED_VALUE"""),44795.66666666667)</f>
        <v>44795.66667</v>
      </c>
      <c r="B3182" s="1">
        <f>IFERROR(__xludf.DUMMYFUNCTION("""COMPUTED_VALUE"""),24.09)</f>
        <v>24.09</v>
      </c>
      <c r="C3182" s="1">
        <f>IFERROR(__xludf.DUMMYFUNCTION("""COMPUTED_VALUE"""),24.95)</f>
        <v>24.95</v>
      </c>
      <c r="D3182" s="1">
        <f>IFERROR(__xludf.DUMMYFUNCTION("""COMPUTED_VALUE"""),23.86)</f>
        <v>23.86</v>
      </c>
      <c r="E3182" s="1">
        <f>IFERROR(__xludf.DUMMYFUNCTION("""COMPUTED_VALUE"""),24.3)</f>
        <v>24.3</v>
      </c>
      <c r="F3182" s="1">
        <f>IFERROR(__xludf.DUMMYFUNCTION("""COMPUTED_VALUE"""),1117186.0)</f>
        <v>1117186</v>
      </c>
    </row>
    <row r="3183">
      <c r="A3183" s="2">
        <f>IFERROR(__xludf.DUMMYFUNCTION("""COMPUTED_VALUE"""),44796.66666666667)</f>
        <v>44796.66667</v>
      </c>
      <c r="B3183" s="1">
        <f>IFERROR(__xludf.DUMMYFUNCTION("""COMPUTED_VALUE"""),25.2)</f>
        <v>25.2</v>
      </c>
      <c r="C3183" s="1">
        <f>IFERROR(__xludf.DUMMYFUNCTION("""COMPUTED_VALUE"""),26.09)</f>
        <v>26.09</v>
      </c>
      <c r="D3183" s="1">
        <f>IFERROR(__xludf.DUMMYFUNCTION("""COMPUTED_VALUE"""),24.81)</f>
        <v>24.81</v>
      </c>
      <c r="E3183" s="1">
        <f>IFERROR(__xludf.DUMMYFUNCTION("""COMPUTED_VALUE"""),25.81)</f>
        <v>25.81</v>
      </c>
      <c r="F3183" s="1">
        <f>IFERROR(__xludf.DUMMYFUNCTION("""COMPUTED_VALUE"""),1720532.0)</f>
        <v>1720532</v>
      </c>
    </row>
    <row r="3184">
      <c r="A3184" s="2">
        <f>IFERROR(__xludf.DUMMYFUNCTION("""COMPUTED_VALUE"""),44797.66666666667)</f>
        <v>44797.66667</v>
      </c>
      <c r="B3184" s="1">
        <f>IFERROR(__xludf.DUMMYFUNCTION("""COMPUTED_VALUE"""),25.2)</f>
        <v>25.2</v>
      </c>
      <c r="C3184" s="1">
        <f>IFERROR(__xludf.DUMMYFUNCTION("""COMPUTED_VALUE"""),26.57)</f>
        <v>26.57</v>
      </c>
      <c r="D3184" s="1">
        <f>IFERROR(__xludf.DUMMYFUNCTION("""COMPUTED_VALUE"""),25.2)</f>
        <v>25.2</v>
      </c>
      <c r="E3184" s="1">
        <f>IFERROR(__xludf.DUMMYFUNCTION("""COMPUTED_VALUE"""),26.27)</f>
        <v>26.27</v>
      </c>
      <c r="F3184" s="1">
        <f>IFERROR(__xludf.DUMMYFUNCTION("""COMPUTED_VALUE"""),1350457.0)</f>
        <v>1350457</v>
      </c>
    </row>
    <row r="3185">
      <c r="A3185" s="2">
        <f>IFERROR(__xludf.DUMMYFUNCTION("""COMPUTED_VALUE"""),44798.66666666667)</f>
        <v>44798.66667</v>
      </c>
      <c r="B3185" s="1">
        <f>IFERROR(__xludf.DUMMYFUNCTION("""COMPUTED_VALUE"""),27.25)</f>
        <v>27.25</v>
      </c>
      <c r="C3185" s="1">
        <f>IFERROR(__xludf.DUMMYFUNCTION("""COMPUTED_VALUE"""),27.63)</f>
        <v>27.63</v>
      </c>
      <c r="D3185" s="1">
        <f>IFERROR(__xludf.DUMMYFUNCTION("""COMPUTED_VALUE"""),26.41)</f>
        <v>26.41</v>
      </c>
      <c r="E3185" s="1">
        <f>IFERROR(__xludf.DUMMYFUNCTION("""COMPUTED_VALUE"""),27.53)</f>
        <v>27.53</v>
      </c>
      <c r="F3185" s="1">
        <f>IFERROR(__xludf.DUMMYFUNCTION("""COMPUTED_VALUE"""),1715571.0)</f>
        <v>1715571</v>
      </c>
    </row>
    <row r="3186">
      <c r="A3186" s="2">
        <f>IFERROR(__xludf.DUMMYFUNCTION("""COMPUTED_VALUE"""),44799.66666666667)</f>
        <v>44799.66667</v>
      </c>
      <c r="B3186" s="1">
        <f>IFERROR(__xludf.DUMMYFUNCTION("""COMPUTED_VALUE"""),28.7)</f>
        <v>28.7</v>
      </c>
      <c r="C3186" s="1">
        <f>IFERROR(__xludf.DUMMYFUNCTION("""COMPUTED_VALUE"""),28.86)</f>
        <v>28.86</v>
      </c>
      <c r="D3186" s="1">
        <f>IFERROR(__xludf.DUMMYFUNCTION("""COMPUTED_VALUE"""),27.64)</f>
        <v>27.64</v>
      </c>
      <c r="E3186" s="1">
        <f>IFERROR(__xludf.DUMMYFUNCTION("""COMPUTED_VALUE"""),28.15)</f>
        <v>28.15</v>
      </c>
      <c r="F3186" s="1">
        <f>IFERROR(__xludf.DUMMYFUNCTION("""COMPUTED_VALUE"""),1983648.0)</f>
        <v>1983648</v>
      </c>
    </row>
    <row r="3187">
      <c r="A3187" s="2">
        <f>IFERROR(__xludf.DUMMYFUNCTION("""COMPUTED_VALUE"""),44802.66666666667)</f>
        <v>44802.66667</v>
      </c>
      <c r="B3187" s="1">
        <f>IFERROR(__xludf.DUMMYFUNCTION("""COMPUTED_VALUE"""),27.83)</f>
        <v>27.83</v>
      </c>
      <c r="C3187" s="1">
        <f>IFERROR(__xludf.DUMMYFUNCTION("""COMPUTED_VALUE"""),29.23)</f>
        <v>29.23</v>
      </c>
      <c r="D3187" s="1">
        <f>IFERROR(__xludf.DUMMYFUNCTION("""COMPUTED_VALUE"""),27.71)</f>
        <v>27.71</v>
      </c>
      <c r="E3187" s="1">
        <f>IFERROR(__xludf.DUMMYFUNCTION("""COMPUTED_VALUE"""),28.35)</f>
        <v>28.35</v>
      </c>
      <c r="F3187" s="1">
        <f>IFERROR(__xludf.DUMMYFUNCTION("""COMPUTED_VALUE"""),1548165.0)</f>
        <v>1548165</v>
      </c>
    </row>
    <row r="3188">
      <c r="A3188" s="2">
        <f>IFERROR(__xludf.DUMMYFUNCTION("""COMPUTED_VALUE"""),44803.66666666667)</f>
        <v>44803.66667</v>
      </c>
      <c r="B3188" s="1">
        <f>IFERROR(__xludf.DUMMYFUNCTION("""COMPUTED_VALUE"""),29.19)</f>
        <v>29.19</v>
      </c>
      <c r="C3188" s="1">
        <f>IFERROR(__xludf.DUMMYFUNCTION("""COMPUTED_VALUE"""),29.77)</f>
        <v>29.77</v>
      </c>
      <c r="D3188" s="1">
        <f>IFERROR(__xludf.DUMMYFUNCTION("""COMPUTED_VALUE"""),28.17)</f>
        <v>28.17</v>
      </c>
      <c r="E3188" s="1">
        <f>IFERROR(__xludf.DUMMYFUNCTION("""COMPUTED_VALUE"""),28.54)</f>
        <v>28.54</v>
      </c>
      <c r="F3188" s="1">
        <f>IFERROR(__xludf.DUMMYFUNCTION("""COMPUTED_VALUE"""),3963171.0)</f>
        <v>3963171</v>
      </c>
    </row>
    <row r="3189">
      <c r="A3189" s="2">
        <f>IFERROR(__xludf.DUMMYFUNCTION("""COMPUTED_VALUE"""),44804.66666666667)</f>
        <v>44804.66667</v>
      </c>
      <c r="B3189" s="1">
        <f>IFERROR(__xludf.DUMMYFUNCTION("""COMPUTED_VALUE"""),29.5)</f>
        <v>29.5</v>
      </c>
      <c r="C3189" s="1">
        <f>IFERROR(__xludf.DUMMYFUNCTION("""COMPUTED_VALUE"""),29.8)</f>
        <v>29.8</v>
      </c>
      <c r="D3189" s="1">
        <f>IFERROR(__xludf.DUMMYFUNCTION("""COMPUTED_VALUE"""),27.31)</f>
        <v>27.31</v>
      </c>
      <c r="E3189" s="1">
        <f>IFERROR(__xludf.DUMMYFUNCTION("""COMPUTED_VALUE"""),28.4)</f>
        <v>28.4</v>
      </c>
      <c r="F3189" s="1">
        <f>IFERROR(__xludf.DUMMYFUNCTION("""COMPUTED_VALUE"""),2103357.0)</f>
        <v>2103357</v>
      </c>
    </row>
    <row r="3190">
      <c r="A3190" s="2">
        <f>IFERROR(__xludf.DUMMYFUNCTION("""COMPUTED_VALUE"""),44805.66666666667)</f>
        <v>44805.66667</v>
      </c>
      <c r="B3190" s="1">
        <f>IFERROR(__xludf.DUMMYFUNCTION("""COMPUTED_VALUE"""),27.8)</f>
        <v>27.8</v>
      </c>
      <c r="C3190" s="1">
        <f>IFERROR(__xludf.DUMMYFUNCTION("""COMPUTED_VALUE"""),28.54)</f>
        <v>28.54</v>
      </c>
      <c r="D3190" s="1">
        <f>IFERROR(__xludf.DUMMYFUNCTION("""COMPUTED_VALUE"""),27.04)</f>
        <v>27.04</v>
      </c>
      <c r="E3190" s="1">
        <f>IFERROR(__xludf.DUMMYFUNCTION("""COMPUTED_VALUE"""),27.82)</f>
        <v>27.82</v>
      </c>
      <c r="F3190" s="1">
        <f>IFERROR(__xludf.DUMMYFUNCTION("""COMPUTED_VALUE"""),1541750.0)</f>
        <v>1541750</v>
      </c>
    </row>
    <row r="3191">
      <c r="A3191" s="2">
        <f>IFERROR(__xludf.DUMMYFUNCTION("""COMPUTED_VALUE"""),44806.66666666667)</f>
        <v>44806.66667</v>
      </c>
      <c r="B3191" s="1">
        <f>IFERROR(__xludf.DUMMYFUNCTION("""COMPUTED_VALUE"""),28.12)</f>
        <v>28.12</v>
      </c>
      <c r="C3191" s="1">
        <f>IFERROR(__xludf.DUMMYFUNCTION("""COMPUTED_VALUE"""),28.13)</f>
        <v>28.13</v>
      </c>
      <c r="D3191" s="1">
        <f>IFERROR(__xludf.DUMMYFUNCTION("""COMPUTED_VALUE"""),26.72)</f>
        <v>26.72</v>
      </c>
      <c r="E3191" s="1">
        <f>IFERROR(__xludf.DUMMYFUNCTION("""COMPUTED_VALUE"""),27.03)</f>
        <v>27.03</v>
      </c>
      <c r="F3191" s="1">
        <f>IFERROR(__xludf.DUMMYFUNCTION("""COMPUTED_VALUE"""),872880.0)</f>
        <v>872880</v>
      </c>
    </row>
    <row r="3192">
      <c r="A3192" s="2">
        <f>IFERROR(__xludf.DUMMYFUNCTION("""COMPUTED_VALUE"""),44810.66666666667)</f>
        <v>44810.66667</v>
      </c>
      <c r="B3192" s="1">
        <f>IFERROR(__xludf.DUMMYFUNCTION("""COMPUTED_VALUE"""),27.71)</f>
        <v>27.71</v>
      </c>
      <c r="C3192" s="1">
        <f>IFERROR(__xludf.DUMMYFUNCTION("""COMPUTED_VALUE"""),27.78)</f>
        <v>27.78</v>
      </c>
      <c r="D3192" s="1">
        <f>IFERROR(__xludf.DUMMYFUNCTION("""COMPUTED_VALUE"""),25.64)</f>
        <v>25.64</v>
      </c>
      <c r="E3192" s="1">
        <f>IFERROR(__xludf.DUMMYFUNCTION("""COMPUTED_VALUE"""),26.2)</f>
        <v>26.2</v>
      </c>
      <c r="F3192" s="1">
        <f>IFERROR(__xludf.DUMMYFUNCTION("""COMPUTED_VALUE"""),1855464.0)</f>
        <v>1855464</v>
      </c>
    </row>
    <row r="3193">
      <c r="A3193" s="2">
        <f>IFERROR(__xludf.DUMMYFUNCTION("""COMPUTED_VALUE"""),44811.66666666667)</f>
        <v>44811.66667</v>
      </c>
      <c r="B3193" s="1">
        <f>IFERROR(__xludf.DUMMYFUNCTION("""COMPUTED_VALUE"""),26.0)</f>
        <v>26</v>
      </c>
      <c r="C3193" s="1">
        <f>IFERROR(__xludf.DUMMYFUNCTION("""COMPUTED_VALUE"""),26.65)</f>
        <v>26.65</v>
      </c>
      <c r="D3193" s="1">
        <f>IFERROR(__xludf.DUMMYFUNCTION("""COMPUTED_VALUE"""),25.49)</f>
        <v>25.49</v>
      </c>
      <c r="E3193" s="1">
        <f>IFERROR(__xludf.DUMMYFUNCTION("""COMPUTED_VALUE"""),26.12)</f>
        <v>26.12</v>
      </c>
      <c r="F3193" s="1">
        <f>IFERROR(__xludf.DUMMYFUNCTION("""COMPUTED_VALUE"""),1512393.0)</f>
        <v>1512393</v>
      </c>
    </row>
    <row r="3194">
      <c r="A3194" s="2">
        <f>IFERROR(__xludf.DUMMYFUNCTION("""COMPUTED_VALUE"""),44812.66666666667)</f>
        <v>44812.66667</v>
      </c>
      <c r="B3194" s="1">
        <f>IFERROR(__xludf.DUMMYFUNCTION("""COMPUTED_VALUE"""),25.5)</f>
        <v>25.5</v>
      </c>
      <c r="C3194" s="1">
        <f>IFERROR(__xludf.DUMMYFUNCTION("""COMPUTED_VALUE"""),26.14)</f>
        <v>26.14</v>
      </c>
      <c r="D3194" s="1">
        <f>IFERROR(__xludf.DUMMYFUNCTION("""COMPUTED_VALUE"""),25.4)</f>
        <v>25.4</v>
      </c>
      <c r="E3194" s="1">
        <f>IFERROR(__xludf.DUMMYFUNCTION("""COMPUTED_VALUE"""),26.03)</f>
        <v>26.03</v>
      </c>
      <c r="F3194" s="1">
        <f>IFERROR(__xludf.DUMMYFUNCTION("""COMPUTED_VALUE"""),1150262.0)</f>
        <v>1150262</v>
      </c>
    </row>
    <row r="3195">
      <c r="A3195" s="2">
        <f>IFERROR(__xludf.DUMMYFUNCTION("""COMPUTED_VALUE"""),44813.66666666667)</f>
        <v>44813.66667</v>
      </c>
      <c r="B3195" s="1">
        <f>IFERROR(__xludf.DUMMYFUNCTION("""COMPUTED_VALUE"""),27.1)</f>
        <v>27.1</v>
      </c>
      <c r="C3195" s="1">
        <f>IFERROR(__xludf.DUMMYFUNCTION("""COMPUTED_VALUE"""),27.58)</f>
        <v>27.58</v>
      </c>
      <c r="D3195" s="1">
        <f>IFERROR(__xludf.DUMMYFUNCTION("""COMPUTED_VALUE"""),26.64)</f>
        <v>26.64</v>
      </c>
      <c r="E3195" s="1">
        <f>IFERROR(__xludf.DUMMYFUNCTION("""COMPUTED_VALUE"""),26.75)</f>
        <v>26.75</v>
      </c>
      <c r="F3195" s="1">
        <f>IFERROR(__xludf.DUMMYFUNCTION("""COMPUTED_VALUE"""),1154158.0)</f>
        <v>1154158</v>
      </c>
    </row>
    <row r="3196">
      <c r="A3196" s="2">
        <f>IFERROR(__xludf.DUMMYFUNCTION("""COMPUTED_VALUE"""),44816.66666666667)</f>
        <v>44816.66667</v>
      </c>
      <c r="B3196" s="1">
        <f>IFERROR(__xludf.DUMMYFUNCTION("""COMPUTED_VALUE"""),26.66)</f>
        <v>26.66</v>
      </c>
      <c r="C3196" s="1">
        <f>IFERROR(__xludf.DUMMYFUNCTION("""COMPUTED_VALUE"""),26.94)</f>
        <v>26.94</v>
      </c>
      <c r="D3196" s="1">
        <f>IFERROR(__xludf.DUMMYFUNCTION("""COMPUTED_VALUE"""),25.9)</f>
        <v>25.9</v>
      </c>
      <c r="E3196" s="1">
        <f>IFERROR(__xludf.DUMMYFUNCTION("""COMPUTED_VALUE"""),26.94)</f>
        <v>26.94</v>
      </c>
      <c r="F3196" s="1">
        <f>IFERROR(__xludf.DUMMYFUNCTION("""COMPUTED_VALUE"""),1382146.0)</f>
        <v>1382146</v>
      </c>
    </row>
    <row r="3197">
      <c r="A3197" s="2">
        <f>IFERROR(__xludf.DUMMYFUNCTION("""COMPUTED_VALUE"""),44817.66666666667)</f>
        <v>44817.66667</v>
      </c>
      <c r="B3197" s="1">
        <f>IFERROR(__xludf.DUMMYFUNCTION("""COMPUTED_VALUE"""),26.18)</f>
        <v>26.18</v>
      </c>
      <c r="C3197" s="1">
        <f>IFERROR(__xludf.DUMMYFUNCTION("""COMPUTED_VALUE"""),27.12)</f>
        <v>27.12</v>
      </c>
      <c r="D3197" s="1">
        <f>IFERROR(__xludf.DUMMYFUNCTION("""COMPUTED_VALUE"""),25.89)</f>
        <v>25.89</v>
      </c>
      <c r="E3197" s="1">
        <f>IFERROR(__xludf.DUMMYFUNCTION("""COMPUTED_VALUE"""),26.66)</f>
        <v>26.66</v>
      </c>
      <c r="F3197" s="1">
        <f>IFERROR(__xludf.DUMMYFUNCTION("""COMPUTED_VALUE"""),2067550.0)</f>
        <v>2067550</v>
      </c>
    </row>
    <row r="3198">
      <c r="A3198" s="2">
        <f>IFERROR(__xludf.DUMMYFUNCTION("""COMPUTED_VALUE"""),44818.66666666667)</f>
        <v>44818.66667</v>
      </c>
      <c r="B3198" s="1">
        <f>IFERROR(__xludf.DUMMYFUNCTION("""COMPUTED_VALUE"""),26.19)</f>
        <v>26.19</v>
      </c>
      <c r="C3198" s="1">
        <f>IFERROR(__xludf.DUMMYFUNCTION("""COMPUTED_VALUE"""),26.36)</f>
        <v>26.36</v>
      </c>
      <c r="D3198" s="1">
        <f>IFERROR(__xludf.DUMMYFUNCTION("""COMPUTED_VALUE"""),24.57)</f>
        <v>24.57</v>
      </c>
      <c r="E3198" s="1">
        <f>IFERROR(__xludf.DUMMYFUNCTION("""COMPUTED_VALUE"""),24.79)</f>
        <v>24.79</v>
      </c>
      <c r="F3198" s="1">
        <f>IFERROR(__xludf.DUMMYFUNCTION("""COMPUTED_VALUE"""),1946420.0)</f>
        <v>1946420</v>
      </c>
    </row>
    <row r="3199">
      <c r="A3199" s="2">
        <f>IFERROR(__xludf.DUMMYFUNCTION("""COMPUTED_VALUE"""),44819.66666666667)</f>
        <v>44819.66667</v>
      </c>
      <c r="B3199" s="1">
        <f>IFERROR(__xludf.DUMMYFUNCTION("""COMPUTED_VALUE"""),24.69)</f>
        <v>24.69</v>
      </c>
      <c r="C3199" s="1">
        <f>IFERROR(__xludf.DUMMYFUNCTION("""COMPUTED_VALUE"""),25.97)</f>
        <v>25.97</v>
      </c>
      <c r="D3199" s="1">
        <f>IFERROR(__xludf.DUMMYFUNCTION("""COMPUTED_VALUE"""),24.69)</f>
        <v>24.69</v>
      </c>
      <c r="E3199" s="1">
        <f>IFERROR(__xludf.DUMMYFUNCTION("""COMPUTED_VALUE"""),25.7)</f>
        <v>25.7</v>
      </c>
      <c r="F3199" s="1">
        <f>IFERROR(__xludf.DUMMYFUNCTION("""COMPUTED_VALUE"""),1534681.0)</f>
        <v>1534681</v>
      </c>
    </row>
    <row r="3200">
      <c r="A3200" s="2">
        <f>IFERROR(__xludf.DUMMYFUNCTION("""COMPUTED_VALUE"""),44820.66666666667)</f>
        <v>44820.66667</v>
      </c>
      <c r="B3200" s="1">
        <f>IFERROR(__xludf.DUMMYFUNCTION("""COMPUTED_VALUE"""),25.55)</f>
        <v>25.55</v>
      </c>
      <c r="C3200" s="1">
        <f>IFERROR(__xludf.DUMMYFUNCTION("""COMPUTED_VALUE"""),25.56)</f>
        <v>25.56</v>
      </c>
      <c r="D3200" s="1">
        <f>IFERROR(__xludf.DUMMYFUNCTION("""COMPUTED_VALUE"""),24.26)</f>
        <v>24.26</v>
      </c>
      <c r="E3200" s="1">
        <f>IFERROR(__xludf.DUMMYFUNCTION("""COMPUTED_VALUE"""),24.4)</f>
        <v>24.4</v>
      </c>
      <c r="F3200" s="1">
        <f>IFERROR(__xludf.DUMMYFUNCTION("""COMPUTED_VALUE"""),2581619.0)</f>
        <v>2581619</v>
      </c>
    </row>
    <row r="3201">
      <c r="A3201" s="2">
        <f>IFERROR(__xludf.DUMMYFUNCTION("""COMPUTED_VALUE"""),44823.66666666667)</f>
        <v>44823.66667</v>
      </c>
      <c r="B3201" s="1">
        <f>IFERROR(__xludf.DUMMYFUNCTION("""COMPUTED_VALUE"""),23.64)</f>
        <v>23.64</v>
      </c>
      <c r="C3201" s="1">
        <f>IFERROR(__xludf.DUMMYFUNCTION("""COMPUTED_VALUE"""),24.41)</f>
        <v>24.41</v>
      </c>
      <c r="D3201" s="1">
        <f>IFERROR(__xludf.DUMMYFUNCTION("""COMPUTED_VALUE"""),23.12)</f>
        <v>23.12</v>
      </c>
      <c r="E3201" s="1">
        <f>IFERROR(__xludf.DUMMYFUNCTION("""COMPUTED_VALUE"""),23.97)</f>
        <v>23.97</v>
      </c>
      <c r="F3201" s="1">
        <f>IFERROR(__xludf.DUMMYFUNCTION("""COMPUTED_VALUE"""),1489868.0)</f>
        <v>1489868</v>
      </c>
    </row>
    <row r="3202">
      <c r="A3202" s="2">
        <f>IFERROR(__xludf.DUMMYFUNCTION("""COMPUTED_VALUE"""),44824.66666666667)</f>
        <v>44824.66667</v>
      </c>
      <c r="B3202" s="1">
        <f>IFERROR(__xludf.DUMMYFUNCTION("""COMPUTED_VALUE"""),23.73)</f>
        <v>23.73</v>
      </c>
      <c r="C3202" s="1">
        <f>IFERROR(__xludf.DUMMYFUNCTION("""COMPUTED_VALUE"""),24.08)</f>
        <v>24.08</v>
      </c>
      <c r="D3202" s="1">
        <f>IFERROR(__xludf.DUMMYFUNCTION("""COMPUTED_VALUE"""),23.26)</f>
        <v>23.26</v>
      </c>
      <c r="E3202" s="1">
        <f>IFERROR(__xludf.DUMMYFUNCTION("""COMPUTED_VALUE"""),23.3)</f>
        <v>23.3</v>
      </c>
      <c r="F3202" s="1">
        <f>IFERROR(__xludf.DUMMYFUNCTION("""COMPUTED_VALUE"""),1217477.0)</f>
        <v>1217477</v>
      </c>
    </row>
    <row r="3203">
      <c r="A3203" s="2">
        <f>IFERROR(__xludf.DUMMYFUNCTION("""COMPUTED_VALUE"""),44825.66666666667)</f>
        <v>44825.66667</v>
      </c>
      <c r="B3203" s="1">
        <f>IFERROR(__xludf.DUMMYFUNCTION("""COMPUTED_VALUE"""),22.86)</f>
        <v>22.86</v>
      </c>
      <c r="C3203" s="1">
        <f>IFERROR(__xludf.DUMMYFUNCTION("""COMPUTED_VALUE"""),22.92)</f>
        <v>22.92</v>
      </c>
      <c r="D3203" s="1">
        <f>IFERROR(__xludf.DUMMYFUNCTION("""COMPUTED_VALUE"""),22.0)</f>
        <v>22</v>
      </c>
      <c r="E3203" s="1">
        <f>IFERROR(__xludf.DUMMYFUNCTION("""COMPUTED_VALUE"""),22.05)</f>
        <v>22.05</v>
      </c>
      <c r="F3203" s="1">
        <f>IFERROR(__xludf.DUMMYFUNCTION("""COMPUTED_VALUE"""),2888805.0)</f>
        <v>2888805</v>
      </c>
    </row>
    <row r="3204">
      <c r="A3204" s="2">
        <f>IFERROR(__xludf.DUMMYFUNCTION("""COMPUTED_VALUE"""),44826.66666666667)</f>
        <v>44826.66667</v>
      </c>
      <c r="B3204" s="1">
        <f>IFERROR(__xludf.DUMMYFUNCTION("""COMPUTED_VALUE"""),22.31)</f>
        <v>22.31</v>
      </c>
      <c r="C3204" s="1">
        <f>IFERROR(__xludf.DUMMYFUNCTION("""COMPUTED_VALUE"""),22.7)</f>
        <v>22.7</v>
      </c>
      <c r="D3204" s="1">
        <f>IFERROR(__xludf.DUMMYFUNCTION("""COMPUTED_VALUE"""),22.11)</f>
        <v>22.11</v>
      </c>
      <c r="E3204" s="1">
        <f>IFERROR(__xludf.DUMMYFUNCTION("""COMPUTED_VALUE"""),22.16)</f>
        <v>22.16</v>
      </c>
      <c r="F3204" s="1">
        <f>IFERROR(__xludf.DUMMYFUNCTION("""COMPUTED_VALUE"""),1627094.0)</f>
        <v>1627094</v>
      </c>
    </row>
    <row r="3205">
      <c r="A3205" s="2">
        <f>IFERROR(__xludf.DUMMYFUNCTION("""COMPUTED_VALUE"""),44827.66666666667)</f>
        <v>44827.66667</v>
      </c>
      <c r="B3205" s="1">
        <f>IFERROR(__xludf.DUMMYFUNCTION("""COMPUTED_VALUE"""),21.66)</f>
        <v>21.66</v>
      </c>
      <c r="C3205" s="1">
        <f>IFERROR(__xludf.DUMMYFUNCTION("""COMPUTED_VALUE"""),22.22)</f>
        <v>22.22</v>
      </c>
      <c r="D3205" s="1">
        <f>IFERROR(__xludf.DUMMYFUNCTION("""COMPUTED_VALUE"""),21.4)</f>
        <v>21.4</v>
      </c>
      <c r="E3205" s="1">
        <f>IFERROR(__xludf.DUMMYFUNCTION("""COMPUTED_VALUE"""),22.04)</f>
        <v>22.04</v>
      </c>
      <c r="F3205" s="1">
        <f>IFERROR(__xludf.DUMMYFUNCTION("""COMPUTED_VALUE"""),2371387.0)</f>
        <v>2371387</v>
      </c>
    </row>
    <row r="3206">
      <c r="A3206" s="2">
        <f>IFERROR(__xludf.DUMMYFUNCTION("""COMPUTED_VALUE"""),44830.66666666667)</f>
        <v>44830.66667</v>
      </c>
      <c r="B3206" s="1">
        <f>IFERROR(__xludf.DUMMYFUNCTION("""COMPUTED_VALUE"""),22.5)</f>
        <v>22.5</v>
      </c>
      <c r="C3206" s="1">
        <f>IFERROR(__xludf.DUMMYFUNCTION("""COMPUTED_VALUE"""),25.48)</f>
        <v>25.48</v>
      </c>
      <c r="D3206" s="1">
        <f>IFERROR(__xludf.DUMMYFUNCTION("""COMPUTED_VALUE"""),22.5)</f>
        <v>22.5</v>
      </c>
      <c r="E3206" s="1">
        <f>IFERROR(__xludf.DUMMYFUNCTION("""COMPUTED_VALUE"""),24.17)</f>
        <v>24.17</v>
      </c>
      <c r="F3206" s="1">
        <f>IFERROR(__xludf.DUMMYFUNCTION("""COMPUTED_VALUE"""),4381620.0)</f>
        <v>4381620</v>
      </c>
    </row>
    <row r="3207">
      <c r="A3207" s="2">
        <f>IFERROR(__xludf.DUMMYFUNCTION("""COMPUTED_VALUE"""),44831.66666666667)</f>
        <v>44831.66667</v>
      </c>
      <c r="B3207" s="1">
        <f>IFERROR(__xludf.DUMMYFUNCTION("""COMPUTED_VALUE"""),24.56)</f>
        <v>24.56</v>
      </c>
      <c r="C3207" s="1">
        <f>IFERROR(__xludf.DUMMYFUNCTION("""COMPUTED_VALUE"""),25.3)</f>
        <v>25.3</v>
      </c>
      <c r="D3207" s="1">
        <f>IFERROR(__xludf.DUMMYFUNCTION("""COMPUTED_VALUE"""),24.02)</f>
        <v>24.02</v>
      </c>
      <c r="E3207" s="1">
        <f>IFERROR(__xludf.DUMMYFUNCTION("""COMPUTED_VALUE"""),24.09)</f>
        <v>24.09</v>
      </c>
      <c r="F3207" s="1">
        <f>IFERROR(__xludf.DUMMYFUNCTION("""COMPUTED_VALUE"""),1487039.0)</f>
        <v>1487039</v>
      </c>
    </row>
    <row r="3208">
      <c r="A3208" s="2">
        <f>IFERROR(__xludf.DUMMYFUNCTION("""COMPUTED_VALUE"""),44832.66666666667)</f>
        <v>44832.66667</v>
      </c>
      <c r="B3208" s="1">
        <f>IFERROR(__xludf.DUMMYFUNCTION("""COMPUTED_VALUE"""),23.5)</f>
        <v>23.5</v>
      </c>
      <c r="C3208" s="1">
        <f>IFERROR(__xludf.DUMMYFUNCTION("""COMPUTED_VALUE"""),25.38)</f>
        <v>25.38</v>
      </c>
      <c r="D3208" s="1">
        <f>IFERROR(__xludf.DUMMYFUNCTION("""COMPUTED_VALUE"""),23.33)</f>
        <v>23.33</v>
      </c>
      <c r="E3208" s="1">
        <f>IFERROR(__xludf.DUMMYFUNCTION("""COMPUTED_VALUE"""),25.18)</f>
        <v>25.18</v>
      </c>
      <c r="F3208" s="1">
        <f>IFERROR(__xludf.DUMMYFUNCTION("""COMPUTED_VALUE"""),1402542.0)</f>
        <v>1402542</v>
      </c>
    </row>
    <row r="3209">
      <c r="A3209" s="2">
        <f>IFERROR(__xludf.DUMMYFUNCTION("""COMPUTED_VALUE"""),44833.66666666667)</f>
        <v>44833.66667</v>
      </c>
      <c r="B3209" s="1">
        <f>IFERROR(__xludf.DUMMYFUNCTION("""COMPUTED_VALUE"""),24.38)</f>
        <v>24.38</v>
      </c>
      <c r="C3209" s="1">
        <f>IFERROR(__xludf.DUMMYFUNCTION("""COMPUTED_VALUE"""),25.21)</f>
        <v>25.21</v>
      </c>
      <c r="D3209" s="1">
        <f>IFERROR(__xludf.DUMMYFUNCTION("""COMPUTED_VALUE"""),24.36)</f>
        <v>24.36</v>
      </c>
      <c r="E3209" s="1">
        <f>IFERROR(__xludf.DUMMYFUNCTION("""COMPUTED_VALUE"""),25.16)</f>
        <v>25.16</v>
      </c>
      <c r="F3209" s="1">
        <f>IFERROR(__xludf.DUMMYFUNCTION("""COMPUTED_VALUE"""),1503255.0)</f>
        <v>1503255</v>
      </c>
    </row>
    <row r="3210">
      <c r="A3210" s="2">
        <f>IFERROR(__xludf.DUMMYFUNCTION("""COMPUTED_VALUE"""),44834.66666666667)</f>
        <v>44834.66667</v>
      </c>
      <c r="B3210" s="1">
        <f>IFERROR(__xludf.DUMMYFUNCTION("""COMPUTED_VALUE"""),24.75)</f>
        <v>24.75</v>
      </c>
      <c r="C3210" s="1">
        <f>IFERROR(__xludf.DUMMYFUNCTION("""COMPUTED_VALUE"""),25.11)</f>
        <v>25.11</v>
      </c>
      <c r="D3210" s="1">
        <f>IFERROR(__xludf.DUMMYFUNCTION("""COMPUTED_VALUE"""),23.96)</f>
        <v>23.96</v>
      </c>
      <c r="E3210" s="1">
        <f>IFERROR(__xludf.DUMMYFUNCTION("""COMPUTED_VALUE"""),23.97)</f>
        <v>23.97</v>
      </c>
      <c r="F3210" s="1">
        <f>IFERROR(__xludf.DUMMYFUNCTION("""COMPUTED_VALUE"""),1051121.0)</f>
        <v>1051121</v>
      </c>
    </row>
    <row r="3211">
      <c r="A3211" s="2">
        <f>IFERROR(__xludf.DUMMYFUNCTION("""COMPUTED_VALUE"""),44837.66666666667)</f>
        <v>44837.66667</v>
      </c>
      <c r="B3211" s="1">
        <f>IFERROR(__xludf.DUMMYFUNCTION("""COMPUTED_VALUE"""),24.12)</f>
        <v>24.12</v>
      </c>
      <c r="C3211" s="1">
        <f>IFERROR(__xludf.DUMMYFUNCTION("""COMPUTED_VALUE"""),25.13)</f>
        <v>25.13</v>
      </c>
      <c r="D3211" s="1">
        <f>IFERROR(__xludf.DUMMYFUNCTION("""COMPUTED_VALUE"""),23.6)</f>
        <v>23.6</v>
      </c>
      <c r="E3211" s="1">
        <f>IFERROR(__xludf.DUMMYFUNCTION("""COMPUTED_VALUE"""),25.03)</f>
        <v>25.03</v>
      </c>
      <c r="F3211" s="1">
        <f>IFERROR(__xludf.DUMMYFUNCTION("""COMPUTED_VALUE"""),1139432.0)</f>
        <v>1139432</v>
      </c>
    </row>
    <row r="3212">
      <c r="A3212" s="2">
        <f>IFERROR(__xludf.DUMMYFUNCTION("""COMPUTED_VALUE"""),44838.66666666667)</f>
        <v>44838.66667</v>
      </c>
      <c r="B3212" s="1">
        <f>IFERROR(__xludf.DUMMYFUNCTION("""COMPUTED_VALUE"""),25.59)</f>
        <v>25.59</v>
      </c>
      <c r="C3212" s="1">
        <f>IFERROR(__xludf.DUMMYFUNCTION("""COMPUTED_VALUE"""),26.75)</f>
        <v>26.75</v>
      </c>
      <c r="D3212" s="1">
        <f>IFERROR(__xludf.DUMMYFUNCTION("""COMPUTED_VALUE"""),25.58)</f>
        <v>25.58</v>
      </c>
      <c r="E3212" s="1">
        <f>IFERROR(__xludf.DUMMYFUNCTION("""COMPUTED_VALUE"""),26.14)</f>
        <v>26.14</v>
      </c>
      <c r="F3212" s="1">
        <f>IFERROR(__xludf.DUMMYFUNCTION("""COMPUTED_VALUE"""),1660203.0)</f>
        <v>1660203</v>
      </c>
    </row>
    <row r="3213">
      <c r="A3213" s="2">
        <f>IFERROR(__xludf.DUMMYFUNCTION("""COMPUTED_VALUE"""),44839.66666666667)</f>
        <v>44839.66667</v>
      </c>
      <c r="B3213" s="1">
        <f>IFERROR(__xludf.DUMMYFUNCTION("""COMPUTED_VALUE"""),26.69)</f>
        <v>26.69</v>
      </c>
      <c r="C3213" s="1">
        <f>IFERROR(__xludf.DUMMYFUNCTION("""COMPUTED_VALUE"""),26.77)</f>
        <v>26.77</v>
      </c>
      <c r="D3213" s="1">
        <f>IFERROR(__xludf.DUMMYFUNCTION("""COMPUTED_VALUE"""),26.02)</f>
        <v>26.02</v>
      </c>
      <c r="E3213" s="1">
        <f>IFERROR(__xludf.DUMMYFUNCTION("""COMPUTED_VALUE"""),26.38)</f>
        <v>26.38</v>
      </c>
      <c r="F3213" s="1">
        <f>IFERROR(__xludf.DUMMYFUNCTION("""COMPUTED_VALUE"""),877769.0)</f>
        <v>877769</v>
      </c>
    </row>
    <row r="3214">
      <c r="A3214" s="2">
        <f>IFERROR(__xludf.DUMMYFUNCTION("""COMPUTED_VALUE"""),44840.66666666667)</f>
        <v>44840.66667</v>
      </c>
      <c r="B3214" s="1">
        <f>IFERROR(__xludf.DUMMYFUNCTION("""COMPUTED_VALUE"""),26.87)</f>
        <v>26.87</v>
      </c>
      <c r="C3214" s="1">
        <f>IFERROR(__xludf.DUMMYFUNCTION("""COMPUTED_VALUE"""),27.46)</f>
        <v>27.46</v>
      </c>
      <c r="D3214" s="1">
        <f>IFERROR(__xludf.DUMMYFUNCTION("""COMPUTED_VALUE"""),25.93)</f>
        <v>25.93</v>
      </c>
      <c r="E3214" s="1">
        <f>IFERROR(__xludf.DUMMYFUNCTION("""COMPUTED_VALUE"""),26.13)</f>
        <v>26.13</v>
      </c>
      <c r="F3214" s="1">
        <f>IFERROR(__xludf.DUMMYFUNCTION("""COMPUTED_VALUE"""),4312315.0)</f>
        <v>4312315</v>
      </c>
    </row>
    <row r="3215">
      <c r="A3215" s="2">
        <f>IFERROR(__xludf.DUMMYFUNCTION("""COMPUTED_VALUE"""),44841.66666666667)</f>
        <v>44841.66667</v>
      </c>
      <c r="B3215" s="1">
        <f>IFERROR(__xludf.DUMMYFUNCTION("""COMPUTED_VALUE"""),25.9)</f>
        <v>25.9</v>
      </c>
      <c r="C3215" s="1">
        <f>IFERROR(__xludf.DUMMYFUNCTION("""COMPUTED_VALUE"""),26.18)</f>
        <v>26.18</v>
      </c>
      <c r="D3215" s="1">
        <f>IFERROR(__xludf.DUMMYFUNCTION("""COMPUTED_VALUE"""),25.34)</f>
        <v>25.34</v>
      </c>
      <c r="E3215" s="1">
        <f>IFERROR(__xludf.DUMMYFUNCTION("""COMPUTED_VALUE"""),25.48)</f>
        <v>25.48</v>
      </c>
      <c r="F3215" s="1">
        <f>IFERROR(__xludf.DUMMYFUNCTION("""COMPUTED_VALUE"""),661181.0)</f>
        <v>661181</v>
      </c>
    </row>
    <row r="3216">
      <c r="A3216" s="2">
        <f>IFERROR(__xludf.DUMMYFUNCTION("""COMPUTED_VALUE"""),44844.66666666667)</f>
        <v>44844.66667</v>
      </c>
      <c r="B3216" s="1">
        <f>IFERROR(__xludf.DUMMYFUNCTION("""COMPUTED_VALUE"""),24.4)</f>
        <v>24.4</v>
      </c>
      <c r="C3216" s="1">
        <f>IFERROR(__xludf.DUMMYFUNCTION("""COMPUTED_VALUE"""),24.51)</f>
        <v>24.51</v>
      </c>
      <c r="D3216" s="1">
        <f>IFERROR(__xludf.DUMMYFUNCTION("""COMPUTED_VALUE"""),22.9)</f>
        <v>22.9</v>
      </c>
      <c r="E3216" s="1">
        <f>IFERROR(__xludf.DUMMYFUNCTION("""COMPUTED_VALUE"""),22.92)</f>
        <v>22.92</v>
      </c>
      <c r="F3216" s="1">
        <f>IFERROR(__xludf.DUMMYFUNCTION("""COMPUTED_VALUE"""),1545579.0)</f>
        <v>1545579</v>
      </c>
    </row>
    <row r="3217">
      <c r="A3217" s="2">
        <f>IFERROR(__xludf.DUMMYFUNCTION("""COMPUTED_VALUE"""),44845.66666666667)</f>
        <v>44845.66667</v>
      </c>
      <c r="B3217" s="1">
        <f>IFERROR(__xludf.DUMMYFUNCTION("""COMPUTED_VALUE"""),22.31)</f>
        <v>22.31</v>
      </c>
      <c r="C3217" s="1">
        <f>IFERROR(__xludf.DUMMYFUNCTION("""COMPUTED_VALUE"""),23.57)</f>
        <v>23.57</v>
      </c>
      <c r="D3217" s="1">
        <f>IFERROR(__xludf.DUMMYFUNCTION("""COMPUTED_VALUE"""),22.15)</f>
        <v>22.15</v>
      </c>
      <c r="E3217" s="1">
        <f>IFERROR(__xludf.DUMMYFUNCTION("""COMPUTED_VALUE"""),22.93)</f>
        <v>22.93</v>
      </c>
      <c r="F3217" s="1">
        <f>IFERROR(__xludf.DUMMYFUNCTION("""COMPUTED_VALUE"""),1416222.0)</f>
        <v>1416222</v>
      </c>
    </row>
    <row r="3218">
      <c r="A3218" s="2">
        <f>IFERROR(__xludf.DUMMYFUNCTION("""COMPUTED_VALUE"""),44846.66666666667)</f>
        <v>44846.66667</v>
      </c>
      <c r="B3218" s="1">
        <f>IFERROR(__xludf.DUMMYFUNCTION("""COMPUTED_VALUE"""),22.72)</f>
        <v>22.72</v>
      </c>
      <c r="C3218" s="1">
        <f>IFERROR(__xludf.DUMMYFUNCTION("""COMPUTED_VALUE"""),23.24)</f>
        <v>23.24</v>
      </c>
      <c r="D3218" s="1">
        <f>IFERROR(__xludf.DUMMYFUNCTION("""COMPUTED_VALUE"""),22.57)</f>
        <v>22.57</v>
      </c>
      <c r="E3218" s="1">
        <f>IFERROR(__xludf.DUMMYFUNCTION("""COMPUTED_VALUE"""),23.0)</f>
        <v>23</v>
      </c>
      <c r="F3218" s="1">
        <f>IFERROR(__xludf.DUMMYFUNCTION("""COMPUTED_VALUE"""),517417.0)</f>
        <v>517417</v>
      </c>
    </row>
    <row r="3219">
      <c r="A3219" s="2">
        <f>IFERROR(__xludf.DUMMYFUNCTION("""COMPUTED_VALUE"""),44847.66666666667)</f>
        <v>44847.66667</v>
      </c>
      <c r="B3219" s="1">
        <f>IFERROR(__xludf.DUMMYFUNCTION("""COMPUTED_VALUE"""),22.33)</f>
        <v>22.33</v>
      </c>
      <c r="C3219" s="1">
        <f>IFERROR(__xludf.DUMMYFUNCTION("""COMPUTED_VALUE"""),23.68)</f>
        <v>23.68</v>
      </c>
      <c r="D3219" s="1">
        <f>IFERROR(__xludf.DUMMYFUNCTION("""COMPUTED_VALUE"""),21.9)</f>
        <v>21.9</v>
      </c>
      <c r="E3219" s="1">
        <f>IFERROR(__xludf.DUMMYFUNCTION("""COMPUTED_VALUE"""),22.97)</f>
        <v>22.97</v>
      </c>
      <c r="F3219" s="1">
        <f>IFERROR(__xludf.DUMMYFUNCTION("""COMPUTED_VALUE"""),2241218.0)</f>
        <v>2241218</v>
      </c>
    </row>
    <row r="3220">
      <c r="A3220" s="2">
        <f>IFERROR(__xludf.DUMMYFUNCTION("""COMPUTED_VALUE"""),44848.66666666667)</f>
        <v>44848.66667</v>
      </c>
      <c r="B3220" s="1">
        <f>IFERROR(__xludf.DUMMYFUNCTION("""COMPUTED_VALUE"""),23.59)</f>
        <v>23.59</v>
      </c>
      <c r="C3220" s="1">
        <f>IFERROR(__xludf.DUMMYFUNCTION("""COMPUTED_VALUE"""),23.65)</f>
        <v>23.65</v>
      </c>
      <c r="D3220" s="1">
        <f>IFERROR(__xludf.DUMMYFUNCTION("""COMPUTED_VALUE"""),22.52)</f>
        <v>22.52</v>
      </c>
      <c r="E3220" s="1">
        <f>IFERROR(__xludf.DUMMYFUNCTION("""COMPUTED_VALUE"""),22.68)</f>
        <v>22.68</v>
      </c>
      <c r="F3220" s="1">
        <f>IFERROR(__xludf.DUMMYFUNCTION("""COMPUTED_VALUE"""),678776.0)</f>
        <v>678776</v>
      </c>
    </row>
    <row r="3221">
      <c r="A3221" s="2">
        <f>IFERROR(__xludf.DUMMYFUNCTION("""COMPUTED_VALUE"""),44851.66666666667)</f>
        <v>44851.66667</v>
      </c>
      <c r="B3221" s="1">
        <f>IFERROR(__xludf.DUMMYFUNCTION("""COMPUTED_VALUE"""),23.0)</f>
        <v>23</v>
      </c>
      <c r="C3221" s="1">
        <f>IFERROR(__xludf.DUMMYFUNCTION("""COMPUTED_VALUE"""),23.68)</f>
        <v>23.68</v>
      </c>
      <c r="D3221" s="1">
        <f>IFERROR(__xludf.DUMMYFUNCTION("""COMPUTED_VALUE"""),22.9)</f>
        <v>22.9</v>
      </c>
      <c r="E3221" s="1">
        <f>IFERROR(__xludf.DUMMYFUNCTION("""COMPUTED_VALUE"""),23.23)</f>
        <v>23.23</v>
      </c>
      <c r="F3221" s="1">
        <f>IFERROR(__xludf.DUMMYFUNCTION("""COMPUTED_VALUE"""),953343.0)</f>
        <v>953343</v>
      </c>
    </row>
    <row r="3222">
      <c r="A3222" s="2">
        <f>IFERROR(__xludf.DUMMYFUNCTION("""COMPUTED_VALUE"""),44852.66666666667)</f>
        <v>44852.66667</v>
      </c>
      <c r="B3222" s="1">
        <f>IFERROR(__xludf.DUMMYFUNCTION("""COMPUTED_VALUE"""),23.85)</f>
        <v>23.85</v>
      </c>
      <c r="C3222" s="1">
        <f>IFERROR(__xludf.DUMMYFUNCTION("""COMPUTED_VALUE"""),24.12)</f>
        <v>24.12</v>
      </c>
      <c r="D3222" s="1">
        <f>IFERROR(__xludf.DUMMYFUNCTION("""COMPUTED_VALUE"""),23.33)</f>
        <v>23.33</v>
      </c>
      <c r="E3222" s="1">
        <f>IFERROR(__xludf.DUMMYFUNCTION("""COMPUTED_VALUE"""),23.76)</f>
        <v>23.76</v>
      </c>
      <c r="F3222" s="1">
        <f>IFERROR(__xludf.DUMMYFUNCTION("""COMPUTED_VALUE"""),1771153.0)</f>
        <v>1771153</v>
      </c>
    </row>
    <row r="3223">
      <c r="A3223" s="2">
        <f>IFERROR(__xludf.DUMMYFUNCTION("""COMPUTED_VALUE"""),44853.66666666667)</f>
        <v>44853.66667</v>
      </c>
      <c r="B3223" s="1">
        <f>IFERROR(__xludf.DUMMYFUNCTION("""COMPUTED_VALUE"""),23.43)</f>
        <v>23.43</v>
      </c>
      <c r="C3223" s="1">
        <f>IFERROR(__xludf.DUMMYFUNCTION("""COMPUTED_VALUE"""),24.2)</f>
        <v>24.2</v>
      </c>
      <c r="D3223" s="1">
        <f>IFERROR(__xludf.DUMMYFUNCTION("""COMPUTED_VALUE"""),22.24)</f>
        <v>22.24</v>
      </c>
      <c r="E3223" s="1">
        <f>IFERROR(__xludf.DUMMYFUNCTION("""COMPUTED_VALUE"""),22.33)</f>
        <v>22.33</v>
      </c>
      <c r="F3223" s="1">
        <f>IFERROR(__xludf.DUMMYFUNCTION("""COMPUTED_VALUE"""),1188733.0)</f>
        <v>1188733</v>
      </c>
    </row>
    <row r="3224">
      <c r="A3224" s="2">
        <f>IFERROR(__xludf.DUMMYFUNCTION("""COMPUTED_VALUE"""),44854.66666666667)</f>
        <v>44854.66667</v>
      </c>
      <c r="B3224" s="1">
        <f>IFERROR(__xludf.DUMMYFUNCTION("""COMPUTED_VALUE"""),22.7)</f>
        <v>22.7</v>
      </c>
      <c r="C3224" s="1">
        <f>IFERROR(__xludf.DUMMYFUNCTION("""COMPUTED_VALUE"""),24.01)</f>
        <v>24.01</v>
      </c>
      <c r="D3224" s="1">
        <f>IFERROR(__xludf.DUMMYFUNCTION("""COMPUTED_VALUE"""),22.36)</f>
        <v>22.36</v>
      </c>
      <c r="E3224" s="1">
        <f>IFERROR(__xludf.DUMMYFUNCTION("""COMPUTED_VALUE"""),22.74)</f>
        <v>22.74</v>
      </c>
      <c r="F3224" s="1">
        <f>IFERROR(__xludf.DUMMYFUNCTION("""COMPUTED_VALUE"""),928212.0)</f>
        <v>928212</v>
      </c>
    </row>
    <row r="3225">
      <c r="A3225" s="2">
        <f>IFERROR(__xludf.DUMMYFUNCTION("""COMPUTED_VALUE"""),44855.66666666667)</f>
        <v>44855.66667</v>
      </c>
      <c r="B3225" s="1">
        <f>IFERROR(__xludf.DUMMYFUNCTION("""COMPUTED_VALUE"""),23.52)</f>
        <v>23.52</v>
      </c>
      <c r="C3225" s="1">
        <f>IFERROR(__xludf.DUMMYFUNCTION("""COMPUTED_VALUE"""),23.53)</f>
        <v>23.53</v>
      </c>
      <c r="D3225" s="1">
        <f>IFERROR(__xludf.DUMMYFUNCTION("""COMPUTED_VALUE"""),21.98)</f>
        <v>21.98</v>
      </c>
      <c r="E3225" s="1">
        <f>IFERROR(__xludf.DUMMYFUNCTION("""COMPUTED_VALUE"""),22.79)</f>
        <v>22.79</v>
      </c>
      <c r="F3225" s="1">
        <f>IFERROR(__xludf.DUMMYFUNCTION("""COMPUTED_VALUE"""),938584.0)</f>
        <v>938584</v>
      </c>
    </row>
    <row r="3226">
      <c r="A3226" s="2">
        <f>IFERROR(__xludf.DUMMYFUNCTION("""COMPUTED_VALUE"""),44858.66666666667)</f>
        <v>44858.66667</v>
      </c>
      <c r="B3226" s="1">
        <f>IFERROR(__xludf.DUMMYFUNCTION("""COMPUTED_VALUE"""),19.94)</f>
        <v>19.94</v>
      </c>
      <c r="C3226" s="1">
        <f>IFERROR(__xludf.DUMMYFUNCTION("""COMPUTED_VALUE"""),19.95)</f>
        <v>19.95</v>
      </c>
      <c r="D3226" s="1">
        <f>IFERROR(__xludf.DUMMYFUNCTION("""COMPUTED_VALUE"""),17.01)</f>
        <v>17.01</v>
      </c>
      <c r="E3226" s="1">
        <f>IFERROR(__xludf.DUMMYFUNCTION("""COMPUTED_VALUE"""),19.14)</f>
        <v>19.14</v>
      </c>
      <c r="F3226" s="1">
        <f>IFERROR(__xludf.DUMMYFUNCTION("""COMPUTED_VALUE"""),7002678.0)</f>
        <v>7002678</v>
      </c>
    </row>
    <row r="3227">
      <c r="A3227" s="2">
        <f>IFERROR(__xludf.DUMMYFUNCTION("""COMPUTED_VALUE"""),44859.66666666667)</f>
        <v>44859.66667</v>
      </c>
      <c r="B3227" s="1">
        <f>IFERROR(__xludf.DUMMYFUNCTION("""COMPUTED_VALUE"""),19.43)</f>
        <v>19.43</v>
      </c>
      <c r="C3227" s="1">
        <f>IFERROR(__xludf.DUMMYFUNCTION("""COMPUTED_VALUE"""),21.26)</f>
        <v>21.26</v>
      </c>
      <c r="D3227" s="1">
        <f>IFERROR(__xludf.DUMMYFUNCTION("""COMPUTED_VALUE"""),19.41)</f>
        <v>19.41</v>
      </c>
      <c r="E3227" s="1">
        <f>IFERROR(__xludf.DUMMYFUNCTION("""COMPUTED_VALUE"""),21.06)</f>
        <v>21.06</v>
      </c>
      <c r="F3227" s="1">
        <f>IFERROR(__xludf.DUMMYFUNCTION("""COMPUTED_VALUE"""),2544154.0)</f>
        <v>2544154</v>
      </c>
    </row>
    <row r="3228">
      <c r="A3228" s="2">
        <f>IFERROR(__xludf.DUMMYFUNCTION("""COMPUTED_VALUE"""),44860.66666666667)</f>
        <v>44860.66667</v>
      </c>
      <c r="B3228" s="1">
        <f>IFERROR(__xludf.DUMMYFUNCTION("""COMPUTED_VALUE"""),23.05)</f>
        <v>23.05</v>
      </c>
      <c r="C3228" s="1">
        <f>IFERROR(__xludf.DUMMYFUNCTION("""COMPUTED_VALUE"""),27.9)</f>
        <v>27.9</v>
      </c>
      <c r="D3228" s="1">
        <f>IFERROR(__xludf.DUMMYFUNCTION("""COMPUTED_VALUE"""),22.88)</f>
        <v>22.88</v>
      </c>
      <c r="E3228" s="1">
        <f>IFERROR(__xludf.DUMMYFUNCTION("""COMPUTED_VALUE"""),27.02)</f>
        <v>27.02</v>
      </c>
      <c r="F3228" s="1">
        <f>IFERROR(__xludf.DUMMYFUNCTION("""COMPUTED_VALUE"""),1.082314E7)</f>
        <v>10823140</v>
      </c>
    </row>
    <row r="3229">
      <c r="A3229" s="2">
        <f>IFERROR(__xludf.DUMMYFUNCTION("""COMPUTED_VALUE"""),44861.66666666667)</f>
        <v>44861.66667</v>
      </c>
      <c r="B3229" s="1">
        <f>IFERROR(__xludf.DUMMYFUNCTION("""COMPUTED_VALUE"""),26.19)</f>
        <v>26.19</v>
      </c>
      <c r="C3229" s="1">
        <f>IFERROR(__xludf.DUMMYFUNCTION("""COMPUTED_VALUE"""),27.36)</f>
        <v>27.36</v>
      </c>
      <c r="D3229" s="1">
        <f>IFERROR(__xludf.DUMMYFUNCTION("""COMPUTED_VALUE"""),25.71)</f>
        <v>25.71</v>
      </c>
      <c r="E3229" s="1">
        <f>IFERROR(__xludf.DUMMYFUNCTION("""COMPUTED_VALUE"""),26.0)</f>
        <v>26</v>
      </c>
      <c r="F3229" s="1">
        <f>IFERROR(__xludf.DUMMYFUNCTION("""COMPUTED_VALUE"""),3294329.0)</f>
        <v>3294329</v>
      </c>
    </row>
    <row r="3230">
      <c r="A3230" s="2">
        <f>IFERROR(__xludf.DUMMYFUNCTION("""COMPUTED_VALUE"""),44862.66666666667)</f>
        <v>44862.66667</v>
      </c>
      <c r="B3230" s="1">
        <f>IFERROR(__xludf.DUMMYFUNCTION("""COMPUTED_VALUE"""),24.8)</f>
        <v>24.8</v>
      </c>
      <c r="C3230" s="1">
        <f>IFERROR(__xludf.DUMMYFUNCTION("""COMPUTED_VALUE"""),25.27)</f>
        <v>25.27</v>
      </c>
      <c r="D3230" s="1">
        <f>IFERROR(__xludf.DUMMYFUNCTION("""COMPUTED_VALUE"""),24.2)</f>
        <v>24.2</v>
      </c>
      <c r="E3230" s="1">
        <f>IFERROR(__xludf.DUMMYFUNCTION("""COMPUTED_VALUE"""),24.8)</f>
        <v>24.8</v>
      </c>
      <c r="F3230" s="1">
        <f>IFERROR(__xludf.DUMMYFUNCTION("""COMPUTED_VALUE"""),2729825.0)</f>
        <v>2729825</v>
      </c>
    </row>
    <row r="3231">
      <c r="A3231" s="2">
        <f>IFERROR(__xludf.DUMMYFUNCTION("""COMPUTED_VALUE"""),44865.66666666667)</f>
        <v>44865.66667</v>
      </c>
      <c r="B3231" s="1">
        <f>IFERROR(__xludf.DUMMYFUNCTION("""COMPUTED_VALUE"""),25.0)</f>
        <v>25</v>
      </c>
      <c r="C3231" s="1">
        <f>IFERROR(__xludf.DUMMYFUNCTION("""COMPUTED_VALUE"""),25.4)</f>
        <v>25.4</v>
      </c>
      <c r="D3231" s="1">
        <f>IFERROR(__xludf.DUMMYFUNCTION("""COMPUTED_VALUE"""),23.49)</f>
        <v>23.49</v>
      </c>
      <c r="E3231" s="1">
        <f>IFERROR(__xludf.DUMMYFUNCTION("""COMPUTED_VALUE"""),23.74)</f>
        <v>23.74</v>
      </c>
      <c r="F3231" s="1">
        <f>IFERROR(__xludf.DUMMYFUNCTION("""COMPUTED_VALUE"""),2012716.0)</f>
        <v>2012716</v>
      </c>
    </row>
    <row r="3232">
      <c r="A3232" s="2">
        <f>IFERROR(__xludf.DUMMYFUNCTION("""COMPUTED_VALUE"""),44866.66666666667)</f>
        <v>44866.66667</v>
      </c>
      <c r="B3232" s="1">
        <f>IFERROR(__xludf.DUMMYFUNCTION("""COMPUTED_VALUE"""),25.25)</f>
        <v>25.25</v>
      </c>
      <c r="C3232" s="1">
        <f>IFERROR(__xludf.DUMMYFUNCTION("""COMPUTED_VALUE"""),25.75)</f>
        <v>25.75</v>
      </c>
      <c r="D3232" s="1">
        <f>IFERROR(__xludf.DUMMYFUNCTION("""COMPUTED_VALUE"""),24.57)</f>
        <v>24.57</v>
      </c>
      <c r="E3232" s="1">
        <f>IFERROR(__xludf.DUMMYFUNCTION("""COMPUTED_VALUE"""),25.27)</f>
        <v>25.27</v>
      </c>
      <c r="F3232" s="1">
        <f>IFERROR(__xludf.DUMMYFUNCTION("""COMPUTED_VALUE"""),1712550.0)</f>
        <v>1712550</v>
      </c>
    </row>
    <row r="3233">
      <c r="A3233" s="2">
        <f>IFERROR(__xludf.DUMMYFUNCTION("""COMPUTED_VALUE"""),44867.66666666667)</f>
        <v>44867.66667</v>
      </c>
      <c r="B3233" s="1">
        <f>IFERROR(__xludf.DUMMYFUNCTION("""COMPUTED_VALUE"""),25.31)</f>
        <v>25.31</v>
      </c>
      <c r="C3233" s="1">
        <f>IFERROR(__xludf.DUMMYFUNCTION("""COMPUTED_VALUE"""),26.48)</f>
        <v>26.48</v>
      </c>
      <c r="D3233" s="1">
        <f>IFERROR(__xludf.DUMMYFUNCTION("""COMPUTED_VALUE"""),24.89)</f>
        <v>24.89</v>
      </c>
      <c r="E3233" s="1">
        <f>IFERROR(__xludf.DUMMYFUNCTION("""COMPUTED_VALUE"""),26.0)</f>
        <v>26</v>
      </c>
      <c r="F3233" s="1">
        <f>IFERROR(__xludf.DUMMYFUNCTION("""COMPUTED_VALUE"""),2108478.0)</f>
        <v>2108478</v>
      </c>
    </row>
    <row r="3234">
      <c r="A3234" s="2">
        <f>IFERROR(__xludf.DUMMYFUNCTION("""COMPUTED_VALUE"""),44868.66666666667)</f>
        <v>44868.66667</v>
      </c>
      <c r="B3234" s="1">
        <f>IFERROR(__xludf.DUMMYFUNCTION("""COMPUTED_VALUE"""),25.55)</f>
        <v>25.55</v>
      </c>
      <c r="C3234" s="1">
        <f>IFERROR(__xludf.DUMMYFUNCTION("""COMPUTED_VALUE"""),26.94)</f>
        <v>26.94</v>
      </c>
      <c r="D3234" s="1">
        <f>IFERROR(__xludf.DUMMYFUNCTION("""COMPUTED_VALUE"""),25.24)</f>
        <v>25.24</v>
      </c>
      <c r="E3234" s="1">
        <f>IFERROR(__xludf.DUMMYFUNCTION("""COMPUTED_VALUE"""),26.54)</f>
        <v>26.54</v>
      </c>
      <c r="F3234" s="1">
        <f>IFERROR(__xludf.DUMMYFUNCTION("""COMPUTED_VALUE"""),1516921.0)</f>
        <v>1516921</v>
      </c>
    </row>
    <row r="3235">
      <c r="A3235" s="2">
        <f>IFERROR(__xludf.DUMMYFUNCTION("""COMPUTED_VALUE"""),44869.66666666667)</f>
        <v>44869.66667</v>
      </c>
      <c r="B3235" s="1">
        <f>IFERROR(__xludf.DUMMYFUNCTION("""COMPUTED_VALUE"""),28.04)</f>
        <v>28.04</v>
      </c>
      <c r="C3235" s="1">
        <f>IFERROR(__xludf.DUMMYFUNCTION("""COMPUTED_VALUE"""),29.22)</f>
        <v>29.22</v>
      </c>
      <c r="D3235" s="1">
        <f>IFERROR(__xludf.DUMMYFUNCTION("""COMPUTED_VALUE"""),27.43)</f>
        <v>27.43</v>
      </c>
      <c r="E3235" s="1">
        <f>IFERROR(__xludf.DUMMYFUNCTION("""COMPUTED_VALUE"""),28.9)</f>
        <v>28.9</v>
      </c>
      <c r="F3235" s="1">
        <f>IFERROR(__xludf.DUMMYFUNCTION("""COMPUTED_VALUE"""),3932519.0)</f>
        <v>3932519</v>
      </c>
    </row>
    <row r="3236">
      <c r="A3236" s="2">
        <f>IFERROR(__xludf.DUMMYFUNCTION("""COMPUTED_VALUE"""),44872.66666666667)</f>
        <v>44872.66667</v>
      </c>
      <c r="B3236" s="1">
        <f>IFERROR(__xludf.DUMMYFUNCTION("""COMPUTED_VALUE"""),29.71)</f>
        <v>29.71</v>
      </c>
      <c r="C3236" s="1">
        <f>IFERROR(__xludf.DUMMYFUNCTION("""COMPUTED_VALUE"""),29.89)</f>
        <v>29.89</v>
      </c>
      <c r="D3236" s="1">
        <f>IFERROR(__xludf.DUMMYFUNCTION("""COMPUTED_VALUE"""),28.68)</f>
        <v>28.68</v>
      </c>
      <c r="E3236" s="1">
        <f>IFERROR(__xludf.DUMMYFUNCTION("""COMPUTED_VALUE"""),28.93)</f>
        <v>28.93</v>
      </c>
      <c r="F3236" s="1">
        <f>IFERROR(__xludf.DUMMYFUNCTION("""COMPUTED_VALUE"""),2374406.0)</f>
        <v>2374406</v>
      </c>
    </row>
    <row r="3237">
      <c r="A3237" s="2">
        <f>IFERROR(__xludf.DUMMYFUNCTION("""COMPUTED_VALUE"""),44873.66666666667)</f>
        <v>44873.66667</v>
      </c>
      <c r="B3237" s="1">
        <f>IFERROR(__xludf.DUMMYFUNCTION("""COMPUTED_VALUE"""),28.7)</f>
        <v>28.7</v>
      </c>
      <c r="C3237" s="1">
        <f>IFERROR(__xludf.DUMMYFUNCTION("""COMPUTED_VALUE"""),29.4)</f>
        <v>29.4</v>
      </c>
      <c r="D3237" s="1">
        <f>IFERROR(__xludf.DUMMYFUNCTION("""COMPUTED_VALUE"""),27.57)</f>
        <v>27.57</v>
      </c>
      <c r="E3237" s="1">
        <f>IFERROR(__xludf.DUMMYFUNCTION("""COMPUTED_VALUE"""),28.9)</f>
        <v>28.9</v>
      </c>
      <c r="F3237" s="1">
        <f>IFERROR(__xludf.DUMMYFUNCTION("""COMPUTED_VALUE"""),1700936.0)</f>
        <v>1700936</v>
      </c>
    </row>
    <row r="3238">
      <c r="A3238" s="2">
        <f>IFERROR(__xludf.DUMMYFUNCTION("""COMPUTED_VALUE"""),44874.66666666667)</f>
        <v>44874.66667</v>
      </c>
      <c r="B3238" s="1">
        <f>IFERROR(__xludf.DUMMYFUNCTION("""COMPUTED_VALUE"""),27.5)</f>
        <v>27.5</v>
      </c>
      <c r="C3238" s="1">
        <f>IFERROR(__xludf.DUMMYFUNCTION("""COMPUTED_VALUE"""),27.9)</f>
        <v>27.9</v>
      </c>
      <c r="D3238" s="1">
        <f>IFERROR(__xludf.DUMMYFUNCTION("""COMPUTED_VALUE"""),26.53)</f>
        <v>26.53</v>
      </c>
      <c r="E3238" s="1">
        <f>IFERROR(__xludf.DUMMYFUNCTION("""COMPUTED_VALUE"""),26.75)</f>
        <v>26.75</v>
      </c>
      <c r="F3238" s="1">
        <f>IFERROR(__xludf.DUMMYFUNCTION("""COMPUTED_VALUE"""),1163501.0)</f>
        <v>1163501</v>
      </c>
    </row>
    <row r="3239">
      <c r="A3239" s="2">
        <f>IFERROR(__xludf.DUMMYFUNCTION("""COMPUTED_VALUE"""),44875.66666666667)</f>
        <v>44875.66667</v>
      </c>
      <c r="B3239" s="1">
        <f>IFERROR(__xludf.DUMMYFUNCTION("""COMPUTED_VALUE"""),27.85)</f>
        <v>27.85</v>
      </c>
      <c r="C3239" s="1">
        <f>IFERROR(__xludf.DUMMYFUNCTION("""COMPUTED_VALUE"""),28.0)</f>
        <v>28</v>
      </c>
      <c r="D3239" s="1">
        <f>IFERROR(__xludf.DUMMYFUNCTION("""COMPUTED_VALUE"""),26.85)</f>
        <v>26.85</v>
      </c>
      <c r="E3239" s="1">
        <f>IFERROR(__xludf.DUMMYFUNCTION("""COMPUTED_VALUE"""),27.33)</f>
        <v>27.33</v>
      </c>
      <c r="F3239" s="1">
        <f>IFERROR(__xludf.DUMMYFUNCTION("""COMPUTED_VALUE"""),1764414.0)</f>
        <v>1764414</v>
      </c>
    </row>
    <row r="3240">
      <c r="A3240" s="2">
        <f>IFERROR(__xludf.DUMMYFUNCTION("""COMPUTED_VALUE"""),44876.66666666667)</f>
        <v>44876.66667</v>
      </c>
      <c r="B3240" s="1">
        <f>IFERROR(__xludf.DUMMYFUNCTION("""COMPUTED_VALUE"""),28.72)</f>
        <v>28.72</v>
      </c>
      <c r="C3240" s="1">
        <f>IFERROR(__xludf.DUMMYFUNCTION("""COMPUTED_VALUE"""),28.72)</f>
        <v>28.72</v>
      </c>
      <c r="D3240" s="1">
        <f>IFERROR(__xludf.DUMMYFUNCTION("""COMPUTED_VALUE"""),24.17)</f>
        <v>24.17</v>
      </c>
      <c r="E3240" s="1">
        <f>IFERROR(__xludf.DUMMYFUNCTION("""COMPUTED_VALUE"""),25.81)</f>
        <v>25.81</v>
      </c>
      <c r="F3240" s="1">
        <f>IFERROR(__xludf.DUMMYFUNCTION("""COMPUTED_VALUE"""),4482559.0)</f>
        <v>4482559</v>
      </c>
    </row>
    <row r="3241">
      <c r="A3241" s="2">
        <f>IFERROR(__xludf.DUMMYFUNCTION("""COMPUTED_VALUE"""),44879.66666666667)</f>
        <v>44879.66667</v>
      </c>
      <c r="B3241" s="1">
        <f>IFERROR(__xludf.DUMMYFUNCTION("""COMPUTED_VALUE"""),25.74)</f>
        <v>25.74</v>
      </c>
      <c r="C3241" s="1">
        <f>IFERROR(__xludf.DUMMYFUNCTION("""COMPUTED_VALUE"""),26.9)</f>
        <v>26.9</v>
      </c>
      <c r="D3241" s="1">
        <f>IFERROR(__xludf.DUMMYFUNCTION("""COMPUTED_VALUE"""),25.3)</f>
        <v>25.3</v>
      </c>
      <c r="E3241" s="1">
        <f>IFERROR(__xludf.DUMMYFUNCTION("""COMPUTED_VALUE"""),25.69)</f>
        <v>25.69</v>
      </c>
      <c r="F3241" s="1">
        <f>IFERROR(__xludf.DUMMYFUNCTION("""COMPUTED_VALUE"""),2691042.0)</f>
        <v>2691042</v>
      </c>
    </row>
    <row r="3242">
      <c r="A3242" s="2">
        <f>IFERROR(__xludf.DUMMYFUNCTION("""COMPUTED_VALUE"""),44880.66666666667)</f>
        <v>44880.66667</v>
      </c>
      <c r="B3242" s="1">
        <f>IFERROR(__xludf.DUMMYFUNCTION("""COMPUTED_VALUE"""),26.89)</f>
        <v>26.89</v>
      </c>
      <c r="C3242" s="1">
        <f>IFERROR(__xludf.DUMMYFUNCTION("""COMPUTED_VALUE"""),28.79)</f>
        <v>28.79</v>
      </c>
      <c r="D3242" s="1">
        <f>IFERROR(__xludf.DUMMYFUNCTION("""COMPUTED_VALUE"""),26.82)</f>
        <v>26.82</v>
      </c>
      <c r="E3242" s="1">
        <f>IFERROR(__xludf.DUMMYFUNCTION("""COMPUTED_VALUE"""),27.16)</f>
        <v>27.16</v>
      </c>
      <c r="F3242" s="1">
        <f>IFERROR(__xludf.DUMMYFUNCTION("""COMPUTED_VALUE"""),3889826.0)</f>
        <v>3889826</v>
      </c>
    </row>
    <row r="3243">
      <c r="A3243" s="2">
        <f>IFERROR(__xludf.DUMMYFUNCTION("""COMPUTED_VALUE"""),44881.66666666667)</f>
        <v>44881.66667</v>
      </c>
      <c r="B3243" s="1">
        <f>IFERROR(__xludf.DUMMYFUNCTION("""COMPUTED_VALUE"""),26.72)</f>
        <v>26.72</v>
      </c>
      <c r="C3243" s="1">
        <f>IFERROR(__xludf.DUMMYFUNCTION("""COMPUTED_VALUE"""),27.18)</f>
        <v>27.18</v>
      </c>
      <c r="D3243" s="1">
        <f>IFERROR(__xludf.DUMMYFUNCTION("""COMPUTED_VALUE"""),25.9)</f>
        <v>25.9</v>
      </c>
      <c r="E3243" s="1">
        <f>IFERROR(__xludf.DUMMYFUNCTION("""COMPUTED_VALUE"""),26.0)</f>
        <v>26</v>
      </c>
      <c r="F3243" s="1">
        <f>IFERROR(__xludf.DUMMYFUNCTION("""COMPUTED_VALUE"""),1079100.0)</f>
        <v>1079100</v>
      </c>
    </row>
    <row r="3244">
      <c r="A3244" s="2">
        <f>IFERROR(__xludf.DUMMYFUNCTION("""COMPUTED_VALUE"""),44882.66666666667)</f>
        <v>44882.66667</v>
      </c>
      <c r="B3244" s="1">
        <f>IFERROR(__xludf.DUMMYFUNCTION("""COMPUTED_VALUE"""),25.29)</f>
        <v>25.29</v>
      </c>
      <c r="C3244" s="1">
        <f>IFERROR(__xludf.DUMMYFUNCTION("""COMPUTED_VALUE"""),28.12)</f>
        <v>28.12</v>
      </c>
      <c r="D3244" s="1">
        <f>IFERROR(__xludf.DUMMYFUNCTION("""COMPUTED_VALUE"""),25.08)</f>
        <v>25.08</v>
      </c>
      <c r="E3244" s="1">
        <f>IFERROR(__xludf.DUMMYFUNCTION("""COMPUTED_VALUE"""),26.49)</f>
        <v>26.49</v>
      </c>
      <c r="F3244" s="1">
        <f>IFERROR(__xludf.DUMMYFUNCTION("""COMPUTED_VALUE"""),1672406.0)</f>
        <v>1672406</v>
      </c>
    </row>
    <row r="3245">
      <c r="A3245" s="2">
        <f>IFERROR(__xludf.DUMMYFUNCTION("""COMPUTED_VALUE"""),44883.66666666667)</f>
        <v>44883.66667</v>
      </c>
      <c r="B3245" s="1">
        <f>IFERROR(__xludf.DUMMYFUNCTION("""COMPUTED_VALUE"""),26.74)</f>
        <v>26.74</v>
      </c>
      <c r="C3245" s="1">
        <f>IFERROR(__xludf.DUMMYFUNCTION("""COMPUTED_VALUE"""),29.25)</f>
        <v>29.25</v>
      </c>
      <c r="D3245" s="1">
        <f>IFERROR(__xludf.DUMMYFUNCTION("""COMPUTED_VALUE"""),26.42)</f>
        <v>26.42</v>
      </c>
      <c r="E3245" s="1">
        <f>IFERROR(__xludf.DUMMYFUNCTION("""COMPUTED_VALUE"""),29.08)</f>
        <v>29.08</v>
      </c>
      <c r="F3245" s="1">
        <f>IFERROR(__xludf.DUMMYFUNCTION("""COMPUTED_VALUE"""),2326673.0)</f>
        <v>2326673</v>
      </c>
    </row>
    <row r="3246">
      <c r="A3246" s="2">
        <f>IFERROR(__xludf.DUMMYFUNCTION("""COMPUTED_VALUE"""),44886.66666666667)</f>
        <v>44886.66667</v>
      </c>
      <c r="B3246" s="1">
        <f>IFERROR(__xludf.DUMMYFUNCTION("""COMPUTED_VALUE"""),28.3)</f>
        <v>28.3</v>
      </c>
      <c r="C3246" s="1">
        <f>IFERROR(__xludf.DUMMYFUNCTION("""COMPUTED_VALUE"""),28.3)</f>
        <v>28.3</v>
      </c>
      <c r="D3246" s="1">
        <f>IFERROR(__xludf.DUMMYFUNCTION("""COMPUTED_VALUE"""),26.96)</f>
        <v>26.96</v>
      </c>
      <c r="E3246" s="1">
        <f>IFERROR(__xludf.DUMMYFUNCTION("""COMPUTED_VALUE"""),27.12)</f>
        <v>27.12</v>
      </c>
      <c r="F3246" s="1">
        <f>IFERROR(__xludf.DUMMYFUNCTION("""COMPUTED_VALUE"""),3573285.0)</f>
        <v>3573285</v>
      </c>
    </row>
    <row r="3247">
      <c r="A3247" s="2">
        <f>IFERROR(__xludf.DUMMYFUNCTION("""COMPUTED_VALUE"""),44887.66666666667)</f>
        <v>44887.66667</v>
      </c>
      <c r="B3247" s="1">
        <f>IFERROR(__xludf.DUMMYFUNCTION("""COMPUTED_VALUE"""),26.66)</f>
        <v>26.66</v>
      </c>
      <c r="C3247" s="1">
        <f>IFERROR(__xludf.DUMMYFUNCTION("""COMPUTED_VALUE"""),27.11)</f>
        <v>27.11</v>
      </c>
      <c r="D3247" s="1">
        <f>IFERROR(__xludf.DUMMYFUNCTION("""COMPUTED_VALUE"""),25.91)</f>
        <v>25.91</v>
      </c>
      <c r="E3247" s="1">
        <f>IFERROR(__xludf.DUMMYFUNCTION("""COMPUTED_VALUE"""),26.08)</f>
        <v>26.08</v>
      </c>
      <c r="F3247" s="1">
        <f>IFERROR(__xludf.DUMMYFUNCTION("""COMPUTED_VALUE"""),2354475.0)</f>
        <v>2354475</v>
      </c>
    </row>
    <row r="3248">
      <c r="A3248" s="2">
        <f>IFERROR(__xludf.DUMMYFUNCTION("""COMPUTED_VALUE"""),44888.66666666667)</f>
        <v>44888.66667</v>
      </c>
      <c r="B3248" s="1">
        <f>IFERROR(__xludf.DUMMYFUNCTION("""COMPUTED_VALUE"""),26.0)</f>
        <v>26</v>
      </c>
      <c r="C3248" s="1">
        <f>IFERROR(__xludf.DUMMYFUNCTION("""COMPUTED_VALUE"""),26.5)</f>
        <v>26.5</v>
      </c>
      <c r="D3248" s="1">
        <f>IFERROR(__xludf.DUMMYFUNCTION("""COMPUTED_VALUE"""),25.2)</f>
        <v>25.2</v>
      </c>
      <c r="E3248" s="1">
        <f>IFERROR(__xludf.DUMMYFUNCTION("""COMPUTED_VALUE"""),26.01)</f>
        <v>26.01</v>
      </c>
      <c r="F3248" s="1">
        <f>IFERROR(__xludf.DUMMYFUNCTION("""COMPUTED_VALUE"""),1727677.0)</f>
        <v>1727677</v>
      </c>
    </row>
    <row r="3249">
      <c r="A3249" s="2">
        <f>IFERROR(__xludf.DUMMYFUNCTION("""COMPUTED_VALUE"""),44890.54166666667)</f>
        <v>44890.54167</v>
      </c>
      <c r="B3249" s="1">
        <f>IFERROR(__xludf.DUMMYFUNCTION("""COMPUTED_VALUE"""),25.53)</f>
        <v>25.53</v>
      </c>
      <c r="C3249" s="1">
        <f>IFERROR(__xludf.DUMMYFUNCTION("""COMPUTED_VALUE"""),25.72)</f>
        <v>25.72</v>
      </c>
      <c r="D3249" s="1">
        <f>IFERROR(__xludf.DUMMYFUNCTION("""COMPUTED_VALUE"""),25.03)</f>
        <v>25.03</v>
      </c>
      <c r="E3249" s="1">
        <f>IFERROR(__xludf.DUMMYFUNCTION("""COMPUTED_VALUE"""),25.03)</f>
        <v>25.03</v>
      </c>
      <c r="F3249" s="1">
        <f>IFERROR(__xludf.DUMMYFUNCTION("""COMPUTED_VALUE"""),588524.0)</f>
        <v>588524</v>
      </c>
    </row>
    <row r="3250">
      <c r="A3250" s="2">
        <f>IFERROR(__xludf.DUMMYFUNCTION("""COMPUTED_VALUE"""),44893.66666666667)</f>
        <v>44893.66667</v>
      </c>
      <c r="B3250" s="1">
        <f>IFERROR(__xludf.DUMMYFUNCTION("""COMPUTED_VALUE"""),25.0)</f>
        <v>25</v>
      </c>
      <c r="C3250" s="1">
        <f>IFERROR(__xludf.DUMMYFUNCTION("""COMPUTED_VALUE"""),25.41)</f>
        <v>25.41</v>
      </c>
      <c r="D3250" s="1">
        <f>IFERROR(__xludf.DUMMYFUNCTION("""COMPUTED_VALUE"""),24.58)</f>
        <v>24.58</v>
      </c>
      <c r="E3250" s="1">
        <f>IFERROR(__xludf.DUMMYFUNCTION("""COMPUTED_VALUE"""),25.0)</f>
        <v>25</v>
      </c>
      <c r="F3250" s="1">
        <f>IFERROR(__xludf.DUMMYFUNCTION("""COMPUTED_VALUE"""),2307626.0)</f>
        <v>2307626</v>
      </c>
    </row>
    <row r="3251">
      <c r="A3251" s="2">
        <f>IFERROR(__xludf.DUMMYFUNCTION("""COMPUTED_VALUE"""),44894.66666666667)</f>
        <v>44894.66667</v>
      </c>
      <c r="B3251" s="1">
        <f>IFERROR(__xludf.DUMMYFUNCTION("""COMPUTED_VALUE"""),26.18)</f>
        <v>26.18</v>
      </c>
      <c r="C3251" s="1">
        <f>IFERROR(__xludf.DUMMYFUNCTION("""COMPUTED_VALUE"""),27.34)</f>
        <v>27.34</v>
      </c>
      <c r="D3251" s="1">
        <f>IFERROR(__xludf.DUMMYFUNCTION("""COMPUTED_VALUE"""),26.0)</f>
        <v>26</v>
      </c>
      <c r="E3251" s="1">
        <f>IFERROR(__xludf.DUMMYFUNCTION("""COMPUTED_VALUE"""),26.97)</f>
        <v>26.97</v>
      </c>
      <c r="F3251" s="1">
        <f>IFERROR(__xludf.DUMMYFUNCTION("""COMPUTED_VALUE"""),1519451.0)</f>
        <v>1519451</v>
      </c>
    </row>
    <row r="3252">
      <c r="A3252" s="2">
        <f>IFERROR(__xludf.DUMMYFUNCTION("""COMPUTED_VALUE"""),44895.66666666667)</f>
        <v>44895.66667</v>
      </c>
      <c r="B3252" s="1">
        <f>IFERROR(__xludf.DUMMYFUNCTION("""COMPUTED_VALUE"""),28.17)</f>
        <v>28.17</v>
      </c>
      <c r="C3252" s="1">
        <f>IFERROR(__xludf.DUMMYFUNCTION("""COMPUTED_VALUE"""),29.39)</f>
        <v>29.39</v>
      </c>
      <c r="D3252" s="1">
        <f>IFERROR(__xludf.DUMMYFUNCTION("""COMPUTED_VALUE"""),27.75)</f>
        <v>27.75</v>
      </c>
      <c r="E3252" s="1">
        <f>IFERROR(__xludf.DUMMYFUNCTION("""COMPUTED_VALUE"""),28.74)</f>
        <v>28.74</v>
      </c>
      <c r="F3252" s="1">
        <f>IFERROR(__xludf.DUMMYFUNCTION("""COMPUTED_VALUE"""),3317748.0)</f>
        <v>3317748</v>
      </c>
    </row>
    <row r="3253">
      <c r="A3253" s="2">
        <f>IFERROR(__xludf.DUMMYFUNCTION("""COMPUTED_VALUE"""),44896.66666666667)</f>
        <v>44896.66667</v>
      </c>
      <c r="B3253" s="1">
        <f>IFERROR(__xludf.DUMMYFUNCTION("""COMPUTED_VALUE"""),27.67)</f>
        <v>27.67</v>
      </c>
      <c r="C3253" s="1">
        <f>IFERROR(__xludf.DUMMYFUNCTION("""COMPUTED_VALUE"""),28.68)</f>
        <v>28.68</v>
      </c>
      <c r="D3253" s="1">
        <f>IFERROR(__xludf.DUMMYFUNCTION("""COMPUTED_VALUE"""),27.34)</f>
        <v>27.34</v>
      </c>
      <c r="E3253" s="1">
        <f>IFERROR(__xludf.DUMMYFUNCTION("""COMPUTED_VALUE"""),28.36)</f>
        <v>28.36</v>
      </c>
      <c r="F3253" s="1">
        <f>IFERROR(__xludf.DUMMYFUNCTION("""COMPUTED_VALUE"""),1479595.0)</f>
        <v>1479595</v>
      </c>
    </row>
    <row r="3254">
      <c r="A3254" s="2">
        <f>IFERROR(__xludf.DUMMYFUNCTION("""COMPUTED_VALUE"""),44897.66666666667)</f>
        <v>44897.66667</v>
      </c>
      <c r="B3254" s="1">
        <f>IFERROR(__xludf.DUMMYFUNCTION("""COMPUTED_VALUE"""),28.1)</f>
        <v>28.1</v>
      </c>
      <c r="C3254" s="1">
        <f>IFERROR(__xludf.DUMMYFUNCTION("""COMPUTED_VALUE"""),30.5)</f>
        <v>30.5</v>
      </c>
      <c r="D3254" s="1">
        <f>IFERROR(__xludf.DUMMYFUNCTION("""COMPUTED_VALUE"""),28.1)</f>
        <v>28.1</v>
      </c>
      <c r="E3254" s="1">
        <f>IFERROR(__xludf.DUMMYFUNCTION("""COMPUTED_VALUE"""),30.13)</f>
        <v>30.13</v>
      </c>
      <c r="F3254" s="1">
        <f>IFERROR(__xludf.DUMMYFUNCTION("""COMPUTED_VALUE"""),2338568.0)</f>
        <v>2338568</v>
      </c>
    </row>
    <row r="3255">
      <c r="A3255" s="2">
        <f>IFERROR(__xludf.DUMMYFUNCTION("""COMPUTED_VALUE"""),44900.66666666667)</f>
        <v>44900.66667</v>
      </c>
      <c r="B3255" s="1">
        <f>IFERROR(__xludf.DUMMYFUNCTION("""COMPUTED_VALUE"""),31.81)</f>
        <v>31.81</v>
      </c>
      <c r="C3255" s="1">
        <f>IFERROR(__xludf.DUMMYFUNCTION("""COMPUTED_VALUE"""),32.72)</f>
        <v>32.72</v>
      </c>
      <c r="D3255" s="1">
        <f>IFERROR(__xludf.DUMMYFUNCTION("""COMPUTED_VALUE"""),28.65)</f>
        <v>28.65</v>
      </c>
      <c r="E3255" s="1">
        <f>IFERROR(__xludf.DUMMYFUNCTION("""COMPUTED_VALUE"""),28.96)</f>
        <v>28.96</v>
      </c>
      <c r="F3255" s="1">
        <f>IFERROR(__xludf.DUMMYFUNCTION("""COMPUTED_VALUE"""),2689814.0)</f>
        <v>2689814</v>
      </c>
    </row>
    <row r="3256">
      <c r="A3256" s="2">
        <f>IFERROR(__xludf.DUMMYFUNCTION("""COMPUTED_VALUE"""),44901.66666666667)</f>
        <v>44901.66667</v>
      </c>
      <c r="B3256" s="1">
        <f>IFERROR(__xludf.DUMMYFUNCTION("""COMPUTED_VALUE"""),29.12)</f>
        <v>29.12</v>
      </c>
      <c r="C3256" s="1">
        <f>IFERROR(__xludf.DUMMYFUNCTION("""COMPUTED_VALUE"""),30.11)</f>
        <v>30.11</v>
      </c>
      <c r="D3256" s="1">
        <f>IFERROR(__xludf.DUMMYFUNCTION("""COMPUTED_VALUE"""),28.95)</f>
        <v>28.95</v>
      </c>
      <c r="E3256" s="1">
        <f>IFERROR(__xludf.DUMMYFUNCTION("""COMPUTED_VALUE"""),29.47)</f>
        <v>29.47</v>
      </c>
      <c r="F3256" s="1">
        <f>IFERROR(__xludf.DUMMYFUNCTION("""COMPUTED_VALUE"""),2496636.0)</f>
        <v>2496636</v>
      </c>
    </row>
    <row r="3257">
      <c r="A3257" s="2">
        <f>IFERROR(__xludf.DUMMYFUNCTION("""COMPUTED_VALUE"""),44902.66666666667)</f>
        <v>44902.66667</v>
      </c>
      <c r="B3257" s="1">
        <f>IFERROR(__xludf.DUMMYFUNCTION("""COMPUTED_VALUE"""),28.5)</f>
        <v>28.5</v>
      </c>
      <c r="C3257" s="1">
        <f>IFERROR(__xludf.DUMMYFUNCTION("""COMPUTED_VALUE"""),29.34)</f>
        <v>29.34</v>
      </c>
      <c r="D3257" s="1">
        <f>IFERROR(__xludf.DUMMYFUNCTION("""COMPUTED_VALUE"""),28.33)</f>
        <v>28.33</v>
      </c>
      <c r="E3257" s="1">
        <f>IFERROR(__xludf.DUMMYFUNCTION("""COMPUTED_VALUE"""),29.22)</f>
        <v>29.22</v>
      </c>
      <c r="F3257" s="1">
        <f>IFERROR(__xludf.DUMMYFUNCTION("""COMPUTED_VALUE"""),2618384.0)</f>
        <v>2618384</v>
      </c>
    </row>
    <row r="3258">
      <c r="A3258" s="2">
        <f>IFERROR(__xludf.DUMMYFUNCTION("""COMPUTED_VALUE"""),44903.66666666667)</f>
        <v>44903.66667</v>
      </c>
      <c r="B3258" s="1">
        <f>IFERROR(__xludf.DUMMYFUNCTION("""COMPUTED_VALUE"""),30.89)</f>
        <v>30.89</v>
      </c>
      <c r="C3258" s="1">
        <f>IFERROR(__xludf.DUMMYFUNCTION("""COMPUTED_VALUE"""),32.89)</f>
        <v>32.89</v>
      </c>
      <c r="D3258" s="1">
        <f>IFERROR(__xludf.DUMMYFUNCTION("""COMPUTED_VALUE"""),30.87)</f>
        <v>30.87</v>
      </c>
      <c r="E3258" s="1">
        <f>IFERROR(__xludf.DUMMYFUNCTION("""COMPUTED_VALUE"""),32.66)</f>
        <v>32.66</v>
      </c>
      <c r="F3258" s="1">
        <f>IFERROR(__xludf.DUMMYFUNCTION("""COMPUTED_VALUE"""),2809798.0)</f>
        <v>2809798</v>
      </c>
    </row>
    <row r="3259">
      <c r="A3259" s="2">
        <f>IFERROR(__xludf.DUMMYFUNCTION("""COMPUTED_VALUE"""),44904.66666666667)</f>
        <v>44904.66667</v>
      </c>
      <c r="B3259" s="1">
        <f>IFERROR(__xludf.DUMMYFUNCTION("""COMPUTED_VALUE"""),32.9)</f>
        <v>32.9</v>
      </c>
      <c r="C3259" s="1">
        <f>IFERROR(__xludf.DUMMYFUNCTION("""COMPUTED_VALUE"""),35.29)</f>
        <v>35.29</v>
      </c>
      <c r="D3259" s="1">
        <f>IFERROR(__xludf.DUMMYFUNCTION("""COMPUTED_VALUE"""),32.7)</f>
        <v>32.7</v>
      </c>
      <c r="E3259" s="1">
        <f>IFERROR(__xludf.DUMMYFUNCTION("""COMPUTED_VALUE"""),33.14)</f>
        <v>33.14</v>
      </c>
      <c r="F3259" s="1">
        <f>IFERROR(__xludf.DUMMYFUNCTION("""COMPUTED_VALUE"""),3259595.0)</f>
        <v>3259595</v>
      </c>
    </row>
    <row r="3260">
      <c r="A3260" s="2">
        <f>IFERROR(__xludf.DUMMYFUNCTION("""COMPUTED_VALUE"""),44907.66666666667)</f>
        <v>44907.66667</v>
      </c>
      <c r="B3260" s="1">
        <f>IFERROR(__xludf.DUMMYFUNCTION("""COMPUTED_VALUE"""),31.96)</f>
        <v>31.96</v>
      </c>
      <c r="C3260" s="1">
        <f>IFERROR(__xludf.DUMMYFUNCTION("""COMPUTED_VALUE"""),32.67)</f>
        <v>32.67</v>
      </c>
      <c r="D3260" s="1">
        <f>IFERROR(__xludf.DUMMYFUNCTION("""COMPUTED_VALUE"""),31.5)</f>
        <v>31.5</v>
      </c>
      <c r="E3260" s="1">
        <f>IFERROR(__xludf.DUMMYFUNCTION("""COMPUTED_VALUE"""),32.32)</f>
        <v>32.32</v>
      </c>
      <c r="F3260" s="1">
        <f>IFERROR(__xludf.DUMMYFUNCTION("""COMPUTED_VALUE"""),1655449.0)</f>
        <v>1655449</v>
      </c>
    </row>
    <row r="3261">
      <c r="A3261" s="2">
        <f>IFERROR(__xludf.DUMMYFUNCTION("""COMPUTED_VALUE"""),44908.66666666667)</f>
        <v>44908.66667</v>
      </c>
      <c r="B3261" s="1">
        <f>IFERROR(__xludf.DUMMYFUNCTION("""COMPUTED_VALUE"""),33.08)</f>
        <v>33.08</v>
      </c>
      <c r="C3261" s="1">
        <f>IFERROR(__xludf.DUMMYFUNCTION("""COMPUTED_VALUE"""),33.2)</f>
        <v>33.2</v>
      </c>
      <c r="D3261" s="1">
        <f>IFERROR(__xludf.DUMMYFUNCTION("""COMPUTED_VALUE"""),31.59)</f>
        <v>31.59</v>
      </c>
      <c r="E3261" s="1">
        <f>IFERROR(__xludf.DUMMYFUNCTION("""COMPUTED_VALUE"""),32.25)</f>
        <v>32.25</v>
      </c>
      <c r="F3261" s="1">
        <f>IFERROR(__xludf.DUMMYFUNCTION("""COMPUTED_VALUE"""),2018901.0)</f>
        <v>2018901</v>
      </c>
    </row>
    <row r="3262">
      <c r="A3262" s="2">
        <f>IFERROR(__xludf.DUMMYFUNCTION("""COMPUTED_VALUE"""),44909.66666666667)</f>
        <v>44909.66667</v>
      </c>
      <c r="B3262" s="1">
        <f>IFERROR(__xludf.DUMMYFUNCTION("""COMPUTED_VALUE"""),32.45)</f>
        <v>32.45</v>
      </c>
      <c r="C3262" s="1">
        <f>IFERROR(__xludf.DUMMYFUNCTION("""COMPUTED_VALUE"""),32.86)</f>
        <v>32.86</v>
      </c>
      <c r="D3262" s="1">
        <f>IFERROR(__xludf.DUMMYFUNCTION("""COMPUTED_VALUE"""),31.65)</f>
        <v>31.65</v>
      </c>
      <c r="E3262" s="1">
        <f>IFERROR(__xludf.DUMMYFUNCTION("""COMPUTED_VALUE"""),32.6)</f>
        <v>32.6</v>
      </c>
      <c r="F3262" s="1">
        <f>IFERROR(__xludf.DUMMYFUNCTION("""COMPUTED_VALUE"""),1055950.0)</f>
        <v>1055950</v>
      </c>
    </row>
    <row r="3263">
      <c r="A3263" s="2">
        <f>IFERROR(__xludf.DUMMYFUNCTION("""COMPUTED_VALUE"""),44910.66666666667)</f>
        <v>44910.66667</v>
      </c>
      <c r="B3263" s="1">
        <f>IFERROR(__xludf.DUMMYFUNCTION("""COMPUTED_VALUE"""),33.47)</f>
        <v>33.47</v>
      </c>
      <c r="C3263" s="1">
        <f>IFERROR(__xludf.DUMMYFUNCTION("""COMPUTED_VALUE"""),34.89)</f>
        <v>34.89</v>
      </c>
      <c r="D3263" s="1">
        <f>IFERROR(__xludf.DUMMYFUNCTION("""COMPUTED_VALUE"""),32.5)</f>
        <v>32.5</v>
      </c>
      <c r="E3263" s="1">
        <f>IFERROR(__xludf.DUMMYFUNCTION("""COMPUTED_VALUE"""),33.32)</f>
        <v>33.32</v>
      </c>
      <c r="F3263" s="1">
        <f>IFERROR(__xludf.DUMMYFUNCTION("""COMPUTED_VALUE"""),2523547.0)</f>
        <v>2523547</v>
      </c>
    </row>
    <row r="3264">
      <c r="A3264" s="2">
        <f>IFERROR(__xludf.DUMMYFUNCTION("""COMPUTED_VALUE"""),44911.66666666667)</f>
        <v>44911.66667</v>
      </c>
      <c r="B3264" s="1">
        <f>IFERROR(__xludf.DUMMYFUNCTION("""COMPUTED_VALUE"""),35.0)</f>
        <v>35</v>
      </c>
      <c r="C3264" s="1">
        <f>IFERROR(__xludf.DUMMYFUNCTION("""COMPUTED_VALUE"""),37.4)</f>
        <v>37.4</v>
      </c>
      <c r="D3264" s="1">
        <f>IFERROR(__xludf.DUMMYFUNCTION("""COMPUTED_VALUE"""),34.14)</f>
        <v>34.14</v>
      </c>
      <c r="E3264" s="1">
        <f>IFERROR(__xludf.DUMMYFUNCTION("""COMPUTED_VALUE"""),34.4)</f>
        <v>34.4</v>
      </c>
      <c r="F3264" s="1">
        <f>IFERROR(__xludf.DUMMYFUNCTION("""COMPUTED_VALUE"""),5221054.0)</f>
        <v>5221054</v>
      </c>
    </row>
    <row r="3265">
      <c r="A3265" s="2">
        <f>IFERROR(__xludf.DUMMYFUNCTION("""COMPUTED_VALUE"""),44914.66666666667)</f>
        <v>44914.66667</v>
      </c>
      <c r="B3265" s="1">
        <f>IFERROR(__xludf.DUMMYFUNCTION("""COMPUTED_VALUE"""),35.47)</f>
        <v>35.47</v>
      </c>
      <c r="C3265" s="1">
        <f>IFERROR(__xludf.DUMMYFUNCTION("""COMPUTED_VALUE"""),37.45)</f>
        <v>37.45</v>
      </c>
      <c r="D3265" s="1">
        <f>IFERROR(__xludf.DUMMYFUNCTION("""COMPUTED_VALUE"""),34.0)</f>
        <v>34</v>
      </c>
      <c r="E3265" s="1">
        <f>IFERROR(__xludf.DUMMYFUNCTION("""COMPUTED_VALUE"""),37.12)</f>
        <v>37.12</v>
      </c>
      <c r="F3265" s="1">
        <f>IFERROR(__xludf.DUMMYFUNCTION("""COMPUTED_VALUE"""),7414129.0)</f>
        <v>7414129</v>
      </c>
    </row>
    <row r="3266">
      <c r="A3266" s="2">
        <f>IFERROR(__xludf.DUMMYFUNCTION("""COMPUTED_VALUE"""),44915.66666666667)</f>
        <v>44915.66667</v>
      </c>
      <c r="B3266" s="1">
        <f>IFERROR(__xludf.DUMMYFUNCTION("""COMPUTED_VALUE"""),36.23)</f>
        <v>36.23</v>
      </c>
      <c r="C3266" s="1">
        <f>IFERROR(__xludf.DUMMYFUNCTION("""COMPUTED_VALUE"""),38.74)</f>
        <v>38.74</v>
      </c>
      <c r="D3266" s="1">
        <f>IFERROR(__xludf.DUMMYFUNCTION("""COMPUTED_VALUE"""),36.03)</f>
        <v>36.03</v>
      </c>
      <c r="E3266" s="1">
        <f>IFERROR(__xludf.DUMMYFUNCTION("""COMPUTED_VALUE"""),37.91)</f>
        <v>37.91</v>
      </c>
      <c r="F3266" s="1">
        <f>IFERROR(__xludf.DUMMYFUNCTION("""COMPUTED_VALUE"""),5255615.0)</f>
        <v>5255615</v>
      </c>
    </row>
    <row r="3267">
      <c r="A3267" s="2">
        <f>IFERROR(__xludf.DUMMYFUNCTION("""COMPUTED_VALUE"""),44916.66666666667)</f>
        <v>44916.66667</v>
      </c>
      <c r="B3267" s="1">
        <f>IFERROR(__xludf.DUMMYFUNCTION("""COMPUTED_VALUE"""),38.6)</f>
        <v>38.6</v>
      </c>
      <c r="C3267" s="1">
        <f>IFERROR(__xludf.DUMMYFUNCTION("""COMPUTED_VALUE"""),39.66)</f>
        <v>39.66</v>
      </c>
      <c r="D3267" s="1">
        <f>IFERROR(__xludf.DUMMYFUNCTION("""COMPUTED_VALUE"""),37.6)</f>
        <v>37.6</v>
      </c>
      <c r="E3267" s="1">
        <f>IFERROR(__xludf.DUMMYFUNCTION("""COMPUTED_VALUE"""),39.34)</f>
        <v>39.34</v>
      </c>
      <c r="F3267" s="1">
        <f>IFERROR(__xludf.DUMMYFUNCTION("""COMPUTED_VALUE"""),2537590.0)</f>
        <v>2537590</v>
      </c>
    </row>
    <row r="3268">
      <c r="A3268" s="2">
        <f>IFERROR(__xludf.DUMMYFUNCTION("""COMPUTED_VALUE"""),44917.66666666667)</f>
        <v>44917.66667</v>
      </c>
      <c r="B3268" s="1">
        <f>IFERROR(__xludf.DUMMYFUNCTION("""COMPUTED_VALUE"""),40.01)</f>
        <v>40.01</v>
      </c>
      <c r="C3268" s="1">
        <f>IFERROR(__xludf.DUMMYFUNCTION("""COMPUTED_VALUE"""),42.19)</f>
        <v>42.19</v>
      </c>
      <c r="D3268" s="1">
        <f>IFERROR(__xludf.DUMMYFUNCTION("""COMPUTED_VALUE"""),39.2)</f>
        <v>39.2</v>
      </c>
      <c r="E3268" s="1">
        <f>IFERROR(__xludf.DUMMYFUNCTION("""COMPUTED_VALUE"""),40.19)</f>
        <v>40.19</v>
      </c>
      <c r="F3268" s="1">
        <f>IFERROR(__xludf.DUMMYFUNCTION("""COMPUTED_VALUE"""),4818248.0)</f>
        <v>4818248</v>
      </c>
    </row>
    <row r="3269">
      <c r="A3269" s="2">
        <f>IFERROR(__xludf.DUMMYFUNCTION("""COMPUTED_VALUE"""),44918.66666666667)</f>
        <v>44918.66667</v>
      </c>
      <c r="B3269" s="1">
        <f>IFERROR(__xludf.DUMMYFUNCTION("""COMPUTED_VALUE"""),39.22)</f>
        <v>39.22</v>
      </c>
      <c r="C3269" s="1">
        <f>IFERROR(__xludf.DUMMYFUNCTION("""COMPUTED_VALUE"""),39.8)</f>
        <v>39.8</v>
      </c>
      <c r="D3269" s="1">
        <f>IFERROR(__xludf.DUMMYFUNCTION("""COMPUTED_VALUE"""),37.86)</f>
        <v>37.86</v>
      </c>
      <c r="E3269" s="1">
        <f>IFERROR(__xludf.DUMMYFUNCTION("""COMPUTED_VALUE"""),38.46)</f>
        <v>38.46</v>
      </c>
      <c r="F3269" s="1">
        <f>IFERROR(__xludf.DUMMYFUNCTION("""COMPUTED_VALUE"""),2606607.0)</f>
        <v>2606607</v>
      </c>
    </row>
    <row r="3270">
      <c r="A3270" s="2">
        <f>IFERROR(__xludf.DUMMYFUNCTION("""COMPUTED_VALUE"""),44922.66666666667)</f>
        <v>44922.66667</v>
      </c>
      <c r="B3270" s="1">
        <f>IFERROR(__xludf.DUMMYFUNCTION("""COMPUTED_VALUE"""),37.7)</f>
        <v>37.7</v>
      </c>
      <c r="C3270" s="1">
        <f>IFERROR(__xludf.DUMMYFUNCTION("""COMPUTED_VALUE"""),39.4)</f>
        <v>39.4</v>
      </c>
      <c r="D3270" s="1">
        <f>IFERROR(__xludf.DUMMYFUNCTION("""COMPUTED_VALUE"""),37.26)</f>
        <v>37.26</v>
      </c>
      <c r="E3270" s="1">
        <f>IFERROR(__xludf.DUMMYFUNCTION("""COMPUTED_VALUE"""),38.56)</f>
        <v>38.56</v>
      </c>
      <c r="F3270" s="1">
        <f>IFERROR(__xludf.DUMMYFUNCTION("""COMPUTED_VALUE"""),2326035.0)</f>
        <v>2326035</v>
      </c>
    </row>
    <row r="3271">
      <c r="A3271" s="2">
        <f>IFERROR(__xludf.DUMMYFUNCTION("""COMPUTED_VALUE"""),44923.66666666667)</f>
        <v>44923.66667</v>
      </c>
      <c r="B3271" s="1">
        <f>IFERROR(__xludf.DUMMYFUNCTION("""COMPUTED_VALUE"""),37.74)</f>
        <v>37.74</v>
      </c>
      <c r="C3271" s="1">
        <f>IFERROR(__xludf.DUMMYFUNCTION("""COMPUTED_VALUE"""),38.26)</f>
        <v>38.26</v>
      </c>
      <c r="D3271" s="1">
        <f>IFERROR(__xludf.DUMMYFUNCTION("""COMPUTED_VALUE"""),35.32)</f>
        <v>35.32</v>
      </c>
      <c r="E3271" s="1">
        <f>IFERROR(__xludf.DUMMYFUNCTION("""COMPUTED_VALUE"""),36.37)</f>
        <v>36.37</v>
      </c>
      <c r="F3271" s="1">
        <f>IFERROR(__xludf.DUMMYFUNCTION("""COMPUTED_VALUE"""),2036040.0)</f>
        <v>2036040</v>
      </c>
    </row>
    <row r="3272">
      <c r="A3272" s="2">
        <f>IFERROR(__xludf.DUMMYFUNCTION("""COMPUTED_VALUE"""),44924.66666666667)</f>
        <v>44924.66667</v>
      </c>
      <c r="B3272" s="1">
        <f>IFERROR(__xludf.DUMMYFUNCTION("""COMPUTED_VALUE"""),33.52)</f>
        <v>33.52</v>
      </c>
      <c r="C3272" s="1">
        <f>IFERROR(__xludf.DUMMYFUNCTION("""COMPUTED_VALUE"""),36.24)</f>
        <v>36.24</v>
      </c>
      <c r="D3272" s="1">
        <f>IFERROR(__xludf.DUMMYFUNCTION("""COMPUTED_VALUE"""),30.75)</f>
        <v>30.75</v>
      </c>
      <c r="E3272" s="1">
        <f>IFERROR(__xludf.DUMMYFUNCTION("""COMPUTED_VALUE"""),36.04)</f>
        <v>36.04</v>
      </c>
      <c r="F3272" s="1">
        <f>IFERROR(__xludf.DUMMYFUNCTION("""COMPUTED_VALUE"""),5149645.0)</f>
        <v>5149645</v>
      </c>
    </row>
    <row r="3273">
      <c r="A3273" s="2">
        <f>IFERROR(__xludf.DUMMYFUNCTION("""COMPUTED_VALUE"""),44925.66666666667)</f>
        <v>44925.66667</v>
      </c>
      <c r="B3273" s="1">
        <f>IFERROR(__xludf.DUMMYFUNCTION("""COMPUTED_VALUE"""),34.79)</f>
        <v>34.79</v>
      </c>
      <c r="C3273" s="1">
        <f>IFERROR(__xludf.DUMMYFUNCTION("""COMPUTED_VALUE"""),35.3)</f>
        <v>35.3</v>
      </c>
      <c r="D3273" s="1">
        <f>IFERROR(__xludf.DUMMYFUNCTION("""COMPUTED_VALUE"""),33.85)</f>
        <v>33.85</v>
      </c>
      <c r="E3273" s="1">
        <f>IFERROR(__xludf.DUMMYFUNCTION("""COMPUTED_VALUE"""),34.82)</f>
        <v>34.82</v>
      </c>
      <c r="F3273" s="1">
        <f>IFERROR(__xludf.DUMMYFUNCTION("""COMPUTED_VALUE"""),1880449.0)</f>
        <v>1880449</v>
      </c>
    </row>
    <row r="3274">
      <c r="A3274" s="2">
        <f>IFERROR(__xludf.DUMMYFUNCTION("""COMPUTED_VALUE"""),44929.66666666667)</f>
        <v>44929.66667</v>
      </c>
      <c r="B3274" s="1">
        <f>IFERROR(__xludf.DUMMYFUNCTION("""COMPUTED_VALUE"""),34.57)</f>
        <v>34.57</v>
      </c>
      <c r="C3274" s="1">
        <f>IFERROR(__xludf.DUMMYFUNCTION("""COMPUTED_VALUE"""),35.39)</f>
        <v>35.39</v>
      </c>
      <c r="D3274" s="1">
        <f>IFERROR(__xludf.DUMMYFUNCTION("""COMPUTED_VALUE"""),33.63)</f>
        <v>33.63</v>
      </c>
      <c r="E3274" s="1">
        <f>IFERROR(__xludf.DUMMYFUNCTION("""COMPUTED_VALUE"""),34.65)</f>
        <v>34.65</v>
      </c>
      <c r="F3274" s="1">
        <f>IFERROR(__xludf.DUMMYFUNCTION("""COMPUTED_VALUE"""),2008191.0)</f>
        <v>2008191</v>
      </c>
    </row>
    <row r="3275">
      <c r="A3275" s="2">
        <f>IFERROR(__xludf.DUMMYFUNCTION("""COMPUTED_VALUE"""),44930.66666666667)</f>
        <v>44930.66667</v>
      </c>
      <c r="B3275" s="1">
        <f>IFERROR(__xludf.DUMMYFUNCTION("""COMPUTED_VALUE"""),35.99)</f>
        <v>35.99</v>
      </c>
      <c r="C3275" s="1">
        <f>IFERROR(__xludf.DUMMYFUNCTION("""COMPUTED_VALUE"""),36.26)</f>
        <v>36.26</v>
      </c>
      <c r="D3275" s="1">
        <f>IFERROR(__xludf.DUMMYFUNCTION("""COMPUTED_VALUE"""),34.1)</f>
        <v>34.1</v>
      </c>
      <c r="E3275" s="1">
        <f>IFERROR(__xludf.DUMMYFUNCTION("""COMPUTED_VALUE"""),35.22)</f>
        <v>35.22</v>
      </c>
      <c r="F3275" s="1">
        <f>IFERROR(__xludf.DUMMYFUNCTION("""COMPUTED_VALUE"""),2368270.0)</f>
        <v>2368270</v>
      </c>
    </row>
    <row r="3276">
      <c r="A3276" s="2">
        <f>IFERROR(__xludf.DUMMYFUNCTION("""COMPUTED_VALUE"""),44931.66666666667)</f>
        <v>44931.66667</v>
      </c>
      <c r="B3276" s="1">
        <f>IFERROR(__xludf.DUMMYFUNCTION("""COMPUTED_VALUE"""),34.9)</f>
        <v>34.9</v>
      </c>
      <c r="C3276" s="1">
        <f>IFERROR(__xludf.DUMMYFUNCTION("""COMPUTED_VALUE"""),37.77)</f>
        <v>37.77</v>
      </c>
      <c r="D3276" s="1">
        <f>IFERROR(__xludf.DUMMYFUNCTION("""COMPUTED_VALUE"""),34.9)</f>
        <v>34.9</v>
      </c>
      <c r="E3276" s="1">
        <f>IFERROR(__xludf.DUMMYFUNCTION("""COMPUTED_VALUE"""),37.01)</f>
        <v>37.01</v>
      </c>
      <c r="F3276" s="1">
        <f>IFERROR(__xludf.DUMMYFUNCTION("""COMPUTED_VALUE"""),2881993.0)</f>
        <v>2881993</v>
      </c>
    </row>
    <row r="3277">
      <c r="A3277" s="2">
        <f>IFERROR(__xludf.DUMMYFUNCTION("""COMPUTED_VALUE"""),44932.66666666667)</f>
        <v>44932.66667</v>
      </c>
      <c r="B3277" s="1">
        <f>IFERROR(__xludf.DUMMYFUNCTION("""COMPUTED_VALUE"""),36.92)</f>
        <v>36.92</v>
      </c>
      <c r="C3277" s="1">
        <f>IFERROR(__xludf.DUMMYFUNCTION("""COMPUTED_VALUE"""),39.0)</f>
        <v>39</v>
      </c>
      <c r="D3277" s="1">
        <f>IFERROR(__xludf.DUMMYFUNCTION("""COMPUTED_VALUE"""),36.63)</f>
        <v>36.63</v>
      </c>
      <c r="E3277" s="1">
        <f>IFERROR(__xludf.DUMMYFUNCTION("""COMPUTED_VALUE"""),38.66)</f>
        <v>38.66</v>
      </c>
      <c r="F3277" s="1">
        <f>IFERROR(__xludf.DUMMYFUNCTION("""COMPUTED_VALUE"""),2438793.0)</f>
        <v>2438793</v>
      </c>
    </row>
    <row r="3278">
      <c r="A3278" s="2">
        <f>IFERROR(__xludf.DUMMYFUNCTION("""COMPUTED_VALUE"""),44935.66666666667)</f>
        <v>44935.66667</v>
      </c>
      <c r="B3278" s="1">
        <f>IFERROR(__xludf.DUMMYFUNCTION("""COMPUTED_VALUE"""),39.32)</f>
        <v>39.32</v>
      </c>
      <c r="C3278" s="1">
        <f>IFERROR(__xludf.DUMMYFUNCTION("""COMPUTED_VALUE"""),40.84)</f>
        <v>40.84</v>
      </c>
      <c r="D3278" s="1">
        <f>IFERROR(__xludf.DUMMYFUNCTION("""COMPUTED_VALUE"""),39.09)</f>
        <v>39.09</v>
      </c>
      <c r="E3278" s="1">
        <f>IFERROR(__xludf.DUMMYFUNCTION("""COMPUTED_VALUE"""),40.04)</f>
        <v>40.04</v>
      </c>
      <c r="F3278" s="1">
        <f>IFERROR(__xludf.DUMMYFUNCTION("""COMPUTED_VALUE"""),3850271.0)</f>
        <v>3850271</v>
      </c>
    </row>
    <row r="3279">
      <c r="A3279" s="2">
        <f>IFERROR(__xludf.DUMMYFUNCTION("""COMPUTED_VALUE"""),44936.66666666667)</f>
        <v>44936.66667</v>
      </c>
      <c r="B3279" s="1">
        <f>IFERROR(__xludf.DUMMYFUNCTION("""COMPUTED_VALUE"""),40.35)</f>
        <v>40.35</v>
      </c>
      <c r="C3279" s="1">
        <f>IFERROR(__xludf.DUMMYFUNCTION("""COMPUTED_VALUE"""),41.16)</f>
        <v>41.16</v>
      </c>
      <c r="D3279" s="1">
        <f>IFERROR(__xludf.DUMMYFUNCTION("""COMPUTED_VALUE"""),39.44)</f>
        <v>39.44</v>
      </c>
      <c r="E3279" s="1">
        <f>IFERROR(__xludf.DUMMYFUNCTION("""COMPUTED_VALUE"""),40.78)</f>
        <v>40.78</v>
      </c>
      <c r="F3279" s="1">
        <f>IFERROR(__xludf.DUMMYFUNCTION("""COMPUTED_VALUE"""),1560118.0)</f>
        <v>1560118</v>
      </c>
    </row>
    <row r="3280">
      <c r="A3280" s="2">
        <f>IFERROR(__xludf.DUMMYFUNCTION("""COMPUTED_VALUE"""),44937.66666666667)</f>
        <v>44937.66667</v>
      </c>
      <c r="B3280" s="1">
        <f>IFERROR(__xludf.DUMMYFUNCTION("""COMPUTED_VALUE"""),40.38)</f>
        <v>40.38</v>
      </c>
      <c r="C3280" s="1">
        <f>IFERROR(__xludf.DUMMYFUNCTION("""COMPUTED_VALUE"""),40.73)</f>
        <v>40.73</v>
      </c>
      <c r="D3280" s="1">
        <f>IFERROR(__xludf.DUMMYFUNCTION("""COMPUTED_VALUE"""),39.73)</f>
        <v>39.73</v>
      </c>
      <c r="E3280" s="1">
        <f>IFERROR(__xludf.DUMMYFUNCTION("""COMPUTED_VALUE"""),40.37)</f>
        <v>40.37</v>
      </c>
      <c r="F3280" s="1">
        <f>IFERROR(__xludf.DUMMYFUNCTION("""COMPUTED_VALUE"""),774766.0)</f>
        <v>774766</v>
      </c>
    </row>
    <row r="3281">
      <c r="A3281" s="2">
        <f>IFERROR(__xludf.DUMMYFUNCTION("""COMPUTED_VALUE"""),44938.66666666667)</f>
        <v>44938.66667</v>
      </c>
      <c r="B3281" s="1">
        <f>IFERROR(__xludf.DUMMYFUNCTION("""COMPUTED_VALUE"""),39.68)</f>
        <v>39.68</v>
      </c>
      <c r="C3281" s="1">
        <f>IFERROR(__xludf.DUMMYFUNCTION("""COMPUTED_VALUE"""),40.29)</f>
        <v>40.29</v>
      </c>
      <c r="D3281" s="1">
        <f>IFERROR(__xludf.DUMMYFUNCTION("""COMPUTED_VALUE"""),38.92)</f>
        <v>38.92</v>
      </c>
      <c r="E3281" s="1">
        <f>IFERROR(__xludf.DUMMYFUNCTION("""COMPUTED_VALUE"""),40.13)</f>
        <v>40.13</v>
      </c>
      <c r="F3281" s="1">
        <f>IFERROR(__xludf.DUMMYFUNCTION("""COMPUTED_VALUE"""),1397455.0)</f>
        <v>1397455</v>
      </c>
    </row>
    <row r="3282">
      <c r="A3282" s="2">
        <f>IFERROR(__xludf.DUMMYFUNCTION("""COMPUTED_VALUE"""),44939.66666666667)</f>
        <v>44939.66667</v>
      </c>
      <c r="B3282" s="1">
        <f>IFERROR(__xludf.DUMMYFUNCTION("""COMPUTED_VALUE"""),42.64)</f>
        <v>42.64</v>
      </c>
      <c r="C3282" s="1">
        <f>IFERROR(__xludf.DUMMYFUNCTION("""COMPUTED_VALUE"""),43.38)</f>
        <v>43.38</v>
      </c>
      <c r="D3282" s="1">
        <f>IFERROR(__xludf.DUMMYFUNCTION("""COMPUTED_VALUE"""),41.6)</f>
        <v>41.6</v>
      </c>
      <c r="E3282" s="1">
        <f>IFERROR(__xludf.DUMMYFUNCTION("""COMPUTED_VALUE"""),42.64)</f>
        <v>42.64</v>
      </c>
      <c r="F3282" s="1">
        <f>IFERROR(__xludf.DUMMYFUNCTION("""COMPUTED_VALUE"""),2384217.0)</f>
        <v>2384217</v>
      </c>
    </row>
    <row r="3283">
      <c r="A3283" s="2">
        <f>IFERROR(__xludf.DUMMYFUNCTION("""COMPUTED_VALUE"""),44943.66666666667)</f>
        <v>44943.66667</v>
      </c>
      <c r="B3283" s="1">
        <f>IFERROR(__xludf.DUMMYFUNCTION("""COMPUTED_VALUE"""),39.04)</f>
        <v>39.04</v>
      </c>
      <c r="C3283" s="1">
        <f>IFERROR(__xludf.DUMMYFUNCTION("""COMPUTED_VALUE"""),41.94)</f>
        <v>41.94</v>
      </c>
      <c r="D3283" s="1">
        <f>IFERROR(__xludf.DUMMYFUNCTION("""COMPUTED_VALUE"""),37.0)</f>
        <v>37</v>
      </c>
      <c r="E3283" s="1">
        <f>IFERROR(__xludf.DUMMYFUNCTION("""COMPUTED_VALUE"""),37.53)</f>
        <v>37.53</v>
      </c>
      <c r="F3283" s="1">
        <f>IFERROR(__xludf.DUMMYFUNCTION("""COMPUTED_VALUE"""),5097694.0)</f>
        <v>5097694</v>
      </c>
    </row>
    <row r="3284">
      <c r="A3284" s="2">
        <f>IFERROR(__xludf.DUMMYFUNCTION("""COMPUTED_VALUE"""),44944.66666666667)</f>
        <v>44944.66667</v>
      </c>
      <c r="B3284" s="1">
        <f>IFERROR(__xludf.DUMMYFUNCTION("""COMPUTED_VALUE"""),39.68)</f>
        <v>39.68</v>
      </c>
      <c r="C3284" s="1">
        <f>IFERROR(__xludf.DUMMYFUNCTION("""COMPUTED_VALUE"""),41.58)</f>
        <v>41.58</v>
      </c>
      <c r="D3284" s="1">
        <f>IFERROR(__xludf.DUMMYFUNCTION("""COMPUTED_VALUE"""),39.26)</f>
        <v>39.26</v>
      </c>
      <c r="E3284" s="1">
        <f>IFERROR(__xludf.DUMMYFUNCTION("""COMPUTED_VALUE"""),40.77)</f>
        <v>40.77</v>
      </c>
      <c r="F3284" s="1">
        <f>IFERROR(__xludf.DUMMYFUNCTION("""COMPUTED_VALUE"""),3210156.0)</f>
        <v>3210156</v>
      </c>
    </row>
    <row r="3285">
      <c r="A3285" s="2">
        <f>IFERROR(__xludf.DUMMYFUNCTION("""COMPUTED_VALUE"""),44945.66666666667)</f>
        <v>44945.66667</v>
      </c>
      <c r="B3285" s="1">
        <f>IFERROR(__xludf.DUMMYFUNCTION("""COMPUTED_VALUE"""),42.6)</f>
        <v>42.6</v>
      </c>
      <c r="C3285" s="1">
        <f>IFERROR(__xludf.DUMMYFUNCTION("""COMPUTED_VALUE"""),46.2)</f>
        <v>46.2</v>
      </c>
      <c r="D3285" s="1">
        <f>IFERROR(__xludf.DUMMYFUNCTION("""COMPUTED_VALUE"""),42.41)</f>
        <v>42.41</v>
      </c>
      <c r="E3285" s="1">
        <f>IFERROR(__xludf.DUMMYFUNCTION("""COMPUTED_VALUE"""),44.69)</f>
        <v>44.69</v>
      </c>
      <c r="F3285" s="1">
        <f>IFERROR(__xludf.DUMMYFUNCTION("""COMPUTED_VALUE"""),6532220.0)</f>
        <v>6532220</v>
      </c>
    </row>
    <row r="3286">
      <c r="A3286" s="2">
        <f>IFERROR(__xludf.DUMMYFUNCTION("""COMPUTED_VALUE"""),44946.66666666667)</f>
        <v>44946.66667</v>
      </c>
      <c r="B3286" s="1">
        <f>IFERROR(__xludf.DUMMYFUNCTION("""COMPUTED_VALUE"""),46.59)</f>
        <v>46.59</v>
      </c>
      <c r="C3286" s="1">
        <f>IFERROR(__xludf.DUMMYFUNCTION("""COMPUTED_VALUE"""),46.63)</f>
        <v>46.63</v>
      </c>
      <c r="D3286" s="1">
        <f>IFERROR(__xludf.DUMMYFUNCTION("""COMPUTED_VALUE"""),43.5)</f>
        <v>43.5</v>
      </c>
      <c r="E3286" s="1">
        <f>IFERROR(__xludf.DUMMYFUNCTION("""COMPUTED_VALUE"""),44.19)</f>
        <v>44.19</v>
      </c>
      <c r="F3286" s="1">
        <f>IFERROR(__xludf.DUMMYFUNCTION("""COMPUTED_VALUE"""),6035587.0)</f>
        <v>6035587</v>
      </c>
    </row>
    <row r="3287">
      <c r="A3287" s="2">
        <f>IFERROR(__xludf.DUMMYFUNCTION("""COMPUTED_VALUE"""),44949.66666666667)</f>
        <v>44949.66667</v>
      </c>
      <c r="B3287" s="1">
        <f>IFERROR(__xludf.DUMMYFUNCTION("""COMPUTED_VALUE"""),44.0)</f>
        <v>44</v>
      </c>
      <c r="C3287" s="1">
        <f>IFERROR(__xludf.DUMMYFUNCTION("""COMPUTED_VALUE"""),44.75)</f>
        <v>44.75</v>
      </c>
      <c r="D3287" s="1">
        <f>IFERROR(__xludf.DUMMYFUNCTION("""COMPUTED_VALUE"""),43.5)</f>
        <v>43.5</v>
      </c>
      <c r="E3287" s="1">
        <f>IFERROR(__xludf.DUMMYFUNCTION("""COMPUTED_VALUE"""),44.15)</f>
        <v>44.15</v>
      </c>
      <c r="F3287" s="1">
        <f>IFERROR(__xludf.DUMMYFUNCTION("""COMPUTED_VALUE"""),1476824.0)</f>
        <v>1476824</v>
      </c>
    </row>
    <row r="3288">
      <c r="A3288" s="2">
        <f>IFERROR(__xludf.DUMMYFUNCTION("""COMPUTED_VALUE"""),44950.66666666667)</f>
        <v>44950.66667</v>
      </c>
      <c r="B3288" s="1">
        <f>IFERROR(__xludf.DUMMYFUNCTION("""COMPUTED_VALUE"""),44.25)</f>
        <v>44.25</v>
      </c>
      <c r="C3288" s="1">
        <f>IFERROR(__xludf.DUMMYFUNCTION("""COMPUTED_VALUE"""),44.84)</f>
        <v>44.84</v>
      </c>
      <c r="D3288" s="1">
        <f>IFERROR(__xludf.DUMMYFUNCTION("""COMPUTED_VALUE"""),42.86)</f>
        <v>42.86</v>
      </c>
      <c r="E3288" s="1">
        <f>IFERROR(__xludf.DUMMYFUNCTION("""COMPUTED_VALUE"""),44.76)</f>
        <v>44.76</v>
      </c>
      <c r="F3288" s="1">
        <f>IFERROR(__xludf.DUMMYFUNCTION("""COMPUTED_VALUE"""),1299319.0)</f>
        <v>1299319</v>
      </c>
    </row>
    <row r="3289">
      <c r="A3289" s="2">
        <f>IFERROR(__xludf.DUMMYFUNCTION("""COMPUTED_VALUE"""),44951.66666666667)</f>
        <v>44951.66667</v>
      </c>
      <c r="B3289" s="1">
        <f>IFERROR(__xludf.DUMMYFUNCTION("""COMPUTED_VALUE"""),44.5)</f>
        <v>44.5</v>
      </c>
      <c r="C3289" s="1">
        <f>IFERROR(__xludf.DUMMYFUNCTION("""COMPUTED_VALUE"""),45.47)</f>
        <v>45.47</v>
      </c>
      <c r="D3289" s="1">
        <f>IFERROR(__xludf.DUMMYFUNCTION("""COMPUTED_VALUE"""),43.8)</f>
        <v>43.8</v>
      </c>
      <c r="E3289" s="1">
        <f>IFERROR(__xludf.DUMMYFUNCTION("""COMPUTED_VALUE"""),44.41)</f>
        <v>44.41</v>
      </c>
      <c r="F3289" s="1">
        <f>IFERROR(__xludf.DUMMYFUNCTION("""COMPUTED_VALUE"""),1352788.0)</f>
        <v>1352788</v>
      </c>
    </row>
    <row r="3290">
      <c r="A3290" s="2">
        <f>IFERROR(__xludf.DUMMYFUNCTION("""COMPUTED_VALUE"""),44952.66666666667)</f>
        <v>44952.66667</v>
      </c>
      <c r="B3290" s="1">
        <f>IFERROR(__xludf.DUMMYFUNCTION("""COMPUTED_VALUE"""),44.63)</f>
        <v>44.63</v>
      </c>
      <c r="C3290" s="1">
        <f>IFERROR(__xludf.DUMMYFUNCTION("""COMPUTED_VALUE"""),44.95)</f>
        <v>44.95</v>
      </c>
      <c r="D3290" s="1">
        <f>IFERROR(__xludf.DUMMYFUNCTION("""COMPUTED_VALUE"""),42.9)</f>
        <v>42.9</v>
      </c>
      <c r="E3290" s="1">
        <f>IFERROR(__xludf.DUMMYFUNCTION("""COMPUTED_VALUE"""),44.63)</f>
        <v>44.63</v>
      </c>
      <c r="F3290" s="1">
        <f>IFERROR(__xludf.DUMMYFUNCTION("""COMPUTED_VALUE"""),2138513.0)</f>
        <v>2138513</v>
      </c>
    </row>
    <row r="3291">
      <c r="A3291" s="2">
        <f>IFERROR(__xludf.DUMMYFUNCTION("""COMPUTED_VALUE"""),44953.66666666667)</f>
        <v>44953.66667</v>
      </c>
      <c r="B3291" s="1">
        <f>IFERROR(__xludf.DUMMYFUNCTION("""COMPUTED_VALUE"""),44.02)</f>
        <v>44.02</v>
      </c>
      <c r="C3291" s="1">
        <f>IFERROR(__xludf.DUMMYFUNCTION("""COMPUTED_VALUE"""),44.47)</f>
        <v>44.47</v>
      </c>
      <c r="D3291" s="1">
        <f>IFERROR(__xludf.DUMMYFUNCTION("""COMPUTED_VALUE"""),43.3)</f>
        <v>43.3</v>
      </c>
      <c r="E3291" s="1">
        <f>IFERROR(__xludf.DUMMYFUNCTION("""COMPUTED_VALUE"""),43.93)</f>
        <v>43.93</v>
      </c>
      <c r="F3291" s="1">
        <f>IFERROR(__xludf.DUMMYFUNCTION("""COMPUTED_VALUE"""),1208553.0)</f>
        <v>1208553</v>
      </c>
    </row>
    <row r="3292">
      <c r="A3292" s="2">
        <f>IFERROR(__xludf.DUMMYFUNCTION("""COMPUTED_VALUE"""),44956.66666666667)</f>
        <v>44956.66667</v>
      </c>
      <c r="B3292" s="1">
        <f>IFERROR(__xludf.DUMMYFUNCTION("""COMPUTED_VALUE"""),41.95)</f>
        <v>41.95</v>
      </c>
      <c r="C3292" s="1">
        <f>IFERROR(__xludf.DUMMYFUNCTION("""COMPUTED_VALUE"""),43.04)</f>
        <v>43.04</v>
      </c>
      <c r="D3292" s="1">
        <f>IFERROR(__xludf.DUMMYFUNCTION("""COMPUTED_VALUE"""),41.05)</f>
        <v>41.05</v>
      </c>
      <c r="E3292" s="1">
        <f>IFERROR(__xludf.DUMMYFUNCTION("""COMPUTED_VALUE"""),42.12)</f>
        <v>42.12</v>
      </c>
      <c r="F3292" s="1">
        <f>IFERROR(__xludf.DUMMYFUNCTION("""COMPUTED_VALUE"""),2154049.0)</f>
        <v>2154049</v>
      </c>
    </row>
    <row r="3293">
      <c r="A3293" s="2">
        <f>IFERROR(__xludf.DUMMYFUNCTION("""COMPUTED_VALUE"""),44957.66666666667)</f>
        <v>44957.66667</v>
      </c>
      <c r="B3293" s="1">
        <f>IFERROR(__xludf.DUMMYFUNCTION("""COMPUTED_VALUE"""),42.0)</f>
        <v>42</v>
      </c>
      <c r="C3293" s="1">
        <f>IFERROR(__xludf.DUMMYFUNCTION("""COMPUTED_VALUE"""),43.6)</f>
        <v>43.6</v>
      </c>
      <c r="D3293" s="1">
        <f>IFERROR(__xludf.DUMMYFUNCTION("""COMPUTED_VALUE"""),41.6)</f>
        <v>41.6</v>
      </c>
      <c r="E3293" s="1">
        <f>IFERROR(__xludf.DUMMYFUNCTION("""COMPUTED_VALUE"""),42.64)</f>
        <v>42.64</v>
      </c>
      <c r="F3293" s="1">
        <f>IFERROR(__xludf.DUMMYFUNCTION("""COMPUTED_VALUE"""),1580581.0)</f>
        <v>1580581</v>
      </c>
    </row>
    <row r="3294">
      <c r="A3294" s="2">
        <f>IFERROR(__xludf.DUMMYFUNCTION("""COMPUTED_VALUE"""),44958.66666666667)</f>
        <v>44958.66667</v>
      </c>
      <c r="B3294" s="1">
        <f>IFERROR(__xludf.DUMMYFUNCTION("""COMPUTED_VALUE"""),44.39)</f>
        <v>44.39</v>
      </c>
      <c r="C3294" s="1">
        <f>IFERROR(__xludf.DUMMYFUNCTION("""COMPUTED_VALUE"""),45.95)</f>
        <v>45.95</v>
      </c>
      <c r="D3294" s="1">
        <f>IFERROR(__xludf.DUMMYFUNCTION("""COMPUTED_VALUE"""),44.05)</f>
        <v>44.05</v>
      </c>
      <c r="E3294" s="1">
        <f>IFERROR(__xludf.DUMMYFUNCTION("""COMPUTED_VALUE"""),45.16)</f>
        <v>45.16</v>
      </c>
      <c r="F3294" s="1">
        <f>IFERROR(__xludf.DUMMYFUNCTION("""COMPUTED_VALUE"""),2033900.0)</f>
        <v>2033900</v>
      </c>
    </row>
    <row r="3295">
      <c r="A3295" s="2">
        <f>IFERROR(__xludf.DUMMYFUNCTION("""COMPUTED_VALUE"""),44959.66666666667)</f>
        <v>44959.66667</v>
      </c>
      <c r="B3295" s="1">
        <f>IFERROR(__xludf.DUMMYFUNCTION("""COMPUTED_VALUE"""),44.45)</f>
        <v>44.45</v>
      </c>
      <c r="C3295" s="1">
        <f>IFERROR(__xludf.DUMMYFUNCTION("""COMPUTED_VALUE"""),44.63)</f>
        <v>44.63</v>
      </c>
      <c r="D3295" s="1">
        <f>IFERROR(__xludf.DUMMYFUNCTION("""COMPUTED_VALUE"""),42.51)</f>
        <v>42.51</v>
      </c>
      <c r="E3295" s="1">
        <f>IFERROR(__xludf.DUMMYFUNCTION("""COMPUTED_VALUE"""),43.0)</f>
        <v>43</v>
      </c>
      <c r="F3295" s="1">
        <f>IFERROR(__xludf.DUMMYFUNCTION("""COMPUTED_VALUE"""),1958462.0)</f>
        <v>1958462</v>
      </c>
    </row>
    <row r="3296">
      <c r="A3296" s="2">
        <f>IFERROR(__xludf.DUMMYFUNCTION("""COMPUTED_VALUE"""),44960.66666666667)</f>
        <v>44960.66667</v>
      </c>
      <c r="B3296" s="1">
        <f>IFERROR(__xludf.DUMMYFUNCTION("""COMPUTED_VALUE"""),42.19)</f>
        <v>42.19</v>
      </c>
      <c r="C3296" s="1">
        <f>IFERROR(__xludf.DUMMYFUNCTION("""COMPUTED_VALUE"""),43.06)</f>
        <v>43.06</v>
      </c>
      <c r="D3296" s="1">
        <f>IFERROR(__xludf.DUMMYFUNCTION("""COMPUTED_VALUE"""),41.15)</f>
        <v>41.15</v>
      </c>
      <c r="E3296" s="1">
        <f>IFERROR(__xludf.DUMMYFUNCTION("""COMPUTED_VALUE"""),41.96)</f>
        <v>41.96</v>
      </c>
      <c r="F3296" s="1">
        <f>IFERROR(__xludf.DUMMYFUNCTION("""COMPUTED_VALUE"""),1350604.0)</f>
        <v>1350604</v>
      </c>
    </row>
    <row r="3297">
      <c r="A3297" s="2">
        <f>IFERROR(__xludf.DUMMYFUNCTION("""COMPUTED_VALUE"""),44963.66666666667)</f>
        <v>44963.66667</v>
      </c>
      <c r="B3297" s="1">
        <f>IFERROR(__xludf.DUMMYFUNCTION("""COMPUTED_VALUE"""),40.0)</f>
        <v>40</v>
      </c>
      <c r="C3297" s="1">
        <f>IFERROR(__xludf.DUMMYFUNCTION("""COMPUTED_VALUE"""),40.91)</f>
        <v>40.91</v>
      </c>
      <c r="D3297" s="1">
        <f>IFERROR(__xludf.DUMMYFUNCTION("""COMPUTED_VALUE"""),38.63)</f>
        <v>38.63</v>
      </c>
      <c r="E3297" s="1">
        <f>IFERROR(__xludf.DUMMYFUNCTION("""COMPUTED_VALUE"""),40.74)</f>
        <v>40.74</v>
      </c>
      <c r="F3297" s="1">
        <f>IFERROR(__xludf.DUMMYFUNCTION("""COMPUTED_VALUE"""),3777017.0)</f>
        <v>3777017</v>
      </c>
    </row>
    <row r="3298">
      <c r="A3298" s="2">
        <f>IFERROR(__xludf.DUMMYFUNCTION("""COMPUTED_VALUE"""),44964.66666666667)</f>
        <v>44964.66667</v>
      </c>
      <c r="B3298" s="1">
        <f>IFERROR(__xludf.DUMMYFUNCTION("""COMPUTED_VALUE"""),40.74)</f>
        <v>40.74</v>
      </c>
      <c r="C3298" s="1">
        <f>IFERROR(__xludf.DUMMYFUNCTION("""COMPUTED_VALUE"""),41.61)</f>
        <v>41.61</v>
      </c>
      <c r="D3298" s="1">
        <f>IFERROR(__xludf.DUMMYFUNCTION("""COMPUTED_VALUE"""),40.24)</f>
        <v>40.24</v>
      </c>
      <c r="E3298" s="1">
        <f>IFERROR(__xludf.DUMMYFUNCTION("""COMPUTED_VALUE"""),40.49)</f>
        <v>40.49</v>
      </c>
      <c r="F3298" s="1">
        <f>IFERROR(__xludf.DUMMYFUNCTION("""COMPUTED_VALUE"""),1977867.0)</f>
        <v>1977867</v>
      </c>
    </row>
    <row r="3299">
      <c r="A3299" s="2">
        <f>IFERROR(__xludf.DUMMYFUNCTION("""COMPUTED_VALUE"""),44965.66666666667)</f>
        <v>44965.66667</v>
      </c>
      <c r="B3299" s="1">
        <f>IFERROR(__xludf.DUMMYFUNCTION("""COMPUTED_VALUE"""),40.44)</f>
        <v>40.44</v>
      </c>
      <c r="C3299" s="1">
        <f>IFERROR(__xludf.DUMMYFUNCTION("""COMPUTED_VALUE"""),41.9)</f>
        <v>41.9</v>
      </c>
      <c r="D3299" s="1">
        <f>IFERROR(__xludf.DUMMYFUNCTION("""COMPUTED_VALUE"""),39.84)</f>
        <v>39.84</v>
      </c>
      <c r="E3299" s="1">
        <f>IFERROR(__xludf.DUMMYFUNCTION("""COMPUTED_VALUE"""),39.84)</f>
        <v>39.84</v>
      </c>
      <c r="F3299" s="1">
        <f>IFERROR(__xludf.DUMMYFUNCTION("""COMPUTED_VALUE"""),3352510.0)</f>
        <v>3352510</v>
      </c>
    </row>
    <row r="3300">
      <c r="A3300" s="2">
        <f>IFERROR(__xludf.DUMMYFUNCTION("""COMPUTED_VALUE"""),44966.66666666667)</f>
        <v>44966.66667</v>
      </c>
      <c r="B3300" s="1">
        <f>IFERROR(__xludf.DUMMYFUNCTION("""COMPUTED_VALUE"""),41.79)</f>
        <v>41.79</v>
      </c>
      <c r="C3300" s="1">
        <f>IFERROR(__xludf.DUMMYFUNCTION("""COMPUTED_VALUE"""),42.7)</f>
        <v>42.7</v>
      </c>
      <c r="D3300" s="1">
        <f>IFERROR(__xludf.DUMMYFUNCTION("""COMPUTED_VALUE"""),41.64)</f>
        <v>41.64</v>
      </c>
      <c r="E3300" s="1">
        <f>IFERROR(__xludf.DUMMYFUNCTION("""COMPUTED_VALUE"""),41.74)</f>
        <v>41.74</v>
      </c>
      <c r="F3300" s="1">
        <f>IFERROR(__xludf.DUMMYFUNCTION("""COMPUTED_VALUE"""),1744174.0)</f>
        <v>1744174</v>
      </c>
    </row>
    <row r="3301">
      <c r="A3301" s="2">
        <f>IFERROR(__xludf.DUMMYFUNCTION("""COMPUTED_VALUE"""),44967.66666666667)</f>
        <v>44967.66667</v>
      </c>
      <c r="B3301" s="1">
        <f>IFERROR(__xludf.DUMMYFUNCTION("""COMPUTED_VALUE"""),40.36)</f>
        <v>40.36</v>
      </c>
      <c r="C3301" s="1">
        <f>IFERROR(__xludf.DUMMYFUNCTION("""COMPUTED_VALUE"""),40.54)</f>
        <v>40.54</v>
      </c>
      <c r="D3301" s="1">
        <f>IFERROR(__xludf.DUMMYFUNCTION("""COMPUTED_VALUE"""),39.25)</f>
        <v>39.25</v>
      </c>
      <c r="E3301" s="1">
        <f>IFERROR(__xludf.DUMMYFUNCTION("""COMPUTED_VALUE"""),39.8)</f>
        <v>39.8</v>
      </c>
      <c r="F3301" s="1">
        <f>IFERROR(__xludf.DUMMYFUNCTION("""COMPUTED_VALUE"""),2537654.0)</f>
        <v>2537654</v>
      </c>
    </row>
    <row r="3302">
      <c r="A3302" s="2">
        <f>IFERROR(__xludf.DUMMYFUNCTION("""COMPUTED_VALUE"""),44970.66666666667)</f>
        <v>44970.66667</v>
      </c>
      <c r="B3302" s="1">
        <f>IFERROR(__xludf.DUMMYFUNCTION("""COMPUTED_VALUE"""),38.69)</f>
        <v>38.69</v>
      </c>
      <c r="C3302" s="1">
        <f>IFERROR(__xludf.DUMMYFUNCTION("""COMPUTED_VALUE"""),40.79)</f>
        <v>40.79</v>
      </c>
      <c r="D3302" s="1">
        <f>IFERROR(__xludf.DUMMYFUNCTION("""COMPUTED_VALUE"""),37.22)</f>
        <v>37.22</v>
      </c>
      <c r="E3302" s="1">
        <f>IFERROR(__xludf.DUMMYFUNCTION("""COMPUTED_VALUE"""),40.5)</f>
        <v>40.5</v>
      </c>
      <c r="F3302" s="1">
        <f>IFERROR(__xludf.DUMMYFUNCTION("""COMPUTED_VALUE"""),2806327.0)</f>
        <v>2806327</v>
      </c>
    </row>
    <row r="3303">
      <c r="A3303" s="2">
        <f>IFERROR(__xludf.DUMMYFUNCTION("""COMPUTED_VALUE"""),44971.66666666667)</f>
        <v>44971.66667</v>
      </c>
      <c r="B3303" s="1">
        <f>IFERROR(__xludf.DUMMYFUNCTION("""COMPUTED_VALUE"""),39.5)</f>
        <v>39.5</v>
      </c>
      <c r="C3303" s="1">
        <f>IFERROR(__xludf.DUMMYFUNCTION("""COMPUTED_VALUE"""),41.19)</f>
        <v>41.19</v>
      </c>
      <c r="D3303" s="1">
        <f>IFERROR(__xludf.DUMMYFUNCTION("""COMPUTED_VALUE"""),38.76)</f>
        <v>38.76</v>
      </c>
      <c r="E3303" s="1">
        <f>IFERROR(__xludf.DUMMYFUNCTION("""COMPUTED_VALUE"""),40.0)</f>
        <v>40</v>
      </c>
      <c r="F3303" s="1">
        <f>IFERROR(__xludf.DUMMYFUNCTION("""COMPUTED_VALUE"""),1918804.0)</f>
        <v>1918804</v>
      </c>
    </row>
    <row r="3304">
      <c r="A3304" s="2">
        <f>IFERROR(__xludf.DUMMYFUNCTION("""COMPUTED_VALUE"""),44972.66666666667)</f>
        <v>44972.66667</v>
      </c>
      <c r="B3304" s="1">
        <f>IFERROR(__xludf.DUMMYFUNCTION("""COMPUTED_VALUE"""),39.87)</f>
        <v>39.87</v>
      </c>
      <c r="C3304" s="1">
        <f>IFERROR(__xludf.DUMMYFUNCTION("""COMPUTED_VALUE"""),41.22)</f>
        <v>41.22</v>
      </c>
      <c r="D3304" s="1">
        <f>IFERROR(__xludf.DUMMYFUNCTION("""COMPUTED_VALUE"""),39.43)</f>
        <v>39.43</v>
      </c>
      <c r="E3304" s="1">
        <f>IFERROR(__xludf.DUMMYFUNCTION("""COMPUTED_VALUE"""),40.48)</f>
        <v>40.48</v>
      </c>
      <c r="F3304" s="1">
        <f>IFERROR(__xludf.DUMMYFUNCTION("""COMPUTED_VALUE"""),1512080.0)</f>
        <v>1512080</v>
      </c>
    </row>
    <row r="3305">
      <c r="A3305" s="2">
        <f>IFERROR(__xludf.DUMMYFUNCTION("""COMPUTED_VALUE"""),44973.66666666667)</f>
        <v>44973.66667</v>
      </c>
      <c r="B3305" s="1">
        <f>IFERROR(__xludf.DUMMYFUNCTION("""COMPUTED_VALUE"""),40.48)</f>
        <v>40.48</v>
      </c>
      <c r="C3305" s="1">
        <f>IFERROR(__xludf.DUMMYFUNCTION("""COMPUTED_VALUE"""),42.0)</f>
        <v>42</v>
      </c>
      <c r="D3305" s="1">
        <f>IFERROR(__xludf.DUMMYFUNCTION("""COMPUTED_VALUE"""),40.33)</f>
        <v>40.33</v>
      </c>
      <c r="E3305" s="1">
        <f>IFERROR(__xludf.DUMMYFUNCTION("""COMPUTED_VALUE"""),41.47)</f>
        <v>41.47</v>
      </c>
      <c r="F3305" s="1">
        <f>IFERROR(__xludf.DUMMYFUNCTION("""COMPUTED_VALUE"""),2309995.0)</f>
        <v>2309995</v>
      </c>
    </row>
    <row r="3306">
      <c r="A3306" s="2">
        <f>IFERROR(__xludf.DUMMYFUNCTION("""COMPUTED_VALUE"""),44974.66666666667)</f>
        <v>44974.66667</v>
      </c>
      <c r="B3306" s="1">
        <f>IFERROR(__xludf.DUMMYFUNCTION("""COMPUTED_VALUE"""),40.58)</f>
        <v>40.58</v>
      </c>
      <c r="C3306" s="1">
        <f>IFERROR(__xludf.DUMMYFUNCTION("""COMPUTED_VALUE"""),42.68)</f>
        <v>42.68</v>
      </c>
      <c r="D3306" s="1">
        <f>IFERROR(__xludf.DUMMYFUNCTION("""COMPUTED_VALUE"""),40.51)</f>
        <v>40.51</v>
      </c>
      <c r="E3306" s="1">
        <f>IFERROR(__xludf.DUMMYFUNCTION("""COMPUTED_VALUE"""),41.78)</f>
        <v>41.78</v>
      </c>
      <c r="F3306" s="1">
        <f>IFERROR(__xludf.DUMMYFUNCTION("""COMPUTED_VALUE"""),2636713.0)</f>
        <v>2636713</v>
      </c>
    </row>
    <row r="3307">
      <c r="A3307" s="2">
        <f>IFERROR(__xludf.DUMMYFUNCTION("""COMPUTED_VALUE"""),44978.66666666667)</f>
        <v>44978.66667</v>
      </c>
      <c r="B3307" s="1">
        <f>IFERROR(__xludf.DUMMYFUNCTION("""COMPUTED_VALUE"""),41.21)</f>
        <v>41.21</v>
      </c>
      <c r="C3307" s="1">
        <f>IFERROR(__xludf.DUMMYFUNCTION("""COMPUTED_VALUE"""),42.48)</f>
        <v>42.48</v>
      </c>
      <c r="D3307" s="1">
        <f>IFERROR(__xludf.DUMMYFUNCTION("""COMPUTED_VALUE"""),39.99)</f>
        <v>39.99</v>
      </c>
      <c r="E3307" s="1">
        <f>IFERROR(__xludf.DUMMYFUNCTION("""COMPUTED_VALUE"""),40.08)</f>
        <v>40.08</v>
      </c>
      <c r="F3307" s="1">
        <f>IFERROR(__xludf.DUMMYFUNCTION("""COMPUTED_VALUE"""),2727999.0)</f>
        <v>2727999</v>
      </c>
    </row>
    <row r="3308">
      <c r="A3308" s="2">
        <f>IFERROR(__xludf.DUMMYFUNCTION("""COMPUTED_VALUE"""),44979.66666666667)</f>
        <v>44979.66667</v>
      </c>
      <c r="B3308" s="1">
        <f>IFERROR(__xludf.DUMMYFUNCTION("""COMPUTED_VALUE"""),40.46)</f>
        <v>40.46</v>
      </c>
      <c r="C3308" s="1">
        <f>IFERROR(__xludf.DUMMYFUNCTION("""COMPUTED_VALUE"""),42.5)</f>
        <v>42.5</v>
      </c>
      <c r="D3308" s="1">
        <f>IFERROR(__xludf.DUMMYFUNCTION("""COMPUTED_VALUE"""),40.22)</f>
        <v>40.22</v>
      </c>
      <c r="E3308" s="1">
        <f>IFERROR(__xludf.DUMMYFUNCTION("""COMPUTED_VALUE"""),42.45)</f>
        <v>42.45</v>
      </c>
      <c r="F3308" s="1">
        <f>IFERROR(__xludf.DUMMYFUNCTION("""COMPUTED_VALUE"""),2880758.0)</f>
        <v>2880758</v>
      </c>
    </row>
    <row r="3309">
      <c r="A3309" s="2">
        <f>IFERROR(__xludf.DUMMYFUNCTION("""COMPUTED_VALUE"""),44980.66666666667)</f>
        <v>44980.66667</v>
      </c>
      <c r="B3309" s="1">
        <f>IFERROR(__xludf.DUMMYFUNCTION("""COMPUTED_VALUE"""),43.38)</f>
        <v>43.38</v>
      </c>
      <c r="C3309" s="1">
        <f>IFERROR(__xludf.DUMMYFUNCTION("""COMPUTED_VALUE"""),43.94)</f>
        <v>43.94</v>
      </c>
      <c r="D3309" s="1">
        <f>IFERROR(__xludf.DUMMYFUNCTION("""COMPUTED_VALUE"""),42.14)</f>
        <v>42.14</v>
      </c>
      <c r="E3309" s="1">
        <f>IFERROR(__xludf.DUMMYFUNCTION("""COMPUTED_VALUE"""),42.57)</f>
        <v>42.57</v>
      </c>
      <c r="F3309" s="1">
        <f>IFERROR(__xludf.DUMMYFUNCTION("""COMPUTED_VALUE"""),1650962.0)</f>
        <v>1650962</v>
      </c>
    </row>
    <row r="3310">
      <c r="A3310" s="2">
        <f>IFERROR(__xludf.DUMMYFUNCTION("""COMPUTED_VALUE"""),44981.66666666667)</f>
        <v>44981.66667</v>
      </c>
      <c r="B3310" s="1">
        <f>IFERROR(__xludf.DUMMYFUNCTION("""COMPUTED_VALUE"""),41.55)</f>
        <v>41.55</v>
      </c>
      <c r="C3310" s="1">
        <f>IFERROR(__xludf.DUMMYFUNCTION("""COMPUTED_VALUE"""),42.4)</f>
        <v>42.4</v>
      </c>
      <c r="D3310" s="1">
        <f>IFERROR(__xludf.DUMMYFUNCTION("""COMPUTED_VALUE"""),40.03)</f>
        <v>40.03</v>
      </c>
      <c r="E3310" s="1">
        <f>IFERROR(__xludf.DUMMYFUNCTION("""COMPUTED_VALUE"""),40.06)</f>
        <v>40.06</v>
      </c>
      <c r="F3310" s="1">
        <f>IFERROR(__xludf.DUMMYFUNCTION("""COMPUTED_VALUE"""),1500910.0)</f>
        <v>1500910</v>
      </c>
    </row>
    <row r="3311">
      <c r="A3311" s="2">
        <f>IFERROR(__xludf.DUMMYFUNCTION("""COMPUTED_VALUE"""),44984.66666666667)</f>
        <v>44984.66667</v>
      </c>
      <c r="B3311" s="1">
        <f>IFERROR(__xludf.DUMMYFUNCTION("""COMPUTED_VALUE"""),40.0)</f>
        <v>40</v>
      </c>
      <c r="C3311" s="1">
        <f>IFERROR(__xludf.DUMMYFUNCTION("""COMPUTED_VALUE"""),40.53)</f>
        <v>40.53</v>
      </c>
      <c r="D3311" s="1">
        <f>IFERROR(__xludf.DUMMYFUNCTION("""COMPUTED_VALUE"""),39.0)</f>
        <v>39</v>
      </c>
      <c r="E3311" s="1">
        <f>IFERROR(__xludf.DUMMYFUNCTION("""COMPUTED_VALUE"""),39.22)</f>
        <v>39.22</v>
      </c>
      <c r="F3311" s="1">
        <f>IFERROR(__xludf.DUMMYFUNCTION("""COMPUTED_VALUE"""),1160079.0)</f>
        <v>1160079</v>
      </c>
    </row>
    <row r="3312">
      <c r="A3312" s="2">
        <f>IFERROR(__xludf.DUMMYFUNCTION("""COMPUTED_VALUE"""),44985.66666666667)</f>
        <v>44985.66667</v>
      </c>
      <c r="B3312" s="1">
        <f>IFERROR(__xludf.DUMMYFUNCTION("""COMPUTED_VALUE"""),38.3)</f>
        <v>38.3</v>
      </c>
      <c r="C3312" s="1">
        <f>IFERROR(__xludf.DUMMYFUNCTION("""COMPUTED_VALUE"""),39.13)</f>
        <v>39.13</v>
      </c>
      <c r="D3312" s="1">
        <f>IFERROR(__xludf.DUMMYFUNCTION("""COMPUTED_VALUE"""),38.25)</f>
        <v>38.25</v>
      </c>
      <c r="E3312" s="1">
        <f>IFERROR(__xludf.DUMMYFUNCTION("""COMPUTED_VALUE"""),38.72)</f>
        <v>38.72</v>
      </c>
      <c r="F3312" s="1">
        <f>IFERROR(__xludf.DUMMYFUNCTION("""COMPUTED_VALUE"""),1207463.0)</f>
        <v>1207463</v>
      </c>
    </row>
    <row r="3313">
      <c r="A3313" s="2">
        <f>IFERROR(__xludf.DUMMYFUNCTION("""COMPUTED_VALUE"""),44986.66666666667)</f>
        <v>44986.66667</v>
      </c>
      <c r="B3313" s="1">
        <f>IFERROR(__xludf.DUMMYFUNCTION("""COMPUTED_VALUE"""),40.92)</f>
        <v>40.92</v>
      </c>
      <c r="C3313" s="1">
        <f>IFERROR(__xludf.DUMMYFUNCTION("""COMPUTED_VALUE"""),41.09)</f>
        <v>41.09</v>
      </c>
      <c r="D3313" s="1">
        <f>IFERROR(__xludf.DUMMYFUNCTION("""COMPUTED_VALUE"""),40.22)</f>
        <v>40.22</v>
      </c>
      <c r="E3313" s="1">
        <f>IFERROR(__xludf.DUMMYFUNCTION("""COMPUTED_VALUE"""),40.99)</f>
        <v>40.99</v>
      </c>
      <c r="F3313" s="1">
        <f>IFERROR(__xludf.DUMMYFUNCTION("""COMPUTED_VALUE"""),1345805.0)</f>
        <v>1345805</v>
      </c>
    </row>
    <row r="3314">
      <c r="A3314" s="2">
        <f>IFERROR(__xludf.DUMMYFUNCTION("""COMPUTED_VALUE"""),44987.66666666667)</f>
        <v>44987.66667</v>
      </c>
      <c r="B3314" s="1">
        <f>IFERROR(__xludf.DUMMYFUNCTION("""COMPUTED_VALUE"""),40.5)</f>
        <v>40.5</v>
      </c>
      <c r="C3314" s="1">
        <f>IFERROR(__xludf.DUMMYFUNCTION("""COMPUTED_VALUE"""),42.89)</f>
        <v>42.89</v>
      </c>
      <c r="D3314" s="1">
        <f>IFERROR(__xludf.DUMMYFUNCTION("""COMPUTED_VALUE"""),40.47)</f>
        <v>40.47</v>
      </c>
      <c r="E3314" s="1">
        <f>IFERROR(__xludf.DUMMYFUNCTION("""COMPUTED_VALUE"""),42.62)</f>
        <v>42.62</v>
      </c>
      <c r="F3314" s="1">
        <f>IFERROR(__xludf.DUMMYFUNCTION("""COMPUTED_VALUE"""),1534728.0)</f>
        <v>1534728</v>
      </c>
    </row>
    <row r="3315">
      <c r="A3315" s="2">
        <f>IFERROR(__xludf.DUMMYFUNCTION("""COMPUTED_VALUE"""),44988.66666666667)</f>
        <v>44988.66667</v>
      </c>
      <c r="B3315" s="1">
        <f>IFERROR(__xludf.DUMMYFUNCTION("""COMPUTED_VALUE"""),43.65)</f>
        <v>43.65</v>
      </c>
      <c r="C3315" s="1">
        <f>IFERROR(__xludf.DUMMYFUNCTION("""COMPUTED_VALUE"""),46.15)</f>
        <v>46.15</v>
      </c>
      <c r="D3315" s="1">
        <f>IFERROR(__xludf.DUMMYFUNCTION("""COMPUTED_VALUE"""),43.6)</f>
        <v>43.6</v>
      </c>
      <c r="E3315" s="1">
        <f>IFERROR(__xludf.DUMMYFUNCTION("""COMPUTED_VALUE"""),45.31)</f>
        <v>45.31</v>
      </c>
      <c r="F3315" s="1">
        <f>IFERROR(__xludf.DUMMYFUNCTION("""COMPUTED_VALUE"""),2232398.0)</f>
        <v>2232398</v>
      </c>
    </row>
    <row r="3316">
      <c r="A3316" s="2">
        <f>IFERROR(__xludf.DUMMYFUNCTION("""COMPUTED_VALUE"""),44991.66666666667)</f>
        <v>44991.66667</v>
      </c>
      <c r="B3316" s="1">
        <f>IFERROR(__xludf.DUMMYFUNCTION("""COMPUTED_VALUE"""),44.2)</f>
        <v>44.2</v>
      </c>
      <c r="C3316" s="1">
        <f>IFERROR(__xludf.DUMMYFUNCTION("""COMPUTED_VALUE"""),44.32)</f>
        <v>44.32</v>
      </c>
      <c r="D3316" s="1">
        <f>IFERROR(__xludf.DUMMYFUNCTION("""COMPUTED_VALUE"""),43.3)</f>
        <v>43.3</v>
      </c>
      <c r="E3316" s="1">
        <f>IFERROR(__xludf.DUMMYFUNCTION("""COMPUTED_VALUE"""),43.54)</f>
        <v>43.54</v>
      </c>
      <c r="F3316" s="1">
        <f>IFERROR(__xludf.DUMMYFUNCTION("""COMPUTED_VALUE"""),2851847.0)</f>
        <v>2851847</v>
      </c>
    </row>
    <row r="3317">
      <c r="A3317" s="2">
        <f>IFERROR(__xludf.DUMMYFUNCTION("""COMPUTED_VALUE"""),44992.66666666667)</f>
        <v>44992.66667</v>
      </c>
      <c r="B3317" s="1">
        <f>IFERROR(__xludf.DUMMYFUNCTION("""COMPUTED_VALUE"""),42.18)</f>
        <v>42.18</v>
      </c>
      <c r="C3317" s="1">
        <f>IFERROR(__xludf.DUMMYFUNCTION("""COMPUTED_VALUE"""),42.29)</f>
        <v>42.29</v>
      </c>
      <c r="D3317" s="1">
        <f>IFERROR(__xludf.DUMMYFUNCTION("""COMPUTED_VALUE"""),39.82)</f>
        <v>39.82</v>
      </c>
      <c r="E3317" s="1">
        <f>IFERROR(__xludf.DUMMYFUNCTION("""COMPUTED_VALUE"""),39.92)</f>
        <v>39.92</v>
      </c>
      <c r="F3317" s="1">
        <f>IFERROR(__xludf.DUMMYFUNCTION("""COMPUTED_VALUE"""),3089272.0)</f>
        <v>3089272</v>
      </c>
    </row>
    <row r="3318">
      <c r="A3318" s="2">
        <f>IFERROR(__xludf.DUMMYFUNCTION("""COMPUTED_VALUE"""),44993.66666666667)</f>
        <v>44993.66667</v>
      </c>
      <c r="B3318" s="1">
        <f>IFERROR(__xludf.DUMMYFUNCTION("""COMPUTED_VALUE"""),38.0)</f>
        <v>38</v>
      </c>
      <c r="C3318" s="1">
        <f>IFERROR(__xludf.DUMMYFUNCTION("""COMPUTED_VALUE"""),40.37)</f>
        <v>40.37</v>
      </c>
      <c r="D3318" s="1">
        <f>IFERROR(__xludf.DUMMYFUNCTION("""COMPUTED_VALUE"""),37.38)</f>
        <v>37.38</v>
      </c>
      <c r="E3318" s="1">
        <f>IFERROR(__xludf.DUMMYFUNCTION("""COMPUTED_VALUE"""),40.12)</f>
        <v>40.12</v>
      </c>
      <c r="F3318" s="1">
        <f>IFERROR(__xludf.DUMMYFUNCTION("""COMPUTED_VALUE"""),2968791.0)</f>
        <v>2968791</v>
      </c>
    </row>
    <row r="3319">
      <c r="A3319" s="2">
        <f>IFERROR(__xludf.DUMMYFUNCTION("""COMPUTED_VALUE"""),44994.66666666667)</f>
        <v>44994.66667</v>
      </c>
      <c r="B3319" s="1">
        <f>IFERROR(__xludf.DUMMYFUNCTION("""COMPUTED_VALUE"""),39.0)</f>
        <v>39</v>
      </c>
      <c r="C3319" s="1">
        <f>IFERROR(__xludf.DUMMYFUNCTION("""COMPUTED_VALUE"""),40.2)</f>
        <v>40.2</v>
      </c>
      <c r="D3319" s="1">
        <f>IFERROR(__xludf.DUMMYFUNCTION("""COMPUTED_VALUE"""),38.76)</f>
        <v>38.76</v>
      </c>
      <c r="E3319" s="1">
        <f>IFERROR(__xludf.DUMMYFUNCTION("""COMPUTED_VALUE"""),39.33)</f>
        <v>39.33</v>
      </c>
      <c r="F3319" s="1">
        <f>IFERROR(__xludf.DUMMYFUNCTION("""COMPUTED_VALUE"""),3211485.0)</f>
        <v>3211485</v>
      </c>
    </row>
    <row r="3320">
      <c r="A3320" s="2">
        <f>IFERROR(__xludf.DUMMYFUNCTION("""COMPUTED_VALUE"""),44995.66666666667)</f>
        <v>44995.66667</v>
      </c>
      <c r="B3320" s="1">
        <f>IFERROR(__xludf.DUMMYFUNCTION("""COMPUTED_VALUE"""),40.0)</f>
        <v>40</v>
      </c>
      <c r="C3320" s="1">
        <f>IFERROR(__xludf.DUMMYFUNCTION("""COMPUTED_VALUE"""),40.99)</f>
        <v>40.99</v>
      </c>
      <c r="D3320" s="1">
        <f>IFERROR(__xludf.DUMMYFUNCTION("""COMPUTED_VALUE"""),39.33)</f>
        <v>39.33</v>
      </c>
      <c r="E3320" s="1">
        <f>IFERROR(__xludf.DUMMYFUNCTION("""COMPUTED_VALUE"""),40.41)</f>
        <v>40.41</v>
      </c>
      <c r="F3320" s="1">
        <f>IFERROR(__xludf.DUMMYFUNCTION("""COMPUTED_VALUE"""),1201365.0)</f>
        <v>1201365</v>
      </c>
    </row>
    <row r="3321">
      <c r="A3321" s="2">
        <f>IFERROR(__xludf.DUMMYFUNCTION("""COMPUTED_VALUE"""),44998.66666666667)</f>
        <v>44998.66667</v>
      </c>
      <c r="B3321" s="1">
        <f>IFERROR(__xludf.DUMMYFUNCTION("""COMPUTED_VALUE"""),40.73)</f>
        <v>40.73</v>
      </c>
      <c r="C3321" s="1">
        <f>IFERROR(__xludf.DUMMYFUNCTION("""COMPUTED_VALUE"""),41.96)</f>
        <v>41.96</v>
      </c>
      <c r="D3321" s="1">
        <f>IFERROR(__xludf.DUMMYFUNCTION("""COMPUTED_VALUE"""),39.7)</f>
        <v>39.7</v>
      </c>
      <c r="E3321" s="1">
        <f>IFERROR(__xludf.DUMMYFUNCTION("""COMPUTED_VALUE"""),40.67)</f>
        <v>40.67</v>
      </c>
      <c r="F3321" s="1">
        <f>IFERROR(__xludf.DUMMYFUNCTION("""COMPUTED_VALUE"""),1309138.0)</f>
        <v>1309138</v>
      </c>
    </row>
    <row r="3322">
      <c r="A3322" s="2">
        <f>IFERROR(__xludf.DUMMYFUNCTION("""COMPUTED_VALUE"""),44999.66666666667)</f>
        <v>44999.66667</v>
      </c>
      <c r="B3322" s="1">
        <f>IFERROR(__xludf.DUMMYFUNCTION("""COMPUTED_VALUE"""),38.84)</f>
        <v>38.84</v>
      </c>
      <c r="C3322" s="1">
        <f>IFERROR(__xludf.DUMMYFUNCTION("""COMPUTED_VALUE"""),39.36)</f>
        <v>39.36</v>
      </c>
      <c r="D3322" s="1">
        <f>IFERROR(__xludf.DUMMYFUNCTION("""COMPUTED_VALUE"""),34.5)</f>
        <v>34.5</v>
      </c>
      <c r="E3322" s="1">
        <f>IFERROR(__xludf.DUMMYFUNCTION("""COMPUTED_VALUE"""),39.26)</f>
        <v>39.26</v>
      </c>
      <c r="F3322" s="1">
        <f>IFERROR(__xludf.DUMMYFUNCTION("""COMPUTED_VALUE"""),5836650.0)</f>
        <v>5836650</v>
      </c>
    </row>
    <row r="3323">
      <c r="A3323" s="2">
        <f>IFERROR(__xludf.DUMMYFUNCTION("""COMPUTED_VALUE"""),45000.66666666667)</f>
        <v>45000.66667</v>
      </c>
      <c r="B3323" s="1">
        <f>IFERROR(__xludf.DUMMYFUNCTION("""COMPUTED_VALUE"""),36.95)</f>
        <v>36.95</v>
      </c>
      <c r="C3323" s="1">
        <f>IFERROR(__xludf.DUMMYFUNCTION("""COMPUTED_VALUE"""),38.21)</f>
        <v>38.21</v>
      </c>
      <c r="D3323" s="1">
        <f>IFERROR(__xludf.DUMMYFUNCTION("""COMPUTED_VALUE"""),35.75)</f>
        <v>35.75</v>
      </c>
      <c r="E3323" s="1">
        <f>IFERROR(__xludf.DUMMYFUNCTION("""COMPUTED_VALUE"""),36.73)</f>
        <v>36.73</v>
      </c>
      <c r="F3323" s="1">
        <f>IFERROR(__xludf.DUMMYFUNCTION("""COMPUTED_VALUE"""),3748087.0)</f>
        <v>3748087</v>
      </c>
    </row>
    <row r="3324">
      <c r="A3324" s="2">
        <f>IFERROR(__xludf.DUMMYFUNCTION("""COMPUTED_VALUE"""),45001.66666666667)</f>
        <v>45001.66667</v>
      </c>
      <c r="B3324" s="1">
        <f>IFERROR(__xludf.DUMMYFUNCTION("""COMPUTED_VALUE"""),36.76)</f>
        <v>36.76</v>
      </c>
      <c r="C3324" s="1">
        <f>IFERROR(__xludf.DUMMYFUNCTION("""COMPUTED_VALUE"""),37.58)</f>
        <v>37.58</v>
      </c>
      <c r="D3324" s="1">
        <f>IFERROR(__xludf.DUMMYFUNCTION("""COMPUTED_VALUE"""),36.0)</f>
        <v>36</v>
      </c>
      <c r="E3324" s="1">
        <f>IFERROR(__xludf.DUMMYFUNCTION("""COMPUTED_VALUE"""),37.11)</f>
        <v>37.11</v>
      </c>
      <c r="F3324" s="1">
        <f>IFERROR(__xludf.DUMMYFUNCTION("""COMPUTED_VALUE"""),1329312.0)</f>
        <v>1329312</v>
      </c>
    </row>
    <row r="3325">
      <c r="A3325" s="2">
        <f>IFERROR(__xludf.DUMMYFUNCTION("""COMPUTED_VALUE"""),45002.66666666667)</f>
        <v>45002.66667</v>
      </c>
      <c r="B3325" s="1">
        <f>IFERROR(__xludf.DUMMYFUNCTION("""COMPUTED_VALUE"""),36.44)</f>
        <v>36.44</v>
      </c>
      <c r="C3325" s="1">
        <f>IFERROR(__xludf.DUMMYFUNCTION("""COMPUTED_VALUE"""),36.47)</f>
        <v>36.47</v>
      </c>
      <c r="D3325" s="1">
        <f>IFERROR(__xludf.DUMMYFUNCTION("""COMPUTED_VALUE"""),35.18)</f>
        <v>35.18</v>
      </c>
      <c r="E3325" s="1">
        <f>IFERROR(__xludf.DUMMYFUNCTION("""COMPUTED_VALUE"""),35.47)</f>
        <v>35.47</v>
      </c>
      <c r="F3325" s="1">
        <f>IFERROR(__xludf.DUMMYFUNCTION("""COMPUTED_VALUE"""),1367307.0)</f>
        <v>1367307</v>
      </c>
    </row>
    <row r="3326">
      <c r="A3326" s="2">
        <f>IFERROR(__xludf.DUMMYFUNCTION("""COMPUTED_VALUE"""),45005.66666666667)</f>
        <v>45005.66667</v>
      </c>
      <c r="B3326" s="1">
        <f>IFERROR(__xludf.DUMMYFUNCTION("""COMPUTED_VALUE"""),34.05)</f>
        <v>34.05</v>
      </c>
      <c r="C3326" s="1">
        <f>IFERROR(__xludf.DUMMYFUNCTION("""COMPUTED_VALUE"""),36.06)</f>
        <v>36.06</v>
      </c>
      <c r="D3326" s="1">
        <f>IFERROR(__xludf.DUMMYFUNCTION("""COMPUTED_VALUE"""),33.98)</f>
        <v>33.98</v>
      </c>
      <c r="E3326" s="1">
        <f>IFERROR(__xludf.DUMMYFUNCTION("""COMPUTED_VALUE"""),35.12)</f>
        <v>35.12</v>
      </c>
      <c r="F3326" s="1">
        <f>IFERROR(__xludf.DUMMYFUNCTION("""COMPUTED_VALUE"""),2716578.0)</f>
        <v>2716578</v>
      </c>
    </row>
    <row r="3327">
      <c r="A3327" s="2">
        <f>IFERROR(__xludf.DUMMYFUNCTION("""COMPUTED_VALUE"""),45006.66666666667)</f>
        <v>45006.66667</v>
      </c>
      <c r="B3327" s="1">
        <f>IFERROR(__xludf.DUMMYFUNCTION("""COMPUTED_VALUE"""),35.8)</f>
        <v>35.8</v>
      </c>
      <c r="C3327" s="1">
        <f>IFERROR(__xludf.DUMMYFUNCTION("""COMPUTED_VALUE"""),37.45)</f>
        <v>37.45</v>
      </c>
      <c r="D3327" s="1">
        <f>IFERROR(__xludf.DUMMYFUNCTION("""COMPUTED_VALUE"""),35.65)</f>
        <v>35.65</v>
      </c>
      <c r="E3327" s="1">
        <f>IFERROR(__xludf.DUMMYFUNCTION("""COMPUTED_VALUE"""),36.64)</f>
        <v>36.64</v>
      </c>
      <c r="F3327" s="1">
        <f>IFERROR(__xludf.DUMMYFUNCTION("""COMPUTED_VALUE"""),1784027.0)</f>
        <v>1784027</v>
      </c>
    </row>
    <row r="3328">
      <c r="A3328" s="2">
        <f>IFERROR(__xludf.DUMMYFUNCTION("""COMPUTED_VALUE"""),45007.66666666667)</f>
        <v>45007.66667</v>
      </c>
      <c r="B3328" s="1">
        <f>IFERROR(__xludf.DUMMYFUNCTION("""COMPUTED_VALUE"""),37.32)</f>
        <v>37.32</v>
      </c>
      <c r="C3328" s="1">
        <f>IFERROR(__xludf.DUMMYFUNCTION("""COMPUTED_VALUE"""),37.77)</f>
        <v>37.77</v>
      </c>
      <c r="D3328" s="1">
        <f>IFERROR(__xludf.DUMMYFUNCTION("""COMPUTED_VALUE"""),36.74)</f>
        <v>36.74</v>
      </c>
      <c r="E3328" s="1">
        <f>IFERROR(__xludf.DUMMYFUNCTION("""COMPUTED_VALUE"""),37.18)</f>
        <v>37.18</v>
      </c>
      <c r="F3328" s="1">
        <f>IFERROR(__xludf.DUMMYFUNCTION("""COMPUTED_VALUE"""),1036907.0)</f>
        <v>1036907</v>
      </c>
    </row>
    <row r="3329">
      <c r="A3329" s="2">
        <f>IFERROR(__xludf.DUMMYFUNCTION("""COMPUTED_VALUE"""),45008.66666666667)</f>
        <v>45008.66667</v>
      </c>
      <c r="B3329" s="1">
        <f>IFERROR(__xludf.DUMMYFUNCTION("""COMPUTED_VALUE"""),38.29)</f>
        <v>38.29</v>
      </c>
      <c r="C3329" s="1">
        <f>IFERROR(__xludf.DUMMYFUNCTION("""COMPUTED_VALUE"""),39.9)</f>
        <v>39.9</v>
      </c>
      <c r="D3329" s="1">
        <f>IFERROR(__xludf.DUMMYFUNCTION("""COMPUTED_VALUE"""),38.21)</f>
        <v>38.21</v>
      </c>
      <c r="E3329" s="1">
        <f>IFERROR(__xludf.DUMMYFUNCTION("""COMPUTED_VALUE"""),38.8)</f>
        <v>38.8</v>
      </c>
      <c r="F3329" s="1">
        <f>IFERROR(__xludf.DUMMYFUNCTION("""COMPUTED_VALUE"""),1964531.0)</f>
        <v>1964531</v>
      </c>
    </row>
    <row r="3330">
      <c r="A3330" s="2">
        <f>IFERROR(__xludf.DUMMYFUNCTION("""COMPUTED_VALUE"""),45009.66666666667)</f>
        <v>45009.66667</v>
      </c>
      <c r="B3330" s="1">
        <f>IFERROR(__xludf.DUMMYFUNCTION("""COMPUTED_VALUE"""),38.7)</f>
        <v>38.7</v>
      </c>
      <c r="C3330" s="1">
        <f>IFERROR(__xludf.DUMMYFUNCTION("""COMPUTED_VALUE"""),38.9)</f>
        <v>38.9</v>
      </c>
      <c r="D3330" s="1">
        <f>IFERROR(__xludf.DUMMYFUNCTION("""COMPUTED_VALUE"""),37.3)</f>
        <v>37.3</v>
      </c>
      <c r="E3330" s="1">
        <f>IFERROR(__xludf.DUMMYFUNCTION("""COMPUTED_VALUE"""),37.51)</f>
        <v>37.51</v>
      </c>
      <c r="F3330" s="1">
        <f>IFERROR(__xludf.DUMMYFUNCTION("""COMPUTED_VALUE"""),1168996.0)</f>
        <v>1168996</v>
      </c>
    </row>
    <row r="3331">
      <c r="A3331" s="2">
        <f>IFERROR(__xludf.DUMMYFUNCTION("""COMPUTED_VALUE"""),45012.66666666667)</f>
        <v>45012.66667</v>
      </c>
      <c r="B3331" s="1">
        <f>IFERROR(__xludf.DUMMYFUNCTION("""COMPUTED_VALUE"""),36.49)</f>
        <v>36.49</v>
      </c>
      <c r="C3331" s="1">
        <f>IFERROR(__xludf.DUMMYFUNCTION("""COMPUTED_VALUE"""),37.67)</f>
        <v>37.67</v>
      </c>
      <c r="D3331" s="1">
        <f>IFERROR(__xludf.DUMMYFUNCTION("""COMPUTED_VALUE"""),36.19)</f>
        <v>36.19</v>
      </c>
      <c r="E3331" s="1">
        <f>IFERROR(__xludf.DUMMYFUNCTION("""COMPUTED_VALUE"""),37.06)</f>
        <v>37.06</v>
      </c>
      <c r="F3331" s="1">
        <f>IFERROR(__xludf.DUMMYFUNCTION("""COMPUTED_VALUE"""),883889.0)</f>
        <v>883889</v>
      </c>
    </row>
    <row r="3332">
      <c r="A3332" s="2">
        <f>IFERROR(__xludf.DUMMYFUNCTION("""COMPUTED_VALUE"""),45013.66666666667)</f>
        <v>45013.66667</v>
      </c>
      <c r="B3332" s="1">
        <f>IFERROR(__xludf.DUMMYFUNCTION("""COMPUTED_VALUE"""),38.46)</f>
        <v>38.46</v>
      </c>
      <c r="C3332" s="1">
        <f>IFERROR(__xludf.DUMMYFUNCTION("""COMPUTED_VALUE"""),39.84)</f>
        <v>39.84</v>
      </c>
      <c r="D3332" s="1">
        <f>IFERROR(__xludf.DUMMYFUNCTION("""COMPUTED_VALUE"""),38.29)</f>
        <v>38.29</v>
      </c>
      <c r="E3332" s="1">
        <f>IFERROR(__xludf.DUMMYFUNCTION("""COMPUTED_VALUE"""),39.56)</f>
        <v>39.56</v>
      </c>
      <c r="F3332" s="1">
        <f>IFERROR(__xludf.DUMMYFUNCTION("""COMPUTED_VALUE"""),2293505.0)</f>
        <v>2293505</v>
      </c>
    </row>
    <row r="3333">
      <c r="A3333" s="2">
        <f>IFERROR(__xludf.DUMMYFUNCTION("""COMPUTED_VALUE"""),45014.66666666667)</f>
        <v>45014.66667</v>
      </c>
      <c r="B3333" s="1">
        <f>IFERROR(__xludf.DUMMYFUNCTION("""COMPUTED_VALUE"""),39.21)</f>
        <v>39.21</v>
      </c>
      <c r="C3333" s="1">
        <f>IFERROR(__xludf.DUMMYFUNCTION("""COMPUTED_VALUE"""),40.38)</f>
        <v>40.38</v>
      </c>
      <c r="D3333" s="1">
        <f>IFERROR(__xludf.DUMMYFUNCTION("""COMPUTED_VALUE"""),38.4)</f>
        <v>38.4</v>
      </c>
      <c r="E3333" s="1">
        <f>IFERROR(__xludf.DUMMYFUNCTION("""COMPUTED_VALUE"""),40.37)</f>
        <v>40.37</v>
      </c>
      <c r="F3333" s="1">
        <f>IFERROR(__xludf.DUMMYFUNCTION("""COMPUTED_VALUE"""),1339067.0)</f>
        <v>1339067</v>
      </c>
    </row>
    <row r="3334">
      <c r="A3334" s="2">
        <f>IFERROR(__xludf.DUMMYFUNCTION("""COMPUTED_VALUE"""),45015.66666666667)</f>
        <v>45015.66667</v>
      </c>
      <c r="B3334" s="1">
        <f>IFERROR(__xludf.DUMMYFUNCTION("""COMPUTED_VALUE"""),39.99)</f>
        <v>39.99</v>
      </c>
      <c r="C3334" s="1">
        <f>IFERROR(__xludf.DUMMYFUNCTION("""COMPUTED_VALUE"""),40.74)</f>
        <v>40.74</v>
      </c>
      <c r="D3334" s="1">
        <f>IFERROR(__xludf.DUMMYFUNCTION("""COMPUTED_VALUE"""),39.02)</f>
        <v>39.02</v>
      </c>
      <c r="E3334" s="1">
        <f>IFERROR(__xludf.DUMMYFUNCTION("""COMPUTED_VALUE"""),39.48)</f>
        <v>39.48</v>
      </c>
      <c r="F3334" s="1">
        <f>IFERROR(__xludf.DUMMYFUNCTION("""COMPUTED_VALUE"""),1554319.0)</f>
        <v>1554319</v>
      </c>
    </row>
    <row r="3335">
      <c r="A3335" s="2">
        <f>IFERROR(__xludf.DUMMYFUNCTION("""COMPUTED_VALUE"""),45016.66666666667)</f>
        <v>45016.66667</v>
      </c>
      <c r="B3335" s="1">
        <f>IFERROR(__xludf.DUMMYFUNCTION("""COMPUTED_VALUE"""),39.43)</f>
        <v>39.43</v>
      </c>
      <c r="C3335" s="1">
        <f>IFERROR(__xludf.DUMMYFUNCTION("""COMPUTED_VALUE"""),39.47)</f>
        <v>39.47</v>
      </c>
      <c r="D3335" s="1">
        <f>IFERROR(__xludf.DUMMYFUNCTION("""COMPUTED_VALUE"""),38.38)</f>
        <v>38.38</v>
      </c>
      <c r="E3335" s="1">
        <f>IFERROR(__xludf.DUMMYFUNCTION("""COMPUTED_VALUE"""),38.61)</f>
        <v>38.61</v>
      </c>
      <c r="F3335" s="1">
        <f>IFERROR(__xludf.DUMMYFUNCTION("""COMPUTED_VALUE"""),871964.0)</f>
        <v>871964</v>
      </c>
    </row>
    <row r="3336">
      <c r="A3336" s="2">
        <f>IFERROR(__xludf.DUMMYFUNCTION("""COMPUTED_VALUE"""),45019.66666666667)</f>
        <v>45019.66667</v>
      </c>
      <c r="B3336" s="1">
        <f>IFERROR(__xludf.DUMMYFUNCTION("""COMPUTED_VALUE"""),38.75)</f>
        <v>38.75</v>
      </c>
      <c r="C3336" s="1">
        <f>IFERROR(__xludf.DUMMYFUNCTION("""COMPUTED_VALUE"""),40.0)</f>
        <v>40</v>
      </c>
      <c r="D3336" s="1">
        <f>IFERROR(__xludf.DUMMYFUNCTION("""COMPUTED_VALUE"""),38.67)</f>
        <v>38.67</v>
      </c>
      <c r="E3336" s="1">
        <f>IFERROR(__xludf.DUMMYFUNCTION("""COMPUTED_VALUE"""),39.74)</f>
        <v>39.74</v>
      </c>
      <c r="F3336" s="1">
        <f>IFERROR(__xludf.DUMMYFUNCTION("""COMPUTED_VALUE"""),2244970.0)</f>
        <v>2244970</v>
      </c>
    </row>
    <row r="3337">
      <c r="A3337" s="2">
        <f>IFERROR(__xludf.DUMMYFUNCTION("""COMPUTED_VALUE"""),45020.66666666667)</f>
        <v>45020.66667</v>
      </c>
      <c r="B3337" s="1">
        <f>IFERROR(__xludf.DUMMYFUNCTION("""COMPUTED_VALUE"""),39.65)</f>
        <v>39.65</v>
      </c>
      <c r="C3337" s="1">
        <f>IFERROR(__xludf.DUMMYFUNCTION("""COMPUTED_VALUE"""),40.0)</f>
        <v>40</v>
      </c>
      <c r="D3337" s="1">
        <f>IFERROR(__xludf.DUMMYFUNCTION("""COMPUTED_VALUE"""),38.65)</f>
        <v>38.65</v>
      </c>
      <c r="E3337" s="1">
        <f>IFERROR(__xludf.DUMMYFUNCTION("""COMPUTED_VALUE"""),39.98)</f>
        <v>39.98</v>
      </c>
      <c r="F3337" s="1">
        <f>IFERROR(__xludf.DUMMYFUNCTION("""COMPUTED_VALUE"""),1329812.0)</f>
        <v>1329812</v>
      </c>
    </row>
    <row r="3338">
      <c r="A3338" s="2">
        <f>IFERROR(__xludf.DUMMYFUNCTION("""COMPUTED_VALUE"""),45021.66666666667)</f>
        <v>45021.66667</v>
      </c>
      <c r="B3338" s="1">
        <f>IFERROR(__xludf.DUMMYFUNCTION("""COMPUTED_VALUE"""),39.75)</f>
        <v>39.75</v>
      </c>
      <c r="C3338" s="1">
        <f>IFERROR(__xludf.DUMMYFUNCTION("""COMPUTED_VALUE"""),39.83)</f>
        <v>39.83</v>
      </c>
      <c r="D3338" s="1">
        <f>IFERROR(__xludf.DUMMYFUNCTION("""COMPUTED_VALUE"""),37.58)</f>
        <v>37.58</v>
      </c>
      <c r="E3338" s="1">
        <f>IFERROR(__xludf.DUMMYFUNCTION("""COMPUTED_VALUE"""),37.87)</f>
        <v>37.87</v>
      </c>
      <c r="F3338" s="1">
        <f>IFERROR(__xludf.DUMMYFUNCTION("""COMPUTED_VALUE"""),1442533.0)</f>
        <v>1442533</v>
      </c>
    </row>
    <row r="3339">
      <c r="A3339" s="2">
        <f>IFERROR(__xludf.DUMMYFUNCTION("""COMPUTED_VALUE"""),45022.66666666667)</f>
        <v>45022.66667</v>
      </c>
      <c r="B3339" s="1">
        <f>IFERROR(__xludf.DUMMYFUNCTION("""COMPUTED_VALUE"""),37.7)</f>
        <v>37.7</v>
      </c>
      <c r="C3339" s="1">
        <f>IFERROR(__xludf.DUMMYFUNCTION("""COMPUTED_VALUE"""),39.1)</f>
        <v>39.1</v>
      </c>
      <c r="D3339" s="1">
        <f>IFERROR(__xludf.DUMMYFUNCTION("""COMPUTED_VALUE"""),37.7)</f>
        <v>37.7</v>
      </c>
      <c r="E3339" s="1">
        <f>IFERROR(__xludf.DUMMYFUNCTION("""COMPUTED_VALUE"""),38.66)</f>
        <v>38.66</v>
      </c>
      <c r="F3339" s="1">
        <f>IFERROR(__xludf.DUMMYFUNCTION("""COMPUTED_VALUE"""),934938.0)</f>
        <v>934938</v>
      </c>
    </row>
    <row r="3340">
      <c r="A3340" s="2">
        <f>IFERROR(__xludf.DUMMYFUNCTION("""COMPUTED_VALUE"""),45026.66666666667)</f>
        <v>45026.66667</v>
      </c>
      <c r="B3340" s="1">
        <f>IFERROR(__xludf.DUMMYFUNCTION("""COMPUTED_VALUE"""),38.02)</f>
        <v>38.02</v>
      </c>
      <c r="C3340" s="1">
        <f>IFERROR(__xludf.DUMMYFUNCTION("""COMPUTED_VALUE"""),38.53)</f>
        <v>38.53</v>
      </c>
      <c r="D3340" s="1">
        <f>IFERROR(__xludf.DUMMYFUNCTION("""COMPUTED_VALUE"""),36.98)</f>
        <v>36.98</v>
      </c>
      <c r="E3340" s="1">
        <f>IFERROR(__xludf.DUMMYFUNCTION("""COMPUTED_VALUE"""),37.06)</f>
        <v>37.06</v>
      </c>
      <c r="F3340" s="1">
        <f>IFERROR(__xludf.DUMMYFUNCTION("""COMPUTED_VALUE"""),1184328.0)</f>
        <v>1184328</v>
      </c>
    </row>
    <row r="3341">
      <c r="A3341" s="2">
        <f>IFERROR(__xludf.DUMMYFUNCTION("""COMPUTED_VALUE"""),45027.66666666667)</f>
        <v>45027.66667</v>
      </c>
      <c r="B3341" s="1">
        <f>IFERROR(__xludf.DUMMYFUNCTION("""COMPUTED_VALUE"""),37.59)</f>
        <v>37.59</v>
      </c>
      <c r="C3341" s="1">
        <f>IFERROR(__xludf.DUMMYFUNCTION("""COMPUTED_VALUE"""),38.09)</f>
        <v>38.09</v>
      </c>
      <c r="D3341" s="1">
        <f>IFERROR(__xludf.DUMMYFUNCTION("""COMPUTED_VALUE"""),37.2)</f>
        <v>37.2</v>
      </c>
      <c r="E3341" s="1">
        <f>IFERROR(__xludf.DUMMYFUNCTION("""COMPUTED_VALUE"""),37.45)</f>
        <v>37.45</v>
      </c>
      <c r="F3341" s="1">
        <f>IFERROR(__xludf.DUMMYFUNCTION("""COMPUTED_VALUE"""),1062911.0)</f>
        <v>1062911</v>
      </c>
    </row>
    <row r="3342">
      <c r="A3342" s="2">
        <f>IFERROR(__xludf.DUMMYFUNCTION("""COMPUTED_VALUE"""),45028.66666666667)</f>
        <v>45028.66667</v>
      </c>
      <c r="B3342" s="1">
        <f>IFERROR(__xludf.DUMMYFUNCTION("""COMPUTED_VALUE"""),37.04)</f>
        <v>37.04</v>
      </c>
      <c r="C3342" s="1">
        <f>IFERROR(__xludf.DUMMYFUNCTION("""COMPUTED_VALUE"""),37.39)</f>
        <v>37.39</v>
      </c>
      <c r="D3342" s="1">
        <f>IFERROR(__xludf.DUMMYFUNCTION("""COMPUTED_VALUE"""),36.1)</f>
        <v>36.1</v>
      </c>
      <c r="E3342" s="1">
        <f>IFERROR(__xludf.DUMMYFUNCTION("""COMPUTED_VALUE"""),36.24)</f>
        <v>36.24</v>
      </c>
      <c r="F3342" s="1">
        <f>IFERROR(__xludf.DUMMYFUNCTION("""COMPUTED_VALUE"""),867668.0)</f>
        <v>867668</v>
      </c>
    </row>
    <row r="3343">
      <c r="A3343" s="2">
        <f>IFERROR(__xludf.DUMMYFUNCTION("""COMPUTED_VALUE"""),45029.66666666667)</f>
        <v>45029.66667</v>
      </c>
      <c r="B3343" s="1">
        <f>IFERROR(__xludf.DUMMYFUNCTION("""COMPUTED_VALUE"""),36.74)</f>
        <v>36.74</v>
      </c>
      <c r="C3343" s="1">
        <f>IFERROR(__xludf.DUMMYFUNCTION("""COMPUTED_VALUE"""),37.42)</f>
        <v>37.42</v>
      </c>
      <c r="D3343" s="1">
        <f>IFERROR(__xludf.DUMMYFUNCTION("""COMPUTED_VALUE"""),36.6)</f>
        <v>36.6</v>
      </c>
      <c r="E3343" s="1">
        <f>IFERROR(__xludf.DUMMYFUNCTION("""COMPUTED_VALUE"""),37.08)</f>
        <v>37.08</v>
      </c>
      <c r="F3343" s="1">
        <f>IFERROR(__xludf.DUMMYFUNCTION("""COMPUTED_VALUE"""),901454.0)</f>
        <v>901454</v>
      </c>
    </row>
    <row r="3344">
      <c r="A3344" s="2">
        <f>IFERROR(__xludf.DUMMYFUNCTION("""COMPUTED_VALUE"""),45030.66666666667)</f>
        <v>45030.66667</v>
      </c>
      <c r="B3344" s="1">
        <f>IFERROR(__xludf.DUMMYFUNCTION("""COMPUTED_VALUE"""),37.25)</f>
        <v>37.25</v>
      </c>
      <c r="C3344" s="1">
        <f>IFERROR(__xludf.DUMMYFUNCTION("""COMPUTED_VALUE"""),37.76)</f>
        <v>37.76</v>
      </c>
      <c r="D3344" s="1">
        <f>IFERROR(__xludf.DUMMYFUNCTION("""COMPUTED_VALUE"""),36.67)</f>
        <v>36.67</v>
      </c>
      <c r="E3344" s="1">
        <f>IFERROR(__xludf.DUMMYFUNCTION("""COMPUTED_VALUE"""),37.62)</f>
        <v>37.62</v>
      </c>
      <c r="F3344" s="1">
        <f>IFERROR(__xludf.DUMMYFUNCTION("""COMPUTED_VALUE"""),1046665.0)</f>
        <v>1046665</v>
      </c>
    </row>
    <row r="3345">
      <c r="A3345" s="2">
        <f>IFERROR(__xludf.DUMMYFUNCTION("""COMPUTED_VALUE"""),45033.66666666667)</f>
        <v>45033.66667</v>
      </c>
      <c r="B3345" s="1">
        <f>IFERROR(__xludf.DUMMYFUNCTION("""COMPUTED_VALUE"""),38.8)</f>
        <v>38.8</v>
      </c>
      <c r="C3345" s="1">
        <f>IFERROR(__xludf.DUMMYFUNCTION("""COMPUTED_VALUE"""),39.4)</f>
        <v>39.4</v>
      </c>
      <c r="D3345" s="1">
        <f>IFERROR(__xludf.DUMMYFUNCTION("""COMPUTED_VALUE"""),37.89)</f>
        <v>37.89</v>
      </c>
      <c r="E3345" s="1">
        <f>IFERROR(__xludf.DUMMYFUNCTION("""COMPUTED_VALUE"""),39.04)</f>
        <v>39.04</v>
      </c>
      <c r="F3345" s="1">
        <f>IFERROR(__xludf.DUMMYFUNCTION("""COMPUTED_VALUE"""),1938396.0)</f>
        <v>1938396</v>
      </c>
    </row>
    <row r="3346">
      <c r="A3346" s="2">
        <f>IFERROR(__xludf.DUMMYFUNCTION("""COMPUTED_VALUE"""),45034.66666666667)</f>
        <v>45034.66667</v>
      </c>
      <c r="B3346" s="1">
        <f>IFERROR(__xludf.DUMMYFUNCTION("""COMPUTED_VALUE"""),39.46)</f>
        <v>39.46</v>
      </c>
      <c r="C3346" s="1">
        <f>IFERROR(__xludf.DUMMYFUNCTION("""COMPUTED_VALUE"""),39.64)</f>
        <v>39.64</v>
      </c>
      <c r="D3346" s="1">
        <f>IFERROR(__xludf.DUMMYFUNCTION("""COMPUTED_VALUE"""),38.85)</f>
        <v>38.85</v>
      </c>
      <c r="E3346" s="1">
        <f>IFERROR(__xludf.DUMMYFUNCTION("""COMPUTED_VALUE"""),39.18)</f>
        <v>39.18</v>
      </c>
      <c r="F3346" s="1">
        <f>IFERROR(__xludf.DUMMYFUNCTION("""COMPUTED_VALUE"""),1539781.0)</f>
        <v>1539781</v>
      </c>
    </row>
    <row r="3347">
      <c r="A3347" s="2">
        <f>IFERROR(__xludf.DUMMYFUNCTION("""COMPUTED_VALUE"""),45035.66666666667)</f>
        <v>45035.66667</v>
      </c>
      <c r="B3347" s="1">
        <f>IFERROR(__xludf.DUMMYFUNCTION("""COMPUTED_VALUE"""),39.49)</f>
        <v>39.49</v>
      </c>
      <c r="C3347" s="1">
        <f>IFERROR(__xludf.DUMMYFUNCTION("""COMPUTED_VALUE"""),43.26)</f>
        <v>43.26</v>
      </c>
      <c r="D3347" s="1">
        <f>IFERROR(__xludf.DUMMYFUNCTION("""COMPUTED_VALUE"""),37.8)</f>
        <v>37.8</v>
      </c>
      <c r="E3347" s="1">
        <f>IFERROR(__xludf.DUMMYFUNCTION("""COMPUTED_VALUE"""),42.71)</f>
        <v>42.71</v>
      </c>
      <c r="F3347" s="1">
        <f>IFERROR(__xludf.DUMMYFUNCTION("""COMPUTED_VALUE"""),4574499.0)</f>
        <v>4574499</v>
      </c>
    </row>
    <row r="3348">
      <c r="A3348" s="2">
        <f>IFERROR(__xludf.DUMMYFUNCTION("""COMPUTED_VALUE"""),45036.66666666667)</f>
        <v>45036.66667</v>
      </c>
      <c r="B3348" s="1">
        <f>IFERROR(__xludf.DUMMYFUNCTION("""COMPUTED_VALUE"""),44.59)</f>
        <v>44.59</v>
      </c>
      <c r="C3348" s="1">
        <f>IFERROR(__xludf.DUMMYFUNCTION("""COMPUTED_VALUE"""),45.86)</f>
        <v>45.86</v>
      </c>
      <c r="D3348" s="1">
        <f>IFERROR(__xludf.DUMMYFUNCTION("""COMPUTED_VALUE"""),43.95)</f>
        <v>43.95</v>
      </c>
      <c r="E3348" s="1">
        <f>IFERROR(__xludf.DUMMYFUNCTION("""COMPUTED_VALUE"""),44.65)</f>
        <v>44.65</v>
      </c>
      <c r="F3348" s="1">
        <f>IFERROR(__xludf.DUMMYFUNCTION("""COMPUTED_VALUE"""),5416273.0)</f>
        <v>5416273</v>
      </c>
    </row>
    <row r="3349">
      <c r="A3349" s="2">
        <f>IFERROR(__xludf.DUMMYFUNCTION("""COMPUTED_VALUE"""),45037.66666666667)</f>
        <v>45037.66667</v>
      </c>
      <c r="B3349" s="1">
        <f>IFERROR(__xludf.DUMMYFUNCTION("""COMPUTED_VALUE"""),45.32)</f>
        <v>45.32</v>
      </c>
      <c r="C3349" s="1">
        <f>IFERROR(__xludf.DUMMYFUNCTION("""COMPUTED_VALUE"""),45.36)</f>
        <v>45.36</v>
      </c>
      <c r="D3349" s="1">
        <f>IFERROR(__xludf.DUMMYFUNCTION("""COMPUTED_VALUE"""),42.93)</f>
        <v>42.93</v>
      </c>
      <c r="E3349" s="1">
        <f>IFERROR(__xludf.DUMMYFUNCTION("""COMPUTED_VALUE"""),43.02)</f>
        <v>43.02</v>
      </c>
      <c r="F3349" s="1">
        <f>IFERROR(__xludf.DUMMYFUNCTION("""COMPUTED_VALUE"""),1588101.0)</f>
        <v>1588101</v>
      </c>
    </row>
    <row r="3350">
      <c r="A3350" s="2">
        <f>IFERROR(__xludf.DUMMYFUNCTION("""COMPUTED_VALUE"""),45040.66666666667)</f>
        <v>45040.66667</v>
      </c>
      <c r="B3350" s="1">
        <f>IFERROR(__xludf.DUMMYFUNCTION("""COMPUTED_VALUE"""),44.32)</f>
        <v>44.32</v>
      </c>
      <c r="C3350" s="1">
        <f>IFERROR(__xludf.DUMMYFUNCTION("""COMPUTED_VALUE"""),44.89)</f>
        <v>44.89</v>
      </c>
      <c r="D3350" s="1">
        <f>IFERROR(__xludf.DUMMYFUNCTION("""COMPUTED_VALUE"""),42.44)</f>
        <v>42.44</v>
      </c>
      <c r="E3350" s="1">
        <f>IFERROR(__xludf.DUMMYFUNCTION("""COMPUTED_VALUE"""),43.21)</f>
        <v>43.21</v>
      </c>
      <c r="F3350" s="1">
        <f>IFERROR(__xludf.DUMMYFUNCTION("""COMPUTED_VALUE"""),3279696.0)</f>
        <v>3279696</v>
      </c>
    </row>
    <row r="3351">
      <c r="A3351" s="2">
        <f>IFERROR(__xludf.DUMMYFUNCTION("""COMPUTED_VALUE"""),45041.66666666667)</f>
        <v>45041.66667</v>
      </c>
      <c r="B3351" s="1">
        <f>IFERROR(__xludf.DUMMYFUNCTION("""COMPUTED_VALUE"""),42.66)</f>
        <v>42.66</v>
      </c>
      <c r="C3351" s="1">
        <f>IFERROR(__xludf.DUMMYFUNCTION("""COMPUTED_VALUE"""),43.35)</f>
        <v>43.35</v>
      </c>
      <c r="D3351" s="1">
        <f>IFERROR(__xludf.DUMMYFUNCTION("""COMPUTED_VALUE"""),42.05)</f>
        <v>42.05</v>
      </c>
      <c r="E3351" s="1">
        <f>IFERROR(__xludf.DUMMYFUNCTION("""COMPUTED_VALUE"""),43.15)</f>
        <v>43.15</v>
      </c>
      <c r="F3351" s="1">
        <f>IFERROR(__xludf.DUMMYFUNCTION("""COMPUTED_VALUE"""),2095463.0)</f>
        <v>2095463</v>
      </c>
    </row>
    <row r="3352">
      <c r="A3352" s="2">
        <f>IFERROR(__xludf.DUMMYFUNCTION("""COMPUTED_VALUE"""),45042.66666666667)</f>
        <v>45042.66667</v>
      </c>
      <c r="B3352" s="1">
        <f>IFERROR(__xludf.DUMMYFUNCTION("""COMPUTED_VALUE"""),45.0)</f>
        <v>45</v>
      </c>
      <c r="C3352" s="1">
        <f>IFERROR(__xludf.DUMMYFUNCTION("""COMPUTED_VALUE"""),46.74)</f>
        <v>46.74</v>
      </c>
      <c r="D3352" s="1">
        <f>IFERROR(__xludf.DUMMYFUNCTION("""COMPUTED_VALUE"""),44.95)</f>
        <v>44.95</v>
      </c>
      <c r="E3352" s="1">
        <f>IFERROR(__xludf.DUMMYFUNCTION("""COMPUTED_VALUE"""),45.34)</f>
        <v>45.34</v>
      </c>
      <c r="F3352" s="1">
        <f>IFERROR(__xludf.DUMMYFUNCTION("""COMPUTED_VALUE"""),1941176.0)</f>
        <v>1941176</v>
      </c>
    </row>
    <row r="3353">
      <c r="A3353" s="2">
        <f>IFERROR(__xludf.DUMMYFUNCTION("""COMPUTED_VALUE"""),45043.66666666667)</f>
        <v>45043.66667</v>
      </c>
      <c r="B3353" s="1">
        <f>IFERROR(__xludf.DUMMYFUNCTION("""COMPUTED_VALUE"""),45.0)</f>
        <v>45</v>
      </c>
      <c r="C3353" s="1">
        <f>IFERROR(__xludf.DUMMYFUNCTION("""COMPUTED_VALUE"""),46.29)</f>
        <v>46.29</v>
      </c>
      <c r="D3353" s="1">
        <f>IFERROR(__xludf.DUMMYFUNCTION("""COMPUTED_VALUE"""),44.26)</f>
        <v>44.26</v>
      </c>
      <c r="E3353" s="1">
        <f>IFERROR(__xludf.DUMMYFUNCTION("""COMPUTED_VALUE"""),44.56)</f>
        <v>44.56</v>
      </c>
      <c r="F3353" s="1">
        <f>IFERROR(__xludf.DUMMYFUNCTION("""COMPUTED_VALUE"""),1350148.0)</f>
        <v>1350148</v>
      </c>
    </row>
    <row r="3354">
      <c r="A3354" s="2">
        <f>IFERROR(__xludf.DUMMYFUNCTION("""COMPUTED_VALUE"""),45044.66666666667)</f>
        <v>45044.66667</v>
      </c>
      <c r="B3354" s="1">
        <f>IFERROR(__xludf.DUMMYFUNCTION("""COMPUTED_VALUE"""),44.9)</f>
        <v>44.9</v>
      </c>
      <c r="C3354" s="1">
        <f>IFERROR(__xludf.DUMMYFUNCTION("""COMPUTED_VALUE"""),46.17)</f>
        <v>46.17</v>
      </c>
      <c r="D3354" s="1">
        <f>IFERROR(__xludf.DUMMYFUNCTION("""COMPUTED_VALUE"""),44.74)</f>
        <v>44.74</v>
      </c>
      <c r="E3354" s="1">
        <f>IFERROR(__xludf.DUMMYFUNCTION("""COMPUTED_VALUE"""),45.59)</f>
        <v>45.59</v>
      </c>
      <c r="F3354" s="1">
        <f>IFERROR(__xludf.DUMMYFUNCTION("""COMPUTED_VALUE"""),1427812.0)</f>
        <v>1427812</v>
      </c>
    </row>
    <row r="3355">
      <c r="A3355" s="2">
        <f>IFERROR(__xludf.DUMMYFUNCTION("""COMPUTED_VALUE"""),45047.66666666667)</f>
        <v>45047.66667</v>
      </c>
      <c r="B3355" s="1">
        <f>IFERROR(__xludf.DUMMYFUNCTION("""COMPUTED_VALUE"""),45.34)</f>
        <v>45.34</v>
      </c>
      <c r="C3355" s="1">
        <f>IFERROR(__xludf.DUMMYFUNCTION("""COMPUTED_VALUE"""),46.19)</f>
        <v>46.19</v>
      </c>
      <c r="D3355" s="1">
        <f>IFERROR(__xludf.DUMMYFUNCTION("""COMPUTED_VALUE"""),44.32)</f>
        <v>44.32</v>
      </c>
      <c r="E3355" s="1">
        <f>IFERROR(__xludf.DUMMYFUNCTION("""COMPUTED_VALUE"""),44.33)</f>
        <v>44.33</v>
      </c>
      <c r="F3355" s="1">
        <f>IFERROR(__xludf.DUMMYFUNCTION("""COMPUTED_VALUE"""),978868.0)</f>
        <v>978868</v>
      </c>
    </row>
    <row r="3356">
      <c r="A3356" s="2">
        <f>IFERROR(__xludf.DUMMYFUNCTION("""COMPUTED_VALUE"""),45048.66666666667)</f>
        <v>45048.66667</v>
      </c>
      <c r="B3356" s="1">
        <f>IFERROR(__xludf.DUMMYFUNCTION("""COMPUTED_VALUE"""),42.99)</f>
        <v>42.99</v>
      </c>
      <c r="C3356" s="1">
        <f>IFERROR(__xludf.DUMMYFUNCTION("""COMPUTED_VALUE"""),43.44)</f>
        <v>43.44</v>
      </c>
      <c r="D3356" s="1">
        <f>IFERROR(__xludf.DUMMYFUNCTION("""COMPUTED_VALUE"""),40.43)</f>
        <v>40.43</v>
      </c>
      <c r="E3356" s="1">
        <f>IFERROR(__xludf.DUMMYFUNCTION("""COMPUTED_VALUE"""),42.15)</f>
        <v>42.15</v>
      </c>
      <c r="F3356" s="1">
        <f>IFERROR(__xludf.DUMMYFUNCTION("""COMPUTED_VALUE"""),2511638.0)</f>
        <v>2511638</v>
      </c>
    </row>
    <row r="3357">
      <c r="A3357" s="2">
        <f>IFERROR(__xludf.DUMMYFUNCTION("""COMPUTED_VALUE"""),45049.66666666667)</f>
        <v>45049.66667</v>
      </c>
      <c r="B3357" s="1">
        <f>IFERROR(__xludf.DUMMYFUNCTION("""COMPUTED_VALUE"""),42.07)</f>
        <v>42.07</v>
      </c>
      <c r="C3357" s="1">
        <f>IFERROR(__xludf.DUMMYFUNCTION("""COMPUTED_VALUE"""),42.17)</f>
        <v>42.17</v>
      </c>
      <c r="D3357" s="1">
        <f>IFERROR(__xludf.DUMMYFUNCTION("""COMPUTED_VALUE"""),40.82)</f>
        <v>40.82</v>
      </c>
      <c r="E3357" s="1">
        <f>IFERROR(__xludf.DUMMYFUNCTION("""COMPUTED_VALUE"""),41.21)</f>
        <v>41.21</v>
      </c>
      <c r="F3357" s="1">
        <f>IFERROR(__xludf.DUMMYFUNCTION("""COMPUTED_VALUE"""),1039308.0)</f>
        <v>1039308</v>
      </c>
    </row>
    <row r="3358">
      <c r="A3358" s="2">
        <f>IFERROR(__xludf.DUMMYFUNCTION("""COMPUTED_VALUE"""),45050.66666666667)</f>
        <v>45050.66667</v>
      </c>
      <c r="B3358" s="1">
        <f>IFERROR(__xludf.DUMMYFUNCTION("""COMPUTED_VALUE"""),41.53)</f>
        <v>41.53</v>
      </c>
      <c r="C3358" s="1">
        <f>IFERROR(__xludf.DUMMYFUNCTION("""COMPUTED_VALUE"""),41.75)</f>
        <v>41.75</v>
      </c>
      <c r="D3358" s="1">
        <f>IFERROR(__xludf.DUMMYFUNCTION("""COMPUTED_VALUE"""),40.89)</f>
        <v>40.89</v>
      </c>
      <c r="E3358" s="1">
        <f>IFERROR(__xludf.DUMMYFUNCTION("""COMPUTED_VALUE"""),40.9)</f>
        <v>40.9</v>
      </c>
      <c r="F3358" s="1">
        <f>IFERROR(__xludf.DUMMYFUNCTION("""COMPUTED_VALUE"""),1312374.0)</f>
        <v>1312374</v>
      </c>
    </row>
    <row r="3359">
      <c r="A3359" s="2">
        <f>IFERROR(__xludf.DUMMYFUNCTION("""COMPUTED_VALUE"""),45051.66666666667)</f>
        <v>45051.66667</v>
      </c>
      <c r="B3359" s="1">
        <f>IFERROR(__xludf.DUMMYFUNCTION("""COMPUTED_VALUE"""),41.0)</f>
        <v>41</v>
      </c>
      <c r="C3359" s="1">
        <f>IFERROR(__xludf.DUMMYFUNCTION("""COMPUTED_VALUE"""),41.59)</f>
        <v>41.59</v>
      </c>
      <c r="D3359" s="1">
        <f>IFERROR(__xludf.DUMMYFUNCTION("""COMPUTED_VALUE"""),40.5)</f>
        <v>40.5</v>
      </c>
      <c r="E3359" s="1">
        <f>IFERROR(__xludf.DUMMYFUNCTION("""COMPUTED_VALUE"""),41.32)</f>
        <v>41.32</v>
      </c>
      <c r="F3359" s="1">
        <f>IFERROR(__xludf.DUMMYFUNCTION("""COMPUTED_VALUE"""),1689482.0)</f>
        <v>1689482</v>
      </c>
    </row>
    <row r="3360">
      <c r="A3360" s="2">
        <f>IFERROR(__xludf.DUMMYFUNCTION("""COMPUTED_VALUE"""),45054.66666666667)</f>
        <v>45054.66667</v>
      </c>
      <c r="B3360" s="1">
        <f>IFERROR(__xludf.DUMMYFUNCTION("""COMPUTED_VALUE"""),41.14)</f>
        <v>41.14</v>
      </c>
      <c r="C3360" s="1">
        <f>IFERROR(__xludf.DUMMYFUNCTION("""COMPUTED_VALUE"""),42.33)</f>
        <v>42.33</v>
      </c>
      <c r="D3360" s="1">
        <f>IFERROR(__xludf.DUMMYFUNCTION("""COMPUTED_VALUE"""),40.98)</f>
        <v>40.98</v>
      </c>
      <c r="E3360" s="1">
        <f>IFERROR(__xludf.DUMMYFUNCTION("""COMPUTED_VALUE"""),41.95)</f>
        <v>41.95</v>
      </c>
      <c r="F3360" s="1">
        <f>IFERROR(__xludf.DUMMYFUNCTION("""COMPUTED_VALUE"""),2032542.0)</f>
        <v>2032542</v>
      </c>
    </row>
    <row r="3361">
      <c r="A3361" s="2">
        <f>IFERROR(__xludf.DUMMYFUNCTION("""COMPUTED_VALUE"""),45055.66666666667)</f>
        <v>45055.66667</v>
      </c>
      <c r="B3361" s="1">
        <f>IFERROR(__xludf.DUMMYFUNCTION("""COMPUTED_VALUE"""),40.51)</f>
        <v>40.51</v>
      </c>
      <c r="C3361" s="1">
        <f>IFERROR(__xludf.DUMMYFUNCTION("""COMPUTED_VALUE"""),41.37)</f>
        <v>41.37</v>
      </c>
      <c r="D3361" s="1">
        <f>IFERROR(__xludf.DUMMYFUNCTION("""COMPUTED_VALUE"""),39.35)</f>
        <v>39.35</v>
      </c>
      <c r="E3361" s="1">
        <f>IFERROR(__xludf.DUMMYFUNCTION("""COMPUTED_VALUE"""),39.45)</f>
        <v>39.45</v>
      </c>
      <c r="F3361" s="1">
        <f>IFERROR(__xludf.DUMMYFUNCTION("""COMPUTED_VALUE"""),1722193.0)</f>
        <v>1722193</v>
      </c>
    </row>
    <row r="3362">
      <c r="A3362" s="2">
        <f>IFERROR(__xludf.DUMMYFUNCTION("""COMPUTED_VALUE"""),45056.66666666667)</f>
        <v>45056.66667</v>
      </c>
      <c r="B3362" s="1">
        <f>IFERROR(__xludf.DUMMYFUNCTION("""COMPUTED_VALUE"""),40.49)</f>
        <v>40.49</v>
      </c>
      <c r="C3362" s="1">
        <f>IFERROR(__xludf.DUMMYFUNCTION("""COMPUTED_VALUE"""),41.78)</f>
        <v>41.78</v>
      </c>
      <c r="D3362" s="1">
        <f>IFERROR(__xludf.DUMMYFUNCTION("""COMPUTED_VALUE"""),39.11)</f>
        <v>39.11</v>
      </c>
      <c r="E3362" s="1">
        <f>IFERROR(__xludf.DUMMYFUNCTION("""COMPUTED_VALUE"""),39.69)</f>
        <v>39.69</v>
      </c>
      <c r="F3362" s="1">
        <f>IFERROR(__xludf.DUMMYFUNCTION("""COMPUTED_VALUE"""),3035791.0)</f>
        <v>3035791</v>
      </c>
    </row>
    <row r="3363">
      <c r="A3363" s="2">
        <f>IFERROR(__xludf.DUMMYFUNCTION("""COMPUTED_VALUE"""),45057.66666666667)</f>
        <v>45057.66667</v>
      </c>
      <c r="B3363" s="1">
        <f>IFERROR(__xludf.DUMMYFUNCTION("""COMPUTED_VALUE"""),39.2)</f>
        <v>39.2</v>
      </c>
      <c r="C3363" s="1">
        <f>IFERROR(__xludf.DUMMYFUNCTION("""COMPUTED_VALUE"""),40.65)</f>
        <v>40.65</v>
      </c>
      <c r="D3363" s="1">
        <f>IFERROR(__xludf.DUMMYFUNCTION("""COMPUTED_VALUE"""),38.99)</f>
        <v>38.99</v>
      </c>
      <c r="E3363" s="1">
        <f>IFERROR(__xludf.DUMMYFUNCTION("""COMPUTED_VALUE"""),39.79)</f>
        <v>39.79</v>
      </c>
      <c r="F3363" s="1">
        <f>IFERROR(__xludf.DUMMYFUNCTION("""COMPUTED_VALUE"""),1418801.0)</f>
        <v>1418801</v>
      </c>
    </row>
    <row r="3364">
      <c r="A3364" s="2">
        <f>IFERROR(__xludf.DUMMYFUNCTION("""COMPUTED_VALUE"""),45058.66666666667)</f>
        <v>45058.66667</v>
      </c>
      <c r="B3364" s="1">
        <f>IFERROR(__xludf.DUMMYFUNCTION("""COMPUTED_VALUE"""),38.99)</f>
        <v>38.99</v>
      </c>
      <c r="C3364" s="1">
        <f>IFERROR(__xludf.DUMMYFUNCTION("""COMPUTED_VALUE"""),39.15)</f>
        <v>39.15</v>
      </c>
      <c r="D3364" s="1">
        <f>IFERROR(__xludf.DUMMYFUNCTION("""COMPUTED_VALUE"""),37.54)</f>
        <v>37.54</v>
      </c>
      <c r="E3364" s="1">
        <f>IFERROR(__xludf.DUMMYFUNCTION("""COMPUTED_VALUE"""),37.77)</f>
        <v>37.77</v>
      </c>
      <c r="F3364" s="1">
        <f>IFERROR(__xludf.DUMMYFUNCTION("""COMPUTED_VALUE"""),1978974.0)</f>
        <v>1978974</v>
      </c>
    </row>
    <row r="3365">
      <c r="A3365" s="2">
        <f>IFERROR(__xludf.DUMMYFUNCTION("""COMPUTED_VALUE"""),45061.66666666667)</f>
        <v>45061.66667</v>
      </c>
      <c r="B3365" s="1">
        <f>IFERROR(__xludf.DUMMYFUNCTION("""COMPUTED_VALUE"""),38.8)</f>
        <v>38.8</v>
      </c>
      <c r="C3365" s="1">
        <f>IFERROR(__xludf.DUMMYFUNCTION("""COMPUTED_VALUE"""),39.69)</f>
        <v>39.69</v>
      </c>
      <c r="D3365" s="1">
        <f>IFERROR(__xludf.DUMMYFUNCTION("""COMPUTED_VALUE"""),38.33)</f>
        <v>38.33</v>
      </c>
      <c r="E3365" s="1">
        <f>IFERROR(__xludf.DUMMYFUNCTION("""COMPUTED_VALUE"""),39.39)</f>
        <v>39.39</v>
      </c>
      <c r="F3365" s="1">
        <f>IFERROR(__xludf.DUMMYFUNCTION("""COMPUTED_VALUE"""),1536159.0)</f>
        <v>1536159</v>
      </c>
    </row>
    <row r="3366">
      <c r="A3366" s="2">
        <f>IFERROR(__xludf.DUMMYFUNCTION("""COMPUTED_VALUE"""),45062.66666666667)</f>
        <v>45062.66667</v>
      </c>
      <c r="B3366" s="1">
        <f>IFERROR(__xludf.DUMMYFUNCTION("""COMPUTED_VALUE"""),38.62)</f>
        <v>38.62</v>
      </c>
      <c r="C3366" s="1">
        <f>IFERROR(__xludf.DUMMYFUNCTION("""COMPUTED_VALUE"""),39.74)</f>
        <v>39.74</v>
      </c>
      <c r="D3366" s="1">
        <f>IFERROR(__xludf.DUMMYFUNCTION("""COMPUTED_VALUE"""),38.62)</f>
        <v>38.62</v>
      </c>
      <c r="E3366" s="1">
        <f>IFERROR(__xludf.DUMMYFUNCTION("""COMPUTED_VALUE"""),39.5)</f>
        <v>39.5</v>
      </c>
      <c r="F3366" s="1">
        <f>IFERROR(__xludf.DUMMYFUNCTION("""COMPUTED_VALUE"""),1183810.0)</f>
        <v>1183810</v>
      </c>
    </row>
    <row r="3367">
      <c r="A3367" s="2">
        <f>IFERROR(__xludf.DUMMYFUNCTION("""COMPUTED_VALUE"""),45063.66666666667)</f>
        <v>45063.66667</v>
      </c>
      <c r="B3367" s="1">
        <f>IFERROR(__xludf.DUMMYFUNCTION("""COMPUTED_VALUE"""),38.6)</f>
        <v>38.6</v>
      </c>
      <c r="C3367" s="1">
        <f>IFERROR(__xludf.DUMMYFUNCTION("""COMPUTED_VALUE"""),39.24)</f>
        <v>39.24</v>
      </c>
      <c r="D3367" s="1">
        <f>IFERROR(__xludf.DUMMYFUNCTION("""COMPUTED_VALUE"""),37.9)</f>
        <v>37.9</v>
      </c>
      <c r="E3367" s="1">
        <f>IFERROR(__xludf.DUMMYFUNCTION("""COMPUTED_VALUE"""),37.92)</f>
        <v>37.92</v>
      </c>
      <c r="F3367" s="1">
        <f>IFERROR(__xludf.DUMMYFUNCTION("""COMPUTED_VALUE"""),1004126.0)</f>
        <v>1004126</v>
      </c>
    </row>
    <row r="3368">
      <c r="A3368" s="2">
        <f>IFERROR(__xludf.DUMMYFUNCTION("""COMPUTED_VALUE"""),45064.66666666667)</f>
        <v>45064.66667</v>
      </c>
      <c r="B3368" s="1">
        <f>IFERROR(__xludf.DUMMYFUNCTION("""COMPUTED_VALUE"""),38.44)</f>
        <v>38.44</v>
      </c>
      <c r="C3368" s="1">
        <f>IFERROR(__xludf.DUMMYFUNCTION("""COMPUTED_VALUE"""),38.45)</f>
        <v>38.45</v>
      </c>
      <c r="D3368" s="1">
        <f>IFERROR(__xludf.DUMMYFUNCTION("""COMPUTED_VALUE"""),36.93)</f>
        <v>36.93</v>
      </c>
      <c r="E3368" s="1">
        <f>IFERROR(__xludf.DUMMYFUNCTION("""COMPUTED_VALUE"""),37.09)</f>
        <v>37.09</v>
      </c>
      <c r="F3368" s="1">
        <f>IFERROR(__xludf.DUMMYFUNCTION("""COMPUTED_VALUE"""),1841476.0)</f>
        <v>1841476</v>
      </c>
    </row>
    <row r="3369">
      <c r="A3369" s="2">
        <f>IFERROR(__xludf.DUMMYFUNCTION("""COMPUTED_VALUE"""),45065.66666666667)</f>
        <v>45065.66667</v>
      </c>
      <c r="B3369" s="1">
        <f>IFERROR(__xludf.DUMMYFUNCTION("""COMPUTED_VALUE"""),36.88)</f>
        <v>36.88</v>
      </c>
      <c r="C3369" s="1">
        <f>IFERROR(__xludf.DUMMYFUNCTION("""COMPUTED_VALUE"""),37.79)</f>
        <v>37.79</v>
      </c>
      <c r="D3369" s="1">
        <f>IFERROR(__xludf.DUMMYFUNCTION("""COMPUTED_VALUE"""),36.51)</f>
        <v>36.51</v>
      </c>
      <c r="E3369" s="1">
        <f>IFERROR(__xludf.DUMMYFUNCTION("""COMPUTED_VALUE"""),37.66)</f>
        <v>37.66</v>
      </c>
      <c r="F3369" s="1">
        <f>IFERROR(__xludf.DUMMYFUNCTION("""COMPUTED_VALUE"""),1359371.0)</f>
        <v>1359371</v>
      </c>
    </row>
    <row r="3370">
      <c r="A3370" s="2">
        <f>IFERROR(__xludf.DUMMYFUNCTION("""COMPUTED_VALUE"""),45068.66666666667)</f>
        <v>45068.66667</v>
      </c>
      <c r="B3370" s="1">
        <f>IFERROR(__xludf.DUMMYFUNCTION("""COMPUTED_VALUE"""),38.98)</f>
        <v>38.98</v>
      </c>
      <c r="C3370" s="1">
        <f>IFERROR(__xludf.DUMMYFUNCTION("""COMPUTED_VALUE"""),39.16)</f>
        <v>39.16</v>
      </c>
      <c r="D3370" s="1">
        <f>IFERROR(__xludf.DUMMYFUNCTION("""COMPUTED_VALUE"""),38.06)</f>
        <v>38.06</v>
      </c>
      <c r="E3370" s="1">
        <f>IFERROR(__xludf.DUMMYFUNCTION("""COMPUTED_VALUE"""),38.06)</f>
        <v>38.06</v>
      </c>
      <c r="F3370" s="1">
        <f>IFERROR(__xludf.DUMMYFUNCTION("""COMPUTED_VALUE"""),1378581.0)</f>
        <v>1378581</v>
      </c>
    </row>
    <row r="3371">
      <c r="A3371" s="2">
        <f>IFERROR(__xludf.DUMMYFUNCTION("""COMPUTED_VALUE"""),45069.66666666667)</f>
        <v>45069.66667</v>
      </c>
      <c r="B3371" s="1">
        <f>IFERROR(__xludf.DUMMYFUNCTION("""COMPUTED_VALUE"""),38.05)</f>
        <v>38.05</v>
      </c>
      <c r="C3371" s="1">
        <f>IFERROR(__xludf.DUMMYFUNCTION("""COMPUTED_VALUE"""),38.19)</f>
        <v>38.19</v>
      </c>
      <c r="D3371" s="1">
        <f>IFERROR(__xludf.DUMMYFUNCTION("""COMPUTED_VALUE"""),37.48)</f>
        <v>37.48</v>
      </c>
      <c r="E3371" s="1">
        <f>IFERROR(__xludf.DUMMYFUNCTION("""COMPUTED_VALUE"""),37.67)</f>
        <v>37.67</v>
      </c>
      <c r="F3371" s="1">
        <f>IFERROR(__xludf.DUMMYFUNCTION("""COMPUTED_VALUE"""),1082595.0)</f>
        <v>1082595</v>
      </c>
    </row>
    <row r="3372">
      <c r="A3372" s="2">
        <f>IFERROR(__xludf.DUMMYFUNCTION("""COMPUTED_VALUE"""),45070.66666666667)</f>
        <v>45070.66667</v>
      </c>
      <c r="B3372" s="1">
        <f>IFERROR(__xludf.DUMMYFUNCTION("""COMPUTED_VALUE"""),36.84)</f>
        <v>36.84</v>
      </c>
      <c r="C3372" s="1">
        <f>IFERROR(__xludf.DUMMYFUNCTION("""COMPUTED_VALUE"""),37.88)</f>
        <v>37.88</v>
      </c>
      <c r="D3372" s="1">
        <f>IFERROR(__xludf.DUMMYFUNCTION("""COMPUTED_VALUE"""),36.72)</f>
        <v>36.72</v>
      </c>
      <c r="E3372" s="1">
        <f>IFERROR(__xludf.DUMMYFUNCTION("""COMPUTED_VALUE"""),37.4)</f>
        <v>37.4</v>
      </c>
      <c r="F3372" s="1">
        <f>IFERROR(__xludf.DUMMYFUNCTION("""COMPUTED_VALUE"""),2741606.0)</f>
        <v>2741606</v>
      </c>
    </row>
    <row r="3373">
      <c r="A3373" s="2">
        <f>IFERROR(__xludf.DUMMYFUNCTION("""COMPUTED_VALUE"""),45071.66666666667)</f>
        <v>45071.66667</v>
      </c>
      <c r="B3373" s="1">
        <f>IFERROR(__xludf.DUMMYFUNCTION("""COMPUTED_VALUE"""),37.01)</f>
        <v>37.01</v>
      </c>
      <c r="C3373" s="1">
        <f>IFERROR(__xludf.DUMMYFUNCTION("""COMPUTED_VALUE"""),37.15)</f>
        <v>37.15</v>
      </c>
      <c r="D3373" s="1">
        <f>IFERROR(__xludf.DUMMYFUNCTION("""COMPUTED_VALUE"""),35.7)</f>
        <v>35.7</v>
      </c>
      <c r="E3373" s="1">
        <f>IFERROR(__xludf.DUMMYFUNCTION("""COMPUTED_VALUE"""),36.0)</f>
        <v>36</v>
      </c>
      <c r="F3373" s="1">
        <f>IFERROR(__xludf.DUMMYFUNCTION("""COMPUTED_VALUE"""),2226991.0)</f>
        <v>2226991</v>
      </c>
    </row>
    <row r="3374">
      <c r="A3374" s="2">
        <f>IFERROR(__xludf.DUMMYFUNCTION("""COMPUTED_VALUE"""),45072.66666666667)</f>
        <v>45072.66667</v>
      </c>
      <c r="B3374" s="1">
        <f>IFERROR(__xludf.DUMMYFUNCTION("""COMPUTED_VALUE"""),36.97)</f>
        <v>36.97</v>
      </c>
      <c r="C3374" s="1">
        <f>IFERROR(__xludf.DUMMYFUNCTION("""COMPUTED_VALUE"""),38.21)</f>
        <v>38.21</v>
      </c>
      <c r="D3374" s="1">
        <f>IFERROR(__xludf.DUMMYFUNCTION("""COMPUTED_VALUE"""),36.75)</f>
        <v>36.75</v>
      </c>
      <c r="E3374" s="1">
        <f>IFERROR(__xludf.DUMMYFUNCTION("""COMPUTED_VALUE"""),37.57)</f>
        <v>37.57</v>
      </c>
      <c r="F3374" s="1">
        <f>IFERROR(__xludf.DUMMYFUNCTION("""COMPUTED_VALUE"""),1531574.0)</f>
        <v>1531574</v>
      </c>
    </row>
    <row r="3375">
      <c r="A3375" s="2">
        <f>IFERROR(__xludf.DUMMYFUNCTION("""COMPUTED_VALUE"""),45076.66666666667)</f>
        <v>45076.66667</v>
      </c>
      <c r="B3375" s="1">
        <f>IFERROR(__xludf.DUMMYFUNCTION("""COMPUTED_VALUE"""),38.55)</f>
        <v>38.55</v>
      </c>
      <c r="C3375" s="1">
        <f>IFERROR(__xludf.DUMMYFUNCTION("""COMPUTED_VALUE"""),39.2)</f>
        <v>39.2</v>
      </c>
      <c r="D3375" s="1">
        <f>IFERROR(__xludf.DUMMYFUNCTION("""COMPUTED_VALUE"""),37.2)</f>
        <v>37.2</v>
      </c>
      <c r="E3375" s="1">
        <f>IFERROR(__xludf.DUMMYFUNCTION("""COMPUTED_VALUE"""),37.51)</f>
        <v>37.51</v>
      </c>
      <c r="F3375" s="1">
        <f>IFERROR(__xludf.DUMMYFUNCTION("""COMPUTED_VALUE"""),3569892.0)</f>
        <v>3569892</v>
      </c>
    </row>
    <row r="3376">
      <c r="A3376" s="2">
        <f>IFERROR(__xludf.DUMMYFUNCTION("""COMPUTED_VALUE"""),45077.66666666667)</f>
        <v>45077.66667</v>
      </c>
      <c r="B3376" s="1">
        <f>IFERROR(__xludf.DUMMYFUNCTION("""COMPUTED_VALUE"""),37.83)</f>
        <v>37.83</v>
      </c>
      <c r="C3376" s="1">
        <f>IFERROR(__xludf.DUMMYFUNCTION("""COMPUTED_VALUE"""),38.14)</f>
        <v>38.14</v>
      </c>
      <c r="D3376" s="1">
        <f>IFERROR(__xludf.DUMMYFUNCTION("""COMPUTED_VALUE"""),36.99)</f>
        <v>36.99</v>
      </c>
      <c r="E3376" s="1">
        <f>IFERROR(__xludf.DUMMYFUNCTION("""COMPUTED_VALUE"""),37.67)</f>
        <v>37.67</v>
      </c>
      <c r="F3376" s="1">
        <f>IFERROR(__xludf.DUMMYFUNCTION("""COMPUTED_VALUE"""),2076844.0)</f>
        <v>2076844</v>
      </c>
    </row>
    <row r="3377">
      <c r="A3377" s="2">
        <f>IFERROR(__xludf.DUMMYFUNCTION("""COMPUTED_VALUE"""),45078.66666666667)</f>
        <v>45078.66667</v>
      </c>
      <c r="B3377" s="1">
        <f>IFERROR(__xludf.DUMMYFUNCTION("""COMPUTED_VALUE"""),38.92)</f>
        <v>38.92</v>
      </c>
      <c r="C3377" s="1">
        <f>IFERROR(__xludf.DUMMYFUNCTION("""COMPUTED_VALUE"""),42.23)</f>
        <v>42.23</v>
      </c>
      <c r="D3377" s="1">
        <f>IFERROR(__xludf.DUMMYFUNCTION("""COMPUTED_VALUE"""),38.84)</f>
        <v>38.84</v>
      </c>
      <c r="E3377" s="1">
        <f>IFERROR(__xludf.DUMMYFUNCTION("""COMPUTED_VALUE"""),41.28)</f>
        <v>41.28</v>
      </c>
      <c r="F3377" s="1">
        <f>IFERROR(__xludf.DUMMYFUNCTION("""COMPUTED_VALUE"""),3823804.0)</f>
        <v>3823804</v>
      </c>
    </row>
    <row r="3378">
      <c r="A3378" s="2">
        <f>IFERROR(__xludf.DUMMYFUNCTION("""COMPUTED_VALUE"""),45079.66666666667)</f>
        <v>45079.66667</v>
      </c>
      <c r="B3378" s="1">
        <f>IFERROR(__xludf.DUMMYFUNCTION("""COMPUTED_VALUE"""),42.19)</f>
        <v>42.19</v>
      </c>
      <c r="C3378" s="1">
        <f>IFERROR(__xludf.DUMMYFUNCTION("""COMPUTED_VALUE"""),42.8)</f>
        <v>42.8</v>
      </c>
      <c r="D3378" s="1">
        <f>IFERROR(__xludf.DUMMYFUNCTION("""COMPUTED_VALUE"""),41.63)</f>
        <v>41.63</v>
      </c>
      <c r="E3378" s="1">
        <f>IFERROR(__xludf.DUMMYFUNCTION("""COMPUTED_VALUE"""),42.76)</f>
        <v>42.76</v>
      </c>
      <c r="F3378" s="1">
        <f>IFERROR(__xludf.DUMMYFUNCTION("""COMPUTED_VALUE"""),1557853.0)</f>
        <v>1557853</v>
      </c>
    </row>
    <row r="3379">
      <c r="A3379" s="2">
        <f>IFERROR(__xludf.DUMMYFUNCTION("""COMPUTED_VALUE"""),45082.66666666667)</f>
        <v>45082.66667</v>
      </c>
      <c r="B3379" s="1">
        <f>IFERROR(__xludf.DUMMYFUNCTION("""COMPUTED_VALUE"""),42.55)</f>
        <v>42.55</v>
      </c>
      <c r="C3379" s="1">
        <f>IFERROR(__xludf.DUMMYFUNCTION("""COMPUTED_VALUE"""),42.55)</f>
        <v>42.55</v>
      </c>
      <c r="D3379" s="1">
        <f>IFERROR(__xludf.DUMMYFUNCTION("""COMPUTED_VALUE"""),40.9)</f>
        <v>40.9</v>
      </c>
      <c r="E3379" s="1">
        <f>IFERROR(__xludf.DUMMYFUNCTION("""COMPUTED_VALUE"""),41.54)</f>
        <v>41.54</v>
      </c>
      <c r="F3379" s="1">
        <f>IFERROR(__xludf.DUMMYFUNCTION("""COMPUTED_VALUE"""),774339.0)</f>
        <v>774339</v>
      </c>
    </row>
    <row r="3380">
      <c r="A3380" s="2">
        <f>IFERROR(__xludf.DUMMYFUNCTION("""COMPUTED_VALUE"""),45083.66666666667)</f>
        <v>45083.66667</v>
      </c>
      <c r="B3380" s="1">
        <f>IFERROR(__xludf.DUMMYFUNCTION("""COMPUTED_VALUE"""),42.49)</f>
        <v>42.49</v>
      </c>
      <c r="C3380" s="1">
        <f>IFERROR(__xludf.DUMMYFUNCTION("""COMPUTED_VALUE"""),42.49)</f>
        <v>42.49</v>
      </c>
      <c r="D3380" s="1">
        <f>IFERROR(__xludf.DUMMYFUNCTION("""COMPUTED_VALUE"""),40.9)</f>
        <v>40.9</v>
      </c>
      <c r="E3380" s="1">
        <f>IFERROR(__xludf.DUMMYFUNCTION("""COMPUTED_VALUE"""),41.91)</f>
        <v>41.91</v>
      </c>
      <c r="F3380" s="1">
        <f>IFERROR(__xludf.DUMMYFUNCTION("""COMPUTED_VALUE"""),1551569.0)</f>
        <v>1551569</v>
      </c>
    </row>
    <row r="3381">
      <c r="A3381" s="2">
        <f>IFERROR(__xludf.DUMMYFUNCTION("""COMPUTED_VALUE"""),45084.66666666667)</f>
        <v>45084.66667</v>
      </c>
      <c r="B3381" s="1">
        <f>IFERROR(__xludf.DUMMYFUNCTION("""COMPUTED_VALUE"""),41.87)</f>
        <v>41.87</v>
      </c>
      <c r="C3381" s="1">
        <f>IFERROR(__xludf.DUMMYFUNCTION("""COMPUTED_VALUE"""),42.72)</f>
        <v>42.72</v>
      </c>
      <c r="D3381" s="1">
        <f>IFERROR(__xludf.DUMMYFUNCTION("""COMPUTED_VALUE"""),40.49)</f>
        <v>40.49</v>
      </c>
      <c r="E3381" s="1">
        <f>IFERROR(__xludf.DUMMYFUNCTION("""COMPUTED_VALUE"""),41.09)</f>
        <v>41.09</v>
      </c>
      <c r="F3381" s="1">
        <f>IFERROR(__xludf.DUMMYFUNCTION("""COMPUTED_VALUE"""),1344333.0)</f>
        <v>1344333</v>
      </c>
    </row>
    <row r="3382">
      <c r="A3382" s="2">
        <f>IFERROR(__xludf.DUMMYFUNCTION("""COMPUTED_VALUE"""),45085.66666666667)</f>
        <v>45085.66667</v>
      </c>
      <c r="B3382" s="1">
        <f>IFERROR(__xludf.DUMMYFUNCTION("""COMPUTED_VALUE"""),42.44)</f>
        <v>42.44</v>
      </c>
      <c r="C3382" s="1">
        <f>IFERROR(__xludf.DUMMYFUNCTION("""COMPUTED_VALUE"""),43.05)</f>
        <v>43.05</v>
      </c>
      <c r="D3382" s="1">
        <f>IFERROR(__xludf.DUMMYFUNCTION("""COMPUTED_VALUE"""),41.9)</f>
        <v>41.9</v>
      </c>
      <c r="E3382" s="1">
        <f>IFERROR(__xludf.DUMMYFUNCTION("""COMPUTED_VALUE"""),42.5)</f>
        <v>42.5</v>
      </c>
      <c r="F3382" s="1">
        <f>IFERROR(__xludf.DUMMYFUNCTION("""COMPUTED_VALUE"""),1574564.0)</f>
        <v>1574564</v>
      </c>
    </row>
    <row r="3383">
      <c r="A3383" s="2">
        <f>IFERROR(__xludf.DUMMYFUNCTION("""COMPUTED_VALUE"""),45086.66666666667)</f>
        <v>45086.66667</v>
      </c>
      <c r="B3383" s="1">
        <f>IFERROR(__xludf.DUMMYFUNCTION("""COMPUTED_VALUE"""),42.5)</f>
        <v>42.5</v>
      </c>
      <c r="C3383" s="1">
        <f>IFERROR(__xludf.DUMMYFUNCTION("""COMPUTED_VALUE"""),42.83)</f>
        <v>42.83</v>
      </c>
      <c r="D3383" s="1">
        <f>IFERROR(__xludf.DUMMYFUNCTION("""COMPUTED_VALUE"""),41.69)</f>
        <v>41.69</v>
      </c>
      <c r="E3383" s="1">
        <f>IFERROR(__xludf.DUMMYFUNCTION("""COMPUTED_VALUE"""),42.0)</f>
        <v>42</v>
      </c>
      <c r="F3383" s="1">
        <f>IFERROR(__xludf.DUMMYFUNCTION("""COMPUTED_VALUE"""),1185240.0)</f>
        <v>1185240</v>
      </c>
    </row>
    <row r="3384">
      <c r="A3384" s="2">
        <f>IFERROR(__xludf.DUMMYFUNCTION("""COMPUTED_VALUE"""),45089.66666666667)</f>
        <v>45089.66667</v>
      </c>
      <c r="B3384" s="1">
        <f>IFERROR(__xludf.DUMMYFUNCTION("""COMPUTED_VALUE"""),42.15)</f>
        <v>42.15</v>
      </c>
      <c r="C3384" s="1">
        <f>IFERROR(__xludf.DUMMYFUNCTION("""COMPUTED_VALUE"""),42.17)</f>
        <v>42.17</v>
      </c>
      <c r="D3384" s="1">
        <f>IFERROR(__xludf.DUMMYFUNCTION("""COMPUTED_VALUE"""),40.11)</f>
        <v>40.11</v>
      </c>
      <c r="E3384" s="1">
        <f>IFERROR(__xludf.DUMMYFUNCTION("""COMPUTED_VALUE"""),40.2)</f>
        <v>40.2</v>
      </c>
      <c r="F3384" s="1">
        <f>IFERROR(__xludf.DUMMYFUNCTION("""COMPUTED_VALUE"""),1559269.0)</f>
        <v>1559269</v>
      </c>
    </row>
    <row r="3385">
      <c r="A3385" s="2">
        <f>IFERROR(__xludf.DUMMYFUNCTION("""COMPUTED_VALUE"""),45090.66666666667)</f>
        <v>45090.66667</v>
      </c>
      <c r="B3385" s="1">
        <f>IFERROR(__xludf.DUMMYFUNCTION("""COMPUTED_VALUE"""),41.07)</f>
        <v>41.07</v>
      </c>
      <c r="C3385" s="1">
        <f>IFERROR(__xludf.DUMMYFUNCTION("""COMPUTED_VALUE"""),41.37)</f>
        <v>41.37</v>
      </c>
      <c r="D3385" s="1">
        <f>IFERROR(__xludf.DUMMYFUNCTION("""COMPUTED_VALUE"""),39.52)</f>
        <v>39.52</v>
      </c>
      <c r="E3385" s="1">
        <f>IFERROR(__xludf.DUMMYFUNCTION("""COMPUTED_VALUE"""),40.57)</f>
        <v>40.57</v>
      </c>
      <c r="F3385" s="1">
        <f>IFERROR(__xludf.DUMMYFUNCTION("""COMPUTED_VALUE"""),1091243.0)</f>
        <v>1091243</v>
      </c>
    </row>
    <row r="3386">
      <c r="A3386" s="2">
        <f>IFERROR(__xludf.DUMMYFUNCTION("""COMPUTED_VALUE"""),45091.66666666667)</f>
        <v>45091.66667</v>
      </c>
      <c r="B3386" s="1">
        <f>IFERROR(__xludf.DUMMYFUNCTION("""COMPUTED_VALUE"""),39.93)</f>
        <v>39.93</v>
      </c>
      <c r="C3386" s="1">
        <f>IFERROR(__xludf.DUMMYFUNCTION("""COMPUTED_VALUE"""),41.19)</f>
        <v>41.19</v>
      </c>
      <c r="D3386" s="1">
        <f>IFERROR(__xludf.DUMMYFUNCTION("""COMPUTED_VALUE"""),39.89)</f>
        <v>39.89</v>
      </c>
      <c r="E3386" s="1">
        <f>IFERROR(__xludf.DUMMYFUNCTION("""COMPUTED_VALUE"""),40.75)</f>
        <v>40.75</v>
      </c>
      <c r="F3386" s="1">
        <f>IFERROR(__xludf.DUMMYFUNCTION("""COMPUTED_VALUE"""),760404.0)</f>
        <v>760404</v>
      </c>
    </row>
    <row r="3387">
      <c r="A3387" s="2">
        <f>IFERROR(__xludf.DUMMYFUNCTION("""COMPUTED_VALUE"""),45092.66666666667)</f>
        <v>45092.66667</v>
      </c>
      <c r="B3387" s="1">
        <f>IFERROR(__xludf.DUMMYFUNCTION("""COMPUTED_VALUE"""),41.24)</f>
        <v>41.24</v>
      </c>
      <c r="C3387" s="1">
        <f>IFERROR(__xludf.DUMMYFUNCTION("""COMPUTED_VALUE"""),42.65)</f>
        <v>42.65</v>
      </c>
      <c r="D3387" s="1">
        <f>IFERROR(__xludf.DUMMYFUNCTION("""COMPUTED_VALUE"""),41.19)</f>
        <v>41.19</v>
      </c>
      <c r="E3387" s="1">
        <f>IFERROR(__xludf.DUMMYFUNCTION("""COMPUTED_VALUE"""),42.0)</f>
        <v>42</v>
      </c>
      <c r="F3387" s="1">
        <f>IFERROR(__xludf.DUMMYFUNCTION("""COMPUTED_VALUE"""),1346091.0)</f>
        <v>1346091</v>
      </c>
    </row>
    <row r="3388">
      <c r="A3388" s="2">
        <f>IFERROR(__xludf.DUMMYFUNCTION("""COMPUTED_VALUE"""),45093.66666666667)</f>
        <v>45093.66667</v>
      </c>
      <c r="B3388" s="1">
        <f>IFERROR(__xludf.DUMMYFUNCTION("""COMPUTED_VALUE"""),42.49)</f>
        <v>42.49</v>
      </c>
      <c r="C3388" s="1">
        <f>IFERROR(__xludf.DUMMYFUNCTION("""COMPUTED_VALUE"""),42.7)</f>
        <v>42.7</v>
      </c>
      <c r="D3388" s="1">
        <f>IFERROR(__xludf.DUMMYFUNCTION("""COMPUTED_VALUE"""),41.4)</f>
        <v>41.4</v>
      </c>
      <c r="E3388" s="1">
        <f>IFERROR(__xludf.DUMMYFUNCTION("""COMPUTED_VALUE"""),42.3)</f>
        <v>42.3</v>
      </c>
      <c r="F3388" s="1">
        <f>IFERROR(__xludf.DUMMYFUNCTION("""COMPUTED_VALUE"""),1567393.0)</f>
        <v>1567393</v>
      </c>
    </row>
    <row r="3389">
      <c r="A3389" s="2">
        <f>IFERROR(__xludf.DUMMYFUNCTION("""COMPUTED_VALUE"""),45097.66666666667)</f>
        <v>45097.66667</v>
      </c>
      <c r="B3389" s="1">
        <f>IFERROR(__xludf.DUMMYFUNCTION("""COMPUTED_VALUE"""),40.03)</f>
        <v>40.03</v>
      </c>
      <c r="C3389" s="1">
        <f>IFERROR(__xludf.DUMMYFUNCTION("""COMPUTED_VALUE"""),40.13)</f>
        <v>40.13</v>
      </c>
      <c r="D3389" s="1">
        <f>IFERROR(__xludf.DUMMYFUNCTION("""COMPUTED_VALUE"""),38.5)</f>
        <v>38.5</v>
      </c>
      <c r="E3389" s="1">
        <f>IFERROR(__xludf.DUMMYFUNCTION("""COMPUTED_VALUE"""),38.9)</f>
        <v>38.9</v>
      </c>
      <c r="F3389" s="1">
        <f>IFERROR(__xludf.DUMMYFUNCTION("""COMPUTED_VALUE"""),2266669.0)</f>
        <v>2266669</v>
      </c>
    </row>
    <row r="3390">
      <c r="A3390" s="2">
        <f>IFERROR(__xludf.DUMMYFUNCTION("""COMPUTED_VALUE"""),45098.66666666667)</f>
        <v>45098.66667</v>
      </c>
      <c r="B3390" s="1">
        <f>IFERROR(__xludf.DUMMYFUNCTION("""COMPUTED_VALUE"""),39.0)</f>
        <v>39</v>
      </c>
      <c r="C3390" s="1">
        <f>IFERROR(__xludf.DUMMYFUNCTION("""COMPUTED_VALUE"""),39.16)</f>
        <v>39.16</v>
      </c>
      <c r="D3390" s="1">
        <f>IFERROR(__xludf.DUMMYFUNCTION("""COMPUTED_VALUE"""),37.84)</f>
        <v>37.84</v>
      </c>
      <c r="E3390" s="1">
        <f>IFERROR(__xludf.DUMMYFUNCTION("""COMPUTED_VALUE"""),38.38)</f>
        <v>38.38</v>
      </c>
      <c r="F3390" s="1">
        <f>IFERROR(__xludf.DUMMYFUNCTION("""COMPUTED_VALUE"""),1585295.0)</f>
        <v>1585295</v>
      </c>
    </row>
    <row r="3391">
      <c r="A3391" s="2">
        <f>IFERROR(__xludf.DUMMYFUNCTION("""COMPUTED_VALUE"""),45099.66666666667)</f>
        <v>45099.66667</v>
      </c>
      <c r="B3391" s="1">
        <f>IFERROR(__xludf.DUMMYFUNCTION("""COMPUTED_VALUE"""),37.98)</f>
        <v>37.98</v>
      </c>
      <c r="C3391" s="1">
        <f>IFERROR(__xludf.DUMMYFUNCTION("""COMPUTED_VALUE"""),38.88)</f>
        <v>38.88</v>
      </c>
      <c r="D3391" s="1">
        <f>IFERROR(__xludf.DUMMYFUNCTION("""COMPUTED_VALUE"""),37.56)</f>
        <v>37.56</v>
      </c>
      <c r="E3391" s="1">
        <f>IFERROR(__xludf.DUMMYFUNCTION("""COMPUTED_VALUE"""),37.93)</f>
        <v>37.93</v>
      </c>
      <c r="F3391" s="1">
        <f>IFERROR(__xludf.DUMMYFUNCTION("""COMPUTED_VALUE"""),564785.0)</f>
        <v>564785</v>
      </c>
    </row>
    <row r="3392">
      <c r="A3392" s="2">
        <f>IFERROR(__xludf.DUMMYFUNCTION("""COMPUTED_VALUE"""),45100.66666666667)</f>
        <v>45100.66667</v>
      </c>
      <c r="B3392" s="1">
        <f>IFERROR(__xludf.DUMMYFUNCTION("""COMPUTED_VALUE"""),37.0)</f>
        <v>37</v>
      </c>
      <c r="C3392" s="1">
        <f>IFERROR(__xludf.DUMMYFUNCTION("""COMPUTED_VALUE"""),37.03)</f>
        <v>37.03</v>
      </c>
      <c r="D3392" s="1">
        <f>IFERROR(__xludf.DUMMYFUNCTION("""COMPUTED_VALUE"""),36.22)</f>
        <v>36.22</v>
      </c>
      <c r="E3392" s="1">
        <f>IFERROR(__xludf.DUMMYFUNCTION("""COMPUTED_VALUE"""),36.6)</f>
        <v>36.6</v>
      </c>
      <c r="F3392" s="1">
        <f>IFERROR(__xludf.DUMMYFUNCTION("""COMPUTED_VALUE"""),1117459.0)</f>
        <v>1117459</v>
      </c>
    </row>
    <row r="3393">
      <c r="A3393" s="2">
        <f>IFERROR(__xludf.DUMMYFUNCTION("""COMPUTED_VALUE"""),45103.66666666667)</f>
        <v>45103.66667</v>
      </c>
      <c r="B3393" s="1">
        <f>IFERROR(__xludf.DUMMYFUNCTION("""COMPUTED_VALUE"""),37.39)</f>
        <v>37.39</v>
      </c>
      <c r="C3393" s="1">
        <f>IFERROR(__xludf.DUMMYFUNCTION("""COMPUTED_VALUE"""),38.0)</f>
        <v>38</v>
      </c>
      <c r="D3393" s="1">
        <f>IFERROR(__xludf.DUMMYFUNCTION("""COMPUTED_VALUE"""),37.15)</f>
        <v>37.15</v>
      </c>
      <c r="E3393" s="1">
        <f>IFERROR(__xludf.DUMMYFUNCTION("""COMPUTED_VALUE"""),37.3)</f>
        <v>37.3</v>
      </c>
      <c r="F3393" s="1">
        <f>IFERROR(__xludf.DUMMYFUNCTION("""COMPUTED_VALUE"""),807341.0)</f>
        <v>807341</v>
      </c>
    </row>
    <row r="3394">
      <c r="A3394" s="2">
        <f>IFERROR(__xludf.DUMMYFUNCTION("""COMPUTED_VALUE"""),45104.66666666667)</f>
        <v>45104.66667</v>
      </c>
      <c r="B3394" s="1">
        <f>IFERROR(__xludf.DUMMYFUNCTION("""COMPUTED_VALUE"""),38.33)</f>
        <v>38.33</v>
      </c>
      <c r="C3394" s="1">
        <f>IFERROR(__xludf.DUMMYFUNCTION("""COMPUTED_VALUE"""),39.92)</f>
        <v>39.92</v>
      </c>
      <c r="D3394" s="1">
        <f>IFERROR(__xludf.DUMMYFUNCTION("""COMPUTED_VALUE"""),38.2)</f>
        <v>38.2</v>
      </c>
      <c r="E3394" s="1">
        <f>IFERROR(__xludf.DUMMYFUNCTION("""COMPUTED_VALUE"""),39.75)</f>
        <v>39.75</v>
      </c>
      <c r="F3394" s="1">
        <f>IFERROR(__xludf.DUMMYFUNCTION("""COMPUTED_VALUE"""),2019989.0)</f>
        <v>2019989</v>
      </c>
    </row>
    <row r="3395">
      <c r="A3395" s="2">
        <f>IFERROR(__xludf.DUMMYFUNCTION("""COMPUTED_VALUE"""),45105.66666666667)</f>
        <v>45105.66667</v>
      </c>
      <c r="B3395" s="1">
        <f>IFERROR(__xludf.DUMMYFUNCTION("""COMPUTED_VALUE"""),40.08)</f>
        <v>40.08</v>
      </c>
      <c r="C3395" s="1">
        <f>IFERROR(__xludf.DUMMYFUNCTION("""COMPUTED_VALUE"""),40.2)</f>
        <v>40.2</v>
      </c>
      <c r="D3395" s="1">
        <f>IFERROR(__xludf.DUMMYFUNCTION("""COMPUTED_VALUE"""),39.15)</f>
        <v>39.15</v>
      </c>
      <c r="E3395" s="1">
        <f>IFERROR(__xludf.DUMMYFUNCTION("""COMPUTED_VALUE"""),39.74)</f>
        <v>39.74</v>
      </c>
      <c r="F3395" s="1">
        <f>IFERROR(__xludf.DUMMYFUNCTION("""COMPUTED_VALUE"""),1428312.0)</f>
        <v>1428312</v>
      </c>
    </row>
    <row r="3396">
      <c r="A3396" s="2">
        <f>IFERROR(__xludf.DUMMYFUNCTION("""COMPUTED_VALUE"""),45106.66666666667)</f>
        <v>45106.66667</v>
      </c>
      <c r="B3396" s="1">
        <f>IFERROR(__xludf.DUMMYFUNCTION("""COMPUTED_VALUE"""),39.23)</f>
        <v>39.23</v>
      </c>
      <c r="C3396" s="1">
        <f>IFERROR(__xludf.DUMMYFUNCTION("""COMPUTED_VALUE"""),39.71)</f>
        <v>39.71</v>
      </c>
      <c r="D3396" s="1">
        <f>IFERROR(__xludf.DUMMYFUNCTION("""COMPUTED_VALUE"""),38.89)</f>
        <v>38.89</v>
      </c>
      <c r="E3396" s="1">
        <f>IFERROR(__xludf.DUMMYFUNCTION("""COMPUTED_VALUE"""),39.05)</f>
        <v>39.05</v>
      </c>
      <c r="F3396" s="1">
        <f>IFERROR(__xludf.DUMMYFUNCTION("""COMPUTED_VALUE"""),742023.0)</f>
        <v>742023</v>
      </c>
    </row>
    <row r="3397">
      <c r="A3397" s="2">
        <f>IFERROR(__xludf.DUMMYFUNCTION("""COMPUTED_VALUE"""),45107.66666666667)</f>
        <v>45107.66667</v>
      </c>
      <c r="B3397" s="1">
        <f>IFERROR(__xludf.DUMMYFUNCTION("""COMPUTED_VALUE"""),39.72)</f>
        <v>39.72</v>
      </c>
      <c r="C3397" s="1">
        <f>IFERROR(__xludf.DUMMYFUNCTION("""COMPUTED_VALUE"""),39.92)</f>
        <v>39.92</v>
      </c>
      <c r="D3397" s="1">
        <f>IFERROR(__xludf.DUMMYFUNCTION("""COMPUTED_VALUE"""),39.15)</f>
        <v>39.15</v>
      </c>
      <c r="E3397" s="1">
        <f>IFERROR(__xludf.DUMMYFUNCTION("""COMPUTED_VALUE"""),39.49)</f>
        <v>39.49</v>
      </c>
      <c r="F3397" s="1">
        <f>IFERROR(__xludf.DUMMYFUNCTION("""COMPUTED_VALUE"""),636153.0)</f>
        <v>636153</v>
      </c>
    </row>
    <row r="3398">
      <c r="A3398" s="2">
        <f>IFERROR(__xludf.DUMMYFUNCTION("""COMPUTED_VALUE"""),45110.54166666667)</f>
        <v>45110.54167</v>
      </c>
      <c r="B3398" s="1">
        <f>IFERROR(__xludf.DUMMYFUNCTION("""COMPUTED_VALUE"""),40.05)</f>
        <v>40.05</v>
      </c>
      <c r="C3398" s="1">
        <f>IFERROR(__xludf.DUMMYFUNCTION("""COMPUTED_VALUE"""),41.25)</f>
        <v>41.25</v>
      </c>
      <c r="D3398" s="1">
        <f>IFERROR(__xludf.DUMMYFUNCTION("""COMPUTED_VALUE"""),39.56)</f>
        <v>39.56</v>
      </c>
      <c r="E3398" s="1">
        <f>IFERROR(__xludf.DUMMYFUNCTION("""COMPUTED_VALUE"""),39.86)</f>
        <v>39.86</v>
      </c>
      <c r="F3398" s="1">
        <f>IFERROR(__xludf.DUMMYFUNCTION("""COMPUTED_VALUE"""),1273107.0)</f>
        <v>1273107</v>
      </c>
    </row>
    <row r="3399">
      <c r="A3399" s="2">
        <f>IFERROR(__xludf.DUMMYFUNCTION("""COMPUTED_VALUE"""),45112.66666666667)</f>
        <v>45112.66667</v>
      </c>
      <c r="B3399" s="1">
        <f>IFERROR(__xludf.DUMMYFUNCTION("""COMPUTED_VALUE"""),39.08)</f>
        <v>39.08</v>
      </c>
      <c r="C3399" s="1">
        <f>IFERROR(__xludf.DUMMYFUNCTION("""COMPUTED_VALUE"""),40.93)</f>
        <v>40.93</v>
      </c>
      <c r="D3399" s="1">
        <f>IFERROR(__xludf.DUMMYFUNCTION("""COMPUTED_VALUE"""),39.08)</f>
        <v>39.08</v>
      </c>
      <c r="E3399" s="1">
        <f>IFERROR(__xludf.DUMMYFUNCTION("""COMPUTED_VALUE"""),40.71)</f>
        <v>40.71</v>
      </c>
      <c r="F3399" s="1">
        <f>IFERROR(__xludf.DUMMYFUNCTION("""COMPUTED_VALUE"""),1382936.0)</f>
        <v>1382936</v>
      </c>
    </row>
    <row r="3400">
      <c r="A3400" s="2">
        <f>IFERROR(__xludf.DUMMYFUNCTION("""COMPUTED_VALUE"""),45113.66666666667)</f>
        <v>45113.66667</v>
      </c>
      <c r="B3400" s="1">
        <f>IFERROR(__xludf.DUMMYFUNCTION("""COMPUTED_VALUE"""),40.05)</f>
        <v>40.05</v>
      </c>
      <c r="C3400" s="1">
        <f>IFERROR(__xludf.DUMMYFUNCTION("""COMPUTED_VALUE"""),40.13)</f>
        <v>40.13</v>
      </c>
      <c r="D3400" s="1">
        <f>IFERROR(__xludf.DUMMYFUNCTION("""COMPUTED_VALUE"""),39.19)</f>
        <v>39.19</v>
      </c>
      <c r="E3400" s="1">
        <f>IFERROR(__xludf.DUMMYFUNCTION("""COMPUTED_VALUE"""),39.89)</f>
        <v>39.89</v>
      </c>
      <c r="F3400" s="1">
        <f>IFERROR(__xludf.DUMMYFUNCTION("""COMPUTED_VALUE"""),1041309.0)</f>
        <v>1041309</v>
      </c>
    </row>
    <row r="3401">
      <c r="A3401" s="2">
        <f>IFERROR(__xludf.DUMMYFUNCTION("""COMPUTED_VALUE"""),45114.66666666667)</f>
        <v>45114.66667</v>
      </c>
      <c r="B3401" s="1">
        <f>IFERROR(__xludf.DUMMYFUNCTION("""COMPUTED_VALUE"""),39.99)</f>
        <v>39.99</v>
      </c>
      <c r="C3401" s="1">
        <f>IFERROR(__xludf.DUMMYFUNCTION("""COMPUTED_VALUE"""),42.35)</f>
        <v>42.35</v>
      </c>
      <c r="D3401" s="1">
        <f>IFERROR(__xludf.DUMMYFUNCTION("""COMPUTED_VALUE"""),39.92)</f>
        <v>39.92</v>
      </c>
      <c r="E3401" s="1">
        <f>IFERROR(__xludf.DUMMYFUNCTION("""COMPUTED_VALUE"""),42.0)</f>
        <v>42</v>
      </c>
      <c r="F3401" s="1">
        <f>IFERROR(__xludf.DUMMYFUNCTION("""COMPUTED_VALUE"""),1903908.0)</f>
        <v>1903908</v>
      </c>
    </row>
    <row r="3402">
      <c r="A3402" s="2">
        <f>IFERROR(__xludf.DUMMYFUNCTION("""COMPUTED_VALUE"""),45117.66666666667)</f>
        <v>45117.66667</v>
      </c>
      <c r="B3402" s="1">
        <f>IFERROR(__xludf.DUMMYFUNCTION("""COMPUTED_VALUE"""),42.52)</f>
        <v>42.52</v>
      </c>
      <c r="C3402" s="1">
        <f>IFERROR(__xludf.DUMMYFUNCTION("""COMPUTED_VALUE"""),44.44)</f>
        <v>44.44</v>
      </c>
      <c r="D3402" s="1">
        <f>IFERROR(__xludf.DUMMYFUNCTION("""COMPUTED_VALUE"""),42.38)</f>
        <v>42.38</v>
      </c>
      <c r="E3402" s="1">
        <f>IFERROR(__xludf.DUMMYFUNCTION("""COMPUTED_VALUE"""),44.3)</f>
        <v>44.3</v>
      </c>
      <c r="F3402" s="1">
        <f>IFERROR(__xludf.DUMMYFUNCTION("""COMPUTED_VALUE"""),2523331.0)</f>
        <v>2523331</v>
      </c>
    </row>
    <row r="3403">
      <c r="A3403" s="2">
        <f>IFERROR(__xludf.DUMMYFUNCTION("""COMPUTED_VALUE"""),45118.66666666667)</f>
        <v>45118.66667</v>
      </c>
      <c r="B3403" s="1">
        <f>IFERROR(__xludf.DUMMYFUNCTION("""COMPUTED_VALUE"""),44.12)</f>
        <v>44.12</v>
      </c>
      <c r="C3403" s="1">
        <f>IFERROR(__xludf.DUMMYFUNCTION("""COMPUTED_VALUE"""),45.33)</f>
        <v>45.33</v>
      </c>
      <c r="D3403" s="1">
        <f>IFERROR(__xludf.DUMMYFUNCTION("""COMPUTED_VALUE"""),44.0)</f>
        <v>44</v>
      </c>
      <c r="E3403" s="1">
        <f>IFERROR(__xludf.DUMMYFUNCTION("""COMPUTED_VALUE"""),45.07)</f>
        <v>45.07</v>
      </c>
      <c r="F3403" s="1">
        <f>IFERROR(__xludf.DUMMYFUNCTION("""COMPUTED_VALUE"""),1092667.0)</f>
        <v>1092667</v>
      </c>
    </row>
    <row r="3404">
      <c r="A3404" s="2">
        <f>IFERROR(__xludf.DUMMYFUNCTION("""COMPUTED_VALUE"""),45119.66666666667)</f>
        <v>45119.66667</v>
      </c>
      <c r="B3404" s="1">
        <f>IFERROR(__xludf.DUMMYFUNCTION("""COMPUTED_VALUE"""),46.0)</f>
        <v>46</v>
      </c>
      <c r="C3404" s="1">
        <f>IFERROR(__xludf.DUMMYFUNCTION("""COMPUTED_VALUE"""),46.5)</f>
        <v>46.5</v>
      </c>
      <c r="D3404" s="1">
        <f>IFERROR(__xludf.DUMMYFUNCTION("""COMPUTED_VALUE"""),45.65)</f>
        <v>45.65</v>
      </c>
      <c r="E3404" s="1">
        <f>IFERROR(__xludf.DUMMYFUNCTION("""COMPUTED_VALUE"""),46.14)</f>
        <v>46.14</v>
      </c>
      <c r="F3404" s="1">
        <f>IFERROR(__xludf.DUMMYFUNCTION("""COMPUTED_VALUE"""),1797493.0)</f>
        <v>1797493</v>
      </c>
    </row>
    <row r="3405">
      <c r="A3405" s="2">
        <f>IFERROR(__xludf.DUMMYFUNCTION("""COMPUTED_VALUE"""),45120.66666666667)</f>
        <v>45120.66667</v>
      </c>
      <c r="B3405" s="1">
        <f>IFERROR(__xludf.DUMMYFUNCTION("""COMPUTED_VALUE"""),46.5)</f>
        <v>46.5</v>
      </c>
      <c r="C3405" s="1">
        <f>IFERROR(__xludf.DUMMYFUNCTION("""COMPUTED_VALUE"""),47.1)</f>
        <v>47.1</v>
      </c>
      <c r="D3405" s="1">
        <f>IFERROR(__xludf.DUMMYFUNCTION("""COMPUTED_VALUE"""),45.64)</f>
        <v>45.64</v>
      </c>
      <c r="E3405" s="1">
        <f>IFERROR(__xludf.DUMMYFUNCTION("""COMPUTED_VALUE"""),46.32)</f>
        <v>46.32</v>
      </c>
      <c r="F3405" s="1">
        <f>IFERROR(__xludf.DUMMYFUNCTION("""COMPUTED_VALUE"""),978824.0)</f>
        <v>978824</v>
      </c>
    </row>
    <row r="3406">
      <c r="A3406" s="2">
        <f>IFERROR(__xludf.DUMMYFUNCTION("""COMPUTED_VALUE"""),45121.66666666667)</f>
        <v>45121.66667</v>
      </c>
      <c r="B3406" s="1">
        <f>IFERROR(__xludf.DUMMYFUNCTION("""COMPUTED_VALUE"""),45.73)</f>
        <v>45.73</v>
      </c>
      <c r="C3406" s="1">
        <f>IFERROR(__xludf.DUMMYFUNCTION("""COMPUTED_VALUE"""),46.37)</f>
        <v>46.37</v>
      </c>
      <c r="D3406" s="1">
        <f>IFERROR(__xludf.DUMMYFUNCTION("""COMPUTED_VALUE"""),45.25)</f>
        <v>45.25</v>
      </c>
      <c r="E3406" s="1">
        <f>IFERROR(__xludf.DUMMYFUNCTION("""COMPUTED_VALUE"""),45.65)</f>
        <v>45.65</v>
      </c>
      <c r="F3406" s="1">
        <f>IFERROR(__xludf.DUMMYFUNCTION("""COMPUTED_VALUE"""),1740610.0)</f>
        <v>1740610</v>
      </c>
    </row>
    <row r="3407">
      <c r="A3407" s="2">
        <f>IFERROR(__xludf.DUMMYFUNCTION("""COMPUTED_VALUE"""),45124.66666666667)</f>
        <v>45124.66667</v>
      </c>
      <c r="B3407" s="1">
        <f>IFERROR(__xludf.DUMMYFUNCTION("""COMPUTED_VALUE"""),44.76)</f>
        <v>44.76</v>
      </c>
      <c r="C3407" s="1">
        <f>IFERROR(__xludf.DUMMYFUNCTION("""COMPUTED_VALUE"""),45.9)</f>
        <v>45.9</v>
      </c>
      <c r="D3407" s="1">
        <f>IFERROR(__xludf.DUMMYFUNCTION("""COMPUTED_VALUE"""),44.0)</f>
        <v>44</v>
      </c>
      <c r="E3407" s="1">
        <f>IFERROR(__xludf.DUMMYFUNCTION("""COMPUTED_VALUE"""),45.36)</f>
        <v>45.36</v>
      </c>
      <c r="F3407" s="1">
        <f>IFERROR(__xludf.DUMMYFUNCTION("""COMPUTED_VALUE"""),745187.0)</f>
        <v>745187</v>
      </c>
    </row>
    <row r="3408">
      <c r="A3408" s="2">
        <f>IFERROR(__xludf.DUMMYFUNCTION("""COMPUTED_VALUE"""),45125.66666666667)</f>
        <v>45125.66667</v>
      </c>
      <c r="B3408" s="1">
        <f>IFERROR(__xludf.DUMMYFUNCTION("""COMPUTED_VALUE"""),44.93)</f>
        <v>44.93</v>
      </c>
      <c r="C3408" s="1">
        <f>IFERROR(__xludf.DUMMYFUNCTION("""COMPUTED_VALUE"""),45.36)</f>
        <v>45.36</v>
      </c>
      <c r="D3408" s="1">
        <f>IFERROR(__xludf.DUMMYFUNCTION("""COMPUTED_VALUE"""),43.65)</f>
        <v>43.65</v>
      </c>
      <c r="E3408" s="1">
        <f>IFERROR(__xludf.DUMMYFUNCTION("""COMPUTED_VALUE"""),43.96)</f>
        <v>43.96</v>
      </c>
      <c r="F3408" s="1">
        <f>IFERROR(__xludf.DUMMYFUNCTION("""COMPUTED_VALUE"""),1110467.0)</f>
        <v>1110467</v>
      </c>
    </row>
    <row r="3409">
      <c r="A3409" s="2">
        <f>IFERROR(__xludf.DUMMYFUNCTION("""COMPUTED_VALUE"""),45126.66666666667)</f>
        <v>45126.66667</v>
      </c>
      <c r="B3409" s="1">
        <f>IFERROR(__xludf.DUMMYFUNCTION("""COMPUTED_VALUE"""),45.0)</f>
        <v>45</v>
      </c>
      <c r="C3409" s="1">
        <f>IFERROR(__xludf.DUMMYFUNCTION("""COMPUTED_VALUE"""),45.46)</f>
        <v>45.46</v>
      </c>
      <c r="D3409" s="1">
        <f>IFERROR(__xludf.DUMMYFUNCTION("""COMPUTED_VALUE"""),44.93)</f>
        <v>44.93</v>
      </c>
      <c r="E3409" s="1">
        <f>IFERROR(__xludf.DUMMYFUNCTION("""COMPUTED_VALUE"""),45.25)</f>
        <v>45.25</v>
      </c>
      <c r="F3409" s="1">
        <f>IFERROR(__xludf.DUMMYFUNCTION("""COMPUTED_VALUE"""),1052201.0)</f>
        <v>1052201</v>
      </c>
    </row>
    <row r="3410">
      <c r="A3410" s="2">
        <f>IFERROR(__xludf.DUMMYFUNCTION("""COMPUTED_VALUE"""),45127.66666666667)</f>
        <v>45127.66667</v>
      </c>
      <c r="B3410" s="1">
        <f>IFERROR(__xludf.DUMMYFUNCTION("""COMPUTED_VALUE"""),45.4)</f>
        <v>45.4</v>
      </c>
      <c r="C3410" s="1">
        <f>IFERROR(__xludf.DUMMYFUNCTION("""COMPUTED_VALUE"""),45.9)</f>
        <v>45.9</v>
      </c>
      <c r="D3410" s="1">
        <f>IFERROR(__xludf.DUMMYFUNCTION("""COMPUTED_VALUE"""),45.27)</f>
        <v>45.27</v>
      </c>
      <c r="E3410" s="1">
        <f>IFERROR(__xludf.DUMMYFUNCTION("""COMPUTED_VALUE"""),45.6)</f>
        <v>45.6</v>
      </c>
      <c r="F3410" s="1">
        <f>IFERROR(__xludf.DUMMYFUNCTION("""COMPUTED_VALUE"""),873253.0)</f>
        <v>873253</v>
      </c>
    </row>
    <row r="3411">
      <c r="A3411" s="2">
        <f>IFERROR(__xludf.DUMMYFUNCTION("""COMPUTED_VALUE"""),45128.66666666667)</f>
        <v>45128.66667</v>
      </c>
      <c r="B3411" s="1">
        <f>IFERROR(__xludf.DUMMYFUNCTION("""COMPUTED_VALUE"""),47.0)</f>
        <v>47</v>
      </c>
      <c r="C3411" s="1">
        <f>IFERROR(__xludf.DUMMYFUNCTION("""COMPUTED_VALUE"""),48.43)</f>
        <v>48.43</v>
      </c>
      <c r="D3411" s="1">
        <f>IFERROR(__xludf.DUMMYFUNCTION("""COMPUTED_VALUE"""),46.71)</f>
        <v>46.71</v>
      </c>
      <c r="E3411" s="1">
        <f>IFERROR(__xludf.DUMMYFUNCTION("""COMPUTED_VALUE"""),46.97)</f>
        <v>46.97</v>
      </c>
      <c r="F3411" s="1">
        <f>IFERROR(__xludf.DUMMYFUNCTION("""COMPUTED_VALUE"""),1852958.0)</f>
        <v>1852958</v>
      </c>
    </row>
    <row r="3412">
      <c r="A3412" s="2">
        <f>IFERROR(__xludf.DUMMYFUNCTION("""COMPUTED_VALUE"""),45131.66666666667)</f>
        <v>45131.66667</v>
      </c>
      <c r="B3412" s="1">
        <f>IFERROR(__xludf.DUMMYFUNCTION("""COMPUTED_VALUE"""),48.59)</f>
        <v>48.59</v>
      </c>
      <c r="C3412" s="1">
        <f>IFERROR(__xludf.DUMMYFUNCTION("""COMPUTED_VALUE"""),49.24)</f>
        <v>49.24</v>
      </c>
      <c r="D3412" s="1">
        <f>IFERROR(__xludf.DUMMYFUNCTION("""COMPUTED_VALUE"""),47.54)</f>
        <v>47.54</v>
      </c>
      <c r="E3412" s="1">
        <f>IFERROR(__xludf.DUMMYFUNCTION("""COMPUTED_VALUE"""),48.99)</f>
        <v>48.99</v>
      </c>
      <c r="F3412" s="1">
        <f>IFERROR(__xludf.DUMMYFUNCTION("""COMPUTED_VALUE"""),2680834.0)</f>
        <v>2680834</v>
      </c>
    </row>
    <row r="3413">
      <c r="A3413" s="2">
        <f>IFERROR(__xludf.DUMMYFUNCTION("""COMPUTED_VALUE"""),45132.66666666667)</f>
        <v>45132.66667</v>
      </c>
      <c r="B3413" s="1">
        <f>IFERROR(__xludf.DUMMYFUNCTION("""COMPUTED_VALUE"""),50.03)</f>
        <v>50.03</v>
      </c>
      <c r="C3413" s="1">
        <f>IFERROR(__xludf.DUMMYFUNCTION("""COMPUTED_VALUE"""),51.95)</f>
        <v>51.95</v>
      </c>
      <c r="D3413" s="1">
        <f>IFERROR(__xludf.DUMMYFUNCTION("""COMPUTED_VALUE"""),49.55)</f>
        <v>49.55</v>
      </c>
      <c r="E3413" s="1">
        <f>IFERROR(__xludf.DUMMYFUNCTION("""COMPUTED_VALUE"""),49.87)</f>
        <v>49.87</v>
      </c>
      <c r="F3413" s="1">
        <f>IFERROR(__xludf.DUMMYFUNCTION("""COMPUTED_VALUE"""),2905393.0)</f>
        <v>2905393</v>
      </c>
    </row>
    <row r="3414">
      <c r="A3414" s="2">
        <f>IFERROR(__xludf.DUMMYFUNCTION("""COMPUTED_VALUE"""),45133.66666666667)</f>
        <v>45133.66667</v>
      </c>
      <c r="B3414" s="1">
        <f>IFERROR(__xludf.DUMMYFUNCTION("""COMPUTED_VALUE"""),48.1)</f>
        <v>48.1</v>
      </c>
      <c r="C3414" s="1">
        <f>IFERROR(__xludf.DUMMYFUNCTION("""COMPUTED_VALUE"""),51.8)</f>
        <v>51.8</v>
      </c>
      <c r="D3414" s="1">
        <f>IFERROR(__xludf.DUMMYFUNCTION("""COMPUTED_VALUE"""),48.02)</f>
        <v>48.02</v>
      </c>
      <c r="E3414" s="1">
        <f>IFERROR(__xludf.DUMMYFUNCTION("""COMPUTED_VALUE"""),51.51)</f>
        <v>51.51</v>
      </c>
      <c r="F3414" s="1">
        <f>IFERROR(__xludf.DUMMYFUNCTION("""COMPUTED_VALUE"""),3641240.0)</f>
        <v>3641240</v>
      </c>
    </row>
    <row r="3415">
      <c r="A3415" s="2">
        <f>IFERROR(__xludf.DUMMYFUNCTION("""COMPUTED_VALUE"""),45134.66666666667)</f>
        <v>45134.66667</v>
      </c>
      <c r="B3415" s="1">
        <f>IFERROR(__xludf.DUMMYFUNCTION("""COMPUTED_VALUE"""),52.8)</f>
        <v>52.8</v>
      </c>
      <c r="C3415" s="1">
        <f>IFERROR(__xludf.DUMMYFUNCTION("""COMPUTED_VALUE"""),53.35)</f>
        <v>53.35</v>
      </c>
      <c r="D3415" s="1">
        <f>IFERROR(__xludf.DUMMYFUNCTION("""COMPUTED_VALUE"""),52.02)</f>
        <v>52.02</v>
      </c>
      <c r="E3415" s="1">
        <f>IFERROR(__xludf.DUMMYFUNCTION("""COMPUTED_VALUE"""),52.65)</f>
        <v>52.65</v>
      </c>
      <c r="F3415" s="1">
        <f>IFERROR(__xludf.DUMMYFUNCTION("""COMPUTED_VALUE"""),2496054.0)</f>
        <v>2496054</v>
      </c>
    </row>
    <row r="3416">
      <c r="A3416" s="2">
        <f>IFERROR(__xludf.DUMMYFUNCTION("""COMPUTED_VALUE"""),45135.66666666667)</f>
        <v>45135.66667</v>
      </c>
      <c r="B3416" s="1">
        <f>IFERROR(__xludf.DUMMYFUNCTION("""COMPUTED_VALUE"""),55.0)</f>
        <v>55</v>
      </c>
      <c r="C3416" s="1">
        <f>IFERROR(__xludf.DUMMYFUNCTION("""COMPUTED_VALUE"""),56.19)</f>
        <v>56.19</v>
      </c>
      <c r="D3416" s="1">
        <f>IFERROR(__xludf.DUMMYFUNCTION("""COMPUTED_VALUE"""),54.33)</f>
        <v>54.33</v>
      </c>
      <c r="E3416" s="1">
        <f>IFERROR(__xludf.DUMMYFUNCTION("""COMPUTED_VALUE"""),56.11)</f>
        <v>56.11</v>
      </c>
      <c r="F3416" s="1">
        <f>IFERROR(__xludf.DUMMYFUNCTION("""COMPUTED_VALUE"""),4686134.0)</f>
        <v>4686134</v>
      </c>
    </row>
    <row r="3417">
      <c r="A3417" s="2">
        <f>IFERROR(__xludf.DUMMYFUNCTION("""COMPUTED_VALUE"""),45138.66666666667)</f>
        <v>45138.66667</v>
      </c>
      <c r="B3417" s="1">
        <f>IFERROR(__xludf.DUMMYFUNCTION("""COMPUTED_VALUE"""),57.0)</f>
        <v>57</v>
      </c>
      <c r="C3417" s="1">
        <f>IFERROR(__xludf.DUMMYFUNCTION("""COMPUTED_VALUE"""),57.73)</f>
        <v>57.73</v>
      </c>
      <c r="D3417" s="1">
        <f>IFERROR(__xludf.DUMMYFUNCTION("""COMPUTED_VALUE"""),54.9)</f>
        <v>54.9</v>
      </c>
      <c r="E3417" s="1">
        <f>IFERROR(__xludf.DUMMYFUNCTION("""COMPUTED_VALUE"""),56.13)</f>
        <v>56.13</v>
      </c>
      <c r="F3417" s="1">
        <f>IFERROR(__xludf.DUMMYFUNCTION("""COMPUTED_VALUE"""),3259137.0)</f>
        <v>3259137</v>
      </c>
    </row>
    <row r="3418">
      <c r="A3418" s="2">
        <f>IFERROR(__xludf.DUMMYFUNCTION("""COMPUTED_VALUE"""),45139.66666666667)</f>
        <v>45139.66667</v>
      </c>
      <c r="B3418" s="1">
        <f>IFERROR(__xludf.DUMMYFUNCTION("""COMPUTED_VALUE"""),55.21)</f>
        <v>55.21</v>
      </c>
      <c r="C3418" s="1">
        <f>IFERROR(__xludf.DUMMYFUNCTION("""COMPUTED_VALUE"""),56.77)</f>
        <v>56.77</v>
      </c>
      <c r="D3418" s="1">
        <f>IFERROR(__xludf.DUMMYFUNCTION("""COMPUTED_VALUE"""),55.01)</f>
        <v>55.01</v>
      </c>
      <c r="E3418" s="1">
        <f>IFERROR(__xludf.DUMMYFUNCTION("""COMPUTED_VALUE"""),56.05)</f>
        <v>56.05</v>
      </c>
      <c r="F3418" s="1">
        <f>IFERROR(__xludf.DUMMYFUNCTION("""COMPUTED_VALUE"""),1753523.0)</f>
        <v>1753523</v>
      </c>
    </row>
    <row r="3419">
      <c r="A3419" s="2">
        <f>IFERROR(__xludf.DUMMYFUNCTION("""COMPUTED_VALUE"""),45140.66666666667)</f>
        <v>45140.66667</v>
      </c>
      <c r="B3419" s="1">
        <f>IFERROR(__xludf.DUMMYFUNCTION("""COMPUTED_VALUE"""),54.76)</f>
        <v>54.76</v>
      </c>
      <c r="C3419" s="1">
        <f>IFERROR(__xludf.DUMMYFUNCTION("""COMPUTED_VALUE"""),55.13)</f>
        <v>55.13</v>
      </c>
      <c r="D3419" s="1">
        <f>IFERROR(__xludf.DUMMYFUNCTION("""COMPUTED_VALUE"""),53.3)</f>
        <v>53.3</v>
      </c>
      <c r="E3419" s="1">
        <f>IFERROR(__xludf.DUMMYFUNCTION("""COMPUTED_VALUE"""),54.15)</f>
        <v>54.15</v>
      </c>
      <c r="F3419" s="1">
        <f>IFERROR(__xludf.DUMMYFUNCTION("""COMPUTED_VALUE"""),1496614.0)</f>
        <v>1496614</v>
      </c>
    </row>
    <row r="3420">
      <c r="A3420" s="2">
        <f>IFERROR(__xludf.DUMMYFUNCTION("""COMPUTED_VALUE"""),45141.66666666667)</f>
        <v>45141.66667</v>
      </c>
      <c r="B3420" s="1">
        <f>IFERROR(__xludf.DUMMYFUNCTION("""COMPUTED_VALUE"""),55.7)</f>
        <v>55.7</v>
      </c>
      <c r="C3420" s="1">
        <f>IFERROR(__xludf.DUMMYFUNCTION("""COMPUTED_VALUE"""),57.32)</f>
        <v>57.32</v>
      </c>
      <c r="D3420" s="1">
        <f>IFERROR(__xludf.DUMMYFUNCTION("""COMPUTED_VALUE"""),55.62)</f>
        <v>55.62</v>
      </c>
      <c r="E3420" s="1">
        <f>IFERROR(__xludf.DUMMYFUNCTION("""COMPUTED_VALUE"""),56.53)</f>
        <v>56.53</v>
      </c>
      <c r="F3420" s="1">
        <f>IFERROR(__xludf.DUMMYFUNCTION("""COMPUTED_VALUE"""),1371754.0)</f>
        <v>1371754</v>
      </c>
    </row>
    <row r="3421">
      <c r="A3421" s="2">
        <f>IFERROR(__xludf.DUMMYFUNCTION("""COMPUTED_VALUE"""),45142.66666666667)</f>
        <v>45142.66667</v>
      </c>
      <c r="B3421" s="1">
        <f>IFERROR(__xludf.DUMMYFUNCTION("""COMPUTED_VALUE"""),56.55)</f>
        <v>56.55</v>
      </c>
      <c r="C3421" s="1">
        <f>IFERROR(__xludf.DUMMYFUNCTION("""COMPUTED_VALUE"""),57.94)</f>
        <v>57.94</v>
      </c>
      <c r="D3421" s="1">
        <f>IFERROR(__xludf.DUMMYFUNCTION("""COMPUTED_VALUE"""),56.38)</f>
        <v>56.38</v>
      </c>
      <c r="E3421" s="1">
        <f>IFERROR(__xludf.DUMMYFUNCTION("""COMPUTED_VALUE"""),57.44)</f>
        <v>57.44</v>
      </c>
      <c r="F3421" s="1">
        <f>IFERROR(__xludf.DUMMYFUNCTION("""COMPUTED_VALUE"""),1202201.0)</f>
        <v>1202201</v>
      </c>
    </row>
    <row r="3422">
      <c r="A3422" s="2">
        <f>IFERROR(__xludf.DUMMYFUNCTION("""COMPUTED_VALUE"""),45145.66666666667)</f>
        <v>45145.66667</v>
      </c>
      <c r="B3422" s="1">
        <f>IFERROR(__xludf.DUMMYFUNCTION("""COMPUTED_VALUE"""),57.5)</f>
        <v>57.5</v>
      </c>
      <c r="C3422" s="1">
        <f>IFERROR(__xludf.DUMMYFUNCTION("""COMPUTED_VALUE"""),57.8)</f>
        <v>57.8</v>
      </c>
      <c r="D3422" s="1">
        <f>IFERROR(__xludf.DUMMYFUNCTION("""COMPUTED_VALUE"""),54.9)</f>
        <v>54.9</v>
      </c>
      <c r="E3422" s="1">
        <f>IFERROR(__xludf.DUMMYFUNCTION("""COMPUTED_VALUE"""),55.8)</f>
        <v>55.8</v>
      </c>
      <c r="F3422" s="1">
        <f>IFERROR(__xludf.DUMMYFUNCTION("""COMPUTED_VALUE"""),1438273.0)</f>
        <v>1438273</v>
      </c>
    </row>
    <row r="3423">
      <c r="A3423" s="2">
        <f>IFERROR(__xludf.DUMMYFUNCTION("""COMPUTED_VALUE"""),45146.66666666667)</f>
        <v>45146.66667</v>
      </c>
      <c r="B3423" s="1">
        <f>IFERROR(__xludf.DUMMYFUNCTION("""COMPUTED_VALUE"""),53.65)</f>
        <v>53.65</v>
      </c>
      <c r="C3423" s="1">
        <f>IFERROR(__xludf.DUMMYFUNCTION("""COMPUTED_VALUE"""),54.23)</f>
        <v>54.23</v>
      </c>
      <c r="D3423" s="1">
        <f>IFERROR(__xludf.DUMMYFUNCTION("""COMPUTED_VALUE"""),52.1)</f>
        <v>52.1</v>
      </c>
      <c r="E3423" s="1">
        <f>IFERROR(__xludf.DUMMYFUNCTION("""COMPUTED_VALUE"""),52.55)</f>
        <v>52.55</v>
      </c>
      <c r="F3423" s="1">
        <f>IFERROR(__xludf.DUMMYFUNCTION("""COMPUTED_VALUE"""),2092608.0)</f>
        <v>2092608</v>
      </c>
    </row>
    <row r="3424">
      <c r="A3424" s="2">
        <f>IFERROR(__xludf.DUMMYFUNCTION("""COMPUTED_VALUE"""),45147.66666666667)</f>
        <v>45147.66667</v>
      </c>
      <c r="B3424" s="1">
        <f>IFERROR(__xludf.DUMMYFUNCTION("""COMPUTED_VALUE"""),53.95)</f>
        <v>53.95</v>
      </c>
      <c r="C3424" s="1">
        <f>IFERROR(__xludf.DUMMYFUNCTION("""COMPUTED_VALUE"""),55.01)</f>
        <v>55.01</v>
      </c>
      <c r="D3424" s="1">
        <f>IFERROR(__xludf.DUMMYFUNCTION("""COMPUTED_VALUE"""),53.02)</f>
        <v>53.02</v>
      </c>
      <c r="E3424" s="1">
        <f>IFERROR(__xludf.DUMMYFUNCTION("""COMPUTED_VALUE"""),53.55)</f>
        <v>53.55</v>
      </c>
      <c r="F3424" s="1">
        <f>IFERROR(__xludf.DUMMYFUNCTION("""COMPUTED_VALUE"""),2058060.0)</f>
        <v>2058060</v>
      </c>
    </row>
    <row r="3425">
      <c r="A3425" s="2">
        <f>IFERROR(__xludf.DUMMYFUNCTION("""COMPUTED_VALUE"""),45148.66666666667)</f>
        <v>45148.66667</v>
      </c>
      <c r="B3425" s="1">
        <f>IFERROR(__xludf.DUMMYFUNCTION("""COMPUTED_VALUE"""),54.54)</f>
        <v>54.54</v>
      </c>
      <c r="C3425" s="1">
        <f>IFERROR(__xludf.DUMMYFUNCTION("""COMPUTED_VALUE"""),55.32)</f>
        <v>55.32</v>
      </c>
      <c r="D3425" s="1">
        <f>IFERROR(__xludf.DUMMYFUNCTION("""COMPUTED_VALUE"""),53.12)</f>
        <v>53.12</v>
      </c>
      <c r="E3425" s="1">
        <f>IFERROR(__xludf.DUMMYFUNCTION("""COMPUTED_VALUE"""),54.32)</f>
        <v>54.32</v>
      </c>
      <c r="F3425" s="1">
        <f>IFERROR(__xludf.DUMMYFUNCTION("""COMPUTED_VALUE"""),2543644.0)</f>
        <v>2543644</v>
      </c>
    </row>
    <row r="3426">
      <c r="A3426" s="2">
        <f>IFERROR(__xludf.DUMMYFUNCTION("""COMPUTED_VALUE"""),45149.66666666667)</f>
        <v>45149.66667</v>
      </c>
      <c r="B3426" s="1">
        <f>IFERROR(__xludf.DUMMYFUNCTION("""COMPUTED_VALUE"""),53.0)</f>
        <v>53</v>
      </c>
      <c r="C3426" s="1">
        <f>IFERROR(__xludf.DUMMYFUNCTION("""COMPUTED_VALUE"""),53.17)</f>
        <v>53.17</v>
      </c>
      <c r="D3426" s="1">
        <f>IFERROR(__xludf.DUMMYFUNCTION("""COMPUTED_VALUE"""),51.87)</f>
        <v>51.87</v>
      </c>
      <c r="E3426" s="1">
        <f>IFERROR(__xludf.DUMMYFUNCTION("""COMPUTED_VALUE"""),52.8)</f>
        <v>52.8</v>
      </c>
      <c r="F3426" s="1">
        <f>IFERROR(__xludf.DUMMYFUNCTION("""COMPUTED_VALUE"""),1337880.0)</f>
        <v>1337880</v>
      </c>
    </row>
    <row r="3427">
      <c r="A3427" s="2">
        <f>IFERROR(__xludf.DUMMYFUNCTION("""COMPUTED_VALUE"""),45152.66666666667)</f>
        <v>45152.66667</v>
      </c>
      <c r="B3427" s="1">
        <f>IFERROR(__xludf.DUMMYFUNCTION("""COMPUTED_VALUE"""),52.0)</f>
        <v>52</v>
      </c>
      <c r="C3427" s="1">
        <f>IFERROR(__xludf.DUMMYFUNCTION("""COMPUTED_VALUE"""),53.01)</f>
        <v>53.01</v>
      </c>
      <c r="D3427" s="1">
        <f>IFERROR(__xludf.DUMMYFUNCTION("""COMPUTED_VALUE"""),51.91)</f>
        <v>51.91</v>
      </c>
      <c r="E3427" s="1">
        <f>IFERROR(__xludf.DUMMYFUNCTION("""COMPUTED_VALUE"""),52.9)</f>
        <v>52.9</v>
      </c>
      <c r="F3427" s="1">
        <f>IFERROR(__xludf.DUMMYFUNCTION("""COMPUTED_VALUE"""),1056003.0)</f>
        <v>1056003</v>
      </c>
    </row>
    <row r="3428">
      <c r="A3428" s="2">
        <f>IFERROR(__xludf.DUMMYFUNCTION("""COMPUTED_VALUE"""),45153.66666666667)</f>
        <v>45153.66667</v>
      </c>
      <c r="B3428" s="1">
        <f>IFERROR(__xludf.DUMMYFUNCTION("""COMPUTED_VALUE"""),52.62)</f>
        <v>52.62</v>
      </c>
      <c r="C3428" s="1">
        <f>IFERROR(__xludf.DUMMYFUNCTION("""COMPUTED_VALUE"""),52.62)</f>
        <v>52.62</v>
      </c>
      <c r="D3428" s="1">
        <f>IFERROR(__xludf.DUMMYFUNCTION("""COMPUTED_VALUE"""),50.86)</f>
        <v>50.86</v>
      </c>
      <c r="E3428" s="1">
        <f>IFERROR(__xludf.DUMMYFUNCTION("""COMPUTED_VALUE"""),50.95)</f>
        <v>50.95</v>
      </c>
      <c r="F3428" s="1">
        <f>IFERROR(__xludf.DUMMYFUNCTION("""COMPUTED_VALUE"""),989814.0)</f>
        <v>989814</v>
      </c>
    </row>
    <row r="3429">
      <c r="A3429" s="2">
        <f>IFERROR(__xludf.DUMMYFUNCTION("""COMPUTED_VALUE"""),45154.66666666667)</f>
        <v>45154.66667</v>
      </c>
      <c r="B3429" s="1">
        <f>IFERROR(__xludf.DUMMYFUNCTION("""COMPUTED_VALUE"""),50.0)</f>
        <v>50</v>
      </c>
      <c r="C3429" s="1">
        <f>IFERROR(__xludf.DUMMYFUNCTION("""COMPUTED_VALUE"""),51.46)</f>
        <v>51.46</v>
      </c>
      <c r="D3429" s="1">
        <f>IFERROR(__xludf.DUMMYFUNCTION("""COMPUTED_VALUE"""),50.0)</f>
        <v>50</v>
      </c>
      <c r="E3429" s="1">
        <f>IFERROR(__xludf.DUMMYFUNCTION("""COMPUTED_VALUE"""),50.87)</f>
        <v>50.87</v>
      </c>
      <c r="F3429" s="1">
        <f>IFERROR(__xludf.DUMMYFUNCTION("""COMPUTED_VALUE"""),863312.0)</f>
        <v>863312</v>
      </c>
    </row>
    <row r="3430">
      <c r="A3430" s="2">
        <f>IFERROR(__xludf.DUMMYFUNCTION("""COMPUTED_VALUE"""),45155.66666666667)</f>
        <v>45155.66667</v>
      </c>
      <c r="B3430" s="1">
        <f>IFERROR(__xludf.DUMMYFUNCTION("""COMPUTED_VALUE"""),52.5)</f>
        <v>52.5</v>
      </c>
      <c r="C3430" s="1">
        <f>IFERROR(__xludf.DUMMYFUNCTION("""COMPUTED_VALUE"""),52.82)</f>
        <v>52.82</v>
      </c>
      <c r="D3430" s="1">
        <f>IFERROR(__xludf.DUMMYFUNCTION("""COMPUTED_VALUE"""),51.83)</f>
        <v>51.83</v>
      </c>
      <c r="E3430" s="1">
        <f>IFERROR(__xludf.DUMMYFUNCTION("""COMPUTED_VALUE"""),51.88)</f>
        <v>51.88</v>
      </c>
      <c r="F3430" s="1">
        <f>IFERROR(__xludf.DUMMYFUNCTION("""COMPUTED_VALUE"""),1455928.0)</f>
        <v>1455928</v>
      </c>
    </row>
    <row r="3431">
      <c r="A3431" s="2">
        <f>IFERROR(__xludf.DUMMYFUNCTION("""COMPUTED_VALUE"""),45156.66666666667)</f>
        <v>45156.66667</v>
      </c>
      <c r="B3431" s="1">
        <f>IFERROR(__xludf.DUMMYFUNCTION("""COMPUTED_VALUE"""),50.13)</f>
        <v>50.13</v>
      </c>
      <c r="C3431" s="1">
        <f>IFERROR(__xludf.DUMMYFUNCTION("""COMPUTED_VALUE"""),51.0)</f>
        <v>51</v>
      </c>
      <c r="D3431" s="1">
        <f>IFERROR(__xludf.DUMMYFUNCTION("""COMPUTED_VALUE"""),49.94)</f>
        <v>49.94</v>
      </c>
      <c r="E3431" s="1">
        <f>IFERROR(__xludf.DUMMYFUNCTION("""COMPUTED_VALUE"""),50.6)</f>
        <v>50.6</v>
      </c>
      <c r="F3431" s="1">
        <f>IFERROR(__xludf.DUMMYFUNCTION("""COMPUTED_VALUE"""),1202537.0)</f>
        <v>1202537</v>
      </c>
    </row>
    <row r="3432">
      <c r="A3432" s="2">
        <f>IFERROR(__xludf.DUMMYFUNCTION("""COMPUTED_VALUE"""),45159.66666666667)</f>
        <v>45159.66667</v>
      </c>
      <c r="B3432" s="1">
        <f>IFERROR(__xludf.DUMMYFUNCTION("""COMPUTED_VALUE"""),50.6)</f>
        <v>50.6</v>
      </c>
      <c r="C3432" s="1">
        <f>IFERROR(__xludf.DUMMYFUNCTION("""COMPUTED_VALUE"""),52.98)</f>
        <v>52.98</v>
      </c>
      <c r="D3432" s="1">
        <f>IFERROR(__xludf.DUMMYFUNCTION("""COMPUTED_VALUE"""),50.6)</f>
        <v>50.6</v>
      </c>
      <c r="E3432" s="1">
        <f>IFERROR(__xludf.DUMMYFUNCTION("""COMPUTED_VALUE"""),52.73)</f>
        <v>52.73</v>
      </c>
      <c r="F3432" s="1">
        <f>IFERROR(__xludf.DUMMYFUNCTION("""COMPUTED_VALUE"""),2032521.0)</f>
        <v>2032521</v>
      </c>
    </row>
    <row r="3433">
      <c r="A3433" s="2">
        <f>IFERROR(__xludf.DUMMYFUNCTION("""COMPUTED_VALUE"""),45160.66666666667)</f>
        <v>45160.66667</v>
      </c>
      <c r="B3433" s="1">
        <f>IFERROR(__xludf.DUMMYFUNCTION("""COMPUTED_VALUE"""),53.0)</f>
        <v>53</v>
      </c>
      <c r="C3433" s="1">
        <f>IFERROR(__xludf.DUMMYFUNCTION("""COMPUTED_VALUE"""),54.17)</f>
        <v>54.17</v>
      </c>
      <c r="D3433" s="1">
        <f>IFERROR(__xludf.DUMMYFUNCTION("""COMPUTED_VALUE"""),52.34)</f>
        <v>52.34</v>
      </c>
      <c r="E3433" s="1">
        <f>IFERROR(__xludf.DUMMYFUNCTION("""COMPUTED_VALUE"""),52.58)</f>
        <v>52.58</v>
      </c>
      <c r="F3433" s="1">
        <f>IFERROR(__xludf.DUMMYFUNCTION("""COMPUTED_VALUE"""),2232722.0)</f>
        <v>2232722</v>
      </c>
    </row>
    <row r="3434">
      <c r="A3434" s="2">
        <f>IFERROR(__xludf.DUMMYFUNCTION("""COMPUTED_VALUE"""),45161.66666666667)</f>
        <v>45161.66667</v>
      </c>
      <c r="B3434" s="1">
        <f>IFERROR(__xludf.DUMMYFUNCTION("""COMPUTED_VALUE"""),52.44)</f>
        <v>52.44</v>
      </c>
      <c r="C3434" s="1">
        <f>IFERROR(__xludf.DUMMYFUNCTION("""COMPUTED_VALUE"""),54.41)</f>
        <v>54.41</v>
      </c>
      <c r="D3434" s="1">
        <f>IFERROR(__xludf.DUMMYFUNCTION("""COMPUTED_VALUE"""),52.44)</f>
        <v>52.44</v>
      </c>
      <c r="E3434" s="1">
        <f>IFERROR(__xludf.DUMMYFUNCTION("""COMPUTED_VALUE"""),54.25)</f>
        <v>54.25</v>
      </c>
      <c r="F3434" s="1">
        <f>IFERROR(__xludf.DUMMYFUNCTION("""COMPUTED_VALUE"""),2469633.0)</f>
        <v>2469633</v>
      </c>
    </row>
    <row r="3435">
      <c r="A3435" s="2">
        <f>IFERROR(__xludf.DUMMYFUNCTION("""COMPUTED_VALUE"""),45162.66666666667)</f>
        <v>45162.66667</v>
      </c>
      <c r="B3435" s="1">
        <f>IFERROR(__xludf.DUMMYFUNCTION("""COMPUTED_VALUE"""),55.33)</f>
        <v>55.33</v>
      </c>
      <c r="C3435" s="1">
        <f>IFERROR(__xludf.DUMMYFUNCTION("""COMPUTED_VALUE"""),56.05)</f>
        <v>56.05</v>
      </c>
      <c r="D3435" s="1">
        <f>IFERROR(__xludf.DUMMYFUNCTION("""COMPUTED_VALUE"""),54.48)</f>
        <v>54.48</v>
      </c>
      <c r="E3435" s="1">
        <f>IFERROR(__xludf.DUMMYFUNCTION("""COMPUTED_VALUE"""),54.7)</f>
        <v>54.7</v>
      </c>
      <c r="F3435" s="1">
        <f>IFERROR(__xludf.DUMMYFUNCTION("""COMPUTED_VALUE"""),1590958.0)</f>
        <v>1590958</v>
      </c>
    </row>
    <row r="3436">
      <c r="A3436" s="2">
        <f>IFERROR(__xludf.DUMMYFUNCTION("""COMPUTED_VALUE"""),45163.66666666667)</f>
        <v>45163.66667</v>
      </c>
      <c r="B3436" s="1">
        <f>IFERROR(__xludf.DUMMYFUNCTION("""COMPUTED_VALUE"""),54.21)</f>
        <v>54.21</v>
      </c>
      <c r="C3436" s="1">
        <f>IFERROR(__xludf.DUMMYFUNCTION("""COMPUTED_VALUE"""),54.83)</f>
        <v>54.83</v>
      </c>
      <c r="D3436" s="1">
        <f>IFERROR(__xludf.DUMMYFUNCTION("""COMPUTED_VALUE"""),52.89)</f>
        <v>52.89</v>
      </c>
      <c r="E3436" s="1">
        <f>IFERROR(__xludf.DUMMYFUNCTION("""COMPUTED_VALUE"""),54.83)</f>
        <v>54.83</v>
      </c>
      <c r="F3436" s="1">
        <f>IFERROR(__xludf.DUMMYFUNCTION("""COMPUTED_VALUE"""),912636.0)</f>
        <v>912636</v>
      </c>
    </row>
    <row r="3437">
      <c r="A3437" s="2">
        <f>IFERROR(__xludf.DUMMYFUNCTION("""COMPUTED_VALUE"""),45166.66666666667)</f>
        <v>45166.66667</v>
      </c>
      <c r="B3437" s="1">
        <f>IFERROR(__xludf.DUMMYFUNCTION("""COMPUTED_VALUE"""),54.73)</f>
        <v>54.73</v>
      </c>
      <c r="C3437" s="1">
        <f>IFERROR(__xludf.DUMMYFUNCTION("""COMPUTED_VALUE"""),54.99)</f>
        <v>54.99</v>
      </c>
      <c r="D3437" s="1">
        <f>IFERROR(__xludf.DUMMYFUNCTION("""COMPUTED_VALUE"""),54.03)</f>
        <v>54.03</v>
      </c>
      <c r="E3437" s="1">
        <f>IFERROR(__xludf.DUMMYFUNCTION("""COMPUTED_VALUE"""),54.27)</f>
        <v>54.27</v>
      </c>
      <c r="F3437" s="1">
        <f>IFERROR(__xludf.DUMMYFUNCTION("""COMPUTED_VALUE"""),981231.0)</f>
        <v>981231</v>
      </c>
    </row>
    <row r="3438">
      <c r="A3438" s="2">
        <f>IFERROR(__xludf.DUMMYFUNCTION("""COMPUTED_VALUE"""),45167.66666666667)</f>
        <v>45167.66667</v>
      </c>
      <c r="B3438" s="1">
        <f>IFERROR(__xludf.DUMMYFUNCTION("""COMPUTED_VALUE"""),55.0)</f>
        <v>55</v>
      </c>
      <c r="C3438" s="1">
        <f>IFERROR(__xludf.DUMMYFUNCTION("""COMPUTED_VALUE"""),55.67)</f>
        <v>55.67</v>
      </c>
      <c r="D3438" s="1">
        <f>IFERROR(__xludf.DUMMYFUNCTION("""COMPUTED_VALUE"""),53.83)</f>
        <v>53.83</v>
      </c>
      <c r="E3438" s="1">
        <f>IFERROR(__xludf.DUMMYFUNCTION("""COMPUTED_VALUE"""),55.11)</f>
        <v>55.11</v>
      </c>
      <c r="F3438" s="1">
        <f>IFERROR(__xludf.DUMMYFUNCTION("""COMPUTED_VALUE"""),2111820.0)</f>
        <v>2111820</v>
      </c>
    </row>
    <row r="3439">
      <c r="A3439" s="2">
        <f>IFERROR(__xludf.DUMMYFUNCTION("""COMPUTED_VALUE"""),45168.66666666667)</f>
        <v>45168.66667</v>
      </c>
      <c r="B3439" s="1">
        <f>IFERROR(__xludf.DUMMYFUNCTION("""COMPUTED_VALUE"""),53.52)</f>
        <v>53.52</v>
      </c>
      <c r="C3439" s="1">
        <f>IFERROR(__xludf.DUMMYFUNCTION("""COMPUTED_VALUE"""),55.58)</f>
        <v>55.58</v>
      </c>
      <c r="D3439" s="1">
        <f>IFERROR(__xludf.DUMMYFUNCTION("""COMPUTED_VALUE"""),53.16)</f>
        <v>53.16</v>
      </c>
      <c r="E3439" s="1">
        <f>IFERROR(__xludf.DUMMYFUNCTION("""COMPUTED_VALUE"""),54.28)</f>
        <v>54.28</v>
      </c>
      <c r="F3439" s="1">
        <f>IFERROR(__xludf.DUMMYFUNCTION("""COMPUTED_VALUE"""),1603110.0)</f>
        <v>1603110</v>
      </c>
    </row>
    <row r="3440">
      <c r="A3440" s="2">
        <f>IFERROR(__xludf.DUMMYFUNCTION("""COMPUTED_VALUE"""),45169.66666666667)</f>
        <v>45169.66667</v>
      </c>
      <c r="B3440" s="1">
        <f>IFERROR(__xludf.DUMMYFUNCTION("""COMPUTED_VALUE"""),53.8)</f>
        <v>53.8</v>
      </c>
      <c r="C3440" s="1">
        <f>IFERROR(__xludf.DUMMYFUNCTION("""COMPUTED_VALUE"""),54.5)</f>
        <v>54.5</v>
      </c>
      <c r="D3440" s="1">
        <f>IFERROR(__xludf.DUMMYFUNCTION("""COMPUTED_VALUE"""),53.24)</f>
        <v>53.24</v>
      </c>
      <c r="E3440" s="1">
        <f>IFERROR(__xludf.DUMMYFUNCTION("""COMPUTED_VALUE"""),54.24)</f>
        <v>54.24</v>
      </c>
      <c r="F3440" s="1">
        <f>IFERROR(__xludf.DUMMYFUNCTION("""COMPUTED_VALUE"""),1903144.0)</f>
        <v>1903144</v>
      </c>
    </row>
    <row r="3441">
      <c r="A3441" s="2">
        <f>IFERROR(__xludf.DUMMYFUNCTION("""COMPUTED_VALUE"""),45170.66666666667)</f>
        <v>45170.66667</v>
      </c>
      <c r="B3441" s="1">
        <f>IFERROR(__xludf.DUMMYFUNCTION("""COMPUTED_VALUE"""),54.78)</f>
        <v>54.78</v>
      </c>
      <c r="C3441" s="1">
        <f>IFERROR(__xludf.DUMMYFUNCTION("""COMPUTED_VALUE"""),58.22)</f>
        <v>58.22</v>
      </c>
      <c r="D3441" s="1">
        <f>IFERROR(__xludf.DUMMYFUNCTION("""COMPUTED_VALUE"""),54.61)</f>
        <v>54.61</v>
      </c>
      <c r="E3441" s="1">
        <f>IFERROR(__xludf.DUMMYFUNCTION("""COMPUTED_VALUE"""),58.16)</f>
        <v>58.16</v>
      </c>
      <c r="F3441" s="1">
        <f>IFERROR(__xludf.DUMMYFUNCTION("""COMPUTED_VALUE"""),1935246.0)</f>
        <v>1935246</v>
      </c>
    </row>
    <row r="3442">
      <c r="A3442" s="2">
        <f>IFERROR(__xludf.DUMMYFUNCTION("""COMPUTED_VALUE"""),45174.66666666667)</f>
        <v>45174.66667</v>
      </c>
      <c r="B3442" s="1">
        <f>IFERROR(__xludf.DUMMYFUNCTION("""COMPUTED_VALUE"""),57.17)</f>
        <v>57.17</v>
      </c>
      <c r="C3442" s="1">
        <f>IFERROR(__xludf.DUMMYFUNCTION("""COMPUTED_VALUE"""),57.19)</f>
        <v>57.19</v>
      </c>
      <c r="D3442" s="1">
        <f>IFERROR(__xludf.DUMMYFUNCTION("""COMPUTED_VALUE"""),55.89)</f>
        <v>55.89</v>
      </c>
      <c r="E3442" s="1">
        <f>IFERROR(__xludf.DUMMYFUNCTION("""COMPUTED_VALUE"""),56.93)</f>
        <v>56.93</v>
      </c>
      <c r="F3442" s="1">
        <f>IFERROR(__xludf.DUMMYFUNCTION("""COMPUTED_VALUE"""),2047550.0)</f>
        <v>2047550</v>
      </c>
    </row>
    <row r="3443">
      <c r="A3443" s="2">
        <f>IFERROR(__xludf.DUMMYFUNCTION("""COMPUTED_VALUE"""),45175.66666666667)</f>
        <v>45175.66667</v>
      </c>
      <c r="B3443" s="1">
        <f>IFERROR(__xludf.DUMMYFUNCTION("""COMPUTED_VALUE"""),56.63)</f>
        <v>56.63</v>
      </c>
      <c r="C3443" s="1">
        <f>IFERROR(__xludf.DUMMYFUNCTION("""COMPUTED_VALUE"""),57.99)</f>
        <v>57.99</v>
      </c>
      <c r="D3443" s="1">
        <f>IFERROR(__xludf.DUMMYFUNCTION("""COMPUTED_VALUE"""),55.26)</f>
        <v>55.26</v>
      </c>
      <c r="E3443" s="1">
        <f>IFERROR(__xludf.DUMMYFUNCTION("""COMPUTED_VALUE"""),55.46)</f>
        <v>55.46</v>
      </c>
      <c r="F3443" s="1">
        <f>IFERROR(__xludf.DUMMYFUNCTION("""COMPUTED_VALUE"""),1266749.0)</f>
        <v>1266749</v>
      </c>
    </row>
    <row r="3444">
      <c r="A3444" s="2">
        <f>IFERROR(__xludf.DUMMYFUNCTION("""COMPUTED_VALUE"""),45176.66666666667)</f>
        <v>45176.66667</v>
      </c>
      <c r="B3444" s="1">
        <f>IFERROR(__xludf.DUMMYFUNCTION("""COMPUTED_VALUE"""),54.19)</f>
        <v>54.19</v>
      </c>
      <c r="C3444" s="1">
        <f>IFERROR(__xludf.DUMMYFUNCTION("""COMPUTED_VALUE"""),54.95)</f>
        <v>54.95</v>
      </c>
      <c r="D3444" s="1">
        <f>IFERROR(__xludf.DUMMYFUNCTION("""COMPUTED_VALUE"""),53.3)</f>
        <v>53.3</v>
      </c>
      <c r="E3444" s="1">
        <f>IFERROR(__xludf.DUMMYFUNCTION("""COMPUTED_VALUE"""),54.43)</f>
        <v>54.43</v>
      </c>
      <c r="F3444" s="1">
        <f>IFERROR(__xludf.DUMMYFUNCTION("""COMPUTED_VALUE"""),944863.0)</f>
        <v>944863</v>
      </c>
    </row>
    <row r="3445">
      <c r="A3445" s="2">
        <f>IFERROR(__xludf.DUMMYFUNCTION("""COMPUTED_VALUE"""),45177.66666666667)</f>
        <v>45177.66667</v>
      </c>
      <c r="B3445" s="1">
        <f>IFERROR(__xludf.DUMMYFUNCTION("""COMPUTED_VALUE"""),53.96)</f>
        <v>53.96</v>
      </c>
      <c r="C3445" s="1">
        <f>IFERROR(__xludf.DUMMYFUNCTION("""COMPUTED_VALUE"""),54.73)</f>
        <v>54.73</v>
      </c>
      <c r="D3445" s="1">
        <f>IFERROR(__xludf.DUMMYFUNCTION("""COMPUTED_VALUE"""),53.65)</f>
        <v>53.65</v>
      </c>
      <c r="E3445" s="1">
        <f>IFERROR(__xludf.DUMMYFUNCTION("""COMPUTED_VALUE"""),54.51)</f>
        <v>54.51</v>
      </c>
      <c r="F3445" s="1">
        <f>IFERROR(__xludf.DUMMYFUNCTION("""COMPUTED_VALUE"""),447026.0)</f>
        <v>447026</v>
      </c>
    </row>
    <row r="3446">
      <c r="A3446" s="2">
        <f>IFERROR(__xludf.DUMMYFUNCTION("""COMPUTED_VALUE"""),45180.66666666667)</f>
        <v>45180.66667</v>
      </c>
      <c r="B3446" s="1">
        <f>IFERROR(__xludf.DUMMYFUNCTION("""COMPUTED_VALUE"""),56.61)</f>
        <v>56.61</v>
      </c>
      <c r="C3446" s="1">
        <f>IFERROR(__xludf.DUMMYFUNCTION("""COMPUTED_VALUE"""),57.77)</f>
        <v>57.77</v>
      </c>
      <c r="D3446" s="1">
        <f>IFERROR(__xludf.DUMMYFUNCTION("""COMPUTED_VALUE"""),56.26)</f>
        <v>56.26</v>
      </c>
      <c r="E3446" s="1">
        <f>IFERROR(__xludf.DUMMYFUNCTION("""COMPUTED_VALUE"""),57.65)</f>
        <v>57.65</v>
      </c>
      <c r="F3446" s="1">
        <f>IFERROR(__xludf.DUMMYFUNCTION("""COMPUTED_VALUE"""),1248017.0)</f>
        <v>1248017</v>
      </c>
    </row>
    <row r="3447">
      <c r="A3447" s="2">
        <f>IFERROR(__xludf.DUMMYFUNCTION("""COMPUTED_VALUE"""),45181.66666666667)</f>
        <v>45181.66667</v>
      </c>
      <c r="B3447" s="1">
        <f>IFERROR(__xludf.DUMMYFUNCTION("""COMPUTED_VALUE"""),57.5)</f>
        <v>57.5</v>
      </c>
      <c r="C3447" s="1">
        <f>IFERROR(__xludf.DUMMYFUNCTION("""COMPUTED_VALUE"""),59.58)</f>
        <v>59.58</v>
      </c>
      <c r="D3447" s="1">
        <f>IFERROR(__xludf.DUMMYFUNCTION("""COMPUTED_VALUE"""),57.35)</f>
        <v>57.35</v>
      </c>
      <c r="E3447" s="1">
        <f>IFERROR(__xludf.DUMMYFUNCTION("""COMPUTED_VALUE"""),58.15)</f>
        <v>58.15</v>
      </c>
      <c r="F3447" s="1">
        <f>IFERROR(__xludf.DUMMYFUNCTION("""COMPUTED_VALUE"""),1397484.0)</f>
        <v>1397484</v>
      </c>
    </row>
    <row r="3448">
      <c r="A3448" s="2">
        <f>IFERROR(__xludf.DUMMYFUNCTION("""COMPUTED_VALUE"""),45182.66666666667)</f>
        <v>45182.66667</v>
      </c>
      <c r="B3448" s="1">
        <f>IFERROR(__xludf.DUMMYFUNCTION("""COMPUTED_VALUE"""),57.97)</f>
        <v>57.97</v>
      </c>
      <c r="C3448" s="1">
        <f>IFERROR(__xludf.DUMMYFUNCTION("""COMPUTED_VALUE"""),58.57)</f>
        <v>58.57</v>
      </c>
      <c r="D3448" s="1">
        <f>IFERROR(__xludf.DUMMYFUNCTION("""COMPUTED_VALUE"""),57.45)</f>
        <v>57.45</v>
      </c>
      <c r="E3448" s="1">
        <f>IFERROR(__xludf.DUMMYFUNCTION("""COMPUTED_VALUE"""),58.28)</f>
        <v>58.28</v>
      </c>
      <c r="F3448" s="1">
        <f>IFERROR(__xludf.DUMMYFUNCTION("""COMPUTED_VALUE"""),719277.0)</f>
        <v>719277</v>
      </c>
    </row>
    <row r="3449">
      <c r="A3449" s="2">
        <f>IFERROR(__xludf.DUMMYFUNCTION("""COMPUTED_VALUE"""),45183.66666666667)</f>
        <v>45183.66667</v>
      </c>
      <c r="B3449" s="1">
        <f>IFERROR(__xludf.DUMMYFUNCTION("""COMPUTED_VALUE"""),59.88)</f>
        <v>59.88</v>
      </c>
      <c r="C3449" s="1">
        <f>IFERROR(__xludf.DUMMYFUNCTION("""COMPUTED_VALUE"""),60.19)</f>
        <v>60.19</v>
      </c>
      <c r="D3449" s="1">
        <f>IFERROR(__xludf.DUMMYFUNCTION("""COMPUTED_VALUE"""),58.48)</f>
        <v>58.48</v>
      </c>
      <c r="E3449" s="1">
        <f>IFERROR(__xludf.DUMMYFUNCTION("""COMPUTED_VALUE"""),58.7)</f>
        <v>58.7</v>
      </c>
      <c r="F3449" s="1">
        <f>IFERROR(__xludf.DUMMYFUNCTION("""COMPUTED_VALUE"""),1664342.0)</f>
        <v>1664342</v>
      </c>
    </row>
    <row r="3450">
      <c r="A3450" s="2">
        <f>IFERROR(__xludf.DUMMYFUNCTION("""COMPUTED_VALUE"""),45184.66666666667)</f>
        <v>45184.66667</v>
      </c>
      <c r="B3450" s="1">
        <f>IFERROR(__xludf.DUMMYFUNCTION("""COMPUTED_VALUE"""),58.82)</f>
        <v>58.82</v>
      </c>
      <c r="C3450" s="1">
        <f>IFERROR(__xludf.DUMMYFUNCTION("""COMPUTED_VALUE"""),59.14)</f>
        <v>59.14</v>
      </c>
      <c r="D3450" s="1">
        <f>IFERROR(__xludf.DUMMYFUNCTION("""COMPUTED_VALUE"""),56.94)</f>
        <v>56.94</v>
      </c>
      <c r="E3450" s="1">
        <f>IFERROR(__xludf.DUMMYFUNCTION("""COMPUTED_VALUE"""),57.28)</f>
        <v>57.28</v>
      </c>
      <c r="F3450" s="1">
        <f>IFERROR(__xludf.DUMMYFUNCTION("""COMPUTED_VALUE"""),1173991.0)</f>
        <v>1173991</v>
      </c>
    </row>
    <row r="3451">
      <c r="A3451" s="2">
        <f>IFERROR(__xludf.DUMMYFUNCTION("""COMPUTED_VALUE"""),45187.66666666667)</f>
        <v>45187.66667</v>
      </c>
      <c r="B3451" s="1">
        <f>IFERROR(__xludf.DUMMYFUNCTION("""COMPUTED_VALUE"""),56.88)</f>
        <v>56.88</v>
      </c>
      <c r="C3451" s="1">
        <f>IFERROR(__xludf.DUMMYFUNCTION("""COMPUTED_VALUE"""),57.57)</f>
        <v>57.57</v>
      </c>
      <c r="D3451" s="1">
        <f>IFERROR(__xludf.DUMMYFUNCTION("""COMPUTED_VALUE"""),56.38)</f>
        <v>56.38</v>
      </c>
      <c r="E3451" s="1">
        <f>IFERROR(__xludf.DUMMYFUNCTION("""COMPUTED_VALUE"""),57.17)</f>
        <v>57.17</v>
      </c>
      <c r="F3451" s="1">
        <f>IFERROR(__xludf.DUMMYFUNCTION("""COMPUTED_VALUE"""),1309894.0)</f>
        <v>1309894</v>
      </c>
    </row>
    <row r="3452">
      <c r="A3452" s="2">
        <f>IFERROR(__xludf.DUMMYFUNCTION("""COMPUTED_VALUE"""),45188.66666666667)</f>
        <v>45188.66667</v>
      </c>
      <c r="B3452" s="1">
        <f>IFERROR(__xludf.DUMMYFUNCTION("""COMPUTED_VALUE"""),56.68)</f>
        <v>56.68</v>
      </c>
      <c r="C3452" s="1">
        <f>IFERROR(__xludf.DUMMYFUNCTION("""COMPUTED_VALUE"""),57.38)</f>
        <v>57.38</v>
      </c>
      <c r="D3452" s="1">
        <f>IFERROR(__xludf.DUMMYFUNCTION("""COMPUTED_VALUE"""),55.88)</f>
        <v>55.88</v>
      </c>
      <c r="E3452" s="1">
        <f>IFERROR(__xludf.DUMMYFUNCTION("""COMPUTED_VALUE"""),56.07)</f>
        <v>56.07</v>
      </c>
      <c r="F3452" s="1">
        <f>IFERROR(__xludf.DUMMYFUNCTION("""COMPUTED_VALUE"""),528926.0)</f>
        <v>528926</v>
      </c>
    </row>
    <row r="3453">
      <c r="A3453" s="2">
        <f>IFERROR(__xludf.DUMMYFUNCTION("""COMPUTED_VALUE"""),45189.66666666667)</f>
        <v>45189.66667</v>
      </c>
      <c r="B3453" s="1">
        <f>IFERROR(__xludf.DUMMYFUNCTION("""COMPUTED_VALUE"""),56.35)</f>
        <v>56.35</v>
      </c>
      <c r="C3453" s="1">
        <f>IFERROR(__xludf.DUMMYFUNCTION("""COMPUTED_VALUE"""),56.83)</f>
        <v>56.83</v>
      </c>
      <c r="D3453" s="1">
        <f>IFERROR(__xludf.DUMMYFUNCTION("""COMPUTED_VALUE"""),55.36)</f>
        <v>55.36</v>
      </c>
      <c r="E3453" s="1">
        <f>IFERROR(__xludf.DUMMYFUNCTION("""COMPUTED_VALUE"""),55.43)</f>
        <v>55.43</v>
      </c>
      <c r="F3453" s="1">
        <f>IFERROR(__xludf.DUMMYFUNCTION("""COMPUTED_VALUE"""),951197.0)</f>
        <v>951197</v>
      </c>
    </row>
    <row r="3454">
      <c r="A3454" s="2">
        <f>IFERROR(__xludf.DUMMYFUNCTION("""COMPUTED_VALUE"""),45190.66666666667)</f>
        <v>45190.66667</v>
      </c>
      <c r="B3454" s="1">
        <f>IFERROR(__xludf.DUMMYFUNCTION("""COMPUTED_VALUE"""),54.51)</f>
        <v>54.51</v>
      </c>
      <c r="C3454" s="1">
        <f>IFERROR(__xludf.DUMMYFUNCTION("""COMPUTED_VALUE"""),54.52)</f>
        <v>54.52</v>
      </c>
      <c r="D3454" s="1">
        <f>IFERROR(__xludf.DUMMYFUNCTION("""COMPUTED_VALUE"""),53.5)</f>
        <v>53.5</v>
      </c>
      <c r="E3454" s="1">
        <f>IFERROR(__xludf.DUMMYFUNCTION("""COMPUTED_VALUE"""),53.99)</f>
        <v>53.99</v>
      </c>
      <c r="F3454" s="1">
        <f>IFERROR(__xludf.DUMMYFUNCTION("""COMPUTED_VALUE"""),992542.0)</f>
        <v>992542</v>
      </c>
    </row>
    <row r="3455">
      <c r="A3455" s="2">
        <f>IFERROR(__xludf.DUMMYFUNCTION("""COMPUTED_VALUE"""),45191.66666666667)</f>
        <v>45191.66667</v>
      </c>
      <c r="B3455" s="1">
        <f>IFERROR(__xludf.DUMMYFUNCTION("""COMPUTED_VALUE"""),56.91)</f>
        <v>56.91</v>
      </c>
      <c r="C3455" s="1">
        <f>IFERROR(__xludf.DUMMYFUNCTION("""COMPUTED_VALUE"""),57.4)</f>
        <v>57.4</v>
      </c>
      <c r="D3455" s="1">
        <f>IFERROR(__xludf.DUMMYFUNCTION("""COMPUTED_VALUE"""),55.07)</f>
        <v>55.07</v>
      </c>
      <c r="E3455" s="1">
        <f>IFERROR(__xludf.DUMMYFUNCTION("""COMPUTED_VALUE"""),55.27)</f>
        <v>55.27</v>
      </c>
      <c r="F3455" s="1">
        <f>IFERROR(__xludf.DUMMYFUNCTION("""COMPUTED_VALUE"""),1202329.0)</f>
        <v>1202329</v>
      </c>
    </row>
    <row r="3456">
      <c r="A3456" s="2">
        <f>IFERROR(__xludf.DUMMYFUNCTION("""COMPUTED_VALUE"""),45194.66666666667)</f>
        <v>45194.66667</v>
      </c>
      <c r="B3456" s="1">
        <f>IFERROR(__xludf.DUMMYFUNCTION("""COMPUTED_VALUE"""),53.6)</f>
        <v>53.6</v>
      </c>
      <c r="C3456" s="1">
        <f>IFERROR(__xludf.DUMMYFUNCTION("""COMPUTED_VALUE"""),54.79)</f>
        <v>54.79</v>
      </c>
      <c r="D3456" s="1">
        <f>IFERROR(__xludf.DUMMYFUNCTION("""COMPUTED_VALUE"""),53.44)</f>
        <v>53.44</v>
      </c>
      <c r="E3456" s="1">
        <f>IFERROR(__xludf.DUMMYFUNCTION("""COMPUTED_VALUE"""),54.66)</f>
        <v>54.66</v>
      </c>
      <c r="F3456" s="1">
        <f>IFERROR(__xludf.DUMMYFUNCTION("""COMPUTED_VALUE"""),1242765.0)</f>
        <v>1242765</v>
      </c>
    </row>
    <row r="3457">
      <c r="A3457" s="2">
        <f>IFERROR(__xludf.DUMMYFUNCTION("""COMPUTED_VALUE"""),45195.66666666667)</f>
        <v>45195.66667</v>
      </c>
      <c r="B3457" s="1">
        <f>IFERROR(__xludf.DUMMYFUNCTION("""COMPUTED_VALUE"""),54.88)</f>
        <v>54.88</v>
      </c>
      <c r="C3457" s="1">
        <f>IFERROR(__xludf.DUMMYFUNCTION("""COMPUTED_VALUE"""),56.69)</f>
        <v>56.69</v>
      </c>
      <c r="D3457" s="1">
        <f>IFERROR(__xludf.DUMMYFUNCTION("""COMPUTED_VALUE"""),54.88)</f>
        <v>54.88</v>
      </c>
      <c r="E3457" s="1">
        <f>IFERROR(__xludf.DUMMYFUNCTION("""COMPUTED_VALUE"""),56.03)</f>
        <v>56.03</v>
      </c>
      <c r="F3457" s="1">
        <f>IFERROR(__xludf.DUMMYFUNCTION("""COMPUTED_VALUE"""),1715849.0)</f>
        <v>1715849</v>
      </c>
    </row>
    <row r="3458">
      <c r="A3458" s="2">
        <f>IFERROR(__xludf.DUMMYFUNCTION("""COMPUTED_VALUE"""),45196.66666666667)</f>
        <v>45196.66667</v>
      </c>
      <c r="B3458" s="1">
        <f>IFERROR(__xludf.DUMMYFUNCTION("""COMPUTED_VALUE"""),58.32)</f>
        <v>58.32</v>
      </c>
      <c r="C3458" s="1">
        <f>IFERROR(__xludf.DUMMYFUNCTION("""COMPUTED_VALUE"""),59.87)</f>
        <v>59.87</v>
      </c>
      <c r="D3458" s="1">
        <f>IFERROR(__xludf.DUMMYFUNCTION("""COMPUTED_VALUE"""),58.12)</f>
        <v>58.12</v>
      </c>
      <c r="E3458" s="1">
        <f>IFERROR(__xludf.DUMMYFUNCTION("""COMPUTED_VALUE"""),58.56)</f>
        <v>58.56</v>
      </c>
      <c r="F3458" s="1">
        <f>IFERROR(__xludf.DUMMYFUNCTION("""COMPUTED_VALUE"""),2919938.0)</f>
        <v>2919938</v>
      </c>
    </row>
    <row r="3459">
      <c r="A3459" s="2">
        <f>IFERROR(__xludf.DUMMYFUNCTION("""COMPUTED_VALUE"""),45197.66666666667)</f>
        <v>45197.66667</v>
      </c>
      <c r="B3459" s="1">
        <f>IFERROR(__xludf.DUMMYFUNCTION("""COMPUTED_VALUE"""),58.93)</f>
        <v>58.93</v>
      </c>
      <c r="C3459" s="1">
        <f>IFERROR(__xludf.DUMMYFUNCTION("""COMPUTED_VALUE"""),59.5)</f>
        <v>59.5</v>
      </c>
      <c r="D3459" s="1">
        <f>IFERROR(__xludf.DUMMYFUNCTION("""COMPUTED_VALUE"""),58.42)</f>
        <v>58.42</v>
      </c>
      <c r="E3459" s="1">
        <f>IFERROR(__xludf.DUMMYFUNCTION("""COMPUTED_VALUE"""),58.83)</f>
        <v>58.83</v>
      </c>
      <c r="F3459" s="1">
        <f>IFERROR(__xludf.DUMMYFUNCTION("""COMPUTED_VALUE"""),1424366.0)</f>
        <v>1424366</v>
      </c>
    </row>
    <row r="3460">
      <c r="A3460" s="2">
        <f>IFERROR(__xludf.DUMMYFUNCTION("""COMPUTED_VALUE"""),45198.66666666667)</f>
        <v>45198.66667</v>
      </c>
      <c r="B3460" s="1">
        <f>IFERROR(__xludf.DUMMYFUNCTION("""COMPUTED_VALUE"""),60.95)</f>
        <v>60.95</v>
      </c>
      <c r="C3460" s="1">
        <f>IFERROR(__xludf.DUMMYFUNCTION("""COMPUTED_VALUE"""),61.15)</f>
        <v>61.15</v>
      </c>
      <c r="D3460" s="1">
        <f>IFERROR(__xludf.DUMMYFUNCTION("""COMPUTED_VALUE"""),58.48)</f>
        <v>58.48</v>
      </c>
      <c r="E3460" s="1">
        <f>IFERROR(__xludf.DUMMYFUNCTION("""COMPUTED_VALUE"""),58.55)</f>
        <v>58.55</v>
      </c>
      <c r="F3460" s="1">
        <f>IFERROR(__xludf.DUMMYFUNCTION("""COMPUTED_VALUE"""),1852870.0)</f>
        <v>1852870</v>
      </c>
    </row>
    <row r="3461">
      <c r="A3461" s="2">
        <f>IFERROR(__xludf.DUMMYFUNCTION("""COMPUTED_VALUE"""),45201.66666666667)</f>
        <v>45201.66667</v>
      </c>
      <c r="B3461" s="1">
        <f>IFERROR(__xludf.DUMMYFUNCTION("""COMPUTED_VALUE"""),58.58)</f>
        <v>58.58</v>
      </c>
      <c r="C3461" s="1">
        <f>IFERROR(__xludf.DUMMYFUNCTION("""COMPUTED_VALUE"""),59.27)</f>
        <v>59.27</v>
      </c>
      <c r="D3461" s="1">
        <f>IFERROR(__xludf.DUMMYFUNCTION("""COMPUTED_VALUE"""),58.25)</f>
        <v>58.25</v>
      </c>
      <c r="E3461" s="1">
        <f>IFERROR(__xludf.DUMMYFUNCTION("""COMPUTED_VALUE"""),58.72)</f>
        <v>58.72</v>
      </c>
      <c r="F3461" s="1">
        <f>IFERROR(__xludf.DUMMYFUNCTION("""COMPUTED_VALUE"""),631799.0)</f>
        <v>631799</v>
      </c>
    </row>
    <row r="3462">
      <c r="A3462" s="2">
        <f>IFERROR(__xludf.DUMMYFUNCTION("""COMPUTED_VALUE"""),45202.66666666667)</f>
        <v>45202.66667</v>
      </c>
      <c r="B3462" s="1">
        <f>IFERROR(__xludf.DUMMYFUNCTION("""COMPUTED_VALUE"""),57.23)</f>
        <v>57.23</v>
      </c>
      <c r="C3462" s="1">
        <f>IFERROR(__xludf.DUMMYFUNCTION("""COMPUTED_VALUE"""),58.64)</f>
        <v>58.64</v>
      </c>
      <c r="D3462" s="1">
        <f>IFERROR(__xludf.DUMMYFUNCTION("""COMPUTED_VALUE"""),57.21)</f>
        <v>57.21</v>
      </c>
      <c r="E3462" s="1">
        <f>IFERROR(__xludf.DUMMYFUNCTION("""COMPUTED_VALUE"""),57.5)</f>
        <v>57.5</v>
      </c>
      <c r="F3462" s="1">
        <f>IFERROR(__xludf.DUMMYFUNCTION("""COMPUTED_VALUE"""),638275.0)</f>
        <v>638275</v>
      </c>
    </row>
    <row r="3463">
      <c r="A3463" s="2">
        <f>IFERROR(__xludf.DUMMYFUNCTION("""COMPUTED_VALUE"""),45203.66666666667)</f>
        <v>45203.66667</v>
      </c>
      <c r="B3463" s="1">
        <f>IFERROR(__xludf.DUMMYFUNCTION("""COMPUTED_VALUE"""),57.61)</f>
        <v>57.61</v>
      </c>
      <c r="C3463" s="1">
        <f>IFERROR(__xludf.DUMMYFUNCTION("""COMPUTED_VALUE"""),58.92)</f>
        <v>58.92</v>
      </c>
      <c r="D3463" s="1">
        <f>IFERROR(__xludf.DUMMYFUNCTION("""COMPUTED_VALUE"""),57.45)</f>
        <v>57.45</v>
      </c>
      <c r="E3463" s="1">
        <f>IFERROR(__xludf.DUMMYFUNCTION("""COMPUTED_VALUE"""),58.57)</f>
        <v>58.57</v>
      </c>
      <c r="F3463" s="1">
        <f>IFERROR(__xludf.DUMMYFUNCTION("""COMPUTED_VALUE"""),597991.0)</f>
        <v>597991</v>
      </c>
    </row>
    <row r="3464">
      <c r="A3464" s="2">
        <f>IFERROR(__xludf.DUMMYFUNCTION("""COMPUTED_VALUE"""),45204.66666666667)</f>
        <v>45204.66667</v>
      </c>
      <c r="B3464" s="1">
        <f>IFERROR(__xludf.DUMMYFUNCTION("""COMPUTED_VALUE"""),58.72)</f>
        <v>58.72</v>
      </c>
      <c r="C3464" s="1">
        <f>IFERROR(__xludf.DUMMYFUNCTION("""COMPUTED_VALUE"""),59.3)</f>
        <v>59.3</v>
      </c>
      <c r="D3464" s="1">
        <f>IFERROR(__xludf.DUMMYFUNCTION("""COMPUTED_VALUE"""),58.44)</f>
        <v>58.44</v>
      </c>
      <c r="E3464" s="1">
        <f>IFERROR(__xludf.DUMMYFUNCTION("""COMPUTED_VALUE"""),59.0)</f>
        <v>59</v>
      </c>
      <c r="F3464" s="1">
        <f>IFERROR(__xludf.DUMMYFUNCTION("""COMPUTED_VALUE"""),774222.0)</f>
        <v>774222</v>
      </c>
    </row>
    <row r="3465">
      <c r="A3465" s="2">
        <f>IFERROR(__xludf.DUMMYFUNCTION("""COMPUTED_VALUE"""),45205.66666666667)</f>
        <v>45205.66667</v>
      </c>
      <c r="B3465" s="1">
        <f>IFERROR(__xludf.DUMMYFUNCTION("""COMPUTED_VALUE"""),59.28)</f>
        <v>59.28</v>
      </c>
      <c r="C3465" s="1">
        <f>IFERROR(__xludf.DUMMYFUNCTION("""COMPUTED_VALUE"""),60.98)</f>
        <v>60.98</v>
      </c>
      <c r="D3465" s="1">
        <f>IFERROR(__xludf.DUMMYFUNCTION("""COMPUTED_VALUE"""),59.15)</f>
        <v>59.15</v>
      </c>
      <c r="E3465" s="1">
        <f>IFERROR(__xludf.DUMMYFUNCTION("""COMPUTED_VALUE"""),60.59)</f>
        <v>60.59</v>
      </c>
      <c r="F3465" s="1">
        <f>IFERROR(__xludf.DUMMYFUNCTION("""COMPUTED_VALUE"""),1262542.0)</f>
        <v>1262542</v>
      </c>
    </row>
    <row r="3466">
      <c r="A3466" s="2">
        <f>IFERROR(__xludf.DUMMYFUNCTION("""COMPUTED_VALUE"""),45208.66666666667)</f>
        <v>45208.66667</v>
      </c>
      <c r="B3466" s="1">
        <f>IFERROR(__xludf.DUMMYFUNCTION("""COMPUTED_VALUE"""),59.24)</f>
        <v>59.24</v>
      </c>
      <c r="C3466" s="1">
        <f>IFERROR(__xludf.DUMMYFUNCTION("""COMPUTED_VALUE"""),61.04)</f>
        <v>61.04</v>
      </c>
      <c r="D3466" s="1">
        <f>IFERROR(__xludf.DUMMYFUNCTION("""COMPUTED_VALUE"""),59.23)</f>
        <v>59.23</v>
      </c>
      <c r="E3466" s="1">
        <f>IFERROR(__xludf.DUMMYFUNCTION("""COMPUTED_VALUE"""),60.95)</f>
        <v>60.95</v>
      </c>
      <c r="F3466" s="1">
        <f>IFERROR(__xludf.DUMMYFUNCTION("""COMPUTED_VALUE"""),1227763.0)</f>
        <v>1227763</v>
      </c>
    </row>
    <row r="3467">
      <c r="A3467" s="2">
        <f>IFERROR(__xludf.DUMMYFUNCTION("""COMPUTED_VALUE"""),45209.66666666667)</f>
        <v>45209.66667</v>
      </c>
      <c r="B3467" s="1">
        <f>IFERROR(__xludf.DUMMYFUNCTION("""COMPUTED_VALUE"""),62.5)</f>
        <v>62.5</v>
      </c>
      <c r="C3467" s="1">
        <f>IFERROR(__xludf.DUMMYFUNCTION("""COMPUTED_VALUE"""),63.28)</f>
        <v>63.28</v>
      </c>
      <c r="D3467" s="1">
        <f>IFERROR(__xludf.DUMMYFUNCTION("""COMPUTED_VALUE"""),62.35)</f>
        <v>62.35</v>
      </c>
      <c r="E3467" s="1">
        <f>IFERROR(__xludf.DUMMYFUNCTION("""COMPUTED_VALUE"""),62.62)</f>
        <v>62.62</v>
      </c>
      <c r="F3467" s="1">
        <f>IFERROR(__xludf.DUMMYFUNCTION("""COMPUTED_VALUE"""),2254226.0)</f>
        <v>2254226</v>
      </c>
    </row>
    <row r="3468">
      <c r="A3468" s="2">
        <f>IFERROR(__xludf.DUMMYFUNCTION("""COMPUTED_VALUE"""),45210.66666666667)</f>
        <v>45210.66667</v>
      </c>
      <c r="B3468" s="1">
        <f>IFERROR(__xludf.DUMMYFUNCTION("""COMPUTED_VALUE"""),63.36)</f>
        <v>63.36</v>
      </c>
      <c r="C3468" s="1">
        <f>IFERROR(__xludf.DUMMYFUNCTION("""COMPUTED_VALUE"""),65.92)</f>
        <v>65.92</v>
      </c>
      <c r="D3468" s="1">
        <f>IFERROR(__xludf.DUMMYFUNCTION("""COMPUTED_VALUE"""),63.2)</f>
        <v>63.2</v>
      </c>
      <c r="E3468" s="1">
        <f>IFERROR(__xludf.DUMMYFUNCTION("""COMPUTED_VALUE"""),64.43)</f>
        <v>64.43</v>
      </c>
      <c r="F3468" s="1">
        <f>IFERROR(__xludf.DUMMYFUNCTION("""COMPUTED_VALUE"""),1683723.0)</f>
        <v>1683723</v>
      </c>
    </row>
    <row r="3469">
      <c r="A3469" s="2">
        <f>IFERROR(__xludf.DUMMYFUNCTION("""COMPUTED_VALUE"""),45211.66666666667)</f>
        <v>45211.66667</v>
      </c>
      <c r="B3469" s="1">
        <f>IFERROR(__xludf.DUMMYFUNCTION("""COMPUTED_VALUE"""),64.86)</f>
        <v>64.86</v>
      </c>
      <c r="C3469" s="1">
        <f>IFERROR(__xludf.DUMMYFUNCTION("""COMPUTED_VALUE"""),65.38)</f>
        <v>65.38</v>
      </c>
      <c r="D3469" s="1">
        <f>IFERROR(__xludf.DUMMYFUNCTION("""COMPUTED_VALUE"""),62.24)</f>
        <v>62.24</v>
      </c>
      <c r="E3469" s="1">
        <f>IFERROR(__xludf.DUMMYFUNCTION("""COMPUTED_VALUE"""),62.65)</f>
        <v>62.65</v>
      </c>
      <c r="F3469" s="1">
        <f>IFERROR(__xludf.DUMMYFUNCTION("""COMPUTED_VALUE"""),1185528.0)</f>
        <v>1185528</v>
      </c>
    </row>
    <row r="3470">
      <c r="A3470" s="2">
        <f>IFERROR(__xludf.DUMMYFUNCTION("""COMPUTED_VALUE"""),45212.66666666667)</f>
        <v>45212.66667</v>
      </c>
      <c r="B3470" s="1">
        <f>IFERROR(__xludf.DUMMYFUNCTION("""COMPUTED_VALUE"""),61.97)</f>
        <v>61.97</v>
      </c>
      <c r="C3470" s="1">
        <f>IFERROR(__xludf.DUMMYFUNCTION("""COMPUTED_VALUE"""),63.17)</f>
        <v>63.17</v>
      </c>
      <c r="D3470" s="1">
        <f>IFERROR(__xludf.DUMMYFUNCTION("""COMPUTED_VALUE"""),61.9)</f>
        <v>61.9</v>
      </c>
      <c r="E3470" s="1">
        <f>IFERROR(__xludf.DUMMYFUNCTION("""COMPUTED_VALUE"""),62.37)</f>
        <v>62.37</v>
      </c>
      <c r="F3470" s="1">
        <f>IFERROR(__xludf.DUMMYFUNCTION("""COMPUTED_VALUE"""),669074.0)</f>
        <v>669074</v>
      </c>
    </row>
    <row r="3471">
      <c r="A3471" s="2">
        <f>IFERROR(__xludf.DUMMYFUNCTION("""COMPUTED_VALUE"""),45215.66666666667)</f>
        <v>45215.66667</v>
      </c>
      <c r="B3471" s="1">
        <f>IFERROR(__xludf.DUMMYFUNCTION("""COMPUTED_VALUE"""),61.42)</f>
        <v>61.42</v>
      </c>
      <c r="C3471" s="1">
        <f>IFERROR(__xludf.DUMMYFUNCTION("""COMPUTED_VALUE"""),63.37)</f>
        <v>63.37</v>
      </c>
      <c r="D3471" s="1">
        <f>IFERROR(__xludf.DUMMYFUNCTION("""COMPUTED_VALUE"""),61.23)</f>
        <v>61.23</v>
      </c>
      <c r="E3471" s="1">
        <f>IFERROR(__xludf.DUMMYFUNCTION("""COMPUTED_VALUE"""),62.82)</f>
        <v>62.82</v>
      </c>
      <c r="F3471" s="1">
        <f>IFERROR(__xludf.DUMMYFUNCTION("""COMPUTED_VALUE"""),622083.0)</f>
        <v>622083</v>
      </c>
    </row>
    <row r="3472">
      <c r="A3472" s="2">
        <f>IFERROR(__xludf.DUMMYFUNCTION("""COMPUTED_VALUE"""),45216.66666666667)</f>
        <v>45216.66667</v>
      </c>
      <c r="B3472" s="1">
        <f>IFERROR(__xludf.DUMMYFUNCTION("""COMPUTED_VALUE"""),62.14)</f>
        <v>62.14</v>
      </c>
      <c r="C3472" s="1">
        <f>IFERROR(__xludf.DUMMYFUNCTION("""COMPUTED_VALUE"""),63.0)</f>
        <v>63</v>
      </c>
      <c r="D3472" s="1">
        <f>IFERROR(__xludf.DUMMYFUNCTION("""COMPUTED_VALUE"""),61.66)</f>
        <v>61.66</v>
      </c>
      <c r="E3472" s="1">
        <f>IFERROR(__xludf.DUMMYFUNCTION("""COMPUTED_VALUE"""),61.99)</f>
        <v>61.99</v>
      </c>
      <c r="F3472" s="1">
        <f>IFERROR(__xludf.DUMMYFUNCTION("""COMPUTED_VALUE"""),535338.0)</f>
        <v>535338</v>
      </c>
    </row>
    <row r="3473">
      <c r="A3473" s="2">
        <f>IFERROR(__xludf.DUMMYFUNCTION("""COMPUTED_VALUE"""),45217.66666666667)</f>
        <v>45217.66667</v>
      </c>
      <c r="B3473" s="1">
        <f>IFERROR(__xludf.DUMMYFUNCTION("""COMPUTED_VALUE"""),61.2)</f>
        <v>61.2</v>
      </c>
      <c r="C3473" s="1">
        <f>IFERROR(__xludf.DUMMYFUNCTION("""COMPUTED_VALUE"""),63.16)</f>
        <v>63.16</v>
      </c>
      <c r="D3473" s="1">
        <f>IFERROR(__xludf.DUMMYFUNCTION("""COMPUTED_VALUE"""),61.17)</f>
        <v>61.17</v>
      </c>
      <c r="E3473" s="1">
        <f>IFERROR(__xludf.DUMMYFUNCTION("""COMPUTED_VALUE"""),61.92)</f>
        <v>61.92</v>
      </c>
      <c r="F3473" s="1">
        <f>IFERROR(__xludf.DUMMYFUNCTION("""COMPUTED_VALUE"""),762499.0)</f>
        <v>762499</v>
      </c>
    </row>
    <row r="3474">
      <c r="A3474" s="2">
        <f>IFERROR(__xludf.DUMMYFUNCTION("""COMPUTED_VALUE"""),45218.66666666667)</f>
        <v>45218.66667</v>
      </c>
      <c r="B3474" s="1">
        <f>IFERROR(__xludf.DUMMYFUNCTION("""COMPUTED_VALUE"""),63.5)</f>
        <v>63.5</v>
      </c>
      <c r="C3474" s="1">
        <f>IFERROR(__xludf.DUMMYFUNCTION("""COMPUTED_VALUE"""),63.59)</f>
        <v>63.59</v>
      </c>
      <c r="D3474" s="1">
        <f>IFERROR(__xludf.DUMMYFUNCTION("""COMPUTED_VALUE"""),60.16)</f>
        <v>60.16</v>
      </c>
      <c r="E3474" s="1">
        <f>IFERROR(__xludf.DUMMYFUNCTION("""COMPUTED_VALUE"""),60.88)</f>
        <v>60.88</v>
      </c>
      <c r="F3474" s="1">
        <f>IFERROR(__xludf.DUMMYFUNCTION("""COMPUTED_VALUE"""),1208345.0)</f>
        <v>1208345</v>
      </c>
    </row>
    <row r="3475">
      <c r="A3475" s="2">
        <f>IFERROR(__xludf.DUMMYFUNCTION("""COMPUTED_VALUE"""),45219.66666666667)</f>
        <v>45219.66667</v>
      </c>
      <c r="B3475" s="1">
        <f>IFERROR(__xludf.DUMMYFUNCTION("""COMPUTED_VALUE"""),59.03)</f>
        <v>59.03</v>
      </c>
      <c r="C3475" s="1">
        <f>IFERROR(__xludf.DUMMYFUNCTION("""COMPUTED_VALUE"""),60.85)</f>
        <v>60.85</v>
      </c>
      <c r="D3475" s="1">
        <f>IFERROR(__xludf.DUMMYFUNCTION("""COMPUTED_VALUE"""),58.45)</f>
        <v>58.45</v>
      </c>
      <c r="E3475" s="1">
        <f>IFERROR(__xludf.DUMMYFUNCTION("""COMPUTED_VALUE"""),60.28)</f>
        <v>60.28</v>
      </c>
      <c r="F3475" s="1">
        <f>IFERROR(__xludf.DUMMYFUNCTION("""COMPUTED_VALUE"""),1338706.0)</f>
        <v>1338706</v>
      </c>
    </row>
    <row r="3476">
      <c r="A3476" s="2">
        <f>IFERROR(__xludf.DUMMYFUNCTION("""COMPUTED_VALUE"""),45222.66666666667)</f>
        <v>45222.66667</v>
      </c>
      <c r="B3476" s="1">
        <f>IFERROR(__xludf.DUMMYFUNCTION("""COMPUTED_VALUE"""),59.16)</f>
        <v>59.16</v>
      </c>
      <c r="C3476" s="1">
        <f>IFERROR(__xludf.DUMMYFUNCTION("""COMPUTED_VALUE"""),61.75)</f>
        <v>61.75</v>
      </c>
      <c r="D3476" s="1">
        <f>IFERROR(__xludf.DUMMYFUNCTION("""COMPUTED_VALUE"""),58.89)</f>
        <v>58.89</v>
      </c>
      <c r="E3476" s="1">
        <f>IFERROR(__xludf.DUMMYFUNCTION("""COMPUTED_VALUE"""),60.59)</f>
        <v>60.59</v>
      </c>
      <c r="F3476" s="1">
        <f>IFERROR(__xludf.DUMMYFUNCTION("""COMPUTED_VALUE"""),1126099.0)</f>
        <v>1126099</v>
      </c>
    </row>
    <row r="3477">
      <c r="A3477" s="2">
        <f>IFERROR(__xludf.DUMMYFUNCTION("""COMPUTED_VALUE"""),45223.66666666667)</f>
        <v>45223.66667</v>
      </c>
      <c r="B3477" s="1">
        <f>IFERROR(__xludf.DUMMYFUNCTION("""COMPUTED_VALUE"""),60.62)</f>
        <v>60.62</v>
      </c>
      <c r="C3477" s="1">
        <f>IFERROR(__xludf.DUMMYFUNCTION("""COMPUTED_VALUE"""),64.59)</f>
        <v>64.59</v>
      </c>
      <c r="D3477" s="1">
        <f>IFERROR(__xludf.DUMMYFUNCTION("""COMPUTED_VALUE"""),60.61)</f>
        <v>60.61</v>
      </c>
      <c r="E3477" s="1">
        <f>IFERROR(__xludf.DUMMYFUNCTION("""COMPUTED_VALUE"""),62.8)</f>
        <v>62.8</v>
      </c>
      <c r="F3477" s="1">
        <f>IFERROR(__xludf.DUMMYFUNCTION("""COMPUTED_VALUE"""),2077613.0)</f>
        <v>2077613</v>
      </c>
    </row>
    <row r="3478">
      <c r="A3478" s="2">
        <f>IFERROR(__xludf.DUMMYFUNCTION("""COMPUTED_VALUE"""),45224.66666666667)</f>
        <v>45224.66667</v>
      </c>
      <c r="B3478" s="1">
        <f>IFERROR(__xludf.DUMMYFUNCTION("""COMPUTED_VALUE"""),61.5)</f>
        <v>61.5</v>
      </c>
      <c r="C3478" s="1">
        <f>IFERROR(__xludf.DUMMYFUNCTION("""COMPUTED_VALUE"""),66.8)</f>
        <v>66.8</v>
      </c>
      <c r="D3478" s="1">
        <f>IFERROR(__xludf.DUMMYFUNCTION("""COMPUTED_VALUE"""),61.0)</f>
        <v>61</v>
      </c>
      <c r="E3478" s="1">
        <f>IFERROR(__xludf.DUMMYFUNCTION("""COMPUTED_VALUE"""),64.59)</f>
        <v>64.59</v>
      </c>
      <c r="F3478" s="1">
        <f>IFERROR(__xludf.DUMMYFUNCTION("""COMPUTED_VALUE"""),4882838.0)</f>
        <v>4882838</v>
      </c>
    </row>
    <row r="3479">
      <c r="A3479" s="2">
        <f>IFERROR(__xludf.DUMMYFUNCTION("""COMPUTED_VALUE"""),45225.66666666667)</f>
        <v>45225.66667</v>
      </c>
      <c r="B3479" s="1">
        <f>IFERROR(__xludf.DUMMYFUNCTION("""COMPUTED_VALUE"""),66.01)</f>
        <v>66.01</v>
      </c>
      <c r="C3479" s="1">
        <f>IFERROR(__xludf.DUMMYFUNCTION("""COMPUTED_VALUE"""),69.97)</f>
        <v>69.97</v>
      </c>
      <c r="D3479" s="1">
        <f>IFERROR(__xludf.DUMMYFUNCTION("""COMPUTED_VALUE"""),64.42)</f>
        <v>64.42</v>
      </c>
      <c r="E3479" s="1">
        <f>IFERROR(__xludf.DUMMYFUNCTION("""COMPUTED_VALUE"""),65.46)</f>
        <v>65.46</v>
      </c>
      <c r="F3479" s="1">
        <f>IFERROR(__xludf.DUMMYFUNCTION("""COMPUTED_VALUE"""),1992936.0)</f>
        <v>1992936</v>
      </c>
    </row>
    <row r="3480">
      <c r="A3480" s="2">
        <f>IFERROR(__xludf.DUMMYFUNCTION("""COMPUTED_VALUE"""),45226.66666666667)</f>
        <v>45226.66667</v>
      </c>
      <c r="B3480" s="1">
        <f>IFERROR(__xludf.DUMMYFUNCTION("""COMPUTED_VALUE"""),66.23)</f>
        <v>66.23</v>
      </c>
      <c r="C3480" s="1">
        <f>IFERROR(__xludf.DUMMYFUNCTION("""COMPUTED_VALUE"""),66.51)</f>
        <v>66.51</v>
      </c>
      <c r="D3480" s="1">
        <f>IFERROR(__xludf.DUMMYFUNCTION("""COMPUTED_VALUE"""),63.95)</f>
        <v>63.95</v>
      </c>
      <c r="E3480" s="1">
        <f>IFERROR(__xludf.DUMMYFUNCTION("""COMPUTED_VALUE"""),64.49)</f>
        <v>64.49</v>
      </c>
      <c r="F3480" s="1">
        <f>IFERROR(__xludf.DUMMYFUNCTION("""COMPUTED_VALUE"""),1955034.0)</f>
        <v>1955034</v>
      </c>
    </row>
    <row r="3481">
      <c r="A3481" s="2">
        <f>IFERROR(__xludf.DUMMYFUNCTION("""COMPUTED_VALUE"""),45229.66666666667)</f>
        <v>45229.66667</v>
      </c>
      <c r="B3481" s="1">
        <f>IFERROR(__xludf.DUMMYFUNCTION("""COMPUTED_VALUE"""),65.5)</f>
        <v>65.5</v>
      </c>
      <c r="C3481" s="1">
        <f>IFERROR(__xludf.DUMMYFUNCTION("""COMPUTED_VALUE"""),66.48)</f>
        <v>66.48</v>
      </c>
      <c r="D3481" s="1">
        <f>IFERROR(__xludf.DUMMYFUNCTION("""COMPUTED_VALUE"""),64.7)</f>
        <v>64.7</v>
      </c>
      <c r="E3481" s="1">
        <f>IFERROR(__xludf.DUMMYFUNCTION("""COMPUTED_VALUE"""),65.25)</f>
        <v>65.25</v>
      </c>
      <c r="F3481" s="1">
        <f>IFERROR(__xludf.DUMMYFUNCTION("""COMPUTED_VALUE"""),1388423.0)</f>
        <v>1388423</v>
      </c>
    </row>
    <row r="3482">
      <c r="A3482" s="2">
        <f>IFERROR(__xludf.DUMMYFUNCTION("""COMPUTED_VALUE"""),45230.66666666667)</f>
        <v>45230.66667</v>
      </c>
      <c r="B3482" s="1">
        <f>IFERROR(__xludf.DUMMYFUNCTION("""COMPUTED_VALUE"""),64.65)</f>
        <v>64.65</v>
      </c>
      <c r="C3482" s="1">
        <f>IFERROR(__xludf.DUMMYFUNCTION("""COMPUTED_VALUE"""),65.97)</f>
        <v>65.97</v>
      </c>
      <c r="D3482" s="1">
        <f>IFERROR(__xludf.DUMMYFUNCTION("""COMPUTED_VALUE"""),64.27)</f>
        <v>64.27</v>
      </c>
      <c r="E3482" s="1">
        <f>IFERROR(__xludf.DUMMYFUNCTION("""COMPUTED_VALUE"""),65.49)</f>
        <v>65.49</v>
      </c>
      <c r="F3482" s="1">
        <f>IFERROR(__xludf.DUMMYFUNCTION("""COMPUTED_VALUE"""),1007315.0)</f>
        <v>1007315</v>
      </c>
    </row>
    <row r="3483">
      <c r="A3483" s="2">
        <f>IFERROR(__xludf.DUMMYFUNCTION("""COMPUTED_VALUE"""),45231.66666666667)</f>
        <v>45231.66667</v>
      </c>
      <c r="B3483" s="1">
        <f>IFERROR(__xludf.DUMMYFUNCTION("""COMPUTED_VALUE"""),64.74)</f>
        <v>64.74</v>
      </c>
      <c r="C3483" s="1">
        <f>IFERROR(__xludf.DUMMYFUNCTION("""COMPUTED_VALUE"""),66.15)</f>
        <v>66.15</v>
      </c>
      <c r="D3483" s="1">
        <f>IFERROR(__xludf.DUMMYFUNCTION("""COMPUTED_VALUE"""),64.44)</f>
        <v>64.44</v>
      </c>
      <c r="E3483" s="1">
        <f>IFERROR(__xludf.DUMMYFUNCTION("""COMPUTED_VALUE"""),66.14)</f>
        <v>66.14</v>
      </c>
      <c r="F3483" s="1">
        <f>IFERROR(__xludf.DUMMYFUNCTION("""COMPUTED_VALUE"""),1197574.0)</f>
        <v>1197574</v>
      </c>
    </row>
    <row r="3484">
      <c r="A3484" s="2">
        <f>IFERROR(__xludf.DUMMYFUNCTION("""COMPUTED_VALUE"""),45232.66666666667)</f>
        <v>45232.66667</v>
      </c>
      <c r="B3484" s="1">
        <f>IFERROR(__xludf.DUMMYFUNCTION("""COMPUTED_VALUE"""),67.0)</f>
        <v>67</v>
      </c>
      <c r="C3484" s="1">
        <f>IFERROR(__xludf.DUMMYFUNCTION("""COMPUTED_VALUE"""),68.04)</f>
        <v>68.04</v>
      </c>
      <c r="D3484" s="1">
        <f>IFERROR(__xludf.DUMMYFUNCTION("""COMPUTED_VALUE"""),65.9)</f>
        <v>65.9</v>
      </c>
      <c r="E3484" s="1">
        <f>IFERROR(__xludf.DUMMYFUNCTION("""COMPUTED_VALUE"""),66.42)</f>
        <v>66.42</v>
      </c>
      <c r="F3484" s="1">
        <f>IFERROR(__xludf.DUMMYFUNCTION("""COMPUTED_VALUE"""),828180.0)</f>
        <v>828180</v>
      </c>
    </row>
    <row r="3485">
      <c r="A3485" s="2">
        <f>IFERROR(__xludf.DUMMYFUNCTION("""COMPUTED_VALUE"""),45233.66666666667)</f>
        <v>45233.66667</v>
      </c>
      <c r="B3485" s="1">
        <f>IFERROR(__xludf.DUMMYFUNCTION("""COMPUTED_VALUE"""),67.03)</f>
        <v>67.03</v>
      </c>
      <c r="C3485" s="1">
        <f>IFERROR(__xludf.DUMMYFUNCTION("""COMPUTED_VALUE"""),67.6)</f>
        <v>67.6</v>
      </c>
      <c r="D3485" s="1">
        <f>IFERROR(__xludf.DUMMYFUNCTION("""COMPUTED_VALUE"""),66.14)</f>
        <v>66.14</v>
      </c>
      <c r="E3485" s="1">
        <f>IFERROR(__xludf.DUMMYFUNCTION("""COMPUTED_VALUE"""),66.39)</f>
        <v>66.39</v>
      </c>
      <c r="F3485" s="1">
        <f>IFERROR(__xludf.DUMMYFUNCTION("""COMPUTED_VALUE"""),880624.0)</f>
        <v>880624</v>
      </c>
    </row>
    <row r="3486">
      <c r="A3486" s="2">
        <f>IFERROR(__xludf.DUMMYFUNCTION("""COMPUTED_VALUE"""),45236.66666666667)</f>
        <v>45236.66667</v>
      </c>
      <c r="B3486" s="1">
        <f>IFERROR(__xludf.DUMMYFUNCTION("""COMPUTED_VALUE"""),67.51)</f>
        <v>67.51</v>
      </c>
      <c r="C3486" s="1">
        <f>IFERROR(__xludf.DUMMYFUNCTION("""COMPUTED_VALUE"""),67.67)</f>
        <v>67.67</v>
      </c>
      <c r="D3486" s="1">
        <f>IFERROR(__xludf.DUMMYFUNCTION("""COMPUTED_VALUE"""),63.8)</f>
        <v>63.8</v>
      </c>
      <c r="E3486" s="1">
        <f>IFERROR(__xludf.DUMMYFUNCTION("""COMPUTED_VALUE"""),65.53)</f>
        <v>65.53</v>
      </c>
      <c r="F3486" s="1">
        <f>IFERROR(__xludf.DUMMYFUNCTION("""COMPUTED_VALUE"""),1625229.0)</f>
        <v>1625229</v>
      </c>
    </row>
    <row r="3487">
      <c r="A3487" s="2">
        <f>IFERROR(__xludf.DUMMYFUNCTION("""COMPUTED_VALUE"""),45237.66666666667)</f>
        <v>45237.66667</v>
      </c>
      <c r="B3487" s="1">
        <f>IFERROR(__xludf.DUMMYFUNCTION("""COMPUTED_VALUE"""),65.5)</f>
        <v>65.5</v>
      </c>
      <c r="C3487" s="1">
        <f>IFERROR(__xludf.DUMMYFUNCTION("""COMPUTED_VALUE"""),67.85)</f>
        <v>67.85</v>
      </c>
      <c r="D3487" s="1">
        <f>IFERROR(__xludf.DUMMYFUNCTION("""COMPUTED_VALUE"""),65.32)</f>
        <v>65.32</v>
      </c>
      <c r="E3487" s="1">
        <f>IFERROR(__xludf.DUMMYFUNCTION("""COMPUTED_VALUE"""),67.38)</f>
        <v>67.38</v>
      </c>
      <c r="F3487" s="1">
        <f>IFERROR(__xludf.DUMMYFUNCTION("""COMPUTED_VALUE"""),1890308.0)</f>
        <v>1890308</v>
      </c>
    </row>
    <row r="3488">
      <c r="A3488" s="2">
        <f>IFERROR(__xludf.DUMMYFUNCTION("""COMPUTED_VALUE"""),45238.66666666667)</f>
        <v>45238.66667</v>
      </c>
      <c r="B3488" s="1">
        <f>IFERROR(__xludf.DUMMYFUNCTION("""COMPUTED_VALUE"""),66.88)</f>
        <v>66.88</v>
      </c>
      <c r="C3488" s="1">
        <f>IFERROR(__xludf.DUMMYFUNCTION("""COMPUTED_VALUE"""),68.4)</f>
        <v>68.4</v>
      </c>
      <c r="D3488" s="1">
        <f>IFERROR(__xludf.DUMMYFUNCTION("""COMPUTED_VALUE"""),66.58)</f>
        <v>66.58</v>
      </c>
      <c r="E3488" s="1">
        <f>IFERROR(__xludf.DUMMYFUNCTION("""COMPUTED_VALUE"""),68.03)</f>
        <v>68.03</v>
      </c>
      <c r="F3488" s="1">
        <f>IFERROR(__xludf.DUMMYFUNCTION("""COMPUTED_VALUE"""),934934.0)</f>
        <v>934934</v>
      </c>
    </row>
    <row r="3489">
      <c r="A3489" s="2">
        <f>IFERROR(__xludf.DUMMYFUNCTION("""COMPUTED_VALUE"""),45239.66666666667)</f>
        <v>45239.66667</v>
      </c>
      <c r="B3489" s="1">
        <f>IFERROR(__xludf.DUMMYFUNCTION("""COMPUTED_VALUE"""),68.4)</f>
        <v>68.4</v>
      </c>
      <c r="C3489" s="1">
        <f>IFERROR(__xludf.DUMMYFUNCTION("""COMPUTED_VALUE"""),69.58)</f>
        <v>69.58</v>
      </c>
      <c r="D3489" s="1">
        <f>IFERROR(__xludf.DUMMYFUNCTION("""COMPUTED_VALUE"""),67.23)</f>
        <v>67.23</v>
      </c>
      <c r="E3489" s="1">
        <f>IFERROR(__xludf.DUMMYFUNCTION("""COMPUTED_VALUE"""),67.62)</f>
        <v>67.62</v>
      </c>
      <c r="F3489" s="1">
        <f>IFERROR(__xludf.DUMMYFUNCTION("""COMPUTED_VALUE"""),1573092.0)</f>
        <v>1573092</v>
      </c>
    </row>
    <row r="3490">
      <c r="A3490" s="2">
        <f>IFERROR(__xludf.DUMMYFUNCTION("""COMPUTED_VALUE"""),45240.66666666667)</f>
        <v>45240.66667</v>
      </c>
      <c r="B3490" s="1">
        <f>IFERROR(__xludf.DUMMYFUNCTION("""COMPUTED_VALUE"""),67.22)</f>
        <v>67.22</v>
      </c>
      <c r="C3490" s="1">
        <f>IFERROR(__xludf.DUMMYFUNCTION("""COMPUTED_VALUE"""),68.27)</f>
        <v>68.27</v>
      </c>
      <c r="D3490" s="1">
        <f>IFERROR(__xludf.DUMMYFUNCTION("""COMPUTED_VALUE"""),67.22)</f>
        <v>67.22</v>
      </c>
      <c r="E3490" s="1">
        <f>IFERROR(__xludf.DUMMYFUNCTION("""COMPUTED_VALUE"""),67.87)</f>
        <v>67.87</v>
      </c>
      <c r="F3490" s="1">
        <f>IFERROR(__xludf.DUMMYFUNCTION("""COMPUTED_VALUE"""),804464.0)</f>
        <v>804464</v>
      </c>
    </row>
    <row r="3491">
      <c r="A3491" s="2">
        <f>IFERROR(__xludf.DUMMYFUNCTION("""COMPUTED_VALUE"""),45243.66666666667)</f>
        <v>45243.66667</v>
      </c>
      <c r="B3491" s="1">
        <f>IFERROR(__xludf.DUMMYFUNCTION("""COMPUTED_VALUE"""),68.33)</f>
        <v>68.33</v>
      </c>
      <c r="C3491" s="1">
        <f>IFERROR(__xludf.DUMMYFUNCTION("""COMPUTED_VALUE"""),69.79)</f>
        <v>69.79</v>
      </c>
      <c r="D3491" s="1">
        <f>IFERROR(__xludf.DUMMYFUNCTION("""COMPUTED_VALUE"""),67.38)</f>
        <v>67.38</v>
      </c>
      <c r="E3491" s="1">
        <f>IFERROR(__xludf.DUMMYFUNCTION("""COMPUTED_VALUE"""),69.51)</f>
        <v>69.51</v>
      </c>
      <c r="F3491" s="1">
        <f>IFERROR(__xludf.DUMMYFUNCTION("""COMPUTED_VALUE"""),1119608.0)</f>
        <v>1119608</v>
      </c>
    </row>
    <row r="3492">
      <c r="A3492" s="2">
        <f>IFERROR(__xludf.DUMMYFUNCTION("""COMPUTED_VALUE"""),45244.66666666667)</f>
        <v>45244.66667</v>
      </c>
      <c r="B3492" s="1">
        <f>IFERROR(__xludf.DUMMYFUNCTION("""COMPUTED_VALUE"""),69.9)</f>
        <v>69.9</v>
      </c>
      <c r="C3492" s="1">
        <f>IFERROR(__xludf.DUMMYFUNCTION("""COMPUTED_VALUE"""),70.55)</f>
        <v>70.55</v>
      </c>
      <c r="D3492" s="1">
        <f>IFERROR(__xludf.DUMMYFUNCTION("""COMPUTED_VALUE"""),68.5)</f>
        <v>68.5</v>
      </c>
      <c r="E3492" s="1">
        <f>IFERROR(__xludf.DUMMYFUNCTION("""COMPUTED_VALUE"""),69.5)</f>
        <v>69.5</v>
      </c>
      <c r="F3492" s="1">
        <f>IFERROR(__xludf.DUMMYFUNCTION("""COMPUTED_VALUE"""),1010324.0)</f>
        <v>1010324</v>
      </c>
    </row>
    <row r="3493">
      <c r="A3493" s="2">
        <f>IFERROR(__xludf.DUMMYFUNCTION("""COMPUTED_VALUE"""),45245.66666666667)</f>
        <v>45245.66667</v>
      </c>
      <c r="B3493" s="1">
        <f>IFERROR(__xludf.DUMMYFUNCTION("""COMPUTED_VALUE"""),68.82)</f>
        <v>68.82</v>
      </c>
      <c r="C3493" s="1">
        <f>IFERROR(__xludf.DUMMYFUNCTION("""COMPUTED_VALUE"""),69.8)</f>
        <v>69.8</v>
      </c>
      <c r="D3493" s="1">
        <f>IFERROR(__xludf.DUMMYFUNCTION("""COMPUTED_VALUE"""),67.74)</f>
        <v>67.74</v>
      </c>
      <c r="E3493" s="1">
        <f>IFERROR(__xludf.DUMMYFUNCTION("""COMPUTED_VALUE"""),67.77)</f>
        <v>67.77</v>
      </c>
      <c r="F3493" s="1">
        <f>IFERROR(__xludf.DUMMYFUNCTION("""COMPUTED_VALUE"""),2222628.0)</f>
        <v>2222628</v>
      </c>
    </row>
    <row r="3494">
      <c r="A3494" s="2">
        <f>IFERROR(__xludf.DUMMYFUNCTION("""COMPUTED_VALUE"""),45246.66666666667)</f>
        <v>45246.66667</v>
      </c>
      <c r="B3494" s="1">
        <f>IFERROR(__xludf.DUMMYFUNCTION("""COMPUTED_VALUE"""),66.86)</f>
        <v>66.86</v>
      </c>
      <c r="C3494" s="1">
        <f>IFERROR(__xludf.DUMMYFUNCTION("""COMPUTED_VALUE"""),69.69)</f>
        <v>69.69</v>
      </c>
      <c r="D3494" s="1">
        <f>IFERROR(__xludf.DUMMYFUNCTION("""COMPUTED_VALUE"""),66.35)</f>
        <v>66.35</v>
      </c>
      <c r="E3494" s="1">
        <f>IFERROR(__xludf.DUMMYFUNCTION("""COMPUTED_VALUE"""),68.99)</f>
        <v>68.99</v>
      </c>
      <c r="F3494" s="1">
        <f>IFERROR(__xludf.DUMMYFUNCTION("""COMPUTED_VALUE"""),1668309.0)</f>
        <v>1668309</v>
      </c>
    </row>
    <row r="3495">
      <c r="A3495" s="2">
        <f>IFERROR(__xludf.DUMMYFUNCTION("""COMPUTED_VALUE"""),45247.66666666667)</f>
        <v>45247.66667</v>
      </c>
      <c r="B3495" s="1">
        <f>IFERROR(__xludf.DUMMYFUNCTION("""COMPUTED_VALUE"""),68.58)</f>
        <v>68.58</v>
      </c>
      <c r="C3495" s="1">
        <f>IFERROR(__xludf.DUMMYFUNCTION("""COMPUTED_VALUE"""),69.48)</f>
        <v>69.48</v>
      </c>
      <c r="D3495" s="1">
        <f>IFERROR(__xludf.DUMMYFUNCTION("""COMPUTED_VALUE"""),68.27)</f>
        <v>68.27</v>
      </c>
      <c r="E3495" s="1">
        <f>IFERROR(__xludf.DUMMYFUNCTION("""COMPUTED_VALUE"""),68.3)</f>
        <v>68.3</v>
      </c>
      <c r="F3495" s="1">
        <f>IFERROR(__xludf.DUMMYFUNCTION("""COMPUTED_VALUE"""),718635.0)</f>
        <v>718635</v>
      </c>
    </row>
    <row r="3496">
      <c r="A3496" s="2">
        <f>IFERROR(__xludf.DUMMYFUNCTION("""COMPUTED_VALUE"""),45250.66666666667)</f>
        <v>45250.66667</v>
      </c>
      <c r="B3496" s="1">
        <f>IFERROR(__xludf.DUMMYFUNCTION("""COMPUTED_VALUE"""),70.35)</f>
        <v>70.35</v>
      </c>
      <c r="C3496" s="1">
        <f>IFERROR(__xludf.DUMMYFUNCTION("""COMPUTED_VALUE"""),72.5)</f>
        <v>72.5</v>
      </c>
      <c r="D3496" s="1">
        <f>IFERROR(__xludf.DUMMYFUNCTION("""COMPUTED_VALUE"""),69.65)</f>
        <v>69.65</v>
      </c>
      <c r="E3496" s="1">
        <f>IFERROR(__xludf.DUMMYFUNCTION("""COMPUTED_VALUE"""),71.35)</f>
        <v>71.35</v>
      </c>
      <c r="F3496" s="1">
        <f>IFERROR(__xludf.DUMMYFUNCTION("""COMPUTED_VALUE"""),1896356.0)</f>
        <v>1896356</v>
      </c>
    </row>
    <row r="3497">
      <c r="A3497" s="2">
        <f>IFERROR(__xludf.DUMMYFUNCTION("""COMPUTED_VALUE"""),45251.66666666667)</f>
        <v>45251.66667</v>
      </c>
      <c r="B3497" s="1">
        <f>IFERROR(__xludf.DUMMYFUNCTION("""COMPUTED_VALUE"""),69.17)</f>
        <v>69.17</v>
      </c>
      <c r="C3497" s="1">
        <f>IFERROR(__xludf.DUMMYFUNCTION("""COMPUTED_VALUE"""),72.4)</f>
        <v>72.4</v>
      </c>
      <c r="D3497" s="1">
        <f>IFERROR(__xludf.DUMMYFUNCTION("""COMPUTED_VALUE"""),69.0)</f>
        <v>69</v>
      </c>
      <c r="E3497" s="1">
        <f>IFERROR(__xludf.DUMMYFUNCTION("""COMPUTED_VALUE"""),71.96)</f>
        <v>71.96</v>
      </c>
      <c r="F3497" s="1">
        <f>IFERROR(__xludf.DUMMYFUNCTION("""COMPUTED_VALUE"""),1072217.0)</f>
        <v>1072217</v>
      </c>
    </row>
    <row r="3498">
      <c r="A3498" s="2">
        <f>IFERROR(__xludf.DUMMYFUNCTION("""COMPUTED_VALUE"""),45252.66666666667)</f>
        <v>45252.66667</v>
      </c>
      <c r="B3498" s="1">
        <f>IFERROR(__xludf.DUMMYFUNCTION("""COMPUTED_VALUE"""),72.23)</f>
        <v>72.23</v>
      </c>
      <c r="C3498" s="1">
        <f>IFERROR(__xludf.DUMMYFUNCTION("""COMPUTED_VALUE"""),72.6)</f>
        <v>72.6</v>
      </c>
      <c r="D3498" s="1">
        <f>IFERROR(__xludf.DUMMYFUNCTION("""COMPUTED_VALUE"""),70.54)</f>
        <v>70.54</v>
      </c>
      <c r="E3498" s="1">
        <f>IFERROR(__xludf.DUMMYFUNCTION("""COMPUTED_VALUE"""),71.85)</f>
        <v>71.85</v>
      </c>
      <c r="F3498" s="1">
        <f>IFERROR(__xludf.DUMMYFUNCTION("""COMPUTED_VALUE"""),617472.0)</f>
        <v>617472</v>
      </c>
    </row>
    <row r="3499">
      <c r="A3499" s="2">
        <f>IFERROR(__xludf.DUMMYFUNCTION("""COMPUTED_VALUE"""),45254.54166666667)</f>
        <v>45254.54167</v>
      </c>
      <c r="B3499" s="1">
        <f>IFERROR(__xludf.DUMMYFUNCTION("""COMPUTED_VALUE"""),72.27)</f>
        <v>72.27</v>
      </c>
      <c r="C3499" s="1">
        <f>IFERROR(__xludf.DUMMYFUNCTION("""COMPUTED_VALUE"""),76.34)</f>
        <v>76.34</v>
      </c>
      <c r="D3499" s="1">
        <f>IFERROR(__xludf.DUMMYFUNCTION("""COMPUTED_VALUE"""),72.27)</f>
        <v>72.27</v>
      </c>
      <c r="E3499" s="1">
        <f>IFERROR(__xludf.DUMMYFUNCTION("""COMPUTED_VALUE"""),75.4)</f>
        <v>75.4</v>
      </c>
      <c r="F3499" s="1">
        <f>IFERROR(__xludf.DUMMYFUNCTION("""COMPUTED_VALUE"""),1191615.0)</f>
        <v>1191615</v>
      </c>
    </row>
    <row r="3500">
      <c r="A3500" s="2">
        <f>IFERROR(__xludf.DUMMYFUNCTION("""COMPUTED_VALUE"""),45257.66666666667)</f>
        <v>45257.66667</v>
      </c>
      <c r="B3500" s="1">
        <f>IFERROR(__xludf.DUMMYFUNCTION("""COMPUTED_VALUE"""),75.0)</f>
        <v>75</v>
      </c>
      <c r="C3500" s="1">
        <f>IFERROR(__xludf.DUMMYFUNCTION("""COMPUTED_VALUE"""),75.26)</f>
        <v>75.26</v>
      </c>
      <c r="D3500" s="1">
        <f>IFERROR(__xludf.DUMMYFUNCTION("""COMPUTED_VALUE"""),74.21)</f>
        <v>74.21</v>
      </c>
      <c r="E3500" s="1">
        <f>IFERROR(__xludf.DUMMYFUNCTION("""COMPUTED_VALUE"""),74.86)</f>
        <v>74.86</v>
      </c>
      <c r="F3500" s="1">
        <f>IFERROR(__xludf.DUMMYFUNCTION("""COMPUTED_VALUE"""),984912.0)</f>
        <v>984912</v>
      </c>
    </row>
    <row r="3501">
      <c r="A3501" s="2">
        <f>IFERROR(__xludf.DUMMYFUNCTION("""COMPUTED_VALUE"""),45258.66666666667)</f>
        <v>45258.66667</v>
      </c>
      <c r="B3501" s="1">
        <f>IFERROR(__xludf.DUMMYFUNCTION("""COMPUTED_VALUE"""),76.21)</f>
        <v>76.21</v>
      </c>
      <c r="C3501" s="1">
        <f>IFERROR(__xludf.DUMMYFUNCTION("""COMPUTED_VALUE"""),78.95)</f>
        <v>78.95</v>
      </c>
      <c r="D3501" s="1">
        <f>IFERROR(__xludf.DUMMYFUNCTION("""COMPUTED_VALUE"""),76.01)</f>
        <v>76.01</v>
      </c>
      <c r="E3501" s="1">
        <f>IFERROR(__xludf.DUMMYFUNCTION("""COMPUTED_VALUE"""),76.94)</f>
        <v>76.94</v>
      </c>
      <c r="F3501" s="1">
        <f>IFERROR(__xludf.DUMMYFUNCTION("""COMPUTED_VALUE"""),2010184.0)</f>
        <v>2010184</v>
      </c>
    </row>
    <row r="3502">
      <c r="A3502" s="2">
        <f>IFERROR(__xludf.DUMMYFUNCTION("""COMPUTED_VALUE"""),45259.66666666667)</f>
        <v>45259.66667</v>
      </c>
      <c r="B3502" s="1">
        <f>IFERROR(__xludf.DUMMYFUNCTION("""COMPUTED_VALUE"""),78.25)</f>
        <v>78.25</v>
      </c>
      <c r="C3502" s="1">
        <f>IFERROR(__xludf.DUMMYFUNCTION("""COMPUTED_VALUE"""),79.11)</f>
        <v>79.11</v>
      </c>
      <c r="D3502" s="1">
        <f>IFERROR(__xludf.DUMMYFUNCTION("""COMPUTED_VALUE"""),77.5)</f>
        <v>77.5</v>
      </c>
      <c r="E3502" s="1">
        <f>IFERROR(__xludf.DUMMYFUNCTION("""COMPUTED_VALUE"""),78.35)</f>
        <v>78.35</v>
      </c>
      <c r="F3502" s="1">
        <f>IFERROR(__xludf.DUMMYFUNCTION("""COMPUTED_VALUE"""),1688060.0)</f>
        <v>1688060</v>
      </c>
    </row>
    <row r="3503">
      <c r="A3503" s="2">
        <f>IFERROR(__xludf.DUMMYFUNCTION("""COMPUTED_VALUE"""),45260.66666666667)</f>
        <v>45260.66667</v>
      </c>
      <c r="B3503" s="1">
        <f>IFERROR(__xludf.DUMMYFUNCTION("""COMPUTED_VALUE"""),80.0)</f>
        <v>80</v>
      </c>
      <c r="C3503" s="1">
        <f>IFERROR(__xludf.DUMMYFUNCTION("""COMPUTED_VALUE"""),81.59)</f>
        <v>81.59</v>
      </c>
      <c r="D3503" s="1">
        <f>IFERROR(__xludf.DUMMYFUNCTION("""COMPUTED_VALUE"""),79.58)</f>
        <v>79.58</v>
      </c>
      <c r="E3503" s="1">
        <f>IFERROR(__xludf.DUMMYFUNCTION("""COMPUTED_VALUE"""),81.38)</f>
        <v>81.38</v>
      </c>
      <c r="F3503" s="1">
        <f>IFERROR(__xludf.DUMMYFUNCTION("""COMPUTED_VALUE"""),2507058.0)</f>
        <v>2507058</v>
      </c>
    </row>
    <row r="3504">
      <c r="A3504" s="2">
        <f>IFERROR(__xludf.DUMMYFUNCTION("""COMPUTED_VALUE"""),45261.66666666667)</f>
        <v>45261.66667</v>
      </c>
      <c r="B3504" s="1">
        <f>IFERROR(__xludf.DUMMYFUNCTION("""COMPUTED_VALUE"""),81.74)</f>
        <v>81.74</v>
      </c>
      <c r="C3504" s="1">
        <f>IFERROR(__xludf.DUMMYFUNCTION("""COMPUTED_VALUE"""),82.57)</f>
        <v>82.57</v>
      </c>
      <c r="D3504" s="1">
        <f>IFERROR(__xludf.DUMMYFUNCTION("""COMPUTED_VALUE"""),79.82)</f>
        <v>79.82</v>
      </c>
      <c r="E3504" s="1">
        <f>IFERROR(__xludf.DUMMYFUNCTION("""COMPUTED_VALUE"""),81.63)</f>
        <v>81.63</v>
      </c>
      <c r="F3504" s="1">
        <f>IFERROR(__xludf.DUMMYFUNCTION("""COMPUTED_VALUE"""),1687418.0)</f>
        <v>1687418</v>
      </c>
    </row>
    <row r="3505">
      <c r="A3505" s="2">
        <f>IFERROR(__xludf.DUMMYFUNCTION("""COMPUTED_VALUE"""),45264.66666666667)</f>
        <v>45264.66667</v>
      </c>
      <c r="B3505" s="1">
        <f>IFERROR(__xludf.DUMMYFUNCTION("""COMPUTED_VALUE"""),82.18)</f>
        <v>82.18</v>
      </c>
      <c r="C3505" s="1">
        <f>IFERROR(__xludf.DUMMYFUNCTION("""COMPUTED_VALUE"""),82.35)</f>
        <v>82.35</v>
      </c>
      <c r="D3505" s="1">
        <f>IFERROR(__xludf.DUMMYFUNCTION("""COMPUTED_VALUE"""),80.02)</f>
        <v>80.02</v>
      </c>
      <c r="E3505" s="1">
        <f>IFERROR(__xludf.DUMMYFUNCTION("""COMPUTED_VALUE"""),81.31)</f>
        <v>81.31</v>
      </c>
      <c r="F3505" s="1">
        <f>IFERROR(__xludf.DUMMYFUNCTION("""COMPUTED_VALUE"""),1548148.0)</f>
        <v>1548148</v>
      </c>
    </row>
    <row r="3506">
      <c r="A3506" s="2">
        <f>IFERROR(__xludf.DUMMYFUNCTION("""COMPUTED_VALUE"""),45265.66666666667)</f>
        <v>45265.66667</v>
      </c>
      <c r="B3506" s="1">
        <f>IFERROR(__xludf.DUMMYFUNCTION("""COMPUTED_VALUE"""),77.4)</f>
        <v>77.4</v>
      </c>
      <c r="C3506" s="1">
        <f>IFERROR(__xludf.DUMMYFUNCTION("""COMPUTED_VALUE"""),78.44)</f>
        <v>78.44</v>
      </c>
      <c r="D3506" s="1">
        <f>IFERROR(__xludf.DUMMYFUNCTION("""COMPUTED_VALUE"""),75.0)</f>
        <v>75</v>
      </c>
      <c r="E3506" s="1">
        <f>IFERROR(__xludf.DUMMYFUNCTION("""COMPUTED_VALUE"""),76.07)</f>
        <v>76.07</v>
      </c>
      <c r="F3506" s="1">
        <f>IFERROR(__xludf.DUMMYFUNCTION("""COMPUTED_VALUE"""),2642664.0)</f>
        <v>2642664</v>
      </c>
    </row>
    <row r="3507">
      <c r="A3507" s="2">
        <f>IFERROR(__xludf.DUMMYFUNCTION("""COMPUTED_VALUE"""),45266.66666666667)</f>
        <v>45266.66667</v>
      </c>
      <c r="B3507" s="1">
        <f>IFERROR(__xludf.DUMMYFUNCTION("""COMPUTED_VALUE"""),78.82)</f>
        <v>78.82</v>
      </c>
      <c r="C3507" s="1">
        <f>IFERROR(__xludf.DUMMYFUNCTION("""COMPUTED_VALUE"""),79.25)</f>
        <v>79.25</v>
      </c>
      <c r="D3507" s="1">
        <f>IFERROR(__xludf.DUMMYFUNCTION("""COMPUTED_VALUE"""),77.59)</f>
        <v>77.59</v>
      </c>
      <c r="E3507" s="1">
        <f>IFERROR(__xludf.DUMMYFUNCTION("""COMPUTED_VALUE"""),78.06)</f>
        <v>78.06</v>
      </c>
      <c r="F3507" s="1">
        <f>IFERROR(__xludf.DUMMYFUNCTION("""COMPUTED_VALUE"""),1628051.0)</f>
        <v>1628051</v>
      </c>
    </row>
    <row r="3508">
      <c r="A3508" s="2">
        <f>IFERROR(__xludf.DUMMYFUNCTION("""COMPUTED_VALUE"""),45267.66666666667)</f>
        <v>45267.66667</v>
      </c>
      <c r="B3508" s="1">
        <f>IFERROR(__xludf.DUMMYFUNCTION("""COMPUTED_VALUE"""),78.84)</f>
        <v>78.84</v>
      </c>
      <c r="C3508" s="1">
        <f>IFERROR(__xludf.DUMMYFUNCTION("""COMPUTED_VALUE"""),80.1)</f>
        <v>80.1</v>
      </c>
      <c r="D3508" s="1">
        <f>IFERROR(__xludf.DUMMYFUNCTION("""COMPUTED_VALUE"""),78.5)</f>
        <v>78.5</v>
      </c>
      <c r="E3508" s="1">
        <f>IFERROR(__xludf.DUMMYFUNCTION("""COMPUTED_VALUE"""),79.79)</f>
        <v>79.79</v>
      </c>
      <c r="F3508" s="1">
        <f>IFERROR(__xludf.DUMMYFUNCTION("""COMPUTED_VALUE"""),906745.0)</f>
        <v>906745</v>
      </c>
    </row>
    <row r="3509">
      <c r="A3509" s="2">
        <f>IFERROR(__xludf.DUMMYFUNCTION("""COMPUTED_VALUE"""),45268.66666666667)</f>
        <v>45268.66667</v>
      </c>
      <c r="B3509" s="1">
        <f>IFERROR(__xludf.DUMMYFUNCTION("""COMPUTED_VALUE"""),79.05)</f>
        <v>79.05</v>
      </c>
      <c r="C3509" s="1">
        <f>IFERROR(__xludf.DUMMYFUNCTION("""COMPUTED_VALUE"""),80.97)</f>
        <v>80.97</v>
      </c>
      <c r="D3509" s="1">
        <f>IFERROR(__xludf.DUMMYFUNCTION("""COMPUTED_VALUE"""),79.05)</f>
        <v>79.05</v>
      </c>
      <c r="E3509" s="1">
        <f>IFERROR(__xludf.DUMMYFUNCTION("""COMPUTED_VALUE"""),80.39)</f>
        <v>80.39</v>
      </c>
      <c r="F3509" s="1">
        <f>IFERROR(__xludf.DUMMYFUNCTION("""COMPUTED_VALUE"""),904737.0)</f>
        <v>904737</v>
      </c>
    </row>
    <row r="3510">
      <c r="A3510" s="2">
        <f>IFERROR(__xludf.DUMMYFUNCTION("""COMPUTED_VALUE"""),45271.66666666667)</f>
        <v>45271.66667</v>
      </c>
      <c r="B3510" s="1">
        <f>IFERROR(__xludf.DUMMYFUNCTION("""COMPUTED_VALUE"""),77.94)</f>
        <v>77.94</v>
      </c>
      <c r="C3510" s="1">
        <f>IFERROR(__xludf.DUMMYFUNCTION("""COMPUTED_VALUE"""),80.14)</f>
        <v>80.14</v>
      </c>
      <c r="D3510" s="1">
        <f>IFERROR(__xludf.DUMMYFUNCTION("""COMPUTED_VALUE"""),77.14)</f>
        <v>77.14</v>
      </c>
      <c r="E3510" s="1">
        <f>IFERROR(__xludf.DUMMYFUNCTION("""COMPUTED_VALUE"""),78.99)</f>
        <v>78.99</v>
      </c>
      <c r="F3510" s="1">
        <f>IFERROR(__xludf.DUMMYFUNCTION("""COMPUTED_VALUE"""),1446855.0)</f>
        <v>1446855</v>
      </c>
    </row>
    <row r="3511">
      <c r="A3511" s="2">
        <f>IFERROR(__xludf.DUMMYFUNCTION("""COMPUTED_VALUE"""),45272.66666666667)</f>
        <v>45272.66667</v>
      </c>
      <c r="B3511" s="1">
        <f>IFERROR(__xludf.DUMMYFUNCTION("""COMPUTED_VALUE"""),79.42)</f>
        <v>79.42</v>
      </c>
      <c r="C3511" s="1">
        <f>IFERROR(__xludf.DUMMYFUNCTION("""COMPUTED_VALUE"""),83.73)</f>
        <v>83.73</v>
      </c>
      <c r="D3511" s="1">
        <f>IFERROR(__xludf.DUMMYFUNCTION("""COMPUTED_VALUE"""),79.24)</f>
        <v>79.24</v>
      </c>
      <c r="E3511" s="1">
        <f>IFERROR(__xludf.DUMMYFUNCTION("""COMPUTED_VALUE"""),82.76)</f>
        <v>82.76</v>
      </c>
      <c r="F3511" s="1">
        <f>IFERROR(__xludf.DUMMYFUNCTION("""COMPUTED_VALUE"""),1427465.0)</f>
        <v>1427465</v>
      </c>
    </row>
    <row r="3512">
      <c r="A3512" s="2">
        <f>IFERROR(__xludf.DUMMYFUNCTION("""COMPUTED_VALUE"""),45273.66666666667)</f>
        <v>45273.66667</v>
      </c>
      <c r="B3512" s="1">
        <f>IFERROR(__xludf.DUMMYFUNCTION("""COMPUTED_VALUE"""),81.64)</f>
        <v>81.64</v>
      </c>
      <c r="C3512" s="1">
        <f>IFERROR(__xludf.DUMMYFUNCTION("""COMPUTED_VALUE"""),81.78)</f>
        <v>81.78</v>
      </c>
      <c r="D3512" s="1">
        <f>IFERROR(__xludf.DUMMYFUNCTION("""COMPUTED_VALUE"""),80.0)</f>
        <v>80</v>
      </c>
      <c r="E3512" s="1">
        <f>IFERROR(__xludf.DUMMYFUNCTION("""COMPUTED_VALUE"""),80.81)</f>
        <v>80.81</v>
      </c>
      <c r="F3512" s="1">
        <f>IFERROR(__xludf.DUMMYFUNCTION("""COMPUTED_VALUE"""),1439375.0)</f>
        <v>1439375</v>
      </c>
    </row>
    <row r="3513">
      <c r="A3513" s="2">
        <f>IFERROR(__xludf.DUMMYFUNCTION("""COMPUTED_VALUE"""),45274.66666666667)</f>
        <v>45274.66667</v>
      </c>
      <c r="B3513" s="1">
        <f>IFERROR(__xludf.DUMMYFUNCTION("""COMPUTED_VALUE"""),78.52)</f>
        <v>78.52</v>
      </c>
      <c r="C3513" s="1">
        <f>IFERROR(__xludf.DUMMYFUNCTION("""COMPUTED_VALUE"""),80.98)</f>
        <v>80.98</v>
      </c>
      <c r="D3513" s="1">
        <f>IFERROR(__xludf.DUMMYFUNCTION("""COMPUTED_VALUE"""),78.33)</f>
        <v>78.33</v>
      </c>
      <c r="E3513" s="1">
        <f>IFERROR(__xludf.DUMMYFUNCTION("""COMPUTED_VALUE"""),79.45)</f>
        <v>79.45</v>
      </c>
      <c r="F3513" s="1">
        <f>IFERROR(__xludf.DUMMYFUNCTION("""COMPUTED_VALUE"""),2347195.0)</f>
        <v>2347195</v>
      </c>
    </row>
    <row r="3514">
      <c r="A3514" s="2">
        <f>IFERROR(__xludf.DUMMYFUNCTION("""COMPUTED_VALUE"""),45275.66666666667)</f>
        <v>45275.66667</v>
      </c>
      <c r="B3514" s="1">
        <f>IFERROR(__xludf.DUMMYFUNCTION("""COMPUTED_VALUE"""),76.65)</f>
        <v>76.65</v>
      </c>
      <c r="C3514" s="1">
        <f>IFERROR(__xludf.DUMMYFUNCTION("""COMPUTED_VALUE"""),77.33)</f>
        <v>77.33</v>
      </c>
      <c r="D3514" s="1">
        <f>IFERROR(__xludf.DUMMYFUNCTION("""COMPUTED_VALUE"""),71.66)</f>
        <v>71.66</v>
      </c>
      <c r="E3514" s="1">
        <f>IFERROR(__xludf.DUMMYFUNCTION("""COMPUTED_VALUE"""),72.02)</f>
        <v>72.02</v>
      </c>
      <c r="F3514" s="1">
        <f>IFERROR(__xludf.DUMMYFUNCTION("""COMPUTED_VALUE"""),5698091.0)</f>
        <v>5698091</v>
      </c>
    </row>
    <row r="3515">
      <c r="A3515" s="2">
        <f>IFERROR(__xludf.DUMMYFUNCTION("""COMPUTED_VALUE"""),45278.66666666667)</f>
        <v>45278.66667</v>
      </c>
      <c r="B3515" s="1">
        <f>IFERROR(__xludf.DUMMYFUNCTION("""COMPUTED_VALUE"""),77.91)</f>
        <v>77.91</v>
      </c>
      <c r="C3515" s="1">
        <f>IFERROR(__xludf.DUMMYFUNCTION("""COMPUTED_VALUE"""),79.27)</f>
        <v>79.27</v>
      </c>
      <c r="D3515" s="1">
        <f>IFERROR(__xludf.DUMMYFUNCTION("""COMPUTED_VALUE"""),75.09)</f>
        <v>75.09</v>
      </c>
      <c r="E3515" s="1">
        <f>IFERROR(__xludf.DUMMYFUNCTION("""COMPUTED_VALUE"""),76.11)</f>
        <v>76.11</v>
      </c>
      <c r="F3515" s="1">
        <f>IFERROR(__xludf.DUMMYFUNCTION("""COMPUTED_VALUE"""),3574891.0)</f>
        <v>3574891</v>
      </c>
    </row>
    <row r="3516">
      <c r="A3516" s="2">
        <f>IFERROR(__xludf.DUMMYFUNCTION("""COMPUTED_VALUE"""),45279.66666666667)</f>
        <v>45279.66667</v>
      </c>
      <c r="B3516" s="1">
        <f>IFERROR(__xludf.DUMMYFUNCTION("""COMPUTED_VALUE"""),75.98)</f>
        <v>75.98</v>
      </c>
      <c r="C3516" s="1">
        <f>IFERROR(__xludf.DUMMYFUNCTION("""COMPUTED_VALUE"""),77.07)</f>
        <v>77.07</v>
      </c>
      <c r="D3516" s="1">
        <f>IFERROR(__xludf.DUMMYFUNCTION("""COMPUTED_VALUE"""),74.81)</f>
        <v>74.81</v>
      </c>
      <c r="E3516" s="1">
        <f>IFERROR(__xludf.DUMMYFUNCTION("""COMPUTED_VALUE"""),75.4)</f>
        <v>75.4</v>
      </c>
      <c r="F3516" s="1">
        <f>IFERROR(__xludf.DUMMYFUNCTION("""COMPUTED_VALUE"""),2393945.0)</f>
        <v>2393945</v>
      </c>
    </row>
    <row r="3517">
      <c r="A3517" s="2">
        <f>IFERROR(__xludf.DUMMYFUNCTION("""COMPUTED_VALUE"""),45280.66666666667)</f>
        <v>45280.66667</v>
      </c>
      <c r="B3517" s="1">
        <f>IFERROR(__xludf.DUMMYFUNCTION("""COMPUTED_VALUE"""),73.22)</f>
        <v>73.22</v>
      </c>
      <c r="C3517" s="1">
        <f>IFERROR(__xludf.DUMMYFUNCTION("""COMPUTED_VALUE"""),74.29)</f>
        <v>74.29</v>
      </c>
      <c r="D3517" s="1">
        <f>IFERROR(__xludf.DUMMYFUNCTION("""COMPUTED_VALUE"""),71.66)</f>
        <v>71.66</v>
      </c>
      <c r="E3517" s="1">
        <f>IFERROR(__xludf.DUMMYFUNCTION("""COMPUTED_VALUE"""),72.26)</f>
        <v>72.26</v>
      </c>
      <c r="F3517" s="1">
        <f>IFERROR(__xludf.DUMMYFUNCTION("""COMPUTED_VALUE"""),2485956.0)</f>
        <v>2485956</v>
      </c>
    </row>
    <row r="3518">
      <c r="A3518" s="2">
        <f>IFERROR(__xludf.DUMMYFUNCTION("""COMPUTED_VALUE"""),45281.66666666667)</f>
        <v>45281.66667</v>
      </c>
      <c r="B3518" s="1">
        <f>IFERROR(__xludf.DUMMYFUNCTION("""COMPUTED_VALUE"""),74.0)</f>
        <v>74</v>
      </c>
      <c r="C3518" s="1">
        <f>IFERROR(__xludf.DUMMYFUNCTION("""COMPUTED_VALUE"""),74.24)</f>
        <v>74.24</v>
      </c>
      <c r="D3518" s="1">
        <f>IFERROR(__xludf.DUMMYFUNCTION("""COMPUTED_VALUE"""),71.62)</f>
        <v>71.62</v>
      </c>
      <c r="E3518" s="1">
        <f>IFERROR(__xludf.DUMMYFUNCTION("""COMPUTED_VALUE"""),73.15)</f>
        <v>73.15</v>
      </c>
      <c r="F3518" s="1">
        <f>IFERROR(__xludf.DUMMYFUNCTION("""COMPUTED_VALUE"""),1404910.0)</f>
        <v>1404910</v>
      </c>
    </row>
    <row r="3519">
      <c r="A3519" s="2">
        <f>IFERROR(__xludf.DUMMYFUNCTION("""COMPUTED_VALUE"""),45282.66666666667)</f>
        <v>45282.66667</v>
      </c>
      <c r="B3519" s="1">
        <f>IFERROR(__xludf.DUMMYFUNCTION("""COMPUTED_VALUE"""),67.82)</f>
        <v>67.82</v>
      </c>
      <c r="C3519" s="1">
        <f>IFERROR(__xludf.DUMMYFUNCTION("""COMPUTED_VALUE"""),71.48)</f>
        <v>71.48</v>
      </c>
      <c r="D3519" s="1">
        <f>IFERROR(__xludf.DUMMYFUNCTION("""COMPUTED_VALUE"""),67.61)</f>
        <v>67.61</v>
      </c>
      <c r="E3519" s="1">
        <f>IFERROR(__xludf.DUMMYFUNCTION("""COMPUTED_VALUE"""),69.68)</f>
        <v>69.68</v>
      </c>
      <c r="F3519" s="1">
        <f>IFERROR(__xludf.DUMMYFUNCTION("""COMPUTED_VALUE"""),4250671.0)</f>
        <v>4250671</v>
      </c>
    </row>
    <row r="3520">
      <c r="A3520" s="2">
        <f>IFERROR(__xludf.DUMMYFUNCTION("""COMPUTED_VALUE"""),45286.66666666667)</f>
        <v>45286.66667</v>
      </c>
      <c r="B3520" s="1">
        <f>IFERROR(__xludf.DUMMYFUNCTION("""COMPUTED_VALUE"""),71.0)</f>
        <v>71</v>
      </c>
      <c r="C3520" s="1">
        <f>IFERROR(__xludf.DUMMYFUNCTION("""COMPUTED_VALUE"""),73.18)</f>
        <v>73.18</v>
      </c>
      <c r="D3520" s="1">
        <f>IFERROR(__xludf.DUMMYFUNCTION("""COMPUTED_VALUE"""),70.81)</f>
        <v>70.81</v>
      </c>
      <c r="E3520" s="1">
        <f>IFERROR(__xludf.DUMMYFUNCTION("""COMPUTED_VALUE"""),71.39)</f>
        <v>71.39</v>
      </c>
      <c r="F3520" s="1">
        <f>IFERROR(__xludf.DUMMYFUNCTION("""COMPUTED_VALUE"""),2068813.0)</f>
        <v>2068813</v>
      </c>
    </row>
    <row r="3521">
      <c r="A3521" s="2">
        <f>IFERROR(__xludf.DUMMYFUNCTION("""COMPUTED_VALUE"""),45287.66666666667)</f>
        <v>45287.66667</v>
      </c>
      <c r="B3521" s="1">
        <f>IFERROR(__xludf.DUMMYFUNCTION("""COMPUTED_VALUE"""),71.07)</f>
        <v>71.07</v>
      </c>
      <c r="C3521" s="1">
        <f>IFERROR(__xludf.DUMMYFUNCTION("""COMPUTED_VALUE"""),72.32)</f>
        <v>72.32</v>
      </c>
      <c r="D3521" s="1">
        <f>IFERROR(__xludf.DUMMYFUNCTION("""COMPUTED_VALUE"""),71.04)</f>
        <v>71.04</v>
      </c>
      <c r="E3521" s="1">
        <f>IFERROR(__xludf.DUMMYFUNCTION("""COMPUTED_VALUE"""),71.72)</f>
        <v>71.72</v>
      </c>
      <c r="F3521" s="1">
        <f>IFERROR(__xludf.DUMMYFUNCTION("""COMPUTED_VALUE"""),1320622.0)</f>
        <v>1320622</v>
      </c>
    </row>
    <row r="3522">
      <c r="A3522" s="2">
        <f>IFERROR(__xludf.DUMMYFUNCTION("""COMPUTED_VALUE"""),45288.66666666667)</f>
        <v>45288.66667</v>
      </c>
      <c r="B3522" s="1">
        <f>IFERROR(__xludf.DUMMYFUNCTION("""COMPUTED_VALUE"""),72.5)</f>
        <v>72.5</v>
      </c>
      <c r="C3522" s="1">
        <f>IFERROR(__xludf.DUMMYFUNCTION("""COMPUTED_VALUE"""),73.29)</f>
        <v>73.29</v>
      </c>
      <c r="D3522" s="1">
        <f>IFERROR(__xludf.DUMMYFUNCTION("""COMPUTED_VALUE"""),69.97)</f>
        <v>69.97</v>
      </c>
      <c r="E3522" s="1">
        <f>IFERROR(__xludf.DUMMYFUNCTION("""COMPUTED_VALUE"""),70.64)</f>
        <v>70.64</v>
      </c>
      <c r="F3522" s="1">
        <f>IFERROR(__xludf.DUMMYFUNCTION("""COMPUTED_VALUE"""),1094617.0)</f>
        <v>1094617</v>
      </c>
    </row>
    <row r="3523">
      <c r="A3523" s="2">
        <f>IFERROR(__xludf.DUMMYFUNCTION("""COMPUTED_VALUE"""),45289.66666666667)</f>
        <v>45289.66667</v>
      </c>
      <c r="B3523" s="1">
        <f>IFERROR(__xludf.DUMMYFUNCTION("""COMPUTED_VALUE"""),70.11)</f>
        <v>70.11</v>
      </c>
      <c r="C3523" s="1">
        <f>IFERROR(__xludf.DUMMYFUNCTION("""COMPUTED_VALUE"""),74.83)</f>
        <v>74.83</v>
      </c>
      <c r="D3523" s="1">
        <f>IFERROR(__xludf.DUMMYFUNCTION("""COMPUTED_VALUE"""),70.11)</f>
        <v>70.11</v>
      </c>
      <c r="E3523" s="1">
        <f>IFERROR(__xludf.DUMMYFUNCTION("""COMPUTED_VALUE"""),73.28)</f>
        <v>73.28</v>
      </c>
      <c r="F3523" s="1">
        <f>IFERROR(__xludf.DUMMYFUNCTION("""COMPUTED_VALUE"""),1941753.0)</f>
        <v>1941753</v>
      </c>
    </row>
  </sheetData>
  <drawing r:id="rId1"/>
</worksheet>
</file>